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showInkAnnotation="0"/>
  <mc:AlternateContent xmlns:mc="http://schemas.openxmlformats.org/markup-compatibility/2006">
    <mc:Choice Requires="x15">
      <x15ac:absPath xmlns:x15ac="http://schemas.microsoft.com/office/spreadsheetml/2010/11/ac" url="https://usdagcc.sharepoint.com/sites/REE-ERS-OilCropsOutlook/Shared Documents/General/Yearbooks/"/>
    </mc:Choice>
  </mc:AlternateContent>
  <xr:revisionPtr revIDLastSave="12" documentId="13_ncr:1_{AA11145F-C472-4142-A929-551669731F2D}" xr6:coauthVersionLast="47" xr6:coauthVersionMax="47" xr10:uidLastSave="{3338A9D9-AAFF-490B-A7FB-A6016C5E92BC}"/>
  <bookViews>
    <workbookView xWindow="-108" yWindow="-108" windowWidth="23256" windowHeight="12576" tabRatio="598" xr2:uid="{00000000-000D-0000-FFFF-FFFF00000000}"/>
  </bookViews>
  <sheets>
    <sheet name="Contents" sheetId="109" r:id="rId1"/>
    <sheet name="tab 10" sheetId="110" r:id="rId2"/>
    <sheet name="tab 11" sheetId="111" r:id="rId3"/>
    <sheet name="tab 12" sheetId="112" r:id="rId4"/>
    <sheet name="tab 13" sheetId="113" r:id="rId5"/>
    <sheet name="tab 14" sheetId="114" r:id="rId6"/>
    <sheet name="tab 15" sheetId="115" r:id="rId7"/>
    <sheet name="tab 16" sheetId="116" r:id="rId8"/>
  </sheets>
  <definedNames>
    <definedName name="_xlnm.Print_Area" localSheetId="1">'tab 10'!$B$6:$I$54</definedName>
    <definedName name="_xlnm.Print_Area" localSheetId="2">'tab 11'!$B$9:$L$55</definedName>
    <definedName name="_xlnm.Print_Area" localSheetId="3">'tab 12'!$B$7:$G$51</definedName>
    <definedName name="_xlnm.Print_Area" localSheetId="4">'tab 13'!$B$6:$N$52</definedName>
    <definedName name="_xlnm.Print_Area" localSheetId="5">'tab 14'!$B$6:$N$52</definedName>
    <definedName name="_xlnm.Print_Area" localSheetId="6">'tab 15'!$B$6:$N$52</definedName>
    <definedName name="_xlnm.Print_Area" localSheetId="7">'tab 16'!$B$6:$N$52</definedName>
    <definedName name="_xlnm.Print_Titles" localSheetId="1">'tab 10'!$A:$A,'tab 10'!$1:$4</definedName>
    <definedName name="_xlnm.Print_Titles" localSheetId="2">'tab 11'!$A:$A,'tab 11'!$1:$7</definedName>
    <definedName name="_xlnm.Print_Titles" localSheetId="3">'tab 12'!$A:$A,'tab 12'!$1:$5</definedName>
    <definedName name="_xlnm.Print_Titles" localSheetId="4">'tab 13'!$A:$A,'tab 13'!$1:$4</definedName>
    <definedName name="_xlnm.Print_Titles" localSheetId="5">'tab 14'!$A:$A,'tab 14'!$1:$4</definedName>
    <definedName name="_xlnm.Print_Titles" localSheetId="6">'tab 15'!$A:$A,'tab 15'!$1:$4</definedName>
    <definedName name="_xlnm.Print_Titles" localSheetId="7">'tab 16'!$A:$A,'tab 16'!$1:$4</definedName>
    <definedName name="WASDE_Updated" localSheetId="0">Contents!#REF!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8" i="116" l="1"/>
  <c r="L48" i="116"/>
  <c r="K48" i="116"/>
  <c r="I48" i="116"/>
  <c r="H48" i="116"/>
  <c r="G48" i="116"/>
  <c r="E48" i="116"/>
  <c r="D48" i="116"/>
  <c r="C48" i="116"/>
  <c r="B48" i="116"/>
  <c r="M47" i="116"/>
  <c r="L47" i="116"/>
  <c r="K47" i="116"/>
  <c r="I47" i="116"/>
  <c r="H47" i="116"/>
  <c r="G47" i="116"/>
  <c r="E47" i="116"/>
  <c r="D47" i="116"/>
  <c r="C47" i="116"/>
  <c r="B47" i="116"/>
  <c r="M46" i="116"/>
  <c r="L46" i="116"/>
  <c r="K46" i="116"/>
  <c r="I46" i="116"/>
  <c r="H46" i="116"/>
  <c r="G46" i="116"/>
  <c r="E46" i="116"/>
  <c r="D46" i="116"/>
  <c r="C46" i="116"/>
  <c r="B46" i="116"/>
  <c r="M45" i="116"/>
  <c r="L45" i="116"/>
  <c r="K45" i="116"/>
  <c r="I45" i="116"/>
  <c r="H45" i="116"/>
  <c r="G45" i="116"/>
  <c r="F45" i="116"/>
  <c r="E45" i="116"/>
  <c r="D45" i="116"/>
  <c r="C45" i="116"/>
  <c r="B45" i="116"/>
  <c r="M44" i="116"/>
  <c r="L44" i="116"/>
  <c r="K44" i="116"/>
  <c r="I44" i="116"/>
  <c r="H44" i="116"/>
  <c r="G44" i="116"/>
  <c r="E44" i="116"/>
  <c r="D44" i="116"/>
  <c r="C44" i="116"/>
  <c r="B44" i="116"/>
  <c r="M43" i="116"/>
  <c r="L43" i="116"/>
  <c r="K43" i="116"/>
  <c r="I43" i="116"/>
  <c r="H43" i="116"/>
  <c r="G43" i="116"/>
  <c r="E43" i="116"/>
  <c r="D43" i="116"/>
  <c r="C43" i="116"/>
  <c r="B43" i="116"/>
  <c r="L42" i="116"/>
  <c r="K42" i="116"/>
  <c r="I42" i="116"/>
  <c r="H42" i="116"/>
  <c r="G42" i="116"/>
  <c r="E42" i="116"/>
  <c r="D42" i="116"/>
  <c r="C42" i="116"/>
  <c r="B42" i="116"/>
  <c r="L41" i="116"/>
  <c r="K41" i="116"/>
  <c r="J41" i="116"/>
  <c r="I41" i="116"/>
  <c r="H41" i="116"/>
  <c r="G41" i="116"/>
  <c r="E41" i="116"/>
  <c r="D41" i="116"/>
  <c r="C41" i="116"/>
  <c r="B41" i="116"/>
  <c r="L40" i="116"/>
  <c r="K40" i="116"/>
  <c r="I40" i="116"/>
  <c r="H40" i="116"/>
  <c r="G40" i="116"/>
  <c r="E40" i="116"/>
  <c r="D40" i="116"/>
  <c r="C40" i="116"/>
  <c r="B40" i="116"/>
  <c r="L39" i="116"/>
  <c r="K39" i="116"/>
  <c r="I39" i="116"/>
  <c r="H39" i="116"/>
  <c r="G39" i="116"/>
  <c r="E39" i="116"/>
  <c r="D39" i="116"/>
  <c r="C39" i="116"/>
  <c r="B39" i="116"/>
  <c r="M38" i="116"/>
  <c r="L38" i="116"/>
  <c r="K38" i="116"/>
  <c r="I38" i="116"/>
  <c r="H38" i="116"/>
  <c r="G38" i="116"/>
  <c r="E38" i="116"/>
  <c r="D38" i="116"/>
  <c r="C38" i="116"/>
  <c r="B38" i="116"/>
  <c r="L37" i="116"/>
  <c r="K37" i="116"/>
  <c r="I37" i="116"/>
  <c r="H37" i="116"/>
  <c r="G37" i="116"/>
  <c r="E37" i="116"/>
  <c r="D37" i="116"/>
  <c r="C37" i="116"/>
  <c r="B37" i="116"/>
  <c r="L36" i="116"/>
  <c r="K36" i="116"/>
  <c r="I36" i="116"/>
  <c r="H36" i="116"/>
  <c r="G36" i="116"/>
  <c r="E36" i="116"/>
  <c r="D36" i="116"/>
  <c r="C36" i="116"/>
  <c r="B36" i="116"/>
  <c r="L35" i="116"/>
  <c r="K35" i="116"/>
  <c r="I35" i="116"/>
  <c r="H35" i="116"/>
  <c r="G35" i="116"/>
  <c r="E35" i="116"/>
  <c r="D35" i="116"/>
  <c r="C35" i="116"/>
  <c r="B35" i="116"/>
  <c r="L34" i="116"/>
  <c r="K34" i="116"/>
  <c r="I34" i="116"/>
  <c r="H34" i="116"/>
  <c r="G34" i="116"/>
  <c r="E34" i="116"/>
  <c r="D34" i="116"/>
  <c r="C34" i="116"/>
  <c r="B34" i="116"/>
  <c r="L33" i="116"/>
  <c r="K33" i="116"/>
  <c r="I33" i="116"/>
  <c r="H33" i="116"/>
  <c r="G33" i="116"/>
  <c r="F33" i="116"/>
  <c r="E33" i="116"/>
  <c r="D33" i="116"/>
  <c r="C33" i="116"/>
  <c r="B33" i="116"/>
  <c r="L32" i="116"/>
  <c r="K32" i="116"/>
  <c r="I32" i="116"/>
  <c r="H32" i="116"/>
  <c r="G32" i="116"/>
  <c r="E32" i="116"/>
  <c r="D32" i="116"/>
  <c r="C32" i="116"/>
  <c r="B32" i="116"/>
  <c r="L31" i="116"/>
  <c r="K31" i="116"/>
  <c r="I31" i="116"/>
  <c r="H31" i="116"/>
  <c r="G31" i="116"/>
  <c r="E31" i="116"/>
  <c r="D31" i="116"/>
  <c r="C31" i="116"/>
  <c r="B31" i="116"/>
  <c r="L30" i="116"/>
  <c r="K30" i="116"/>
  <c r="I30" i="116"/>
  <c r="H30" i="116"/>
  <c r="G30" i="116"/>
  <c r="E30" i="116"/>
  <c r="D30" i="116"/>
  <c r="C30" i="116"/>
  <c r="B30" i="116"/>
  <c r="L29" i="116"/>
  <c r="K29" i="116"/>
  <c r="J29" i="116"/>
  <c r="I29" i="116"/>
  <c r="H29" i="116"/>
  <c r="G29" i="116"/>
  <c r="E29" i="116"/>
  <c r="D29" i="116"/>
  <c r="C29" i="116"/>
  <c r="B29" i="116"/>
  <c r="L28" i="116"/>
  <c r="K28" i="116"/>
  <c r="I28" i="116"/>
  <c r="H28" i="116"/>
  <c r="G28" i="116"/>
  <c r="E28" i="116"/>
  <c r="D28" i="116"/>
  <c r="C28" i="116"/>
  <c r="B28" i="116"/>
  <c r="L27" i="116"/>
  <c r="K27" i="116"/>
  <c r="I27" i="116"/>
  <c r="H27" i="116"/>
  <c r="G27" i="116"/>
  <c r="E27" i="116"/>
  <c r="D27" i="116"/>
  <c r="C27" i="116"/>
  <c r="B27" i="116"/>
  <c r="M26" i="116"/>
  <c r="L26" i="116"/>
  <c r="K26" i="116"/>
  <c r="I26" i="116"/>
  <c r="H26" i="116"/>
  <c r="G26" i="116"/>
  <c r="E26" i="116"/>
  <c r="D26" i="116"/>
  <c r="C26" i="116"/>
  <c r="B26" i="116"/>
  <c r="L25" i="116"/>
  <c r="K25" i="116"/>
  <c r="I25" i="116"/>
  <c r="H25" i="116"/>
  <c r="G25" i="116"/>
  <c r="E25" i="116"/>
  <c r="D25" i="116"/>
  <c r="C25" i="116"/>
  <c r="B25" i="116"/>
  <c r="L24" i="116"/>
  <c r="K24" i="116"/>
  <c r="I24" i="116"/>
  <c r="H24" i="116"/>
  <c r="G24" i="116"/>
  <c r="E24" i="116"/>
  <c r="D24" i="116"/>
  <c r="C24" i="116"/>
  <c r="B24" i="116"/>
  <c r="L23" i="116"/>
  <c r="K23" i="116"/>
  <c r="I23" i="116"/>
  <c r="H23" i="116"/>
  <c r="G23" i="116"/>
  <c r="E23" i="116"/>
  <c r="D23" i="116"/>
  <c r="C23" i="116"/>
  <c r="B23" i="116"/>
  <c r="L22" i="116"/>
  <c r="K22" i="116"/>
  <c r="I22" i="116"/>
  <c r="H22" i="116"/>
  <c r="G22" i="116"/>
  <c r="E22" i="116"/>
  <c r="D22" i="116"/>
  <c r="C22" i="116"/>
  <c r="B22" i="116"/>
  <c r="L21" i="116"/>
  <c r="K21" i="116"/>
  <c r="I21" i="116"/>
  <c r="H21" i="116"/>
  <c r="G21" i="116"/>
  <c r="F21" i="116"/>
  <c r="E21" i="116"/>
  <c r="D21" i="116"/>
  <c r="C21" i="116"/>
  <c r="B21" i="116"/>
  <c r="L20" i="116"/>
  <c r="K20" i="116"/>
  <c r="I20" i="116"/>
  <c r="H20" i="116"/>
  <c r="G20" i="116"/>
  <c r="E20" i="116"/>
  <c r="D20" i="116"/>
  <c r="C20" i="116"/>
  <c r="B20" i="116"/>
  <c r="L19" i="116"/>
  <c r="K19" i="116"/>
  <c r="I19" i="116"/>
  <c r="H19" i="116"/>
  <c r="G19" i="116"/>
  <c r="E19" i="116"/>
  <c r="D19" i="116"/>
  <c r="C19" i="116"/>
  <c r="B19" i="116"/>
  <c r="L18" i="116"/>
  <c r="K18" i="116"/>
  <c r="I18" i="116"/>
  <c r="H18" i="116"/>
  <c r="G18" i="116"/>
  <c r="E18" i="116"/>
  <c r="D18" i="116"/>
  <c r="C18" i="116"/>
  <c r="B18" i="116"/>
  <c r="L17" i="116"/>
  <c r="K17" i="116"/>
  <c r="J17" i="116"/>
  <c r="I17" i="116"/>
  <c r="H17" i="116"/>
  <c r="G17" i="116"/>
  <c r="E17" i="116"/>
  <c r="D17" i="116"/>
  <c r="C17" i="116"/>
  <c r="B17" i="116"/>
  <c r="L16" i="116"/>
  <c r="K16" i="116"/>
  <c r="I16" i="116"/>
  <c r="H16" i="116"/>
  <c r="G16" i="116"/>
  <c r="E16" i="116"/>
  <c r="D16" i="116"/>
  <c r="C16" i="116"/>
  <c r="B16" i="116"/>
  <c r="L15" i="116"/>
  <c r="K15" i="116"/>
  <c r="I15" i="116"/>
  <c r="H15" i="116"/>
  <c r="G15" i="116"/>
  <c r="E15" i="116"/>
  <c r="D15" i="116"/>
  <c r="C15" i="116"/>
  <c r="B15" i="116"/>
  <c r="M14" i="116"/>
  <c r="L14" i="116"/>
  <c r="K14" i="116"/>
  <c r="I14" i="116"/>
  <c r="H14" i="116"/>
  <c r="G14" i="116"/>
  <c r="E14" i="116"/>
  <c r="D14" i="116"/>
  <c r="C14" i="116"/>
  <c r="B14" i="116"/>
  <c r="L13" i="116"/>
  <c r="K13" i="116"/>
  <c r="I13" i="116"/>
  <c r="H13" i="116"/>
  <c r="G13" i="116"/>
  <c r="E13" i="116"/>
  <c r="D13" i="116"/>
  <c r="C13" i="116"/>
  <c r="B13" i="116"/>
  <c r="L12" i="116"/>
  <c r="K12" i="116"/>
  <c r="I12" i="116"/>
  <c r="H12" i="116"/>
  <c r="G12" i="116"/>
  <c r="E12" i="116"/>
  <c r="D12" i="116"/>
  <c r="C12" i="116"/>
  <c r="B12" i="116"/>
  <c r="L11" i="116"/>
  <c r="K11" i="116"/>
  <c r="I11" i="116"/>
  <c r="H11" i="116"/>
  <c r="G11" i="116"/>
  <c r="E11" i="116"/>
  <c r="D11" i="116"/>
  <c r="C11" i="116"/>
  <c r="B11" i="116"/>
  <c r="L10" i="116"/>
  <c r="K10" i="116"/>
  <c r="I10" i="116"/>
  <c r="H10" i="116"/>
  <c r="G10" i="116"/>
  <c r="E10" i="116"/>
  <c r="D10" i="116"/>
  <c r="C10" i="116"/>
  <c r="B10" i="116"/>
  <c r="L9" i="116"/>
  <c r="K9" i="116"/>
  <c r="I9" i="116"/>
  <c r="H9" i="116"/>
  <c r="G9" i="116"/>
  <c r="F9" i="116"/>
  <c r="E9" i="116"/>
  <c r="D9" i="116"/>
  <c r="C9" i="116"/>
  <c r="B9" i="116"/>
  <c r="L8" i="116"/>
  <c r="K8" i="116"/>
  <c r="I8" i="116"/>
  <c r="H8" i="116"/>
  <c r="G8" i="116"/>
  <c r="E8" i="116"/>
  <c r="D8" i="116"/>
  <c r="C8" i="116"/>
  <c r="B8" i="116"/>
  <c r="L7" i="116"/>
  <c r="K7" i="116"/>
  <c r="I7" i="116"/>
  <c r="H7" i="116"/>
  <c r="G7" i="116"/>
  <c r="E7" i="116"/>
  <c r="D7" i="116"/>
  <c r="C7" i="116"/>
  <c r="B7" i="116"/>
  <c r="L6" i="116"/>
  <c r="K6" i="116"/>
  <c r="I6" i="116"/>
  <c r="H6" i="116"/>
  <c r="G6" i="116"/>
  <c r="E6" i="116"/>
  <c r="D6" i="116"/>
  <c r="C6" i="116"/>
  <c r="B6" i="116"/>
  <c r="J48" i="115"/>
  <c r="J48" i="116" s="1"/>
  <c r="F48" i="115"/>
  <c r="N48" i="115" s="1"/>
  <c r="J47" i="115"/>
  <c r="J47" i="116" s="1"/>
  <c r="F47" i="115"/>
  <c r="F47" i="116" s="1"/>
  <c r="J46" i="115"/>
  <c r="J46" i="116" s="1"/>
  <c r="F46" i="115"/>
  <c r="N46" i="115" s="1"/>
  <c r="J45" i="115"/>
  <c r="J45" i="116" s="1"/>
  <c r="F45" i="115"/>
  <c r="N45" i="115" s="1"/>
  <c r="J44" i="115"/>
  <c r="J44" i="116" s="1"/>
  <c r="F44" i="115"/>
  <c r="N44" i="115" s="1"/>
  <c r="J43" i="115"/>
  <c r="J43" i="116" s="1"/>
  <c r="F43" i="115"/>
  <c r="F43" i="116" s="1"/>
  <c r="M42" i="115"/>
  <c r="M42" i="116" s="1"/>
  <c r="J42" i="115"/>
  <c r="J42" i="116" s="1"/>
  <c r="F42" i="115"/>
  <c r="N42" i="115" s="1"/>
  <c r="M41" i="115"/>
  <c r="M41" i="116" s="1"/>
  <c r="J41" i="115"/>
  <c r="F41" i="115"/>
  <c r="F41" i="116" s="1"/>
  <c r="M40" i="115"/>
  <c r="M40" i="116" s="1"/>
  <c r="J40" i="115"/>
  <c r="J40" i="116" s="1"/>
  <c r="F40" i="115"/>
  <c r="F40" i="116" s="1"/>
  <c r="M39" i="115"/>
  <c r="M39" i="116" s="1"/>
  <c r="J39" i="115"/>
  <c r="J39" i="116" s="1"/>
  <c r="F39" i="115"/>
  <c r="N39" i="115" s="1"/>
  <c r="M38" i="115"/>
  <c r="J38" i="115"/>
  <c r="J38" i="116" s="1"/>
  <c r="F38" i="115"/>
  <c r="N38" i="115" s="1"/>
  <c r="M37" i="115"/>
  <c r="M37" i="116" s="1"/>
  <c r="J37" i="115"/>
  <c r="J37" i="116" s="1"/>
  <c r="F37" i="115"/>
  <c r="F37" i="116" s="1"/>
  <c r="M36" i="115"/>
  <c r="M36" i="116" s="1"/>
  <c r="J36" i="115"/>
  <c r="J36" i="116" s="1"/>
  <c r="F36" i="115"/>
  <c r="N36" i="115" s="1"/>
  <c r="M35" i="115"/>
  <c r="M35" i="116" s="1"/>
  <c r="J35" i="115"/>
  <c r="J35" i="116" s="1"/>
  <c r="F35" i="115"/>
  <c r="N35" i="115" s="1"/>
  <c r="M34" i="115"/>
  <c r="M34" i="116" s="1"/>
  <c r="J34" i="115"/>
  <c r="J34" i="116" s="1"/>
  <c r="F34" i="115"/>
  <c r="M33" i="115"/>
  <c r="M33" i="116" s="1"/>
  <c r="J33" i="115"/>
  <c r="J33" i="116" s="1"/>
  <c r="F33" i="115"/>
  <c r="N33" i="115" s="1"/>
  <c r="M32" i="115"/>
  <c r="M32" i="116" s="1"/>
  <c r="J32" i="115"/>
  <c r="J32" i="116" s="1"/>
  <c r="F32" i="115"/>
  <c r="N32" i="115" s="1"/>
  <c r="M31" i="115"/>
  <c r="M31" i="116" s="1"/>
  <c r="J31" i="115"/>
  <c r="J31" i="116" s="1"/>
  <c r="F31" i="115"/>
  <c r="F31" i="116" s="1"/>
  <c r="M30" i="115"/>
  <c r="M30" i="116" s="1"/>
  <c r="J30" i="115"/>
  <c r="J30" i="116" s="1"/>
  <c r="F30" i="115"/>
  <c r="N30" i="115" s="1"/>
  <c r="M29" i="115"/>
  <c r="M29" i="116" s="1"/>
  <c r="J29" i="115"/>
  <c r="F29" i="115"/>
  <c r="F29" i="116" s="1"/>
  <c r="M28" i="115"/>
  <c r="M28" i="116" s="1"/>
  <c r="J28" i="115"/>
  <c r="J28" i="116" s="1"/>
  <c r="F28" i="115"/>
  <c r="F28" i="116" s="1"/>
  <c r="M27" i="115"/>
  <c r="M27" i="116" s="1"/>
  <c r="J27" i="115"/>
  <c r="J27" i="116" s="1"/>
  <c r="F27" i="115"/>
  <c r="N27" i="115" s="1"/>
  <c r="M26" i="115"/>
  <c r="J26" i="115"/>
  <c r="J26" i="116" s="1"/>
  <c r="F26" i="115"/>
  <c r="N26" i="115" s="1"/>
  <c r="M25" i="115"/>
  <c r="M25" i="116" s="1"/>
  <c r="J25" i="115"/>
  <c r="J25" i="116" s="1"/>
  <c r="F25" i="115"/>
  <c r="F25" i="116" s="1"/>
  <c r="M24" i="115"/>
  <c r="M24" i="116" s="1"/>
  <c r="J24" i="115"/>
  <c r="J24" i="116" s="1"/>
  <c r="F24" i="115"/>
  <c r="N24" i="115" s="1"/>
  <c r="N24" i="116" s="1"/>
  <c r="M23" i="115"/>
  <c r="M23" i="116" s="1"/>
  <c r="J23" i="115"/>
  <c r="J23" i="116" s="1"/>
  <c r="F23" i="115"/>
  <c r="N23" i="115" s="1"/>
  <c r="M22" i="115"/>
  <c r="M22" i="116" s="1"/>
  <c r="J22" i="115"/>
  <c r="J22" i="116" s="1"/>
  <c r="F22" i="115"/>
  <c r="M21" i="115"/>
  <c r="M21" i="116" s="1"/>
  <c r="J21" i="115"/>
  <c r="J21" i="116" s="1"/>
  <c r="F21" i="115"/>
  <c r="N21" i="115" s="1"/>
  <c r="M20" i="115"/>
  <c r="M20" i="116" s="1"/>
  <c r="J20" i="115"/>
  <c r="J20" i="116" s="1"/>
  <c r="F20" i="115"/>
  <c r="N20" i="115" s="1"/>
  <c r="N20" i="116" s="1"/>
  <c r="M19" i="115"/>
  <c r="M19" i="116" s="1"/>
  <c r="J19" i="115"/>
  <c r="J19" i="116" s="1"/>
  <c r="F19" i="115"/>
  <c r="F19" i="116" s="1"/>
  <c r="M18" i="115"/>
  <c r="M18" i="116" s="1"/>
  <c r="J18" i="115"/>
  <c r="J18" i="116" s="1"/>
  <c r="F18" i="115"/>
  <c r="N18" i="115" s="1"/>
  <c r="M17" i="115"/>
  <c r="M17" i="116" s="1"/>
  <c r="J17" i="115"/>
  <c r="F17" i="115"/>
  <c r="F17" i="116" s="1"/>
  <c r="M16" i="115"/>
  <c r="M16" i="116" s="1"/>
  <c r="J16" i="115"/>
  <c r="J16" i="116" s="1"/>
  <c r="F16" i="115"/>
  <c r="F16" i="116" s="1"/>
  <c r="M15" i="115"/>
  <c r="M15" i="116" s="1"/>
  <c r="J15" i="115"/>
  <c r="J15" i="116" s="1"/>
  <c r="F15" i="115"/>
  <c r="N15" i="115" s="1"/>
  <c r="M14" i="115"/>
  <c r="J14" i="115"/>
  <c r="J14" i="116" s="1"/>
  <c r="F14" i="115"/>
  <c r="N14" i="115" s="1"/>
  <c r="M13" i="115"/>
  <c r="M13" i="116" s="1"/>
  <c r="J13" i="115"/>
  <c r="J13" i="116" s="1"/>
  <c r="F13" i="115"/>
  <c r="F13" i="116" s="1"/>
  <c r="M12" i="115"/>
  <c r="M12" i="116" s="1"/>
  <c r="J12" i="115"/>
  <c r="J12" i="116" s="1"/>
  <c r="F12" i="115"/>
  <c r="N12" i="115" s="1"/>
  <c r="N12" i="116" s="1"/>
  <c r="M11" i="115"/>
  <c r="M11" i="116" s="1"/>
  <c r="J11" i="115"/>
  <c r="J11" i="116" s="1"/>
  <c r="F11" i="115"/>
  <c r="N11" i="115" s="1"/>
  <c r="M10" i="115"/>
  <c r="M10" i="116" s="1"/>
  <c r="J10" i="115"/>
  <c r="J10" i="116" s="1"/>
  <c r="F10" i="115"/>
  <c r="M9" i="115"/>
  <c r="M9" i="116" s="1"/>
  <c r="J9" i="115"/>
  <c r="J9" i="116" s="1"/>
  <c r="F9" i="115"/>
  <c r="N9" i="115" s="1"/>
  <c r="M8" i="115"/>
  <c r="M8" i="116" s="1"/>
  <c r="J8" i="115"/>
  <c r="J8" i="116" s="1"/>
  <c r="F8" i="115"/>
  <c r="N8" i="115" s="1"/>
  <c r="N8" i="116" s="1"/>
  <c r="M7" i="115"/>
  <c r="M7" i="116" s="1"/>
  <c r="J7" i="115"/>
  <c r="J7" i="116" s="1"/>
  <c r="F7" i="115"/>
  <c r="F7" i="116" s="1"/>
  <c r="M6" i="115"/>
  <c r="M6" i="116" s="1"/>
  <c r="J6" i="115"/>
  <c r="J6" i="116" s="1"/>
  <c r="F6" i="115"/>
  <c r="N6" i="115" s="1"/>
  <c r="J48" i="114"/>
  <c r="F48" i="114"/>
  <c r="N48" i="114" s="1"/>
  <c r="C48" i="110" s="1"/>
  <c r="N47" i="114"/>
  <c r="J47" i="114"/>
  <c r="F47" i="114"/>
  <c r="N46" i="114"/>
  <c r="C46" i="110" s="1"/>
  <c r="J46" i="114"/>
  <c r="F46" i="114"/>
  <c r="J45" i="114"/>
  <c r="F45" i="114"/>
  <c r="N45" i="114" s="1"/>
  <c r="C45" i="110" s="1"/>
  <c r="J44" i="114"/>
  <c r="F44" i="114"/>
  <c r="N44" i="114" s="1"/>
  <c r="C44" i="110" s="1"/>
  <c r="N43" i="114"/>
  <c r="J43" i="114"/>
  <c r="F43" i="114"/>
  <c r="N42" i="114"/>
  <c r="C42" i="110" s="1"/>
  <c r="M42" i="114"/>
  <c r="J42" i="114"/>
  <c r="F42" i="114"/>
  <c r="M41" i="114"/>
  <c r="J41" i="114"/>
  <c r="F41" i="114"/>
  <c r="N41" i="114" s="1"/>
  <c r="C41" i="110" s="1"/>
  <c r="M40" i="114"/>
  <c r="N40" i="114" s="1"/>
  <c r="J40" i="114"/>
  <c r="F40" i="114"/>
  <c r="N39" i="114"/>
  <c r="C39" i="110" s="1"/>
  <c r="M39" i="114"/>
  <c r="J39" i="114"/>
  <c r="F39" i="114"/>
  <c r="M38" i="114"/>
  <c r="J38" i="114"/>
  <c r="F38" i="114"/>
  <c r="N38" i="114" s="1"/>
  <c r="C38" i="110" s="1"/>
  <c r="M37" i="114"/>
  <c r="J37" i="114"/>
  <c r="F37" i="114"/>
  <c r="N37" i="114" s="1"/>
  <c r="N36" i="114"/>
  <c r="C36" i="110" s="1"/>
  <c r="M36" i="114"/>
  <c r="J36" i="114"/>
  <c r="F36" i="114"/>
  <c r="M35" i="114"/>
  <c r="J35" i="114"/>
  <c r="F35" i="114"/>
  <c r="N35" i="114" s="1"/>
  <c r="C35" i="110" s="1"/>
  <c r="M34" i="114"/>
  <c r="J34" i="114"/>
  <c r="F34" i="114"/>
  <c r="N34" i="114" s="1"/>
  <c r="N33" i="114"/>
  <c r="C33" i="110" s="1"/>
  <c r="M33" i="114"/>
  <c r="J33" i="114"/>
  <c r="F33" i="114"/>
  <c r="M32" i="114"/>
  <c r="J32" i="114"/>
  <c r="F32" i="114"/>
  <c r="N32" i="114" s="1"/>
  <c r="C32" i="110" s="1"/>
  <c r="M31" i="114"/>
  <c r="J31" i="114"/>
  <c r="F31" i="114"/>
  <c r="N31" i="114" s="1"/>
  <c r="N30" i="114"/>
  <c r="M30" i="114"/>
  <c r="J30" i="114"/>
  <c r="F30" i="114"/>
  <c r="M29" i="114"/>
  <c r="J29" i="114"/>
  <c r="F29" i="114"/>
  <c r="N29" i="114" s="1"/>
  <c r="C29" i="110" s="1"/>
  <c r="M28" i="114"/>
  <c r="J28" i="114"/>
  <c r="F28" i="114"/>
  <c r="N28" i="114" s="1"/>
  <c r="C28" i="110" s="1"/>
  <c r="N27" i="114"/>
  <c r="C27" i="110" s="1"/>
  <c r="D27" i="110" s="1"/>
  <c r="M27" i="114"/>
  <c r="J27" i="114"/>
  <c r="F27" i="114"/>
  <c r="M26" i="114"/>
  <c r="J26" i="114"/>
  <c r="F26" i="114"/>
  <c r="N26" i="114" s="1"/>
  <c r="M25" i="114"/>
  <c r="J25" i="114"/>
  <c r="F25" i="114"/>
  <c r="N25" i="114" s="1"/>
  <c r="N24" i="114"/>
  <c r="C24" i="110" s="1"/>
  <c r="M24" i="114"/>
  <c r="J24" i="114"/>
  <c r="F24" i="114"/>
  <c r="M23" i="114"/>
  <c r="J23" i="114"/>
  <c r="F23" i="114"/>
  <c r="N23" i="114" s="1"/>
  <c r="M22" i="114"/>
  <c r="J22" i="114"/>
  <c r="F22" i="114"/>
  <c r="N22" i="114" s="1"/>
  <c r="N21" i="114"/>
  <c r="M21" i="114"/>
  <c r="J21" i="114"/>
  <c r="F21" i="114"/>
  <c r="M20" i="114"/>
  <c r="J20" i="114"/>
  <c r="F20" i="114"/>
  <c r="N20" i="114" s="1"/>
  <c r="M19" i="114"/>
  <c r="J19" i="114"/>
  <c r="F19" i="114"/>
  <c r="N19" i="114" s="1"/>
  <c r="N18" i="114"/>
  <c r="M18" i="114"/>
  <c r="J18" i="114"/>
  <c r="F18" i="114"/>
  <c r="M17" i="114"/>
  <c r="J17" i="114"/>
  <c r="F17" i="114"/>
  <c r="N17" i="114" s="1"/>
  <c r="C17" i="110" s="1"/>
  <c r="M16" i="114"/>
  <c r="J16" i="114"/>
  <c r="F16" i="114"/>
  <c r="N16" i="114" s="1"/>
  <c r="N15" i="114"/>
  <c r="M15" i="114"/>
  <c r="J15" i="114"/>
  <c r="F15" i="114"/>
  <c r="M14" i="114"/>
  <c r="J14" i="114"/>
  <c r="F14" i="114"/>
  <c r="N14" i="114" s="1"/>
  <c r="C14" i="110" s="1"/>
  <c r="D14" i="110" s="1"/>
  <c r="M13" i="114"/>
  <c r="J13" i="114"/>
  <c r="F13" i="114"/>
  <c r="N13" i="114" s="1"/>
  <c r="N12" i="114"/>
  <c r="M12" i="114"/>
  <c r="J12" i="114"/>
  <c r="F12" i="114"/>
  <c r="M11" i="114"/>
  <c r="J11" i="114"/>
  <c r="F11" i="114"/>
  <c r="N11" i="114" s="1"/>
  <c r="C11" i="110" s="1"/>
  <c r="D11" i="110" s="1"/>
  <c r="M10" i="114"/>
  <c r="J10" i="114"/>
  <c r="F10" i="114"/>
  <c r="N10" i="114" s="1"/>
  <c r="C10" i="110" s="1"/>
  <c r="N9" i="114"/>
  <c r="C9" i="110" s="1"/>
  <c r="D9" i="110" s="1"/>
  <c r="M9" i="114"/>
  <c r="J9" i="114"/>
  <c r="F9" i="114"/>
  <c r="M8" i="114"/>
  <c r="J8" i="114"/>
  <c r="F8" i="114"/>
  <c r="N8" i="114" s="1"/>
  <c r="M7" i="114"/>
  <c r="J7" i="114"/>
  <c r="F7" i="114"/>
  <c r="N7" i="114" s="1"/>
  <c r="N6" i="114"/>
  <c r="C6" i="110" s="1"/>
  <c r="D6" i="110" s="1"/>
  <c r="M6" i="114"/>
  <c r="J6" i="114"/>
  <c r="F6" i="114"/>
  <c r="J48" i="113"/>
  <c r="F48" i="113"/>
  <c r="N48" i="113" s="1"/>
  <c r="B48" i="110" s="1"/>
  <c r="J47" i="113"/>
  <c r="F47" i="113"/>
  <c r="N47" i="113" s="1"/>
  <c r="B47" i="110" s="1"/>
  <c r="J46" i="113"/>
  <c r="F46" i="113"/>
  <c r="N46" i="113" s="1"/>
  <c r="B46" i="110" s="1"/>
  <c r="J45" i="113"/>
  <c r="F45" i="113"/>
  <c r="N44" i="113"/>
  <c r="J44" i="113"/>
  <c r="F44" i="113"/>
  <c r="J43" i="113"/>
  <c r="N43" i="113" s="1"/>
  <c r="B43" i="110" s="1"/>
  <c r="F43" i="113"/>
  <c r="N42" i="113"/>
  <c r="M42" i="113"/>
  <c r="F42" i="113"/>
  <c r="N41" i="113"/>
  <c r="B41" i="110" s="1"/>
  <c r="M41" i="113"/>
  <c r="F41" i="113"/>
  <c r="N40" i="113"/>
  <c r="M40" i="113"/>
  <c r="F40" i="113"/>
  <c r="M39" i="113"/>
  <c r="N39" i="113" s="1"/>
  <c r="B39" i="110" s="1"/>
  <c r="F39" i="113"/>
  <c r="N38" i="113"/>
  <c r="M38" i="113"/>
  <c r="F38" i="113"/>
  <c r="N37" i="113"/>
  <c r="B37" i="110" s="1"/>
  <c r="M37" i="113"/>
  <c r="F37" i="113"/>
  <c r="N36" i="113"/>
  <c r="M36" i="113"/>
  <c r="F36" i="113"/>
  <c r="M35" i="113"/>
  <c r="F35" i="113"/>
  <c r="N35" i="113" s="1"/>
  <c r="B35" i="110" s="1"/>
  <c r="N34" i="113"/>
  <c r="M34" i="113"/>
  <c r="F34" i="113"/>
  <c r="N33" i="113"/>
  <c r="M33" i="113"/>
  <c r="F33" i="113"/>
  <c r="N32" i="113"/>
  <c r="M32" i="113"/>
  <c r="F32" i="113"/>
  <c r="M31" i="113"/>
  <c r="F31" i="113"/>
  <c r="N31" i="113" s="1"/>
  <c r="B31" i="110" s="1"/>
  <c r="N30" i="113"/>
  <c r="M30" i="113"/>
  <c r="F30" i="113"/>
  <c r="N29" i="113"/>
  <c r="M29" i="113"/>
  <c r="F29" i="113"/>
  <c r="N28" i="113"/>
  <c r="M28" i="113"/>
  <c r="F28" i="113"/>
  <c r="M27" i="113"/>
  <c r="F27" i="113"/>
  <c r="M26" i="113"/>
  <c r="F26" i="113"/>
  <c r="M25" i="113"/>
  <c r="F25" i="113"/>
  <c r="M24" i="113"/>
  <c r="F24" i="113"/>
  <c r="M23" i="113"/>
  <c r="F23" i="113"/>
  <c r="M22" i="113"/>
  <c r="F22" i="113"/>
  <c r="M21" i="113"/>
  <c r="F21" i="113"/>
  <c r="M20" i="113"/>
  <c r="F20" i="113"/>
  <c r="M19" i="113"/>
  <c r="F19" i="113"/>
  <c r="M18" i="113"/>
  <c r="F18" i="113"/>
  <c r="M17" i="113"/>
  <c r="F17" i="113"/>
  <c r="M16" i="113"/>
  <c r="F16" i="113"/>
  <c r="M15" i="113"/>
  <c r="F15" i="113"/>
  <c r="M14" i="113"/>
  <c r="F14" i="113"/>
  <c r="M13" i="113"/>
  <c r="F13" i="113"/>
  <c r="M12" i="113"/>
  <c r="F12" i="113"/>
  <c r="M11" i="113"/>
  <c r="F11" i="113"/>
  <c r="M10" i="113"/>
  <c r="F10" i="113"/>
  <c r="M9" i="113"/>
  <c r="F9" i="113"/>
  <c r="M8" i="113"/>
  <c r="F8" i="113"/>
  <c r="M7" i="113"/>
  <c r="F7" i="113"/>
  <c r="M6" i="113"/>
  <c r="F6" i="113"/>
  <c r="G48" i="112"/>
  <c r="G47" i="112"/>
  <c r="G46" i="112"/>
  <c r="C46" i="112"/>
  <c r="G45" i="112"/>
  <c r="G44" i="112"/>
  <c r="G43" i="112"/>
  <c r="G42" i="112"/>
  <c r="G41" i="112"/>
  <c r="G40" i="112"/>
  <c r="G39" i="112"/>
  <c r="F39" i="112"/>
  <c r="G38" i="112"/>
  <c r="F38" i="112"/>
  <c r="G37" i="112"/>
  <c r="F37" i="112"/>
  <c r="G36" i="112"/>
  <c r="F36" i="112"/>
  <c r="F35" i="112"/>
  <c r="G35" i="112" s="1"/>
  <c r="F34" i="112"/>
  <c r="G34" i="112" s="1"/>
  <c r="G33" i="112"/>
  <c r="F33" i="112"/>
  <c r="G32" i="112"/>
  <c r="F32" i="112"/>
  <c r="G31" i="112"/>
  <c r="F31" i="112"/>
  <c r="G30" i="112"/>
  <c r="F30" i="112"/>
  <c r="G29" i="112"/>
  <c r="F29" i="112"/>
  <c r="G28" i="112"/>
  <c r="F28" i="112"/>
  <c r="G27" i="112"/>
  <c r="F27" i="112"/>
  <c r="G26" i="112"/>
  <c r="F26" i="112"/>
  <c r="G25" i="112"/>
  <c r="F25" i="112"/>
  <c r="G24" i="112"/>
  <c r="F24" i="112"/>
  <c r="G23" i="112"/>
  <c r="F23" i="112"/>
  <c r="G22" i="112"/>
  <c r="F22" i="112"/>
  <c r="G21" i="112"/>
  <c r="F21" i="112"/>
  <c r="G20" i="112"/>
  <c r="F20" i="112"/>
  <c r="G19" i="112"/>
  <c r="F19" i="112"/>
  <c r="G18" i="112"/>
  <c r="F18" i="112"/>
  <c r="G17" i="112"/>
  <c r="F17" i="112"/>
  <c r="G16" i="112"/>
  <c r="F16" i="112"/>
  <c r="G15" i="112"/>
  <c r="F15" i="112"/>
  <c r="G14" i="112"/>
  <c r="F14" i="112"/>
  <c r="G13" i="112"/>
  <c r="F13" i="112"/>
  <c r="G12" i="112"/>
  <c r="F12" i="112"/>
  <c r="G11" i="112"/>
  <c r="F11" i="112"/>
  <c r="G10" i="112"/>
  <c r="F10" i="112"/>
  <c r="G9" i="112"/>
  <c r="F9" i="112"/>
  <c r="G8" i="112"/>
  <c r="F8" i="112"/>
  <c r="G7" i="112"/>
  <c r="F7" i="112"/>
  <c r="L51" i="111"/>
  <c r="L50" i="111"/>
  <c r="G50" i="111"/>
  <c r="F50" i="111"/>
  <c r="D50" i="111"/>
  <c r="L49" i="111"/>
  <c r="G49" i="111"/>
  <c r="F49" i="111"/>
  <c r="D49" i="111"/>
  <c r="L48" i="111"/>
  <c r="G48" i="111"/>
  <c r="F48" i="111"/>
  <c r="D48" i="111"/>
  <c r="L47" i="111"/>
  <c r="G47" i="111"/>
  <c r="F47" i="111"/>
  <c r="D47" i="111"/>
  <c r="L46" i="111"/>
  <c r="G46" i="111"/>
  <c r="F46" i="111"/>
  <c r="D46" i="111"/>
  <c r="L45" i="111"/>
  <c r="G45" i="111"/>
  <c r="F45" i="111"/>
  <c r="D45" i="111"/>
  <c r="L44" i="111"/>
  <c r="F44" i="111"/>
  <c r="D44" i="111"/>
  <c r="L43" i="111"/>
  <c r="G43" i="111"/>
  <c r="F43" i="111"/>
  <c r="D43" i="111"/>
  <c r="L42" i="111"/>
  <c r="G42" i="111"/>
  <c r="F42" i="111"/>
  <c r="D42" i="111"/>
  <c r="L41" i="111"/>
  <c r="G41" i="111"/>
  <c r="F41" i="111"/>
  <c r="D41" i="111"/>
  <c r="L40" i="111"/>
  <c r="G40" i="111"/>
  <c r="F40" i="111"/>
  <c r="D40" i="111"/>
  <c r="L39" i="111"/>
  <c r="G39" i="111"/>
  <c r="F39" i="111"/>
  <c r="D39" i="111"/>
  <c r="L38" i="111"/>
  <c r="G38" i="111"/>
  <c r="F38" i="111"/>
  <c r="D38" i="111"/>
  <c r="L37" i="111"/>
  <c r="G37" i="111"/>
  <c r="F37" i="111"/>
  <c r="D37" i="111"/>
  <c r="L36" i="111"/>
  <c r="G36" i="111"/>
  <c r="F36" i="111"/>
  <c r="D36" i="111"/>
  <c r="L35" i="111"/>
  <c r="G35" i="111"/>
  <c r="F35" i="111"/>
  <c r="D35" i="111"/>
  <c r="L34" i="111"/>
  <c r="F34" i="111"/>
  <c r="D34" i="111"/>
  <c r="L33" i="111"/>
  <c r="F33" i="111"/>
  <c r="D33" i="111"/>
  <c r="L32" i="111"/>
  <c r="F32" i="111"/>
  <c r="D32" i="111"/>
  <c r="L31" i="111"/>
  <c r="F31" i="111"/>
  <c r="D31" i="111"/>
  <c r="L30" i="111"/>
  <c r="I30" i="111"/>
  <c r="F30" i="111"/>
  <c r="D30" i="111"/>
  <c r="L29" i="111"/>
  <c r="F29" i="111"/>
  <c r="D29" i="111"/>
  <c r="L28" i="111"/>
  <c r="F28" i="111"/>
  <c r="D28" i="111"/>
  <c r="L27" i="111"/>
  <c r="F27" i="111"/>
  <c r="D27" i="111"/>
  <c r="L26" i="111"/>
  <c r="F26" i="111"/>
  <c r="L25" i="111"/>
  <c r="F25" i="111"/>
  <c r="L24" i="111"/>
  <c r="F24" i="111"/>
  <c r="D24" i="111"/>
  <c r="L23" i="111"/>
  <c r="F23" i="111"/>
  <c r="D23" i="111"/>
  <c r="L22" i="111"/>
  <c r="F22" i="111"/>
  <c r="D22" i="111"/>
  <c r="L21" i="111"/>
  <c r="J21" i="111"/>
  <c r="I21" i="111" s="1"/>
  <c r="F21" i="111"/>
  <c r="D21" i="111"/>
  <c r="L20" i="111"/>
  <c r="F20" i="111"/>
  <c r="D20" i="111"/>
  <c r="L19" i="111"/>
  <c r="F19" i="111"/>
  <c r="D19" i="111"/>
  <c r="L18" i="111"/>
  <c r="F18" i="111"/>
  <c r="E18" i="111"/>
  <c r="J18" i="111" s="1"/>
  <c r="I18" i="111" s="1"/>
  <c r="D18" i="111"/>
  <c r="L17" i="111"/>
  <c r="F17" i="111"/>
  <c r="D17" i="111"/>
  <c r="L16" i="111"/>
  <c r="F16" i="111"/>
  <c r="D16" i="111"/>
  <c r="L15" i="111"/>
  <c r="F15" i="111"/>
  <c r="L14" i="111"/>
  <c r="F14" i="111"/>
  <c r="L13" i="111"/>
  <c r="F13" i="111"/>
  <c r="L12" i="111"/>
  <c r="F12" i="111"/>
  <c r="L11" i="111"/>
  <c r="F11" i="111"/>
  <c r="L10" i="111"/>
  <c r="F10" i="111"/>
  <c r="L9" i="111"/>
  <c r="F9" i="111"/>
  <c r="H48" i="110"/>
  <c r="E48" i="110"/>
  <c r="H47" i="110"/>
  <c r="C47" i="110"/>
  <c r="H46" i="110"/>
  <c r="B45" i="110"/>
  <c r="B44" i="110"/>
  <c r="C43" i="110"/>
  <c r="B42" i="110"/>
  <c r="C40" i="110"/>
  <c r="B40" i="110"/>
  <c r="B38" i="110"/>
  <c r="C37" i="110"/>
  <c r="B36" i="110"/>
  <c r="C34" i="110"/>
  <c r="B34" i="110"/>
  <c r="B33" i="110"/>
  <c r="B32" i="110"/>
  <c r="C31" i="110"/>
  <c r="E30" i="110"/>
  <c r="C33" i="111" s="1"/>
  <c r="E33" i="111" s="1"/>
  <c r="J33" i="111" s="1"/>
  <c r="I33" i="111" s="1"/>
  <c r="D30" i="110"/>
  <c r="C30" i="110"/>
  <c r="B30" i="110"/>
  <c r="B29" i="110"/>
  <c r="B28" i="110"/>
  <c r="E27" i="110"/>
  <c r="C30" i="111" s="1"/>
  <c r="E30" i="111" s="1"/>
  <c r="J30" i="111" s="1"/>
  <c r="B27" i="110"/>
  <c r="E26" i="110"/>
  <c r="C29" i="111" s="1"/>
  <c r="E29" i="111" s="1"/>
  <c r="J29" i="111" s="1"/>
  <c r="I29" i="111" s="1"/>
  <c r="D26" i="110"/>
  <c r="C26" i="110"/>
  <c r="B26" i="110"/>
  <c r="C25" i="110"/>
  <c r="B25" i="110"/>
  <c r="B24" i="110"/>
  <c r="E23" i="110"/>
  <c r="C26" i="111" s="1"/>
  <c r="E26" i="111" s="1"/>
  <c r="J26" i="111" s="1"/>
  <c r="I26" i="111" s="1"/>
  <c r="D23" i="110"/>
  <c r="C23" i="110"/>
  <c r="B23" i="110"/>
  <c r="C22" i="110"/>
  <c r="B22" i="110"/>
  <c r="E21" i="110"/>
  <c r="C24" i="111" s="1"/>
  <c r="E24" i="111" s="1"/>
  <c r="J24" i="111" s="1"/>
  <c r="I24" i="111" s="1"/>
  <c r="C21" i="110"/>
  <c r="D21" i="110" s="1"/>
  <c r="B21" i="110"/>
  <c r="C20" i="110"/>
  <c r="B20" i="110"/>
  <c r="C19" i="110"/>
  <c r="B19" i="110"/>
  <c r="E18" i="110"/>
  <c r="C21" i="111" s="1"/>
  <c r="E21" i="111" s="1"/>
  <c r="C18" i="110"/>
  <c r="D18" i="110" s="1"/>
  <c r="B18" i="110"/>
  <c r="B17" i="110"/>
  <c r="C16" i="110"/>
  <c r="B16" i="110"/>
  <c r="E15" i="110"/>
  <c r="C18" i="111" s="1"/>
  <c r="C15" i="110"/>
  <c r="D15" i="110" s="1"/>
  <c r="B15" i="110"/>
  <c r="E14" i="110"/>
  <c r="C17" i="111" s="1"/>
  <c r="E17" i="111" s="1"/>
  <c r="J17" i="111" s="1"/>
  <c r="I17" i="111" s="1"/>
  <c r="B14" i="110"/>
  <c r="C13" i="110"/>
  <c r="B13" i="110"/>
  <c r="C12" i="110"/>
  <c r="B12" i="110"/>
  <c r="E11" i="110"/>
  <c r="C14" i="111" s="1"/>
  <c r="E14" i="111" s="1"/>
  <c r="J14" i="111" s="1"/>
  <c r="I14" i="111" s="1"/>
  <c r="B11" i="110"/>
  <c r="B10" i="110"/>
  <c r="E9" i="110"/>
  <c r="C12" i="111" s="1"/>
  <c r="E12" i="111" s="1"/>
  <c r="J12" i="111" s="1"/>
  <c r="I12" i="111" s="1"/>
  <c r="B9" i="110"/>
  <c r="C8" i="110"/>
  <c r="B8" i="110"/>
  <c r="C7" i="110"/>
  <c r="B7" i="110"/>
  <c r="E6" i="110"/>
  <c r="C9" i="111" s="1"/>
  <c r="E9" i="111" s="1"/>
  <c r="J9" i="111" s="1"/>
  <c r="I9" i="111" s="1"/>
  <c r="B6" i="110"/>
  <c r="N44" i="116" l="1"/>
  <c r="E44" i="110"/>
  <c r="N9" i="116"/>
  <c r="N21" i="116"/>
  <c r="E33" i="110"/>
  <c r="N33" i="116"/>
  <c r="N46" i="116"/>
  <c r="E46" i="110"/>
  <c r="E8" i="110"/>
  <c r="E20" i="110"/>
  <c r="N6" i="116"/>
  <c r="N10" i="115"/>
  <c r="N14" i="116"/>
  <c r="N18" i="116"/>
  <c r="N22" i="115"/>
  <c r="N26" i="116"/>
  <c r="N30" i="116"/>
  <c r="N34" i="115"/>
  <c r="E38" i="110"/>
  <c r="N38" i="116"/>
  <c r="E42" i="110"/>
  <c r="N42" i="116"/>
  <c r="E45" i="110"/>
  <c r="N45" i="116"/>
  <c r="N48" i="116"/>
  <c r="E36" i="110"/>
  <c r="N36" i="116"/>
  <c r="C51" i="111"/>
  <c r="E51" i="111" s="1"/>
  <c r="J51" i="111" s="1"/>
  <c r="I51" i="111" s="1"/>
  <c r="D48" i="110"/>
  <c r="N11" i="116"/>
  <c r="N15" i="116"/>
  <c r="N23" i="116"/>
  <c r="N27" i="116"/>
  <c r="N35" i="116"/>
  <c r="E35" i="110"/>
  <c r="E39" i="110"/>
  <c r="N39" i="116"/>
  <c r="N32" i="116"/>
  <c r="E32" i="110"/>
  <c r="E12" i="110"/>
  <c r="E24" i="110"/>
  <c r="F8" i="116"/>
  <c r="F20" i="116"/>
  <c r="F32" i="116"/>
  <c r="F44" i="116"/>
  <c r="N43" i="115"/>
  <c r="N47" i="115"/>
  <c r="F10" i="116"/>
  <c r="F22" i="116"/>
  <c r="F34" i="116"/>
  <c r="F46" i="116"/>
  <c r="N7" i="115"/>
  <c r="N13" i="115"/>
  <c r="N16" i="115"/>
  <c r="N19" i="115"/>
  <c r="N25" i="115"/>
  <c r="N28" i="115"/>
  <c r="N31" i="115"/>
  <c r="N37" i="115"/>
  <c r="N40" i="115"/>
  <c r="F11" i="116"/>
  <c r="F23" i="116"/>
  <c r="F35" i="116"/>
  <c r="F12" i="116"/>
  <c r="F24" i="116"/>
  <c r="F36" i="116"/>
  <c r="F48" i="116"/>
  <c r="F14" i="116"/>
  <c r="F26" i="116"/>
  <c r="F38" i="116"/>
  <c r="N17" i="115"/>
  <c r="N29" i="115"/>
  <c r="N41" i="115"/>
  <c r="F15" i="116"/>
  <c r="F27" i="116"/>
  <c r="F39" i="116"/>
  <c r="F6" i="116"/>
  <c r="F18" i="116"/>
  <c r="F30" i="116"/>
  <c r="F42" i="116"/>
  <c r="N10" i="116" l="1"/>
  <c r="E10" i="110"/>
  <c r="N17" i="116"/>
  <c r="E17" i="110"/>
  <c r="N43" i="116"/>
  <c r="E43" i="110"/>
  <c r="C49" i="111"/>
  <c r="E49" i="111" s="1"/>
  <c r="J49" i="111" s="1"/>
  <c r="I49" i="111" s="1"/>
  <c r="D46" i="110"/>
  <c r="D39" i="110"/>
  <c r="C42" i="111"/>
  <c r="E42" i="111" s="1"/>
  <c r="J42" i="111" s="1"/>
  <c r="I42" i="111" s="1"/>
  <c r="N31" i="116"/>
  <c r="E31" i="110"/>
  <c r="D45" i="110"/>
  <c r="C48" i="111"/>
  <c r="E48" i="111" s="1"/>
  <c r="J48" i="111" s="1"/>
  <c r="I48" i="111" s="1"/>
  <c r="N19" i="116"/>
  <c r="E19" i="110"/>
  <c r="N34" i="116"/>
  <c r="E34" i="110"/>
  <c r="N28" i="116"/>
  <c r="E28" i="110"/>
  <c r="E25" i="110"/>
  <c r="N25" i="116"/>
  <c r="N13" i="116"/>
  <c r="E13" i="110"/>
  <c r="D33" i="110"/>
  <c r="C36" i="111"/>
  <c r="E36" i="111" s="1"/>
  <c r="J36" i="111" s="1"/>
  <c r="I36" i="111" s="1"/>
  <c r="C11" i="111"/>
  <c r="E11" i="111" s="1"/>
  <c r="J11" i="111" s="1"/>
  <c r="I11" i="111" s="1"/>
  <c r="D8" i="110"/>
  <c r="C15" i="111"/>
  <c r="E15" i="111" s="1"/>
  <c r="J15" i="111" s="1"/>
  <c r="I15" i="111" s="1"/>
  <c r="D12" i="110"/>
  <c r="N29" i="116"/>
  <c r="E29" i="110"/>
  <c r="C38" i="111"/>
  <c r="E38" i="111" s="1"/>
  <c r="J38" i="111" s="1"/>
  <c r="I38" i="111" s="1"/>
  <c r="D35" i="110"/>
  <c r="N22" i="116"/>
  <c r="E22" i="110"/>
  <c r="N40" i="116"/>
  <c r="E40" i="110"/>
  <c r="E37" i="110"/>
  <c r="N37" i="116"/>
  <c r="C23" i="111"/>
  <c r="E23" i="111" s="1"/>
  <c r="J23" i="111" s="1"/>
  <c r="I23" i="111" s="1"/>
  <c r="D20" i="110"/>
  <c r="C41" i="111"/>
  <c r="E41" i="111" s="1"/>
  <c r="J41" i="111" s="1"/>
  <c r="I41" i="111" s="1"/>
  <c r="D38" i="110"/>
  <c r="D36" i="110"/>
  <c r="C39" i="111"/>
  <c r="E39" i="111" s="1"/>
  <c r="J39" i="111" s="1"/>
  <c r="I39" i="111" s="1"/>
  <c r="C47" i="111"/>
  <c r="E47" i="111" s="1"/>
  <c r="J47" i="111" s="1"/>
  <c r="I47" i="111" s="1"/>
  <c r="D44" i="110"/>
  <c r="N47" i="116"/>
  <c r="E47" i="110"/>
  <c r="D42" i="110"/>
  <c r="C45" i="111"/>
  <c r="E45" i="111" s="1"/>
  <c r="J45" i="111" s="1"/>
  <c r="I45" i="111" s="1"/>
  <c r="N16" i="116"/>
  <c r="E16" i="110"/>
  <c r="C27" i="111"/>
  <c r="E27" i="111" s="1"/>
  <c r="J27" i="111" s="1"/>
  <c r="I27" i="111" s="1"/>
  <c r="D24" i="110"/>
  <c r="N7" i="116"/>
  <c r="E7" i="110"/>
  <c r="C35" i="111"/>
  <c r="E35" i="111" s="1"/>
  <c r="J35" i="111" s="1"/>
  <c r="I35" i="111" s="1"/>
  <c r="D32" i="110"/>
  <c r="E41" i="110"/>
  <c r="N41" i="116"/>
  <c r="C25" i="111" l="1"/>
  <c r="E25" i="111" s="1"/>
  <c r="J25" i="111" s="1"/>
  <c r="I25" i="111" s="1"/>
  <c r="D22" i="110"/>
  <c r="C16" i="111"/>
  <c r="E16" i="111" s="1"/>
  <c r="J16" i="111" s="1"/>
  <c r="I16" i="111" s="1"/>
  <c r="D13" i="110"/>
  <c r="C34" i="111"/>
  <c r="E34" i="111" s="1"/>
  <c r="J34" i="111" s="1"/>
  <c r="I34" i="111" s="1"/>
  <c r="D31" i="110"/>
  <c r="C19" i="111"/>
  <c r="E19" i="111" s="1"/>
  <c r="J19" i="111" s="1"/>
  <c r="I19" i="111" s="1"/>
  <c r="D16" i="110"/>
  <c r="D34" i="110"/>
  <c r="C37" i="111"/>
  <c r="E37" i="111" s="1"/>
  <c r="J37" i="111" s="1"/>
  <c r="I37" i="111" s="1"/>
  <c r="C46" i="111"/>
  <c r="E46" i="111" s="1"/>
  <c r="J46" i="111" s="1"/>
  <c r="I46" i="111" s="1"/>
  <c r="D43" i="110"/>
  <c r="C10" i="111"/>
  <c r="E10" i="111" s="1"/>
  <c r="J10" i="111" s="1"/>
  <c r="I10" i="111" s="1"/>
  <c r="D7" i="110"/>
  <c r="C31" i="111"/>
  <c r="E31" i="111" s="1"/>
  <c r="J31" i="111" s="1"/>
  <c r="I31" i="111" s="1"/>
  <c r="D28" i="110"/>
  <c r="C22" i="111"/>
  <c r="E22" i="111" s="1"/>
  <c r="J22" i="111" s="1"/>
  <c r="I22" i="111" s="1"/>
  <c r="D19" i="110"/>
  <c r="D17" i="110"/>
  <c r="C20" i="111"/>
  <c r="E20" i="111" s="1"/>
  <c r="J20" i="111" s="1"/>
  <c r="I20" i="111" s="1"/>
  <c r="C28" i="111"/>
  <c r="E28" i="111" s="1"/>
  <c r="J28" i="111" s="1"/>
  <c r="I28" i="111" s="1"/>
  <c r="D25" i="110"/>
  <c r="C32" i="111"/>
  <c r="E32" i="111" s="1"/>
  <c r="J32" i="111" s="1"/>
  <c r="I32" i="111" s="1"/>
  <c r="D29" i="110"/>
  <c r="D37" i="110"/>
  <c r="C40" i="111"/>
  <c r="E40" i="111" s="1"/>
  <c r="J40" i="111" s="1"/>
  <c r="I40" i="111" s="1"/>
  <c r="C50" i="111"/>
  <c r="E50" i="111" s="1"/>
  <c r="J50" i="111" s="1"/>
  <c r="I50" i="111" s="1"/>
  <c r="D47" i="110"/>
  <c r="D40" i="110"/>
  <c r="C43" i="111"/>
  <c r="E43" i="111" s="1"/>
  <c r="J43" i="111" s="1"/>
  <c r="I43" i="111" s="1"/>
  <c r="C13" i="111"/>
  <c r="E13" i="111" s="1"/>
  <c r="J13" i="111" s="1"/>
  <c r="I13" i="111" s="1"/>
  <c r="D10" i="110"/>
  <c r="C44" i="111"/>
  <c r="E44" i="111" s="1"/>
  <c r="J44" i="111" s="1"/>
  <c r="I44" i="111" s="1"/>
  <c r="D41" i="1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Bukowski, Maria - REE-ERS, Kansas City, MO</author>
  </authors>
  <commentList>
    <comment ref="J42" authorId="0" shapeId="0" xr:uid="{54BE0439-0516-4E6D-9DDA-B802E79FC74A}">
      <text>
        <r>
          <rPr>
            <sz val="9"/>
            <color indexed="81"/>
            <rFont val="Tahoma"/>
            <family val="2"/>
          </rPr>
          <t xml:space="preserve">Includes Arkansas
</t>
        </r>
      </text>
    </comment>
    <comment ref="J43" authorId="0" shapeId="0" xr:uid="{34E44494-494B-4F1A-AC69-438E492FD2B8}">
      <text>
        <r>
          <rPr>
            <sz val="9"/>
            <color indexed="81"/>
            <rFont val="Tahoma"/>
            <family val="2"/>
          </rPr>
          <t xml:space="preserve">Includes Arkansas
</t>
        </r>
      </text>
    </comment>
    <comment ref="J44" authorId="0" shapeId="0" xr:uid="{AF96F443-95F2-4441-B7F2-29D9AD02FD5C}">
      <text>
        <r>
          <rPr>
            <sz val="9"/>
            <color indexed="81"/>
            <rFont val="Tahoma"/>
            <family val="2"/>
          </rPr>
          <t>Includes Arkansas</t>
        </r>
      </text>
    </comment>
    <comment ref="J45" authorId="0" shapeId="0" xr:uid="{DE2265FB-023B-4EFD-AFA2-6F06B99B6E05}">
      <text>
        <r>
          <rPr>
            <sz val="9"/>
            <color indexed="81"/>
            <rFont val="Tahoma"/>
            <family val="2"/>
          </rPr>
          <t xml:space="preserve">Includes Arkansas
</t>
        </r>
      </text>
    </comment>
    <comment ref="J46" authorId="1" shapeId="0" xr:uid="{5F022F35-AA22-4C44-9EAF-03C8982742F8}">
      <text>
        <r>
          <rPr>
            <sz val="9"/>
            <color indexed="81"/>
            <rFont val="Tahoma"/>
            <family val="2"/>
          </rPr>
          <t xml:space="preserve">Includes Arkansas
</t>
        </r>
      </text>
    </comment>
    <comment ref="J47" authorId="1" shapeId="0" xr:uid="{49207A79-B460-43AD-9036-6FE145AE7F22}">
      <text>
        <r>
          <rPr>
            <sz val="9"/>
            <color indexed="81"/>
            <rFont val="Tahoma"/>
            <family val="2"/>
          </rPr>
          <t xml:space="preserve">Includes Arkansas
</t>
        </r>
      </text>
    </comment>
    <comment ref="J48" authorId="1" shapeId="0" xr:uid="{E28D0B27-E23A-4101-A87A-E7BEAF33F4B3}">
      <text>
        <r>
          <rPr>
            <sz val="9"/>
            <color indexed="81"/>
            <rFont val="Tahoma"/>
            <family val="2"/>
          </rPr>
          <t xml:space="preserve">Includes Arkansas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42" authorId="0" shapeId="0" xr:uid="{D9B41ED9-42EA-4EF5-8B93-3AB2C01E26CC}">
      <text>
        <r>
          <rPr>
            <sz val="9"/>
            <color indexed="81"/>
            <rFont val="Tahoma"/>
            <family val="2"/>
          </rPr>
          <t xml:space="preserve">Includes New Mexico and Arkansas
</t>
        </r>
      </text>
    </comment>
    <comment ref="J43" authorId="0" shapeId="0" xr:uid="{31CD9F01-2234-4AB1-B2AC-42829ACF805A}">
      <text>
        <r>
          <rPr>
            <sz val="9"/>
            <color indexed="81"/>
            <rFont val="Tahoma"/>
            <family val="2"/>
          </rPr>
          <t xml:space="preserve">Includes New Mexico and Arkansas
</t>
        </r>
      </text>
    </comment>
    <comment ref="J44" authorId="0" shapeId="0" xr:uid="{051D04E8-C35C-4B04-97B5-B6FF8B913532}">
      <text>
        <r>
          <rPr>
            <sz val="9"/>
            <color indexed="81"/>
            <rFont val="Tahoma"/>
            <family val="2"/>
          </rPr>
          <t xml:space="preserve">Includes New Mexico and Arkansas
</t>
        </r>
      </text>
    </comment>
    <comment ref="J45" authorId="0" shapeId="0" xr:uid="{ADC10FFC-8B25-4DA7-A00B-94CC91AD060B}">
      <text>
        <r>
          <rPr>
            <sz val="9"/>
            <color indexed="81"/>
            <rFont val="Tahoma"/>
            <family val="2"/>
          </rPr>
          <t xml:space="preserve">Includes New Mexico and Arkansas
</t>
        </r>
      </text>
    </comment>
  </commentList>
</comments>
</file>

<file path=xl/sharedStrings.xml><?xml version="1.0" encoding="utf-8"?>
<sst xmlns="http://schemas.openxmlformats.org/spreadsheetml/2006/main" count="465" uniqueCount="184">
  <si>
    <t>Total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</si>
  <si>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</si>
  <si>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</si>
  <si>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</si>
  <si>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</si>
  <si>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</si>
  <si>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</si>
  <si>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</si>
  <si>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</si>
  <si>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</si>
  <si>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</si>
  <si>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</si>
  <si>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Year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</si>
  <si>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</si>
  <si>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</si>
  <si>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</si>
  <si>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</si>
  <si>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</si>
  <si>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</si>
  <si>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</si>
  <si>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</si>
  <si>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</si>
  <si>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</si>
  <si>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</si>
  <si>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</si>
  <si>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1993</t>
  </si>
  <si>
    <t>1994</t>
  </si>
  <si>
    <t>1995</t>
  </si>
  <si>
    <t>1997</t>
  </si>
  <si>
    <t xml:space="preserve"> </t>
  </si>
  <si>
    <t>Production</t>
  </si>
  <si>
    <t>1992</t>
  </si>
  <si>
    <t>1996</t>
  </si>
  <si>
    <t>Imports</t>
  </si>
  <si>
    <t>Exports</t>
  </si>
  <si>
    <t>Million pounds</t>
  </si>
  <si>
    <t xml:space="preserve">Production </t>
  </si>
  <si>
    <t>Yield per acre</t>
  </si>
  <si>
    <t>Pounds</t>
  </si>
  <si>
    <t>Planted 1/</t>
  </si>
  <si>
    <t>Harvested 2/</t>
  </si>
  <si>
    <t>Value 3/</t>
  </si>
  <si>
    <t>beginning</t>
  </si>
  <si>
    <t>Seed, loss,</t>
  </si>
  <si>
    <t>August 1</t>
  </si>
  <si>
    <t>shrinkage,</t>
  </si>
  <si>
    <t>residual 1/</t>
  </si>
  <si>
    <t>Quota</t>
  </si>
  <si>
    <t>stocks</t>
  </si>
  <si>
    <t>Crush</t>
  </si>
  <si>
    <t>Food</t>
  </si>
  <si>
    <t>and</t>
  </si>
  <si>
    <t>received</t>
  </si>
  <si>
    <t>by</t>
  </si>
  <si>
    <t>farmers</t>
  </si>
  <si>
    <t>Disappearance</t>
  </si>
  <si>
    <t>Price</t>
  </si>
  <si>
    <t>Supply</t>
  </si>
  <si>
    <t>Crop</t>
  </si>
  <si>
    <t>year</t>
  </si>
  <si>
    <t>1998</t>
  </si>
  <si>
    <t>1999</t>
  </si>
  <si>
    <t>1,000 acres</t>
  </si>
  <si>
    <t>Southwest</t>
  </si>
  <si>
    <t>Southeast</t>
  </si>
  <si>
    <t>AL</t>
  </si>
  <si>
    <t>FL</t>
  </si>
  <si>
    <t>GA</t>
  </si>
  <si>
    <t>SC</t>
  </si>
  <si>
    <t>OK</t>
  </si>
  <si>
    <t>TX</t>
  </si>
  <si>
    <t>NM</t>
  </si>
  <si>
    <t>VA</t>
  </si>
  <si>
    <t>NC</t>
  </si>
  <si>
    <t>United</t>
  </si>
  <si>
    <t>States</t>
  </si>
  <si>
    <t>1,000 pounds (in-shell)</t>
  </si>
  <si>
    <t>Beginning</t>
  </si>
  <si>
    <t>Total 1/</t>
  </si>
  <si>
    <t>Other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</si>
  <si>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</si>
  <si>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</si>
  <si>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</si>
  <si>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</si>
  <si>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</si>
  <si>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</si>
  <si>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</si>
  <si>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</si>
  <si>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</si>
  <si>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2001/02</t>
  </si>
  <si>
    <t>Loan rate 4/</t>
  </si>
  <si>
    <t>2000</t>
  </si>
  <si>
    <t>2002/03</t>
  </si>
  <si>
    <t>2004/05</t>
  </si>
  <si>
    <t>2005/06</t>
  </si>
  <si>
    <t>2004</t>
  </si>
  <si>
    <t>2006/07</t>
  </si>
  <si>
    <t>NA</t>
  </si>
  <si>
    <t>2008/09</t>
  </si>
  <si>
    <t xml:space="preserve">2007/08 </t>
  </si>
  <si>
    <t>2009/10</t>
  </si>
  <si>
    <t>2010/11</t>
  </si>
  <si>
    <t>2012/13</t>
  </si>
  <si>
    <t xml:space="preserve">2011/12 </t>
  </si>
  <si>
    <t>Cents/pound</t>
  </si>
  <si>
    <t>Oil Crops Data: Yearbook Tables</t>
  </si>
  <si>
    <t>Nonquota</t>
  </si>
  <si>
    <t xml:space="preserve">2013/14 </t>
  </si>
  <si>
    <t xml:space="preserve">2014/15 </t>
  </si>
  <si>
    <t>2016/17</t>
  </si>
  <si>
    <t>Total 2/</t>
  </si>
  <si>
    <t>1/ Includes Mississippi. 2/ Includes Arkansas.</t>
  </si>
  <si>
    <t xml:space="preserve">2015/16 </t>
  </si>
  <si>
    <t>Season-average</t>
  </si>
  <si>
    <t>Food use</t>
  </si>
  <si>
    <t>per capita</t>
  </si>
  <si>
    <t>(shelled basis)</t>
  </si>
  <si>
    <t>-----------1,000 acres------------</t>
  </si>
  <si>
    <t>---------------------------------------------------------- Million pounds----------------------------------------------------------</t>
  </si>
  <si>
    <t>2001</t>
  </si>
  <si>
    <t>2002</t>
  </si>
  <si>
    <t>2003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</si>
  <si>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</si>
  <si>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</si>
  <si>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</si>
  <si>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</si>
  <si>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</si>
  <si>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</si>
  <si>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</si>
  <si>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</si>
  <si>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</si>
  <si>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</si>
  <si>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</si>
  <si>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</si>
  <si>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 xml:space="preserve">2017/18 </t>
  </si>
  <si>
    <t>2019/20</t>
  </si>
  <si>
    <t xml:space="preserve">2018/19 </t>
  </si>
  <si>
    <t>Peanut</t>
  </si>
  <si>
    <t>candy</t>
  </si>
  <si>
    <t xml:space="preserve">Snack </t>
  </si>
  <si>
    <t>peanuts</t>
  </si>
  <si>
    <t>butter</t>
  </si>
  <si>
    <t>uses</t>
  </si>
  <si>
    <t>Clean</t>
  </si>
  <si>
    <t>in-shell</t>
  </si>
  <si>
    <t>-------------------------------- Million pounds--------------------------------</t>
  </si>
  <si>
    <r>
      <t xml:space="preserve">Source: USDA, Economic Research Service using data from USDA, National Agricultural </t>
    </r>
    <r>
      <rPr>
        <i/>
        <sz val="8"/>
        <rFont val="Helvetica"/>
        <family val="2"/>
      </rPr>
      <t/>
    </r>
  </si>
  <si>
    <t>Government support</t>
  </si>
  <si>
    <t>2020/21</t>
  </si>
  <si>
    <t xml:space="preserve">1/ Area planted for all peanuts. 2/ Area harvested peanuts for nuts. 3/ Crop value is peanuts for nuts. Prior to 2002, includes both quota </t>
  </si>
  <si>
    <r>
      <t xml:space="preserve">Statistics Service, </t>
    </r>
    <r>
      <rPr>
        <i/>
        <sz val="8"/>
        <rFont val="Helvetica"/>
      </rPr>
      <t>Peanut Stocks and Processing.</t>
    </r>
  </si>
  <si>
    <t>----------------------Cents/pound----------------------</t>
  </si>
  <si>
    <r>
      <t xml:space="preserve">and USDA, Farm Service Agency, </t>
    </r>
    <r>
      <rPr>
        <i/>
        <sz val="8"/>
        <rFont val="Helvetica"/>
      </rPr>
      <t>Nonrecourse Marketing Assistance Loans and Loan</t>
    </r>
    <r>
      <rPr>
        <sz val="8"/>
        <rFont val="Helvetica"/>
        <family val="2"/>
      </rPr>
      <t xml:space="preserve"> </t>
    </r>
    <r>
      <rPr>
        <i/>
        <sz val="8"/>
        <rFont val="Helvetica"/>
      </rPr>
      <t>Deficiency Payments Fact Sheet.</t>
    </r>
  </si>
  <si>
    <t xml:space="preserve"> Year</t>
  </si>
  <si>
    <t xml:space="preserve">        </t>
  </si>
  <si>
    <t xml:space="preserve">2000/01 </t>
  </si>
  <si>
    <t xml:space="preserve">2003/04 </t>
  </si>
  <si>
    <t>1/ Estimates for farm use and local sales are not available, so these are now included in residual use. 2/ Estimate. 3/ Forecast.</t>
  </si>
  <si>
    <t>Million dollars</t>
  </si>
  <si>
    <t>and nonquota peanuts. 4/ Loan rate established by the 2002 Farm Act. 5/ Forecast.</t>
  </si>
  <si>
    <t>NA = Not applicable.</t>
  </si>
  <si>
    <r>
      <t>and</t>
    </r>
    <r>
      <rPr>
        <i/>
        <sz val="8"/>
        <rFont val="Helvetica"/>
      </rPr>
      <t xml:space="preserve"> Agricultural Prices</t>
    </r>
    <r>
      <rPr>
        <sz val="8"/>
        <rFont val="Helvetica"/>
      </rPr>
      <t xml:space="preserve">; USDA, Foreign Agricultural Service, Global Agricultural Trade System; and the U.S. Department of Commerce, Bureau of the Census, </t>
    </r>
    <r>
      <rPr>
        <i/>
        <sz val="8"/>
        <rFont val="Helvetica"/>
      </rPr>
      <t>United States</t>
    </r>
    <r>
      <rPr>
        <sz val="8"/>
        <rFont val="Helvetica"/>
      </rPr>
      <t xml:space="preserve"> </t>
    </r>
    <r>
      <rPr>
        <i/>
        <sz val="8"/>
        <rFont val="Helvetica"/>
      </rPr>
      <t>Census</t>
    </r>
    <r>
      <rPr>
        <sz val="8"/>
        <rFont val="Helvetica"/>
      </rPr>
      <t>.</t>
    </r>
  </si>
  <si>
    <t>Virginia and North Carolina</t>
  </si>
  <si>
    <r>
      <t>Updates of these data and data covering more years and countries can be found in USDA, Economic Research Service, Data Products,</t>
    </r>
    <r>
      <rPr>
        <i/>
        <sz val="8"/>
        <rFont val="Helvetica"/>
      </rPr>
      <t xml:space="preserve"> Oil Crops Yearbook</t>
    </r>
    <r>
      <rPr>
        <sz val="8"/>
        <rFont val="Helvetica"/>
      </rPr>
      <t>.</t>
    </r>
  </si>
  <si>
    <t>U.S. peanut acreage, production, yield, and farm price—annual</t>
  </si>
  <si>
    <t>Peanut acreage, production, yield, by State and region—annual</t>
  </si>
  <si>
    <t>Contact: Maria Bukowski and Aaron M. Ates, USDA, Economic Research Service, Market and Trade Economics Division.</t>
  </si>
  <si>
    <t>AL = Alabama, FL = Florida, GA = Georgia, SC = South Carolina, OK = Oklahoma, TX = Texas, NM = New Mexico, VA = Virginia, NC = North Carolina.</t>
  </si>
  <si>
    <t>Table 10—Peanuts: U.S. acreage planted, harvested, yield, production, and value, 1980–2022</t>
  </si>
  <si>
    <t>Table 11—Peanuts (farmers' stock basis): U.S. supply, disappearance, and price, 1980/81–2022/23</t>
  </si>
  <si>
    <t>Table 12—U.S. food uses of peanuts, shelled basis, 1980/81–2021/22</t>
  </si>
  <si>
    <t>Table 13—Peanuts: U.S. planted acreage, by State and region, 1980–2022</t>
  </si>
  <si>
    <t>Table 14—Peanuts: U.S. harvested acreage, by State and region, 1980–2022</t>
  </si>
  <si>
    <t>Table 15—Peanuts: U.S. production, by State and region, 1980–2022</t>
  </si>
  <si>
    <t>Table 16—Peanuts: Yield per harvested acre, by State and region, 1980–2022</t>
  </si>
  <si>
    <t>Last updated: March 27, 2023.</t>
  </si>
  <si>
    <t>2022 5/</t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</si>
  <si>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Crop Production, and Crop Values</t>
    </r>
    <r>
      <rPr>
        <sz val="8"/>
        <rFont val="Helvetica"/>
        <family val="2"/>
      </rPr>
      <t xml:space="preserve">; </t>
    </r>
  </si>
  <si>
    <t>Last updated: 03/27/2023.</t>
  </si>
  <si>
    <t>2021/22 2/</t>
  </si>
  <si>
    <t>2022/23 3/</t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</si>
  <si>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Crop Production</t>
    </r>
    <r>
      <rPr>
        <sz val="8"/>
        <rFont val="Helvetica"/>
      </rPr>
      <t xml:space="preserve">, </t>
    </r>
    <r>
      <rPr>
        <i/>
        <sz val="8"/>
        <rFont val="Helvetica"/>
      </rPr>
      <t>Peanut Stocks and Processing</t>
    </r>
    <r>
      <rPr>
        <sz val="8"/>
        <rFont val="Helvetica"/>
      </rPr>
      <t xml:space="preserve">, </t>
    </r>
  </si>
  <si>
    <t>2021/22</t>
  </si>
  <si>
    <r>
      <t xml:space="preserve">Source: USDA, Economic Research Service using data from USDA, National Agricultural Statistics Service, </t>
    </r>
    <r>
      <rPr>
        <i/>
        <sz val="8"/>
        <rFont val="Helvetica"/>
      </rPr>
      <t>Crop Production</t>
    </r>
    <r>
      <rPr>
        <sz val="8"/>
        <rFont val="Helvetica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</si>
</sst>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___________________)"/>
    <numFmt numFmtId="165" formatCode="#,##0___)"/>
    <numFmt numFmtId="166" formatCode="#,##0_____)"/>
    <numFmt numFmtId="167" formatCode="#,##0.0___)"/>
    <numFmt numFmtId="168" formatCode="#,##0.0_)"/>
    <numFmt numFmtId="169" formatCode="#,##0.00___)"/>
    <numFmt numFmtId="170" formatCode="_(* #,##0_);_(* \(#,##0\);_(* &quot;-&quot;??_);_(@_)"/>
    <numFmt numFmtId="171" formatCode="0.0"/>
    <numFmt numFmtId="172" formatCode="0.00_)"/>
    <numFmt numFmtId="173" formatCode="#,##0.0"/>
    <numFmt numFmtId="174" formatCode="#,##0_)"/>
  </numFmts>
  <fonts count="42" x14ac:knownFonts="1">
    <font>
      <sz val="8"/>
      <name val="Helvetic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</font>
    <font>
      <sz val="8"/>
      <name val="Helvetica"/>
      <family val="2"/>
    </font>
    <font>
      <i/>
      <sz val="8"/>
      <name val="Helvetica"/>
      <family val="2"/>
    </font>
    <font>
      <u/>
      <sz val="8"/>
      <color indexed="12"/>
      <name val="Helvetica"/>
      <family val="2"/>
    </font>
    <font>
      <sz val="9"/>
      <color indexed="81"/>
      <name val="Tahoma"/>
      <family val="2"/>
    </font>
    <font>
      <i/>
      <sz val="8"/>
      <name val="Helvetica"/>
    </font>
    <font>
      <i/>
      <sz val="8"/>
      <color indexed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sz val="10"/>
      <name val="Helvetica"/>
    </font>
    <font>
      <b/>
      <sz val="14"/>
      <name val="Helvetica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u/>
      <sz val="10.45"/>
      <color indexed="12"/>
      <name val="Arial"/>
      <family val="2"/>
    </font>
    <font>
      <sz val="10"/>
      <name val="Courier"/>
    </font>
    <font>
      <u/>
      <sz val="10"/>
      <color indexed="12"/>
      <name val="Courier"/>
      <family val="3"/>
    </font>
    <font>
      <sz val="10"/>
      <name val="Arial"/>
      <family val="2"/>
    </font>
    <font>
      <sz val="10"/>
      <name val="Arial"/>
      <family val="2"/>
    </font>
    <font>
      <sz val="8"/>
      <color theme="1"/>
      <name val="Helvetica"/>
    </font>
    <font>
      <u/>
      <sz val="8"/>
      <name val="Helvetica"/>
      <family val="2"/>
    </font>
    <font>
      <b/>
      <sz val="10"/>
      <color theme="1"/>
      <name val="Helvetica"/>
    </font>
    <font>
      <u/>
      <sz val="8"/>
      <color rgb="FF0000E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1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0" fillId="0" borderId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7" applyNumberFormat="0" applyAlignment="0" applyProtection="0"/>
    <xf numFmtId="0" fontId="24" fillId="6" borderId="8" applyNumberFormat="0" applyAlignment="0" applyProtection="0"/>
    <xf numFmtId="0" fontId="25" fillId="6" borderId="7" applyNumberFormat="0" applyAlignment="0" applyProtection="0"/>
    <xf numFmtId="0" fontId="26" fillId="0" borderId="9" applyNumberFormat="0" applyFill="0" applyAlignment="0" applyProtection="0"/>
    <xf numFmtId="0" fontId="27" fillId="7" borderId="10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2" applyNumberFormat="0" applyFill="0" applyAlignment="0" applyProtection="0"/>
    <xf numFmtId="0" fontId="3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1" fillId="32" borderId="0" applyNumberFormat="0" applyBorder="0" applyAlignment="0" applyProtection="0"/>
    <xf numFmtId="172" fontId="32" fillId="0" borderId="0"/>
    <xf numFmtId="0" fontId="33" fillId="0" borderId="0" applyNumberFormat="0" applyFill="0" applyBorder="0" applyAlignment="0" applyProtection="0">
      <alignment vertical="top"/>
      <protection locked="0"/>
    </xf>
    <xf numFmtId="37" fontId="3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8" borderId="11" applyNumberFormat="0" applyFont="0" applyAlignment="0" applyProtection="0"/>
    <xf numFmtId="0" fontId="36" fillId="0" borderId="0"/>
    <xf numFmtId="43" fontId="10" fillId="0" borderId="0" applyFont="0" applyFill="0" applyBorder="0" applyAlignment="0" applyProtection="0"/>
    <xf numFmtId="0" fontId="37" fillId="0" borderId="0"/>
    <xf numFmtId="43" fontId="10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0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5" fontId="0" fillId="0" borderId="0" xfId="0" applyNumberFormat="1"/>
    <xf numFmtId="165" fontId="0" fillId="0" borderId="1" xfId="0" applyNumberFormat="1" applyBorder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3" fontId="0" fillId="0" borderId="0" xfId="0" applyNumberFormat="1"/>
    <xf numFmtId="0" fontId="0" fillId="0" borderId="0" xfId="0" quotePrefix="1" applyAlignment="1">
      <alignment horizontal="left"/>
    </xf>
    <xf numFmtId="0" fontId="0" fillId="0" borderId="2" xfId="0" quotePrefix="1" applyBorder="1" applyAlignment="1">
      <alignment horizontal="center"/>
    </xf>
    <xf numFmtId="171" fontId="0" fillId="0" borderId="0" xfId="0" applyNumberFormat="1"/>
    <xf numFmtId="3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173" fontId="0" fillId="0" borderId="1" xfId="0" quotePrefix="1" applyNumberFormat="1" applyBorder="1" applyAlignment="1">
      <alignment horizontal="center"/>
    </xf>
    <xf numFmtId="173" fontId="0" fillId="0" borderId="0" xfId="0" quotePrefix="1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6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0" fontId="4" fillId="0" borderId="1" xfId="0" applyFont="1" applyBorder="1"/>
    <xf numFmtId="0" fontId="4" fillId="0" borderId="0" xfId="0" applyFont="1" applyAlignment="1">
      <alignment horizontal="left"/>
    </xf>
    <xf numFmtId="3" fontId="4" fillId="0" borderId="0" xfId="0" applyNumberFormat="1" applyFont="1"/>
    <xf numFmtId="0" fontId="4" fillId="0" borderId="0" xfId="0" quotePrefix="1" applyFont="1" applyAlignment="1">
      <alignment horizontal="left"/>
    </xf>
    <xf numFmtId="0" fontId="4" fillId="0" borderId="1" xfId="0" quotePrefix="1" applyFont="1" applyBorder="1" applyAlignment="1">
      <alignment horizontal="left"/>
    </xf>
    <xf numFmtId="0" fontId="8" fillId="0" borderId="0" xfId="0" applyFont="1"/>
    <xf numFmtId="0" fontId="0" fillId="0" borderId="0" xfId="0" quotePrefix="1" applyAlignment="1">
      <alignment horizontal="center"/>
    </xf>
    <xf numFmtId="0" fontId="9" fillId="0" borderId="0" xfId="3" quotePrefix="1" applyFont="1" applyAlignment="1" applyProtection="1">
      <alignment horizontal="right" vertical="top" wrapText="1" readingOrder="1"/>
      <protection locked="0"/>
    </xf>
    <xf numFmtId="0" fontId="10" fillId="0" borderId="0" xfId="4" applyAlignment="1">
      <alignment vertical="top" wrapText="1"/>
    </xf>
    <xf numFmtId="0" fontId="10" fillId="0" borderId="0" xfId="4"/>
    <xf numFmtId="0" fontId="12" fillId="0" borderId="0" xfId="2" applyFont="1" applyAlignment="1" applyProtection="1"/>
    <xf numFmtId="0" fontId="13" fillId="0" borderId="0" xfId="4" applyFont="1"/>
    <xf numFmtId="0" fontId="10" fillId="0" borderId="0" xfId="4" applyAlignment="1">
      <alignment wrapText="1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7" fontId="0" fillId="0" borderId="0" xfId="0" applyNumberFormat="1" applyAlignment="1">
      <alignment horizontal="left" indent="3"/>
    </xf>
    <xf numFmtId="0" fontId="0" fillId="0" borderId="2" xfId="0" applyBorder="1" applyAlignment="1">
      <alignment horizontal="left" indent="2"/>
    </xf>
    <xf numFmtId="169" fontId="0" fillId="0" borderId="0" xfId="0" applyNumberFormat="1" applyAlignment="1">
      <alignment horizontal="center"/>
    </xf>
    <xf numFmtId="169" fontId="0" fillId="0" borderId="1" xfId="0" applyNumberFormat="1" applyBorder="1" applyAlignment="1">
      <alignment horizontal="center"/>
    </xf>
    <xf numFmtId="166" fontId="0" fillId="0" borderId="1" xfId="0" applyNumberFormat="1" applyBorder="1"/>
    <xf numFmtId="0" fontId="6" fillId="0" borderId="0" xfId="1" applyAlignment="1" applyProtection="1">
      <alignment horizontal="left"/>
    </xf>
    <xf numFmtId="167" fontId="0" fillId="0" borderId="1" xfId="0" applyNumberFormat="1" applyBorder="1" applyAlignment="1">
      <alignment horizontal="left" indent="3"/>
    </xf>
    <xf numFmtId="0" fontId="0" fillId="0" borderId="3" xfId="0" applyBorder="1" applyAlignment="1">
      <alignment horizontal="center"/>
    </xf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left" indent="4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167" fontId="0" fillId="0" borderId="1" xfId="0" applyNumberFormat="1" applyBorder="1"/>
    <xf numFmtId="168" fontId="0" fillId="0" borderId="1" xfId="0" applyNumberFormat="1" applyBorder="1"/>
    <xf numFmtId="0" fontId="0" fillId="0" borderId="13" xfId="0" applyBorder="1"/>
    <xf numFmtId="170" fontId="4" fillId="0" borderId="0" xfId="52" applyNumberFormat="1" applyFont="1"/>
    <xf numFmtId="173" fontId="0" fillId="0" borderId="0" xfId="0" applyNumberFormat="1"/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3" xfId="0" quotePrefix="1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3" xfId="0" quotePrefix="1" applyFont="1" applyBorder="1" applyAlignment="1">
      <alignment horizontal="left"/>
    </xf>
    <xf numFmtId="0" fontId="8" fillId="0" borderId="0" xfId="0" applyFont="1" applyAlignment="1">
      <alignment horizontal="centerContinuous"/>
    </xf>
    <xf numFmtId="0" fontId="38" fillId="0" borderId="0" xfId="0" applyFont="1"/>
    <xf numFmtId="0" fontId="38" fillId="0" borderId="0" xfId="0" applyFont="1" applyAlignment="1">
      <alignment horizontal="left"/>
    </xf>
    <xf numFmtId="165" fontId="38" fillId="0" borderId="0" xfId="0" applyNumberFormat="1" applyFont="1"/>
    <xf numFmtId="166" fontId="38" fillId="0" borderId="0" xfId="0" applyNumberFormat="1" applyFont="1"/>
    <xf numFmtId="167" fontId="38" fillId="0" borderId="0" xfId="0" applyNumberFormat="1" applyFont="1" applyAlignment="1">
      <alignment horizontal="left" indent="3"/>
    </xf>
    <xf numFmtId="0" fontId="39" fillId="0" borderId="0" xfId="1" applyFont="1" applyFill="1" applyAlignment="1" applyProtection="1">
      <alignment horizontal="left"/>
    </xf>
    <xf numFmtId="0" fontId="40" fillId="0" borderId="0" xfId="0" applyFont="1" applyAlignment="1">
      <alignment horizontal="left"/>
    </xf>
    <xf numFmtId="2" fontId="0" fillId="0" borderId="0" xfId="0" applyNumberFormat="1"/>
    <xf numFmtId="2" fontId="38" fillId="0" borderId="0" xfId="0" applyNumberFormat="1" applyFont="1"/>
    <xf numFmtId="171" fontId="38" fillId="0" borderId="0" xfId="0" applyNumberFormat="1" applyFont="1"/>
    <xf numFmtId="170" fontId="0" fillId="0" borderId="0" xfId="52" applyNumberFormat="1" applyFont="1" applyFill="1"/>
    <xf numFmtId="170" fontId="0" fillId="0" borderId="0" xfId="52" applyNumberFormat="1" applyFont="1" applyFill="1" applyBorder="1"/>
    <xf numFmtId="0" fontId="0" fillId="0" borderId="1" xfId="0" quotePrefix="1" applyBorder="1" applyAlignment="1">
      <alignment horizontal="left"/>
    </xf>
    <xf numFmtId="170" fontId="0" fillId="0" borderId="1" xfId="52" applyNumberFormat="1" applyFont="1" applyFill="1" applyBorder="1"/>
    <xf numFmtId="174" fontId="0" fillId="0" borderId="0" xfId="0" applyNumberFormat="1"/>
    <xf numFmtId="174" fontId="0" fillId="0" borderId="1" xfId="0" applyNumberFormat="1" applyBorder="1"/>
    <xf numFmtId="3" fontId="0" fillId="0" borderId="1" xfId="0" applyNumberFormat="1" applyBorder="1"/>
    <xf numFmtId="0" fontId="41" fillId="0" borderId="0" xfId="1" applyFont="1" applyFill="1" applyAlignment="1" applyProtection="1">
      <alignment horizontal="left"/>
    </xf>
  </cellXfs>
  <cellStyles count="61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 2" xfId="52" xr:uid="{00000000-0005-0000-0000-00001C000000}"/>
    <cellStyle name="Comma 3" xfId="54" xr:uid="{F948226D-468E-4FAB-A758-A67BEEC95FF2}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1" builtinId="8"/>
    <cellStyle name="Hyperlink 2" xfId="2" xr:uid="{00000000-0005-0000-0000-000024000000}"/>
    <cellStyle name="Hyperlink 3" xfId="46" xr:uid="{00000000-0005-0000-0000-000025000000}"/>
    <cellStyle name="Hyperlink 3 2" xfId="55" xr:uid="{8703CFFB-9370-4957-B1BE-A6D12ECDE211}"/>
    <cellStyle name="Hyperlink 4" xfId="48" xr:uid="{00000000-0005-0000-0000-000026000000}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3" xr:uid="{00000000-0005-0000-0000-00002B000000}"/>
    <cellStyle name="Normal 2 2" xfId="4" xr:uid="{00000000-0005-0000-0000-00002C000000}"/>
    <cellStyle name="Normal 2 3" xfId="56" xr:uid="{6D24B3F8-0DF3-45EC-98DA-A0EA04135DAC}"/>
    <cellStyle name="Normal 3" xfId="45" xr:uid="{00000000-0005-0000-0000-00002D000000}"/>
    <cellStyle name="Normal 3 2" xfId="57" xr:uid="{81CD4063-B8D3-4147-B484-AF5964C3976B}"/>
    <cellStyle name="Normal 4" xfId="47" xr:uid="{00000000-0005-0000-0000-00002E000000}"/>
    <cellStyle name="Normal 4 2" xfId="58" xr:uid="{AB29F0B2-4697-4B7A-BA63-639E419D30A3}"/>
    <cellStyle name="Normal 5" xfId="49" xr:uid="{00000000-0005-0000-0000-00002F000000}"/>
    <cellStyle name="Normal 5 2" xfId="59" xr:uid="{2A994748-9ED1-468C-B3A3-D1E0D6FB9365}"/>
    <cellStyle name="Normal 6" xfId="51" xr:uid="{00000000-0005-0000-0000-000030000000}"/>
    <cellStyle name="Normal 7" xfId="53" xr:uid="{A43A8493-FF9B-4B3F-B6DB-4FE5C94C6D32}"/>
    <cellStyle name="Note 2" xfId="50" xr:uid="{00000000-0005-0000-0000-000031000000}"/>
    <cellStyle name="Output" xfId="14" builtinId="21" customBuiltin="1"/>
    <cellStyle name="Percent 2" xfId="60" xr:uid="{F5AF82C7-73BA-4A63-B152-0959F2849C38}"/>
    <cellStyle name="Title" xfId="5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colors>
    <mruColors>
      <color rgb="FF0000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" name="Picture 1" descr="PrintLogo">
          <a:extLst>
            <a:ext uri="{FF2B5EF4-FFF2-40B4-BE49-F238E27FC236}">
              <a16:creationId xmlns:a16="http://schemas.microsoft.com/office/drawing/2014/main" id="{1F0DA953-7E8F-4E11-8771-0AA125A05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" name="Picture 2" descr="PrintLogo">
          <a:extLst>
            <a:ext uri="{FF2B5EF4-FFF2-40B4-BE49-F238E27FC236}">
              <a16:creationId xmlns:a16="http://schemas.microsoft.com/office/drawing/2014/main" id="{55F1750B-F97E-458E-A4A5-9192A6A82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" name="Picture 3" descr="PrintLogo">
          <a:extLst>
            <a:ext uri="{FF2B5EF4-FFF2-40B4-BE49-F238E27FC236}">
              <a16:creationId xmlns:a16="http://schemas.microsoft.com/office/drawing/2014/main" id="{0942B07E-E411-4A39-81A7-C96C2CB9A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5" name="Picture 4" descr="PrintLogo">
          <a:extLst>
            <a:ext uri="{FF2B5EF4-FFF2-40B4-BE49-F238E27FC236}">
              <a16:creationId xmlns:a16="http://schemas.microsoft.com/office/drawing/2014/main" id="{9216F200-B4E0-4603-AB6D-0A2269FA3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6" name="Picture 5" descr="PrintLogo">
          <a:extLst>
            <a:ext uri="{FF2B5EF4-FFF2-40B4-BE49-F238E27FC236}">
              <a16:creationId xmlns:a16="http://schemas.microsoft.com/office/drawing/2014/main" id="{C711F1A0-0050-479B-924E-BD58AA99D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7" name="Picture 6" descr="PrintLogo">
          <a:extLst>
            <a:ext uri="{FF2B5EF4-FFF2-40B4-BE49-F238E27FC236}">
              <a16:creationId xmlns:a16="http://schemas.microsoft.com/office/drawing/2014/main" id="{419FC762-4A11-41CA-98E7-C64EED776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8" name="Picture 7" descr="PrintLogo">
          <a:extLst>
            <a:ext uri="{FF2B5EF4-FFF2-40B4-BE49-F238E27FC236}">
              <a16:creationId xmlns:a16="http://schemas.microsoft.com/office/drawing/2014/main" id="{190A3A8D-33F8-47B4-9059-DC3A4FE81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9" name="Picture 8" descr="PrintLogo">
          <a:extLst>
            <a:ext uri="{FF2B5EF4-FFF2-40B4-BE49-F238E27FC236}">
              <a16:creationId xmlns:a16="http://schemas.microsoft.com/office/drawing/2014/main" id="{8923C0D8-2516-4C3E-BD57-00C3D6425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0" name="Picture 9" descr="PrintLogo">
          <a:extLst>
            <a:ext uri="{FF2B5EF4-FFF2-40B4-BE49-F238E27FC236}">
              <a16:creationId xmlns:a16="http://schemas.microsoft.com/office/drawing/2014/main" id="{81994271-2330-4F87-B023-BE9037E61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1" name="Picture 10" descr="PrintLogo">
          <a:extLst>
            <a:ext uri="{FF2B5EF4-FFF2-40B4-BE49-F238E27FC236}">
              <a16:creationId xmlns:a16="http://schemas.microsoft.com/office/drawing/2014/main" id="{7191FEB1-FD3E-4282-A4EB-3E7DC952B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2" name="Picture 11" descr="PrintLogo">
          <a:extLst>
            <a:ext uri="{FF2B5EF4-FFF2-40B4-BE49-F238E27FC236}">
              <a16:creationId xmlns:a16="http://schemas.microsoft.com/office/drawing/2014/main" id="{21D7DAB8-42B3-49B5-9A17-3A030FD0D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3" name="Picture 12" descr="PrintLogo">
          <a:extLst>
            <a:ext uri="{FF2B5EF4-FFF2-40B4-BE49-F238E27FC236}">
              <a16:creationId xmlns:a16="http://schemas.microsoft.com/office/drawing/2014/main" id="{EDFE2A91-005E-4769-83A4-7CF8869FB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4" name="Picture 13" descr="PrintLogo">
          <a:extLst>
            <a:ext uri="{FF2B5EF4-FFF2-40B4-BE49-F238E27FC236}">
              <a16:creationId xmlns:a16="http://schemas.microsoft.com/office/drawing/2014/main" id="{1285ADC4-257A-4231-87B5-8C22D9518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" name="Picture 14" descr="PrintLogo">
          <a:extLst>
            <a:ext uri="{FF2B5EF4-FFF2-40B4-BE49-F238E27FC236}">
              <a16:creationId xmlns:a16="http://schemas.microsoft.com/office/drawing/2014/main" id="{4185E718-2ABA-45E5-AC52-DDDC1B9C6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6" name="Picture 15" descr="PrintLogo">
          <a:extLst>
            <a:ext uri="{FF2B5EF4-FFF2-40B4-BE49-F238E27FC236}">
              <a16:creationId xmlns:a16="http://schemas.microsoft.com/office/drawing/2014/main" id="{0C563D9D-F718-4ABD-966D-19CC4F1C2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7" name="Picture 16" descr="PrintLogo">
          <a:extLst>
            <a:ext uri="{FF2B5EF4-FFF2-40B4-BE49-F238E27FC236}">
              <a16:creationId xmlns:a16="http://schemas.microsoft.com/office/drawing/2014/main" id="{B6066067-A2B8-418C-BD57-9CD993CE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8" name="Picture 17" descr="PrintLogo">
          <a:extLst>
            <a:ext uri="{FF2B5EF4-FFF2-40B4-BE49-F238E27FC236}">
              <a16:creationId xmlns:a16="http://schemas.microsoft.com/office/drawing/2014/main" id="{24C95EB1-7EDC-4BD3-8665-592993FC3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9" name="Picture 18" descr="PrintLogo">
          <a:extLst>
            <a:ext uri="{FF2B5EF4-FFF2-40B4-BE49-F238E27FC236}">
              <a16:creationId xmlns:a16="http://schemas.microsoft.com/office/drawing/2014/main" id="{3617EF09-D1E2-41F2-A9D4-7CFD9CC89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0" name="Picture 19" descr="PrintLogo">
          <a:extLst>
            <a:ext uri="{FF2B5EF4-FFF2-40B4-BE49-F238E27FC236}">
              <a16:creationId xmlns:a16="http://schemas.microsoft.com/office/drawing/2014/main" id="{8D553861-0778-4C7B-8573-A059838C8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1" name="Picture 20" descr="PrintLogo">
          <a:extLst>
            <a:ext uri="{FF2B5EF4-FFF2-40B4-BE49-F238E27FC236}">
              <a16:creationId xmlns:a16="http://schemas.microsoft.com/office/drawing/2014/main" id="{6D4C6EB4-0F53-48A5-AAAD-B32C464AC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2" name="Picture 21" descr="PrintLogo">
          <a:extLst>
            <a:ext uri="{FF2B5EF4-FFF2-40B4-BE49-F238E27FC236}">
              <a16:creationId xmlns:a16="http://schemas.microsoft.com/office/drawing/2014/main" id="{54F4B1F4-04EF-4D53-A972-4FFF9E896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3" name="Picture 22" descr="PrintLogo">
          <a:extLst>
            <a:ext uri="{FF2B5EF4-FFF2-40B4-BE49-F238E27FC236}">
              <a16:creationId xmlns:a16="http://schemas.microsoft.com/office/drawing/2014/main" id="{6072875D-0E1E-4D40-8AFB-56F265454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4" name="Picture 23" descr="PrintLogo">
          <a:extLst>
            <a:ext uri="{FF2B5EF4-FFF2-40B4-BE49-F238E27FC236}">
              <a16:creationId xmlns:a16="http://schemas.microsoft.com/office/drawing/2014/main" id="{23A1559C-9976-46AC-B30D-C51B9E4EE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5" name="Picture 24" descr="PrintLogo">
          <a:extLst>
            <a:ext uri="{FF2B5EF4-FFF2-40B4-BE49-F238E27FC236}">
              <a16:creationId xmlns:a16="http://schemas.microsoft.com/office/drawing/2014/main" id="{98E29FD0-4AAA-4827-8AAF-69811EBC2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6" name="Picture 25" descr="PrintLogo">
          <a:extLst>
            <a:ext uri="{FF2B5EF4-FFF2-40B4-BE49-F238E27FC236}">
              <a16:creationId xmlns:a16="http://schemas.microsoft.com/office/drawing/2014/main" id="{8F8783D5-30C9-4F87-A38F-D5F16767E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7" name="Picture 26" descr="PrintLogo">
          <a:extLst>
            <a:ext uri="{FF2B5EF4-FFF2-40B4-BE49-F238E27FC236}">
              <a16:creationId xmlns:a16="http://schemas.microsoft.com/office/drawing/2014/main" id="{DB9BE0F0-50B6-4732-84CD-E2E5CB4E1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8" name="Picture 27" descr="PrintLogo">
          <a:extLst>
            <a:ext uri="{FF2B5EF4-FFF2-40B4-BE49-F238E27FC236}">
              <a16:creationId xmlns:a16="http://schemas.microsoft.com/office/drawing/2014/main" id="{B2A0061D-9C9F-4221-B04C-ADFDEBF3D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29" name="Picture 28" descr="PrintLogo">
          <a:extLst>
            <a:ext uri="{FF2B5EF4-FFF2-40B4-BE49-F238E27FC236}">
              <a16:creationId xmlns:a16="http://schemas.microsoft.com/office/drawing/2014/main" id="{073EE401-10BA-40D4-A46E-C2FA3B5B0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0" name="Picture 29" descr="PrintLogo">
          <a:extLst>
            <a:ext uri="{FF2B5EF4-FFF2-40B4-BE49-F238E27FC236}">
              <a16:creationId xmlns:a16="http://schemas.microsoft.com/office/drawing/2014/main" id="{2B6F0475-D075-408F-A3E7-8E4586401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1" name="Picture 30" descr="PrintLogo">
          <a:extLst>
            <a:ext uri="{FF2B5EF4-FFF2-40B4-BE49-F238E27FC236}">
              <a16:creationId xmlns:a16="http://schemas.microsoft.com/office/drawing/2014/main" id="{8C403D4F-A8FE-4A7F-BC4F-ED6B9E4FF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2" name="Picture 31" descr="PrintLogo">
          <a:extLst>
            <a:ext uri="{FF2B5EF4-FFF2-40B4-BE49-F238E27FC236}">
              <a16:creationId xmlns:a16="http://schemas.microsoft.com/office/drawing/2014/main" id="{FC632CC2-6975-4521-A89A-1811AB30A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3" name="Picture 32" descr="PrintLogo">
          <a:extLst>
            <a:ext uri="{FF2B5EF4-FFF2-40B4-BE49-F238E27FC236}">
              <a16:creationId xmlns:a16="http://schemas.microsoft.com/office/drawing/2014/main" id="{566A4382-D126-4330-8FA7-4D18C116B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4" name="Picture 33" descr="PrintLogo">
          <a:extLst>
            <a:ext uri="{FF2B5EF4-FFF2-40B4-BE49-F238E27FC236}">
              <a16:creationId xmlns:a16="http://schemas.microsoft.com/office/drawing/2014/main" id="{721C3D7E-38F1-4DC5-AE9B-E1845F436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5" name="Picture 34" descr="PrintLogo">
          <a:extLst>
            <a:ext uri="{FF2B5EF4-FFF2-40B4-BE49-F238E27FC236}">
              <a16:creationId xmlns:a16="http://schemas.microsoft.com/office/drawing/2014/main" id="{2942DD54-F72D-43BC-93EF-ED12EDBE7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6" name="Picture 35" descr="PrintLogo">
          <a:extLst>
            <a:ext uri="{FF2B5EF4-FFF2-40B4-BE49-F238E27FC236}">
              <a16:creationId xmlns:a16="http://schemas.microsoft.com/office/drawing/2014/main" id="{C8AE19A4-5AB0-4701-B2E2-C23A6B4CC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7" name="Picture 36" descr="PrintLogo">
          <a:extLst>
            <a:ext uri="{FF2B5EF4-FFF2-40B4-BE49-F238E27FC236}">
              <a16:creationId xmlns:a16="http://schemas.microsoft.com/office/drawing/2014/main" id="{E64DCE4E-5E6C-4E46-95E0-8A913F215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8" name="Picture 37" descr="PrintLogo">
          <a:extLst>
            <a:ext uri="{FF2B5EF4-FFF2-40B4-BE49-F238E27FC236}">
              <a16:creationId xmlns:a16="http://schemas.microsoft.com/office/drawing/2014/main" id="{A89CC636-59A3-4FEA-8530-B01A3CB02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39" name="Picture 38" descr="PrintLogo">
          <a:extLst>
            <a:ext uri="{FF2B5EF4-FFF2-40B4-BE49-F238E27FC236}">
              <a16:creationId xmlns:a16="http://schemas.microsoft.com/office/drawing/2014/main" id="{E447B57A-8D3E-449D-9761-2A1354685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0" name="Picture 39" descr="PrintLogo">
          <a:extLst>
            <a:ext uri="{FF2B5EF4-FFF2-40B4-BE49-F238E27FC236}">
              <a16:creationId xmlns:a16="http://schemas.microsoft.com/office/drawing/2014/main" id="{4ED316A5-C06C-4CB7-B4E4-92C3A7D82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1" name="Picture 40" descr="PrintLogo">
          <a:extLst>
            <a:ext uri="{FF2B5EF4-FFF2-40B4-BE49-F238E27FC236}">
              <a16:creationId xmlns:a16="http://schemas.microsoft.com/office/drawing/2014/main" id="{95441175-5B9A-430B-BEBD-406089FCA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2" name="Picture 41" descr="PrintLogo">
          <a:extLst>
            <a:ext uri="{FF2B5EF4-FFF2-40B4-BE49-F238E27FC236}">
              <a16:creationId xmlns:a16="http://schemas.microsoft.com/office/drawing/2014/main" id="{5F9D033A-BFA6-4497-AA37-86C5E1828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43" name="Picture 42" descr="PrintLogo">
          <a:extLst>
            <a:ext uri="{FF2B5EF4-FFF2-40B4-BE49-F238E27FC236}">
              <a16:creationId xmlns:a16="http://schemas.microsoft.com/office/drawing/2014/main" id="{F7DA9528-B640-4C28-A192-11C781D81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4" name="Picture 2098" descr="PrintLogo">
          <a:extLst>
            <a:ext uri="{FF2B5EF4-FFF2-40B4-BE49-F238E27FC236}">
              <a16:creationId xmlns:a16="http://schemas.microsoft.com/office/drawing/2014/main" id="{AC59254A-FCE0-47AF-99B3-0D6779E63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5" name="Picture 2099" descr="PrintLogo">
          <a:extLst>
            <a:ext uri="{FF2B5EF4-FFF2-40B4-BE49-F238E27FC236}">
              <a16:creationId xmlns:a16="http://schemas.microsoft.com/office/drawing/2014/main" id="{9AC56448-855E-48A2-AE3A-A0A9CF09C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6" name="Picture 2100" descr="PrintLogo">
          <a:extLst>
            <a:ext uri="{FF2B5EF4-FFF2-40B4-BE49-F238E27FC236}">
              <a16:creationId xmlns:a16="http://schemas.microsoft.com/office/drawing/2014/main" id="{6A5EF78D-1E6A-4588-9153-3A82F60C9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7" name="Picture 2101" descr="PrintLogo">
          <a:extLst>
            <a:ext uri="{FF2B5EF4-FFF2-40B4-BE49-F238E27FC236}">
              <a16:creationId xmlns:a16="http://schemas.microsoft.com/office/drawing/2014/main" id="{D7A510EE-D506-4918-B27F-11D349CE6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8" name="Picture 2102" descr="PrintLogo">
          <a:extLst>
            <a:ext uri="{FF2B5EF4-FFF2-40B4-BE49-F238E27FC236}">
              <a16:creationId xmlns:a16="http://schemas.microsoft.com/office/drawing/2014/main" id="{325B6D76-9B5E-4AB5-B6D1-BDE7568C6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49" name="Picture 2103" descr="PrintLogo">
          <a:extLst>
            <a:ext uri="{FF2B5EF4-FFF2-40B4-BE49-F238E27FC236}">
              <a16:creationId xmlns:a16="http://schemas.microsoft.com/office/drawing/2014/main" id="{5C68427A-04E6-4991-8415-E3859FC99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50" name="Picture 2104" descr="PrintLogo">
          <a:extLst>
            <a:ext uri="{FF2B5EF4-FFF2-40B4-BE49-F238E27FC236}">
              <a16:creationId xmlns:a16="http://schemas.microsoft.com/office/drawing/2014/main" id="{519F61CC-6BAB-43C6-B63D-E27D12CCD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87630</xdr:colOff>
      <xdr:row>0</xdr:row>
      <xdr:rowOff>34290</xdr:rowOff>
    </xdr:from>
    <xdr:to>
      <xdr:col>0</xdr:col>
      <xdr:colOff>4354830</xdr:colOff>
      <xdr:row>0</xdr:row>
      <xdr:rowOff>533400</xdr:rowOff>
    </xdr:to>
    <xdr:pic>
      <xdr:nvPicPr>
        <xdr:cNvPr id="51" name="Picture 2105" descr="PrintLogo">
          <a:extLst>
            <a:ext uri="{FF2B5EF4-FFF2-40B4-BE49-F238E27FC236}">
              <a16:creationId xmlns:a16="http://schemas.microsoft.com/office/drawing/2014/main" id="{5BA59587-C999-441C-84D0-D19219E1E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" y="34290"/>
          <a:ext cx="4267200" cy="499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E3F6DB-276A-46BA-A15E-912CF127008E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X10A0T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2AF1BD-C586-4363-93A9-717F1F2CADE8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X11A0T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55758C-CCA3-4E7B-95BD-5AFD55907095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X12A0T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1FFADA-AFB5-4FD3-B545-0C9A46CDE400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X13A0T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30D030-5E26-4EF9-BCAD-C882502F0089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X15A0T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0</xdr:row>
      <xdr:rowOff>3175</xdr:rowOff>
    </xdr:from>
    <xdr:to>
      <xdr:col>0</xdr:col>
      <xdr:colOff>66675</xdr:colOff>
      <xdr:row>0</xdr:row>
      <xdr:rowOff>105767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E65F2E-FB5C-4FAF-93CF-E004F5A5E78A}"/>
            </a:ext>
          </a:extLst>
        </xdr:cNvPr>
        <xdr:cNvSpPr txBox="1"/>
      </xdr:nvSpPr>
      <xdr:spPr>
        <a:xfrm>
          <a:off x="3175" y="3175"/>
          <a:ext cx="63500" cy="10259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>
          <a:spAutoFit/>
        </a:bodyPr>
        <a:lstStyle/>
        <a:p>
          <a:pPr algn="l" rtl="0"/>
          <a:r>
            <a:rPr lang="en-US" sz="100">
              <a:latin typeface="ZWAdobeF" pitchFamily="2" charset="0"/>
            </a:rPr>
            <a:t>X16A0T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9B3F-2203-4FD3-A9AC-85C9ED157C9C}">
  <sheetPr>
    <pageSetUpPr fitToPage="1"/>
  </sheetPr>
  <dimension ref="A1:A21"/>
  <sheetViews>
    <sheetView tabSelected="1" workbookViewId="0">
      <selection activeCell="A2" sqref="A2"/>
    </sheetView>
  </sheetViews>
  <sheetFormatPr defaultColWidth="11.28515625" defaultRowHeight="13.2" x14ac:dyDescent="0.25"/>
  <cols>
    <col min="1" max="1" width="117.28515625" style="40" bestFit="1" customWidth="1"/>
    <col min="2" max="16384" width="11.28515625" style="37"/>
  </cols>
  <sheetData>
    <row r="1" spans="1:1" ht="44.25" customHeight="1" x14ac:dyDescent="0.25">
      <c r="A1" s="36"/>
    </row>
    <row r="2" spans="1:1" ht="17.399999999999999" x14ac:dyDescent="0.3">
      <c r="A2" s="42" t="s">
        <v>105</v>
      </c>
    </row>
    <row r="3" spans="1:1" s="39" customFormat="1" ht="10.199999999999999" x14ac:dyDescent="0.2">
      <c r="A3" s="38"/>
    </row>
    <row r="4" spans="1:1" x14ac:dyDescent="0.25">
      <c r="A4" s="37"/>
    </row>
    <row r="5" spans="1:1" x14ac:dyDescent="0.25">
      <c r="A5" s="41" t="s">
        <v>164</v>
      </c>
    </row>
    <row r="6" spans="1:1" x14ac:dyDescent="0.25">
      <c r="A6" s="91" t="s">
        <v>168</v>
      </c>
    </row>
    <row r="7" spans="1:1" x14ac:dyDescent="0.25">
      <c r="A7" s="91" t="s">
        <v>169</v>
      </c>
    </row>
    <row r="8" spans="1:1" x14ac:dyDescent="0.25">
      <c r="A8" s="91" t="s">
        <v>170</v>
      </c>
    </row>
    <row r="9" spans="1:1" x14ac:dyDescent="0.25">
      <c r="A9" s="79"/>
    </row>
    <row r="10" spans="1:1" x14ac:dyDescent="0.25">
      <c r="A10" s="41" t="s">
        <v>165</v>
      </c>
    </row>
    <row r="11" spans="1:1" x14ac:dyDescent="0.25">
      <c r="A11" s="91" t="s">
        <v>171</v>
      </c>
    </row>
    <row r="12" spans="1:1" x14ac:dyDescent="0.25">
      <c r="A12" s="91" t="s">
        <v>172</v>
      </c>
    </row>
    <row r="13" spans="1:1" x14ac:dyDescent="0.25">
      <c r="A13" s="91" t="s">
        <v>173</v>
      </c>
    </row>
    <row r="14" spans="1:1" x14ac:dyDescent="0.25">
      <c r="A14" s="91" t="s">
        <v>174</v>
      </c>
    </row>
    <row r="15" spans="1:1" x14ac:dyDescent="0.25">
      <c r="A15" s="79"/>
    </row>
    <row r="16" spans="1:1" x14ac:dyDescent="0.25">
      <c r="A16" s="48"/>
    </row>
    <row r="17" spans="1:1" x14ac:dyDescent="0.25">
      <c r="A17" s="15" t="s">
        <v>166</v>
      </c>
    </row>
    <row r="18" spans="1:1" x14ac:dyDescent="0.25">
      <c r="A18" s="15"/>
    </row>
    <row r="20" spans="1:1" x14ac:dyDescent="0.25">
      <c r="A20" s="80" t="s">
        <v>175</v>
      </c>
    </row>
    <row r="21" spans="1:1" x14ac:dyDescent="0.25">
      <c r="A21" s="7" t="s">
        <v>163</v>
      </c>
    </row>
  </sheetData>
  <hyperlinks>
    <hyperlink ref="A6" location="'tab 10'!A1" display="Table 10—Peanuts: Acreage planted, harvested, yield, production, and value, U.S., 1980–-2020" xr:uid="{7482D083-8B5E-4B14-83DB-F861D783574A}"/>
    <hyperlink ref="A7" location="'tab 11'!A1" display="Table 11—Peanuts (farmers' stock basis): Supply, disappearance, and price, U.S., 1980/81–2020/21" xr:uid="{92AB75AB-066F-4D2E-A9BB-F81D5C9491F4}"/>
    <hyperlink ref="A11" location="'tab 13'!A1" display="Table 13—Peanuts: Planted acreage, by State and region, 1980–2020" xr:uid="{C5B0C9FF-B6CA-4C2F-90EA-9238C1375E35}"/>
    <hyperlink ref="A12" location="'tab 14'!A1" display="Table 14—Peanuts: Harvested acreage, by State and region, 1980–2020" xr:uid="{63EB2A6B-B7C5-4CA4-BF90-41C4FF1910DB}"/>
    <hyperlink ref="A13" location="'tab 15'!A1" display="Table 15—Peanuts: U.S. production, by State and region, 1980–2020" xr:uid="{872278ED-CDA9-431E-92FB-D0C4541446D4}"/>
    <hyperlink ref="A14" location="'tab 16'!A1" display="Table 16—Peanuts: Yield per harvested acre, by State and region, 1980–2020" xr:uid="{254F9266-2DDB-475F-A47F-6FE4DAF4C194}"/>
    <hyperlink ref="A8" location="'tab 12'!A1" display="Table 12—U.S. food uses of peanuts, shelled basis, 1980/81–2019/20" xr:uid="{723D5D7D-1692-45BA-B352-7A339D5E3A12}"/>
  </hyperlinks>
  <pageMargins left="0.75" right="0.75" top="1" bottom="1" header="0.5" footer="0.5"/>
  <pageSetup scale="5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E363-C078-4F56-B744-75298307E309}">
  <sheetPr>
    <pageSetUpPr fitToPage="1"/>
  </sheetPr>
  <dimension ref="A1:I54"/>
  <sheetViews>
    <sheetView zoomScaleNormal="100" zoomScaleSheetLayoutView="100" workbookViewId="0">
      <pane xSplit="1" ySplit="4" topLeftCell="B5" activePane="bottomRight" state="frozen"/>
      <selection activeCell="C57" sqref="C57"/>
      <selection pane="topRight" activeCell="C57" sqref="C57"/>
      <selection pane="bottomLeft" activeCell="C57" sqref="C57"/>
      <selection pane="bottomRight"/>
    </sheetView>
  </sheetViews>
  <sheetFormatPr defaultRowHeight="10.199999999999999" x14ac:dyDescent="0.2"/>
  <cols>
    <col min="1" max="9" width="12.85546875" customWidth="1"/>
  </cols>
  <sheetData>
    <row r="1" spans="1:9" x14ac:dyDescent="0.2">
      <c r="A1" s="28" t="s">
        <v>168</v>
      </c>
      <c r="B1" s="1"/>
      <c r="C1" s="1"/>
      <c r="D1" s="1"/>
      <c r="E1" s="1"/>
      <c r="F1" s="1"/>
      <c r="G1" s="1"/>
      <c r="H1" s="1"/>
      <c r="I1" s="1"/>
    </row>
    <row r="2" spans="1:9" x14ac:dyDescent="0.2">
      <c r="A2" s="3" t="s">
        <v>12</v>
      </c>
      <c r="B2" s="16" t="s">
        <v>39</v>
      </c>
      <c r="C2" s="4" t="s">
        <v>40</v>
      </c>
      <c r="D2" s="4" t="s">
        <v>37</v>
      </c>
      <c r="E2" s="4" t="s">
        <v>36</v>
      </c>
      <c r="F2" s="4" t="s">
        <v>41</v>
      </c>
      <c r="G2" s="1"/>
      <c r="H2" s="19" t="s">
        <v>147</v>
      </c>
      <c r="I2" s="1"/>
    </row>
    <row r="3" spans="1:9" x14ac:dyDescent="0.2">
      <c r="A3" s="1"/>
      <c r="B3" s="6"/>
      <c r="C3" s="6"/>
      <c r="D3" s="6"/>
      <c r="E3" s="6"/>
      <c r="F3" s="6"/>
      <c r="G3" s="6" t="s">
        <v>47</v>
      </c>
      <c r="H3" s="19" t="s">
        <v>90</v>
      </c>
      <c r="I3" s="6" t="s">
        <v>106</v>
      </c>
    </row>
    <row r="4" spans="1:9" x14ac:dyDescent="0.2">
      <c r="B4" s="72" t="s">
        <v>117</v>
      </c>
      <c r="C4" s="71"/>
      <c r="D4" s="68" t="s">
        <v>38</v>
      </c>
      <c r="E4" s="68" t="s">
        <v>35</v>
      </c>
      <c r="F4" s="68" t="s">
        <v>158</v>
      </c>
      <c r="G4" s="33"/>
      <c r="H4" s="70" t="s">
        <v>151</v>
      </c>
      <c r="I4" s="70"/>
    </row>
    <row r="6" spans="1:9" x14ac:dyDescent="0.2">
      <c r="A6" s="7">
        <v>1980</v>
      </c>
      <c r="B6" s="21">
        <f>+'tab 13'!N6</f>
        <v>1521.4</v>
      </c>
      <c r="C6" s="21">
        <f>+'tab 14'!N6</f>
        <v>1399.8</v>
      </c>
      <c r="D6" s="22">
        <f t="shared" ref="D6:D48" si="0">+E6*1000/C6</f>
        <v>1649.7549649949992</v>
      </c>
      <c r="E6" s="21">
        <f>+'tab 15'!N6/1000</f>
        <v>2309.3270000000002</v>
      </c>
      <c r="F6" s="11">
        <v>578.63499999999999</v>
      </c>
      <c r="G6" s="24">
        <v>22.75</v>
      </c>
      <c r="H6" s="24" t="s">
        <v>97</v>
      </c>
      <c r="I6" s="24">
        <v>12.5</v>
      </c>
    </row>
    <row r="7" spans="1:9" x14ac:dyDescent="0.2">
      <c r="A7" s="7">
        <v>1981</v>
      </c>
      <c r="B7" s="21">
        <f>+'tab 13'!N7</f>
        <v>1514</v>
      </c>
      <c r="C7" s="21">
        <f>+'tab 14'!N7</f>
        <v>1488.7</v>
      </c>
      <c r="D7" s="22">
        <f t="shared" si="0"/>
        <v>2674.7161953382147</v>
      </c>
      <c r="E7" s="21">
        <f>+'tab 15'!N7/1000</f>
        <v>3981.85</v>
      </c>
      <c r="F7" s="11">
        <v>1069.5260000000001</v>
      </c>
      <c r="G7" s="24">
        <v>22.75</v>
      </c>
      <c r="H7" s="24" t="s">
        <v>97</v>
      </c>
      <c r="I7" s="24">
        <v>12.5</v>
      </c>
    </row>
    <row r="8" spans="1:9" x14ac:dyDescent="0.2">
      <c r="A8" s="7">
        <v>1982</v>
      </c>
      <c r="B8" s="21">
        <f>+'tab 13'!N8</f>
        <v>1311.4</v>
      </c>
      <c r="C8" s="21">
        <f>+'tab 14'!N8</f>
        <v>1277.4000000000001</v>
      </c>
      <c r="D8" s="22">
        <f t="shared" si="0"/>
        <v>2693.1697197432281</v>
      </c>
      <c r="E8" s="21">
        <f>+'tab 15'!N8/1000</f>
        <v>3440.2550000000001</v>
      </c>
      <c r="F8" s="11">
        <v>862.68600000000004</v>
      </c>
      <c r="G8" s="24">
        <v>27.5</v>
      </c>
      <c r="H8" s="24" t="s">
        <v>97</v>
      </c>
      <c r="I8" s="24">
        <v>10</v>
      </c>
    </row>
    <row r="9" spans="1:9" x14ac:dyDescent="0.2">
      <c r="A9" s="7">
        <v>1983</v>
      </c>
      <c r="B9" s="21">
        <f>+'tab 13'!N9</f>
        <v>1411</v>
      </c>
      <c r="C9" s="21">
        <f>+'tab 14'!N9</f>
        <v>1373.5</v>
      </c>
      <c r="D9" s="22">
        <f t="shared" si="0"/>
        <v>2399.3665817255187</v>
      </c>
      <c r="E9" s="21">
        <f>+'tab 15'!N9/1000</f>
        <v>3295.53</v>
      </c>
      <c r="F9" s="11">
        <v>814.57899999999995</v>
      </c>
      <c r="G9" s="24">
        <v>27.5</v>
      </c>
      <c r="H9" s="24" t="s">
        <v>97</v>
      </c>
      <c r="I9" s="24">
        <v>9.3000000000000007</v>
      </c>
    </row>
    <row r="10" spans="1:9" x14ac:dyDescent="0.2">
      <c r="A10" s="7">
        <v>1984</v>
      </c>
      <c r="B10" s="21">
        <f>+'tab 13'!N10</f>
        <v>1558.6</v>
      </c>
      <c r="C10" s="21">
        <f>+'tab 14'!N10</f>
        <v>1528</v>
      </c>
      <c r="D10" s="22">
        <f t="shared" si="0"/>
        <v>2883.4718586387435</v>
      </c>
      <c r="E10" s="21">
        <f>+'tab 15'!N10/1000</f>
        <v>4405.9449999999997</v>
      </c>
      <c r="F10" s="11">
        <v>1230.7739999999999</v>
      </c>
      <c r="G10" s="24">
        <v>27.5</v>
      </c>
      <c r="H10" s="24" t="s">
        <v>97</v>
      </c>
      <c r="I10" s="24">
        <v>9.3000000000000007</v>
      </c>
    </row>
    <row r="11" spans="1:9" x14ac:dyDescent="0.2">
      <c r="A11" s="7">
        <v>1985</v>
      </c>
      <c r="B11" s="21">
        <f>+'tab 13'!N11</f>
        <v>1490.4</v>
      </c>
      <c r="C11" s="21">
        <f>+'tab 14'!N11</f>
        <v>1467.4</v>
      </c>
      <c r="D11" s="22">
        <f t="shared" si="0"/>
        <v>2809.5863431920407</v>
      </c>
      <c r="E11" s="21">
        <f>+'tab 15'!N11/1000</f>
        <v>4122.7870000000003</v>
      </c>
      <c r="F11" s="11">
        <v>1003.412</v>
      </c>
      <c r="G11" s="24">
        <v>27.95</v>
      </c>
      <c r="H11" s="24" t="s">
        <v>97</v>
      </c>
      <c r="I11" s="24">
        <v>7.4</v>
      </c>
    </row>
    <row r="12" spans="1:9" x14ac:dyDescent="0.2">
      <c r="A12" s="7">
        <v>1986</v>
      </c>
      <c r="B12" s="21">
        <f>+'tab 13'!N12</f>
        <v>1564.7</v>
      </c>
      <c r="C12" s="21">
        <f>+'tab 14'!N12</f>
        <v>1535.2</v>
      </c>
      <c r="D12" s="22">
        <f t="shared" si="0"/>
        <v>2408.2106565919748</v>
      </c>
      <c r="E12" s="21">
        <f>+'tab 15'!N12/1000</f>
        <v>3697.085</v>
      </c>
      <c r="F12" s="11">
        <v>1073.279</v>
      </c>
      <c r="G12" s="24">
        <v>30.37</v>
      </c>
      <c r="H12" s="24" t="s">
        <v>97</v>
      </c>
      <c r="I12" s="24">
        <v>7.5</v>
      </c>
    </row>
    <row r="13" spans="1:9" x14ac:dyDescent="0.2">
      <c r="A13" s="7">
        <v>1987</v>
      </c>
      <c r="B13" s="21">
        <f>+'tab 13'!N13</f>
        <v>1567.4</v>
      </c>
      <c r="C13" s="21">
        <f>+'tab 14'!N13</f>
        <v>1547.4</v>
      </c>
      <c r="D13" s="22">
        <f t="shared" si="0"/>
        <v>2336.8295204859764</v>
      </c>
      <c r="E13" s="21">
        <f>+'tab 15'!N13/1000</f>
        <v>3616.01</v>
      </c>
      <c r="F13" s="11">
        <v>1021.87</v>
      </c>
      <c r="G13" s="24">
        <v>30.41</v>
      </c>
      <c r="H13" s="24" t="s">
        <v>97</v>
      </c>
      <c r="I13" s="24">
        <v>7.5</v>
      </c>
    </row>
    <row r="14" spans="1:9" x14ac:dyDescent="0.2">
      <c r="A14" s="7">
        <v>1988</v>
      </c>
      <c r="B14" s="21">
        <f>+'tab 13'!N14</f>
        <v>1657.4</v>
      </c>
      <c r="C14" s="21">
        <f>+'tab 14'!N14</f>
        <v>1628.4</v>
      </c>
      <c r="D14" s="22">
        <f t="shared" si="0"/>
        <v>2444.6800540407762</v>
      </c>
      <c r="E14" s="21">
        <f>+'tab 15'!N14/1000</f>
        <v>3980.9169999999999</v>
      </c>
      <c r="F14" s="11">
        <v>1115.202</v>
      </c>
      <c r="G14" s="24">
        <v>30.76</v>
      </c>
      <c r="H14" s="24" t="s">
        <v>97</v>
      </c>
      <c r="I14" s="24">
        <v>7.5</v>
      </c>
    </row>
    <row r="15" spans="1:9" x14ac:dyDescent="0.2">
      <c r="A15" s="7">
        <v>1989</v>
      </c>
      <c r="B15" s="21">
        <f>+'tab 13'!N15</f>
        <v>1665.2</v>
      </c>
      <c r="C15" s="21">
        <f>+'tab 14'!N15</f>
        <v>1644.7</v>
      </c>
      <c r="D15" s="22">
        <f t="shared" si="0"/>
        <v>2425.9713017571594</v>
      </c>
      <c r="E15" s="21">
        <f>+'tab 15'!N15/1000</f>
        <v>3989.9949999999999</v>
      </c>
      <c r="F15" s="11">
        <v>1118.875</v>
      </c>
      <c r="G15" s="24">
        <v>30.79</v>
      </c>
      <c r="H15" s="24" t="s">
        <v>97</v>
      </c>
      <c r="I15" s="24">
        <v>7.5</v>
      </c>
    </row>
    <row r="16" spans="1:9" x14ac:dyDescent="0.2">
      <c r="A16" s="7">
        <v>1990</v>
      </c>
      <c r="B16" s="21">
        <f>+'tab 13'!N16</f>
        <v>1846</v>
      </c>
      <c r="C16" s="21">
        <f>+'tab 14'!N16</f>
        <v>1815.5</v>
      </c>
      <c r="D16" s="22">
        <f t="shared" si="0"/>
        <v>1984.9352795373175</v>
      </c>
      <c r="E16" s="21">
        <f>+'tab 15'!N16/1000</f>
        <v>3603.65</v>
      </c>
      <c r="F16" s="11">
        <v>1249.8989999999999</v>
      </c>
      <c r="G16" s="24">
        <v>31.57</v>
      </c>
      <c r="H16" s="24" t="s">
        <v>97</v>
      </c>
      <c r="I16" s="24">
        <v>7.5</v>
      </c>
    </row>
    <row r="17" spans="1:9" x14ac:dyDescent="0.2">
      <c r="A17" s="7">
        <v>1991</v>
      </c>
      <c r="B17" s="21">
        <f>+'tab 13'!N17</f>
        <v>2039.2</v>
      </c>
      <c r="C17" s="21">
        <f>+'tab 14'!N17</f>
        <v>2015.7</v>
      </c>
      <c r="D17" s="22">
        <f t="shared" si="0"/>
        <v>2444.0988242297963</v>
      </c>
      <c r="E17" s="21">
        <f>+'tab 15'!N17/1000</f>
        <v>4926.57</v>
      </c>
      <c r="F17" s="11">
        <v>1392.0409999999999</v>
      </c>
      <c r="G17" s="24">
        <v>32.14</v>
      </c>
      <c r="H17" s="24" t="s">
        <v>97</v>
      </c>
      <c r="I17" s="24">
        <v>7.49</v>
      </c>
    </row>
    <row r="18" spans="1:9" x14ac:dyDescent="0.2">
      <c r="A18" s="7">
        <v>1992</v>
      </c>
      <c r="B18" s="21">
        <f>+'tab 13'!N18</f>
        <v>1686.6</v>
      </c>
      <c r="C18" s="21">
        <f>+'tab 14'!N18</f>
        <v>1669.1</v>
      </c>
      <c r="D18" s="22">
        <f t="shared" si="0"/>
        <v>2566.9019231921397</v>
      </c>
      <c r="E18" s="21">
        <f>+'tab 15'!N18/1000</f>
        <v>4284.4160000000002</v>
      </c>
      <c r="F18" s="11">
        <v>1285.3610000000001</v>
      </c>
      <c r="G18" s="24">
        <v>33.75</v>
      </c>
      <c r="H18" s="24" t="s">
        <v>97</v>
      </c>
      <c r="I18" s="24">
        <v>6.55</v>
      </c>
    </row>
    <row r="19" spans="1:9" x14ac:dyDescent="0.2">
      <c r="A19" s="7">
        <v>1993</v>
      </c>
      <c r="B19" s="21">
        <f>+'tab 13'!N19</f>
        <v>1733.5</v>
      </c>
      <c r="C19" s="21">
        <f>+'tab 14'!N19</f>
        <v>1689.8</v>
      </c>
      <c r="D19" s="22">
        <f t="shared" si="0"/>
        <v>2007.5837377204402</v>
      </c>
      <c r="E19" s="21">
        <f>+'tab 15'!N19/1000</f>
        <v>3392.415</v>
      </c>
      <c r="F19" s="11">
        <v>1030.904</v>
      </c>
      <c r="G19" s="24">
        <v>33.75</v>
      </c>
      <c r="H19" s="24" t="s">
        <v>97</v>
      </c>
      <c r="I19" s="24">
        <v>6.55</v>
      </c>
    </row>
    <row r="20" spans="1:9" x14ac:dyDescent="0.2">
      <c r="A20" s="7">
        <v>1994</v>
      </c>
      <c r="B20" s="21">
        <f>+'tab 13'!N20</f>
        <v>1641</v>
      </c>
      <c r="C20" s="21">
        <f>+'tab 14'!N20</f>
        <v>1618.5</v>
      </c>
      <c r="D20" s="22">
        <f t="shared" si="0"/>
        <v>2624.3157244362064</v>
      </c>
      <c r="E20" s="21">
        <f>+'tab 15'!N20/1000</f>
        <v>4247.4549999999999</v>
      </c>
      <c r="F20" s="11">
        <v>1229.0119999999999</v>
      </c>
      <c r="G20" s="24">
        <v>33.92</v>
      </c>
      <c r="H20" s="24" t="s">
        <v>97</v>
      </c>
      <c r="I20" s="24">
        <v>6.6</v>
      </c>
    </row>
    <row r="21" spans="1:9" x14ac:dyDescent="0.2">
      <c r="A21" s="7">
        <v>1995</v>
      </c>
      <c r="B21" s="21">
        <f>+'tab 13'!N21</f>
        <v>1537.5</v>
      </c>
      <c r="C21" s="21">
        <f>+'tab 14'!N21</f>
        <v>1517</v>
      </c>
      <c r="D21" s="22">
        <f t="shared" si="0"/>
        <v>2281.7897165458139</v>
      </c>
      <c r="E21" s="21">
        <f>+'tab 15'!N21/1000</f>
        <v>3461.4749999999999</v>
      </c>
      <c r="F21" s="11">
        <v>1013.323</v>
      </c>
      <c r="G21" s="24">
        <v>33.92</v>
      </c>
      <c r="H21" s="24" t="s">
        <v>97</v>
      </c>
      <c r="I21" s="24">
        <v>6.6</v>
      </c>
    </row>
    <row r="22" spans="1:9" x14ac:dyDescent="0.2">
      <c r="A22" s="7">
        <v>1996</v>
      </c>
      <c r="B22" s="21">
        <f>+'tab 13'!N22</f>
        <v>1401.5</v>
      </c>
      <c r="C22" s="21">
        <f>+'tab 14'!N22</f>
        <v>1380</v>
      </c>
      <c r="D22" s="22">
        <f t="shared" si="0"/>
        <v>2653.0471014492755</v>
      </c>
      <c r="E22" s="21">
        <f>+'tab 15'!N22/1000</f>
        <v>3661.2049999999999</v>
      </c>
      <c r="F22" s="11">
        <v>1029.7739999999999</v>
      </c>
      <c r="G22" s="24">
        <v>30.5</v>
      </c>
      <c r="H22" s="24" t="s">
        <v>97</v>
      </c>
      <c r="I22" s="24">
        <v>6.6</v>
      </c>
    </row>
    <row r="23" spans="1:9" x14ac:dyDescent="0.2">
      <c r="A23" s="7">
        <v>1997</v>
      </c>
      <c r="B23" s="21">
        <f>+'tab 13'!N23</f>
        <v>1434</v>
      </c>
      <c r="C23" s="21">
        <f>+'tab 14'!N23</f>
        <v>1413.8</v>
      </c>
      <c r="D23" s="22">
        <f t="shared" si="0"/>
        <v>2503.4516904795587</v>
      </c>
      <c r="E23" s="21">
        <f>+'tab 15'!N23/1000</f>
        <v>3539.38</v>
      </c>
      <c r="F23" s="11">
        <v>1002.703</v>
      </c>
      <c r="G23" s="24">
        <v>30.5</v>
      </c>
      <c r="H23" s="24" t="s">
        <v>97</v>
      </c>
      <c r="I23" s="24">
        <v>6.6</v>
      </c>
    </row>
    <row r="24" spans="1:9" x14ac:dyDescent="0.2">
      <c r="A24" s="7">
        <v>1998</v>
      </c>
      <c r="B24" s="21">
        <f>+'tab 13'!N24</f>
        <v>1521</v>
      </c>
      <c r="C24" s="21">
        <f>+'tab 14'!N24</f>
        <v>1467</v>
      </c>
      <c r="D24" s="22">
        <f t="shared" si="0"/>
        <v>2701.7314246762098</v>
      </c>
      <c r="E24" s="21">
        <f>+'tab 15'!N24/1000</f>
        <v>3963.44</v>
      </c>
      <c r="F24" s="11">
        <v>1125.9190000000001</v>
      </c>
      <c r="G24" s="24">
        <v>30.5</v>
      </c>
      <c r="H24" s="24" t="s">
        <v>97</v>
      </c>
      <c r="I24" s="24">
        <v>6.6</v>
      </c>
    </row>
    <row r="25" spans="1:9" x14ac:dyDescent="0.2">
      <c r="A25" s="7">
        <v>1999</v>
      </c>
      <c r="B25" s="21">
        <f>+'tab 13'!N25</f>
        <v>1534.5</v>
      </c>
      <c r="C25" s="21">
        <f>+'tab 14'!N25</f>
        <v>1436</v>
      </c>
      <c r="D25" s="22">
        <f t="shared" si="0"/>
        <v>2666.7757660167131</v>
      </c>
      <c r="E25" s="21">
        <f>+'tab 15'!N25/1000</f>
        <v>3829.49</v>
      </c>
      <c r="F25" s="11">
        <v>971.60799999999995</v>
      </c>
      <c r="G25" s="24">
        <v>30.5</v>
      </c>
      <c r="H25" s="24" t="s">
        <v>97</v>
      </c>
      <c r="I25" s="24">
        <v>6.6</v>
      </c>
    </row>
    <row r="26" spans="1:9" x14ac:dyDescent="0.2">
      <c r="A26" s="7">
        <v>2000</v>
      </c>
      <c r="B26" s="21">
        <f>+'tab 13'!N26</f>
        <v>1536.8</v>
      </c>
      <c r="C26" s="21">
        <f>+'tab 14'!N26</f>
        <v>1336</v>
      </c>
      <c r="D26" s="22">
        <f t="shared" si="0"/>
        <v>2444.2402694610778</v>
      </c>
      <c r="E26" s="21">
        <f>+'tab 15'!N26/1000</f>
        <v>3265.5050000000001</v>
      </c>
      <c r="F26" s="11">
        <v>896.09699999999998</v>
      </c>
      <c r="G26" s="24">
        <v>30.5</v>
      </c>
      <c r="H26" s="24" t="s">
        <v>97</v>
      </c>
      <c r="I26" s="24">
        <v>6.6</v>
      </c>
    </row>
    <row r="27" spans="1:9" x14ac:dyDescent="0.2">
      <c r="A27" s="7">
        <v>2001</v>
      </c>
      <c r="B27" s="21">
        <f>+'tab 13'!N27</f>
        <v>1541.2</v>
      </c>
      <c r="C27" s="21">
        <f>+'tab 14'!N27</f>
        <v>1411.9</v>
      </c>
      <c r="D27" s="22">
        <f t="shared" si="0"/>
        <v>3029.0417168354697</v>
      </c>
      <c r="E27" s="21">
        <f>+'tab 15'!N27/1000</f>
        <v>4276.7039999999997</v>
      </c>
      <c r="F27" s="11">
        <v>1000.5119999999999</v>
      </c>
      <c r="G27" s="24">
        <v>30.5</v>
      </c>
      <c r="H27" s="24" t="s">
        <v>97</v>
      </c>
      <c r="I27" s="24">
        <v>6.6</v>
      </c>
    </row>
    <row r="28" spans="1:9" x14ac:dyDescent="0.2">
      <c r="A28" s="7">
        <v>2002</v>
      </c>
      <c r="B28" s="21">
        <f>+'tab 13'!N28</f>
        <v>1353</v>
      </c>
      <c r="C28" s="21">
        <f>+'tab 14'!N28</f>
        <v>1291.7</v>
      </c>
      <c r="D28" s="22">
        <f t="shared" si="0"/>
        <v>2571.0613919640782</v>
      </c>
      <c r="E28" s="21">
        <f>+'tab 15'!N28/1000</f>
        <v>3321.04</v>
      </c>
      <c r="F28" s="11">
        <v>599.71400000000006</v>
      </c>
      <c r="G28" s="24" t="s">
        <v>97</v>
      </c>
      <c r="H28" s="45">
        <v>17.75</v>
      </c>
      <c r="I28" s="24" t="s">
        <v>97</v>
      </c>
    </row>
    <row r="29" spans="1:9" x14ac:dyDescent="0.2">
      <c r="A29" s="7">
        <v>2003</v>
      </c>
      <c r="B29" s="21">
        <f>+'tab 13'!N29</f>
        <v>1344</v>
      </c>
      <c r="C29" s="21">
        <f>+'tab 14'!N29</f>
        <v>1312</v>
      </c>
      <c r="D29" s="22">
        <f t="shared" si="0"/>
        <v>3158.6509146341459</v>
      </c>
      <c r="E29" s="21">
        <f>+'tab 15'!N29/1000</f>
        <v>4144.1499999999996</v>
      </c>
      <c r="F29" s="11">
        <v>799.428</v>
      </c>
      <c r="G29" s="24" t="s">
        <v>97</v>
      </c>
      <c r="H29" s="45">
        <v>17.75</v>
      </c>
      <c r="I29" s="24" t="s">
        <v>97</v>
      </c>
    </row>
    <row r="30" spans="1:9" x14ac:dyDescent="0.2">
      <c r="A30" s="7">
        <v>2004</v>
      </c>
      <c r="B30" s="21">
        <f>+'tab 13'!N30</f>
        <v>1430</v>
      </c>
      <c r="C30" s="21">
        <f>+'tab 14'!N30</f>
        <v>1394</v>
      </c>
      <c r="D30" s="22">
        <f t="shared" si="0"/>
        <v>3076.1836441893829</v>
      </c>
      <c r="E30" s="21">
        <f>+'tab 15'!N30/1000</f>
        <v>4288.2</v>
      </c>
      <c r="F30" s="11">
        <v>813.55100000000004</v>
      </c>
      <c r="G30" s="24" t="s">
        <v>97</v>
      </c>
      <c r="H30" s="45">
        <v>17.75</v>
      </c>
      <c r="I30" s="24" t="s">
        <v>97</v>
      </c>
    </row>
    <row r="31" spans="1:9" x14ac:dyDescent="0.2">
      <c r="A31" s="7">
        <v>2005</v>
      </c>
      <c r="B31" s="21">
        <f>+'tab 13'!N31</f>
        <v>1657</v>
      </c>
      <c r="C31" s="21">
        <f>+'tab 14'!N31</f>
        <v>1629</v>
      </c>
      <c r="D31" s="22">
        <f t="shared" si="0"/>
        <v>2989.4782074892573</v>
      </c>
      <c r="E31" s="21">
        <f>+'tab 15'!N31/1000</f>
        <v>4869.8599999999997</v>
      </c>
      <c r="F31" s="11">
        <v>843.43499999999995</v>
      </c>
      <c r="G31" s="24" t="s">
        <v>97</v>
      </c>
      <c r="H31" s="45">
        <v>17.75</v>
      </c>
      <c r="I31" s="24" t="s">
        <v>97</v>
      </c>
    </row>
    <row r="32" spans="1:9" x14ac:dyDescent="0.2">
      <c r="A32" s="7">
        <v>2006</v>
      </c>
      <c r="B32" s="21">
        <f>+'tab 13'!N32</f>
        <v>1243</v>
      </c>
      <c r="C32" s="21">
        <f>+'tab 14'!N32</f>
        <v>1210</v>
      </c>
      <c r="D32" s="22">
        <f t="shared" si="0"/>
        <v>2863.0165289256197</v>
      </c>
      <c r="E32" s="21">
        <f>+'tab 15'!N32/1000</f>
        <v>3464.25</v>
      </c>
      <c r="F32" s="11">
        <v>612.798</v>
      </c>
      <c r="G32" s="24" t="s">
        <v>97</v>
      </c>
      <c r="H32" s="45">
        <v>17.75</v>
      </c>
      <c r="I32" s="24" t="s">
        <v>97</v>
      </c>
    </row>
    <row r="33" spans="1:9" x14ac:dyDescent="0.2">
      <c r="A33" s="7">
        <v>2007</v>
      </c>
      <c r="B33" s="21">
        <f>+'tab 13'!N33</f>
        <v>1230</v>
      </c>
      <c r="C33" s="21">
        <f>+'tab 14'!N33</f>
        <v>1195</v>
      </c>
      <c r="D33" s="22">
        <f t="shared" si="0"/>
        <v>3073.0125523012553</v>
      </c>
      <c r="E33" s="21">
        <f>+'tab 15'!N33/1000</f>
        <v>3672.25</v>
      </c>
      <c r="F33" s="11">
        <v>758.62599999999998</v>
      </c>
      <c r="G33" s="24" t="s">
        <v>97</v>
      </c>
      <c r="H33" s="45">
        <v>17.75</v>
      </c>
      <c r="I33" s="24" t="s">
        <v>97</v>
      </c>
    </row>
    <row r="34" spans="1:9" x14ac:dyDescent="0.2">
      <c r="A34" s="7">
        <v>2008</v>
      </c>
      <c r="B34" s="21">
        <f>+'tab 13'!N34</f>
        <v>1534</v>
      </c>
      <c r="C34" s="21">
        <f>+'tab 14'!N34</f>
        <v>1507</v>
      </c>
      <c r="D34" s="22">
        <f t="shared" si="0"/>
        <v>3425.6138022561381</v>
      </c>
      <c r="E34" s="21">
        <f>+'tab 15'!N34/1000</f>
        <v>5162.3999999999996</v>
      </c>
      <c r="F34" s="11">
        <v>1193.617</v>
      </c>
      <c r="G34" s="24" t="s">
        <v>97</v>
      </c>
      <c r="H34" s="45">
        <v>17.75</v>
      </c>
      <c r="I34" s="24" t="s">
        <v>97</v>
      </c>
    </row>
    <row r="35" spans="1:9" x14ac:dyDescent="0.2">
      <c r="A35" s="7">
        <v>2009</v>
      </c>
      <c r="B35" s="21">
        <f>+'tab 13'!N35</f>
        <v>1116</v>
      </c>
      <c r="C35" s="21">
        <f>+'tab 14'!N35</f>
        <v>1079</v>
      </c>
      <c r="D35" s="22">
        <f t="shared" si="0"/>
        <v>3421.3623725671919</v>
      </c>
      <c r="E35" s="21">
        <f>+'tab 15'!N35/1000</f>
        <v>3691.65</v>
      </c>
      <c r="F35" s="11">
        <v>793.14700000000005</v>
      </c>
      <c r="G35" s="24" t="s">
        <v>97</v>
      </c>
      <c r="H35" s="45">
        <v>17.75</v>
      </c>
      <c r="I35" s="24" t="s">
        <v>97</v>
      </c>
    </row>
    <row r="36" spans="1:9" x14ac:dyDescent="0.2">
      <c r="A36" s="7">
        <v>2010</v>
      </c>
      <c r="B36" s="21">
        <f>+'tab 13'!N36</f>
        <v>1288</v>
      </c>
      <c r="C36" s="21">
        <f>+'tab 14'!N36</f>
        <v>1255</v>
      </c>
      <c r="D36" s="22">
        <f t="shared" si="0"/>
        <v>3312.2231075697209</v>
      </c>
      <c r="E36" s="21">
        <f>+'tab 15'!N36/1000</f>
        <v>4156.84</v>
      </c>
      <c r="F36" s="11">
        <v>938.61099999999999</v>
      </c>
      <c r="G36" s="24" t="s">
        <v>97</v>
      </c>
      <c r="H36" s="45">
        <v>17.75</v>
      </c>
      <c r="I36" s="24" t="s">
        <v>97</v>
      </c>
    </row>
    <row r="37" spans="1:9" x14ac:dyDescent="0.2">
      <c r="A37" s="7">
        <v>2011</v>
      </c>
      <c r="B37" s="21">
        <f>+'tab 13'!N37</f>
        <v>1140.5999999999999</v>
      </c>
      <c r="C37" s="21">
        <f>+'tab 14'!N37</f>
        <v>1080.5999999999999</v>
      </c>
      <c r="D37" s="22">
        <f t="shared" si="0"/>
        <v>3385.7023875624654</v>
      </c>
      <c r="E37" s="21">
        <f>+'tab 15'!N37/1000</f>
        <v>3658.59</v>
      </c>
      <c r="F37" s="11">
        <v>1168.587</v>
      </c>
      <c r="G37" s="24" t="s">
        <v>97</v>
      </c>
      <c r="H37" s="45">
        <v>17.75</v>
      </c>
      <c r="I37" s="24" t="s">
        <v>97</v>
      </c>
    </row>
    <row r="38" spans="1:9" x14ac:dyDescent="0.2">
      <c r="A38" s="7">
        <v>2012</v>
      </c>
      <c r="B38" s="21">
        <f>+'tab 13'!N38</f>
        <v>1638</v>
      </c>
      <c r="C38" s="21">
        <f>+'tab 14'!N38</f>
        <v>1604</v>
      </c>
      <c r="D38" s="22">
        <f t="shared" si="0"/>
        <v>4210.6483790523689</v>
      </c>
      <c r="E38" s="21">
        <f>+'tab 15'!N38/1000</f>
        <v>6753.88</v>
      </c>
      <c r="F38" s="11">
        <v>2026.326</v>
      </c>
      <c r="G38" s="24" t="s">
        <v>97</v>
      </c>
      <c r="H38" s="45">
        <v>17.75</v>
      </c>
      <c r="I38" s="24" t="s">
        <v>97</v>
      </c>
    </row>
    <row r="39" spans="1:9" x14ac:dyDescent="0.2">
      <c r="A39" s="7">
        <v>2013</v>
      </c>
      <c r="B39" s="21">
        <f>+'tab 13'!N39</f>
        <v>1067</v>
      </c>
      <c r="C39" s="21">
        <f>+'tab 14'!N39</f>
        <v>1043</v>
      </c>
      <c r="D39" s="22">
        <f t="shared" si="0"/>
        <v>4001.1217641418984</v>
      </c>
      <c r="E39" s="21">
        <f>+'tab 15'!N39/1000</f>
        <v>4173.17</v>
      </c>
      <c r="F39" s="11">
        <v>1055.0953</v>
      </c>
      <c r="G39" s="24" t="s">
        <v>97</v>
      </c>
      <c r="H39" s="45">
        <v>17.75</v>
      </c>
      <c r="I39" s="24" t="s">
        <v>97</v>
      </c>
    </row>
    <row r="40" spans="1:9" x14ac:dyDescent="0.2">
      <c r="A40" s="7">
        <v>2014</v>
      </c>
      <c r="B40" s="21">
        <f>+'tab 13'!N40</f>
        <v>1353.5</v>
      </c>
      <c r="C40" s="21">
        <f>+'tab 14'!N40</f>
        <v>1322.5</v>
      </c>
      <c r="D40" s="22">
        <f t="shared" si="0"/>
        <v>3923.3761814744803</v>
      </c>
      <c r="E40" s="21">
        <f>+'tab 15'!N40/1000</f>
        <v>5188.665</v>
      </c>
      <c r="F40" s="11">
        <v>1158.251</v>
      </c>
      <c r="G40" s="24" t="s">
        <v>97</v>
      </c>
      <c r="H40" s="45">
        <v>17.75</v>
      </c>
      <c r="I40" s="24" t="s">
        <v>97</v>
      </c>
    </row>
    <row r="41" spans="1:9" x14ac:dyDescent="0.2">
      <c r="A41" s="7">
        <v>2015</v>
      </c>
      <c r="B41" s="21">
        <f>+'tab 13'!N41</f>
        <v>1625</v>
      </c>
      <c r="C41" s="21">
        <f>+'tab 14'!N41</f>
        <v>1560.9</v>
      </c>
      <c r="D41" s="22">
        <f t="shared" si="0"/>
        <v>3844.8055608943555</v>
      </c>
      <c r="E41" s="21">
        <f>+'tab 15'!N41/1000</f>
        <v>6001.357</v>
      </c>
      <c r="F41" s="11">
        <v>1160.56</v>
      </c>
      <c r="G41" s="24" t="s">
        <v>97</v>
      </c>
      <c r="H41" s="45">
        <v>17.75</v>
      </c>
      <c r="I41" s="24" t="s">
        <v>97</v>
      </c>
    </row>
    <row r="42" spans="1:9" x14ac:dyDescent="0.2">
      <c r="A42" s="7">
        <v>2016</v>
      </c>
      <c r="B42" s="21">
        <f>+'tab 13'!N42</f>
        <v>1671</v>
      </c>
      <c r="C42" s="21">
        <f>+'tab 14'!N42</f>
        <v>1536</v>
      </c>
      <c r="D42" s="22">
        <f t="shared" si="0"/>
        <v>3633.8346354166665</v>
      </c>
      <c r="E42" s="21">
        <f>+'tab 15'!N42/1000</f>
        <v>5581.57</v>
      </c>
      <c r="F42" s="11">
        <v>1088.165</v>
      </c>
      <c r="G42" s="24" t="s">
        <v>97</v>
      </c>
      <c r="H42" s="45">
        <v>17.75</v>
      </c>
      <c r="I42" s="24" t="s">
        <v>97</v>
      </c>
    </row>
    <row r="43" spans="1:9" x14ac:dyDescent="0.2">
      <c r="A43" s="7">
        <v>2017</v>
      </c>
      <c r="B43" s="21">
        <f>+'tab 13'!N43</f>
        <v>1871.6</v>
      </c>
      <c r="C43" s="21">
        <f>+'tab 14'!N43</f>
        <v>1775.6</v>
      </c>
      <c r="D43" s="22">
        <f t="shared" si="0"/>
        <v>4007.3271006983555</v>
      </c>
      <c r="E43" s="21">
        <f>+'tab 15'!N43/1000</f>
        <v>7115.41</v>
      </c>
      <c r="F43" s="11">
        <v>1634.0170000000001</v>
      </c>
      <c r="G43" s="24" t="s">
        <v>97</v>
      </c>
      <c r="H43" s="45">
        <v>17.75</v>
      </c>
      <c r="I43" s="24" t="s">
        <v>97</v>
      </c>
    </row>
    <row r="44" spans="1:9" x14ac:dyDescent="0.2">
      <c r="A44" s="7">
        <v>2018</v>
      </c>
      <c r="B44" s="21">
        <f>+'tab 13'!N44</f>
        <v>1425.5</v>
      </c>
      <c r="C44" s="21">
        <f>+'tab 14'!N44</f>
        <v>1373.5</v>
      </c>
      <c r="D44" s="22">
        <f t="shared" si="0"/>
        <v>4001.4088096104842</v>
      </c>
      <c r="E44" s="21">
        <f>+'tab 15'!N44/1000</f>
        <v>5495.9350000000004</v>
      </c>
      <c r="F44" s="11">
        <v>1169.953</v>
      </c>
      <c r="G44" s="24" t="s">
        <v>97</v>
      </c>
      <c r="H44" s="45">
        <v>17.75</v>
      </c>
      <c r="I44" s="24" t="s">
        <v>97</v>
      </c>
    </row>
    <row r="45" spans="1:9" ht="11.4" customHeight="1" x14ac:dyDescent="0.2">
      <c r="A45" s="31">
        <v>2019</v>
      </c>
      <c r="B45" s="21">
        <f>+'tab 13'!N45</f>
        <v>1432.7</v>
      </c>
      <c r="C45" s="21">
        <f>+'tab 14'!N45</f>
        <v>1389.7</v>
      </c>
      <c r="D45" s="22">
        <f t="shared" si="0"/>
        <v>3933.5734331150607</v>
      </c>
      <c r="E45" s="21">
        <f>+'tab 15'!N45/1000</f>
        <v>5466.4870000000001</v>
      </c>
      <c r="F45" s="11">
        <v>1131.374</v>
      </c>
      <c r="G45" s="24" t="s">
        <v>97</v>
      </c>
      <c r="H45" s="45">
        <v>17.75</v>
      </c>
      <c r="I45" s="24" t="s">
        <v>97</v>
      </c>
    </row>
    <row r="46" spans="1:9" ht="11.4" customHeight="1" x14ac:dyDescent="0.2">
      <c r="A46" s="31">
        <v>2020</v>
      </c>
      <c r="B46" s="21">
        <f>+'tab 13'!N46</f>
        <v>1662.5</v>
      </c>
      <c r="C46" s="21">
        <f>+'tab 14'!N46</f>
        <v>1615.2</v>
      </c>
      <c r="D46" s="22">
        <f t="shared" si="0"/>
        <v>3812.7476473501733</v>
      </c>
      <c r="E46" s="21">
        <f>+'tab 15'!N46/1000</f>
        <v>6158.35</v>
      </c>
      <c r="F46" s="11">
        <v>1294.4880000000001</v>
      </c>
      <c r="G46" s="24" t="s">
        <v>97</v>
      </c>
      <c r="H46" s="45">
        <f>(355/2000)*100</f>
        <v>17.75</v>
      </c>
      <c r="I46" s="24" t="s">
        <v>97</v>
      </c>
    </row>
    <row r="47" spans="1:9" ht="11.4" customHeight="1" x14ac:dyDescent="0.2">
      <c r="A47" s="31">
        <v>2021</v>
      </c>
      <c r="B47" s="21">
        <f>+'tab 13'!N47</f>
        <v>1580.2</v>
      </c>
      <c r="C47" s="21">
        <f>+'tab 14'!N47</f>
        <v>1540.1</v>
      </c>
      <c r="D47" s="22">
        <f t="shared" si="0"/>
        <v>4130.4662034932799</v>
      </c>
      <c r="E47" s="21">
        <f>+'tab 15'!N47/1000</f>
        <v>6361.3310000000001</v>
      </c>
      <c r="F47" s="11">
        <v>1562.694</v>
      </c>
      <c r="G47" s="24" t="s">
        <v>97</v>
      </c>
      <c r="H47" s="45">
        <f>(355/2000)*100</f>
        <v>17.75</v>
      </c>
      <c r="I47" s="24" t="s">
        <v>97</v>
      </c>
    </row>
    <row r="48" spans="1:9" ht="11.4" customHeight="1" x14ac:dyDescent="0.2">
      <c r="A48" s="32" t="s">
        <v>176</v>
      </c>
      <c r="B48" s="20">
        <f>+'tab 13'!N48</f>
        <v>1450.3</v>
      </c>
      <c r="C48" s="20">
        <f>+'tab 14'!N48</f>
        <v>1385.4</v>
      </c>
      <c r="D48" s="18">
        <f t="shared" si="0"/>
        <v>4019.1641403204849</v>
      </c>
      <c r="E48" s="20">
        <f>+'tab 15'!N48/1000</f>
        <v>5568.15</v>
      </c>
      <c r="F48" s="47">
        <v>1468.432</v>
      </c>
      <c r="G48" s="23" t="s">
        <v>97</v>
      </c>
      <c r="H48" s="46">
        <f>(355/2000)*100</f>
        <v>17.75</v>
      </c>
      <c r="I48" s="23" t="s">
        <v>97</v>
      </c>
    </row>
    <row r="49" spans="1:9" ht="11.4" customHeight="1" x14ac:dyDescent="0.2">
      <c r="A49" s="31" t="s">
        <v>160</v>
      </c>
      <c r="B49" s="21"/>
      <c r="C49" s="21"/>
      <c r="D49" s="22"/>
      <c r="E49" s="21"/>
      <c r="F49" s="11"/>
      <c r="G49" s="24"/>
      <c r="H49" s="45"/>
      <c r="I49" s="24"/>
    </row>
    <row r="50" spans="1:9" x14ac:dyDescent="0.2">
      <c r="A50" s="26" t="s">
        <v>149</v>
      </c>
    </row>
    <row r="51" spans="1:9" x14ac:dyDescent="0.2">
      <c r="A51" s="31" t="s">
        <v>159</v>
      </c>
    </row>
    <row r="52" spans="1:9" x14ac:dyDescent="0.2">
      <c r="A52" s="26" t="s">
        <v>177</v>
      </c>
    </row>
    <row r="53" spans="1:9" x14ac:dyDescent="0.2">
      <c r="A53" s="26" t="s">
        <v>152</v>
      </c>
    </row>
    <row r="54" spans="1:9" ht="10.199999999999999" customHeight="1" x14ac:dyDescent="0.2">
      <c r="I54" s="51" t="s">
        <v>178</v>
      </c>
    </row>
  </sheetData>
  <pageMargins left="0.7" right="0.7" top="0.75" bottom="0.75" header="0.3" footer="0.3"/>
  <pageSetup scale="98" firstPageNumber="10" orientation="portrait" useFirstPageNumber="1" r:id="rId1"/>
  <headerFooter alignWithMargins="0">
    <oddFooter>&amp;C&amp;P
Oil Crops Yearbook/OCS-2020
March 2020
Economic Research Service, USDA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6201D-ED3D-4489-ACC7-6013CA527B77}">
  <sheetPr>
    <pageSetUpPr fitToPage="1"/>
  </sheetPr>
  <dimension ref="A1:P61"/>
  <sheetViews>
    <sheetView zoomScaleNormal="100" zoomScaleSheetLayoutView="100" workbookViewId="0">
      <pane xSplit="1" ySplit="7" topLeftCell="B8" activePane="bottomRight" state="frozen"/>
      <selection activeCell="C57" sqref="C57"/>
      <selection pane="topRight" activeCell="C57" sqref="C57"/>
      <selection pane="bottomLeft" activeCell="C57" sqref="C57"/>
      <selection pane="bottomRight"/>
    </sheetView>
  </sheetViews>
  <sheetFormatPr defaultRowHeight="10.199999999999999" x14ac:dyDescent="0.2"/>
  <cols>
    <col min="1" max="1" width="10.7109375" customWidth="1"/>
    <col min="2" max="2" width="13.7109375" customWidth="1"/>
    <col min="3" max="3" width="11" customWidth="1"/>
    <col min="4" max="4" width="8.140625" customWidth="1"/>
    <col min="5" max="5" width="9" customWidth="1"/>
    <col min="6" max="6" width="8.7109375" customWidth="1"/>
    <col min="7" max="7" width="10.7109375" customWidth="1"/>
    <col min="8" max="8" width="9.140625" customWidth="1"/>
    <col min="9" max="9" width="10.140625" customWidth="1"/>
    <col min="10" max="10" width="8" customWidth="1"/>
    <col min="11" max="11" width="13.85546875" customWidth="1"/>
    <col min="12" max="12" width="12.85546875" customWidth="1"/>
    <col min="14" max="14" width="15.42578125" customWidth="1"/>
    <col min="18" max="18" width="9" customWidth="1"/>
  </cols>
  <sheetData>
    <row r="1" spans="1:12" x14ac:dyDescent="0.2">
      <c r="A1" s="28" t="s">
        <v>169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B2" s="64"/>
      <c r="C2" s="53" t="s">
        <v>57</v>
      </c>
      <c r="D2" s="8"/>
      <c r="E2" s="60"/>
      <c r="G2" s="4"/>
      <c r="H2" s="61" t="s">
        <v>55</v>
      </c>
      <c r="I2" s="4"/>
      <c r="J2" s="60"/>
      <c r="K2" s="6" t="s">
        <v>56</v>
      </c>
      <c r="L2" s="54" t="s">
        <v>114</v>
      </c>
    </row>
    <row r="3" spans="1:12" x14ac:dyDescent="0.2">
      <c r="A3" s="5" t="s">
        <v>153</v>
      </c>
      <c r="B3" s="54" t="s">
        <v>77</v>
      </c>
      <c r="C3" s="5"/>
      <c r="D3" s="5"/>
      <c r="E3" s="59"/>
      <c r="F3" s="54"/>
      <c r="G3" s="5"/>
      <c r="H3" s="5"/>
      <c r="I3" s="5" t="s">
        <v>43</v>
      </c>
      <c r="J3" s="59"/>
      <c r="K3" s="5" t="s">
        <v>113</v>
      </c>
      <c r="L3" s="55" t="s">
        <v>115</v>
      </c>
    </row>
    <row r="4" spans="1:12" x14ac:dyDescent="0.2">
      <c r="A4" s="5" t="s">
        <v>42</v>
      </c>
      <c r="B4" s="55" t="s">
        <v>48</v>
      </c>
      <c r="C4" s="5" t="s">
        <v>30</v>
      </c>
      <c r="D4" s="5" t="s">
        <v>33</v>
      </c>
      <c r="E4" s="56" t="s">
        <v>0</v>
      </c>
      <c r="F4" s="55" t="s">
        <v>49</v>
      </c>
      <c r="G4" s="5" t="s">
        <v>34</v>
      </c>
      <c r="H4" s="5" t="s">
        <v>50</v>
      </c>
      <c r="I4" s="5" t="s">
        <v>45</v>
      </c>
      <c r="J4" s="56" t="s">
        <v>0</v>
      </c>
      <c r="K4" s="5" t="s">
        <v>52</v>
      </c>
      <c r="L4" s="55" t="s">
        <v>116</v>
      </c>
    </row>
    <row r="5" spans="1:12" x14ac:dyDescent="0.2">
      <c r="A5" s="5" t="s">
        <v>44</v>
      </c>
      <c r="C5" s="5"/>
      <c r="D5" s="5"/>
      <c r="E5" s="56"/>
      <c r="F5" s="55"/>
      <c r="G5" s="5"/>
      <c r="H5" s="5"/>
      <c r="I5" s="5" t="s">
        <v>51</v>
      </c>
      <c r="J5" s="56"/>
      <c r="K5" s="5" t="s">
        <v>53</v>
      </c>
      <c r="L5" s="55"/>
    </row>
    <row r="6" spans="1:12" x14ac:dyDescent="0.2">
      <c r="A6" s="6" t="s">
        <v>154</v>
      </c>
      <c r="B6" s="58"/>
      <c r="C6" s="6"/>
      <c r="D6" s="6" t="s">
        <v>29</v>
      </c>
      <c r="E6" s="57" t="s">
        <v>29</v>
      </c>
      <c r="F6" s="58"/>
      <c r="G6" s="6"/>
      <c r="H6" s="6"/>
      <c r="I6" s="6" t="s">
        <v>46</v>
      </c>
      <c r="J6" s="57"/>
      <c r="K6" s="6" t="s">
        <v>54</v>
      </c>
      <c r="L6" s="58"/>
    </row>
    <row r="7" spans="1:12" x14ac:dyDescent="0.2">
      <c r="A7" s="33"/>
      <c r="B7" s="33"/>
      <c r="C7" s="70"/>
      <c r="D7" s="70"/>
      <c r="E7" s="70"/>
      <c r="F7" s="70" t="s">
        <v>118</v>
      </c>
      <c r="G7" s="70"/>
      <c r="H7" s="70"/>
      <c r="I7" s="70"/>
      <c r="J7" s="70"/>
      <c r="K7" s="68" t="s">
        <v>104</v>
      </c>
      <c r="L7" s="73" t="s">
        <v>38</v>
      </c>
    </row>
    <row r="8" spans="1:12" x14ac:dyDescent="0.2">
      <c r="B8" s="34"/>
      <c r="C8" s="34"/>
      <c r="D8" s="34"/>
      <c r="E8" s="34"/>
      <c r="F8" s="34"/>
      <c r="G8" s="34"/>
      <c r="H8" s="34"/>
      <c r="I8" s="34"/>
      <c r="J8" s="34"/>
      <c r="K8" s="2"/>
      <c r="L8" s="2"/>
    </row>
    <row r="9" spans="1:12" x14ac:dyDescent="0.2">
      <c r="A9" s="7" t="s">
        <v>80</v>
      </c>
      <c r="B9" s="9">
        <v>628</v>
      </c>
      <c r="C9" s="9">
        <f>+'tab 10'!E6</f>
        <v>2309.3270000000002</v>
      </c>
      <c r="D9" s="9">
        <v>401</v>
      </c>
      <c r="E9" s="9">
        <f t="shared" ref="E9:E26" si="0">SUM(B9:D9)</f>
        <v>3338.3270000000002</v>
      </c>
      <c r="F9" s="27">
        <f>1.33*335.528</f>
        <v>446.25224000000003</v>
      </c>
      <c r="G9" s="9">
        <v>503</v>
      </c>
      <c r="H9" s="9">
        <v>1465</v>
      </c>
      <c r="I9" s="11">
        <f t="shared" ref="I9:I51" si="1">+J9-F9-G9-H9</f>
        <v>511.07476000000042</v>
      </c>
      <c r="J9" s="9">
        <f t="shared" ref="J9:J50" si="2">+E9-B10</f>
        <v>2925.3270000000002</v>
      </c>
      <c r="K9" s="43">
        <v>25.1</v>
      </c>
      <c r="L9" s="43">
        <f>+H9*0.7519/229.966</f>
        <v>4.789984171573189</v>
      </c>
    </row>
    <row r="10" spans="1:12" x14ac:dyDescent="0.2">
      <c r="A10" s="7" t="s">
        <v>81</v>
      </c>
      <c r="B10" s="9">
        <v>413</v>
      </c>
      <c r="C10" s="9">
        <f>+'tab 10'!E7</f>
        <v>3981.85</v>
      </c>
      <c r="D10" s="9">
        <v>2</v>
      </c>
      <c r="E10" s="9">
        <f t="shared" si="0"/>
        <v>4396.8500000000004</v>
      </c>
      <c r="F10" s="27">
        <f>1.33*431.48</f>
        <v>573.86840000000007</v>
      </c>
      <c r="G10" s="9">
        <v>576</v>
      </c>
      <c r="H10" s="9">
        <v>1696</v>
      </c>
      <c r="I10" s="11">
        <f t="shared" si="1"/>
        <v>793.98160000000007</v>
      </c>
      <c r="J10" s="9">
        <f t="shared" si="2"/>
        <v>3639.8500000000004</v>
      </c>
      <c r="K10" s="43">
        <v>26.9</v>
      </c>
      <c r="L10" s="43">
        <f>+H10*0.7519/232.188</f>
        <v>5.4921977018622847</v>
      </c>
    </row>
    <row r="11" spans="1:12" x14ac:dyDescent="0.2">
      <c r="A11" s="7" t="s">
        <v>82</v>
      </c>
      <c r="B11" s="9">
        <v>757</v>
      </c>
      <c r="C11" s="9">
        <f>+'tab 10'!E8</f>
        <v>3440.2550000000001</v>
      </c>
      <c r="D11" s="9">
        <v>2</v>
      </c>
      <c r="E11" s="9">
        <f t="shared" si="0"/>
        <v>4199.2550000000001</v>
      </c>
      <c r="F11" s="27">
        <f>1.33*256.436</f>
        <v>341.05987999999996</v>
      </c>
      <c r="G11" s="9">
        <v>681</v>
      </c>
      <c r="H11" s="9">
        <v>1849</v>
      </c>
      <c r="I11" s="11">
        <f t="shared" si="1"/>
        <v>464.19512000000032</v>
      </c>
      <c r="J11" s="9">
        <f t="shared" si="2"/>
        <v>3335.2550000000001</v>
      </c>
      <c r="K11" s="43">
        <v>25.1</v>
      </c>
      <c r="L11" s="43">
        <f>+H11*0.7519/234.307</f>
        <v>5.9335107359148473</v>
      </c>
    </row>
    <row r="12" spans="1:12" x14ac:dyDescent="0.2">
      <c r="A12" s="7" t="s">
        <v>83</v>
      </c>
      <c r="B12" s="9">
        <v>864</v>
      </c>
      <c r="C12" s="9">
        <f>+'tab 10'!E9</f>
        <v>3295.53</v>
      </c>
      <c r="D12" s="9">
        <v>2</v>
      </c>
      <c r="E12" s="9">
        <f t="shared" si="0"/>
        <v>4161.5300000000007</v>
      </c>
      <c r="F12" s="27">
        <f>1.33*291.084</f>
        <v>387.14172000000002</v>
      </c>
      <c r="G12" s="9">
        <v>744</v>
      </c>
      <c r="H12" s="9">
        <v>1856</v>
      </c>
      <c r="I12" s="11">
        <f t="shared" si="1"/>
        <v>563.38828000000058</v>
      </c>
      <c r="J12" s="9">
        <f t="shared" si="2"/>
        <v>3550.5300000000007</v>
      </c>
      <c r="K12" s="43">
        <v>24.7</v>
      </c>
      <c r="L12" s="43">
        <f>+H12*0.7519/236.348</f>
        <v>5.9045407619273274</v>
      </c>
    </row>
    <row r="13" spans="1:12" x14ac:dyDescent="0.2">
      <c r="A13" s="7" t="s">
        <v>84</v>
      </c>
      <c r="B13" s="9">
        <v>611</v>
      </c>
      <c r="C13" s="9">
        <f>+'tab 10'!E10</f>
        <v>4405.9449999999997</v>
      </c>
      <c r="D13" s="9">
        <v>2</v>
      </c>
      <c r="E13" s="9">
        <f t="shared" si="0"/>
        <v>5018.9449999999997</v>
      </c>
      <c r="F13" s="27">
        <f>1.33*470.264</f>
        <v>625.45112000000006</v>
      </c>
      <c r="G13" s="9">
        <v>860</v>
      </c>
      <c r="H13" s="9">
        <v>1911</v>
      </c>
      <c r="I13" s="11">
        <f t="shared" si="1"/>
        <v>198.49387999999954</v>
      </c>
      <c r="J13" s="9">
        <f t="shared" si="2"/>
        <v>3594.9449999999997</v>
      </c>
      <c r="K13" s="43">
        <v>27.9</v>
      </c>
      <c r="L13" s="43">
        <f>+H13*0.7519/238.466</f>
        <v>6.0255168451687036</v>
      </c>
    </row>
    <row r="14" spans="1:12" x14ac:dyDescent="0.2">
      <c r="A14" s="7" t="s">
        <v>85</v>
      </c>
      <c r="B14" s="9">
        <v>1424</v>
      </c>
      <c r="C14" s="9">
        <f>+'tab 10'!E11</f>
        <v>4122.7870000000003</v>
      </c>
      <c r="D14" s="9">
        <v>2</v>
      </c>
      <c r="E14" s="9">
        <f t="shared" si="0"/>
        <v>5548.7870000000003</v>
      </c>
      <c r="F14" s="27">
        <f>1.33*610.897</f>
        <v>812.49301000000014</v>
      </c>
      <c r="G14" s="9">
        <v>1045.7</v>
      </c>
      <c r="H14" s="9">
        <v>2023</v>
      </c>
      <c r="I14" s="11">
        <f t="shared" si="1"/>
        <v>822.5939900000003</v>
      </c>
      <c r="J14" s="9">
        <f t="shared" si="2"/>
        <v>4703.7870000000003</v>
      </c>
      <c r="K14" s="43">
        <v>24.3</v>
      </c>
      <c r="L14" s="43">
        <f>+H14*0.7519/240.651</f>
        <v>6.3207453947833168</v>
      </c>
    </row>
    <row r="15" spans="1:12" x14ac:dyDescent="0.2">
      <c r="A15" s="7" t="s">
        <v>86</v>
      </c>
      <c r="B15" s="9">
        <v>845</v>
      </c>
      <c r="C15" s="9">
        <f>+'tab 10'!E12</f>
        <v>3697.085</v>
      </c>
      <c r="D15" s="9">
        <v>2</v>
      </c>
      <c r="E15" s="9">
        <f t="shared" si="0"/>
        <v>4544.085</v>
      </c>
      <c r="F15" s="27">
        <f>1.33*386.388</f>
        <v>513.89603999999997</v>
      </c>
      <c r="G15" s="9">
        <v>664.86</v>
      </c>
      <c r="H15" s="9">
        <v>2073</v>
      </c>
      <c r="I15" s="11">
        <f t="shared" si="1"/>
        <v>289.32895999999982</v>
      </c>
      <c r="J15" s="9">
        <f t="shared" si="2"/>
        <v>3541.085</v>
      </c>
      <c r="K15" s="43">
        <v>29.2</v>
      </c>
      <c r="L15" s="43">
        <f>+H15*0.7519/242.804</f>
        <v>6.4195346864137326</v>
      </c>
    </row>
    <row r="16" spans="1:12" x14ac:dyDescent="0.2">
      <c r="A16" s="7" t="s">
        <v>87</v>
      </c>
      <c r="B16" s="9">
        <v>1003</v>
      </c>
      <c r="C16" s="9">
        <f>+'tab 10'!E13</f>
        <v>3616.01</v>
      </c>
      <c r="D16" s="9">
        <f>784*1.33*2.2046*0.001</f>
        <v>2.2987805120000004</v>
      </c>
      <c r="E16" s="9">
        <f t="shared" si="0"/>
        <v>4621.3087805120003</v>
      </c>
      <c r="F16" s="27">
        <f>1.33*421.214</f>
        <v>560.21462000000008</v>
      </c>
      <c r="G16" s="9">
        <v>619.6</v>
      </c>
      <c r="H16" s="9">
        <v>2071.14</v>
      </c>
      <c r="I16" s="11">
        <f t="shared" si="1"/>
        <v>537.09616051200055</v>
      </c>
      <c r="J16" s="9">
        <f t="shared" si="2"/>
        <v>3788.0507805120005</v>
      </c>
      <c r="K16" s="43">
        <v>28</v>
      </c>
      <c r="L16" s="43">
        <f>+H16*0.7519/245.021</f>
        <v>6.3557416139841081</v>
      </c>
    </row>
    <row r="17" spans="1:12" x14ac:dyDescent="0.2">
      <c r="A17" s="7" t="s">
        <v>88</v>
      </c>
      <c r="B17" s="9">
        <v>833.25800000000004</v>
      </c>
      <c r="C17" s="9">
        <f>+'tab 10'!E14</f>
        <v>3980.9169999999999</v>
      </c>
      <c r="D17" s="9">
        <f>877*1.33*2.2046*0.001</f>
        <v>2.5714674860000004</v>
      </c>
      <c r="E17" s="9">
        <f t="shared" si="0"/>
        <v>4816.7464674860003</v>
      </c>
      <c r="F17" s="27">
        <f>1.33*612.2</f>
        <v>814.22600000000011</v>
      </c>
      <c r="G17" s="9">
        <v>689.4</v>
      </c>
      <c r="H17" s="9">
        <v>2254.6909999999998</v>
      </c>
      <c r="I17" s="11">
        <f t="shared" si="1"/>
        <v>215.67846748600005</v>
      </c>
      <c r="J17" s="9">
        <f t="shared" si="2"/>
        <v>3973.9954674860001</v>
      </c>
      <c r="K17" s="43">
        <v>27.9</v>
      </c>
      <c r="L17" s="43">
        <f>+H17*0.7519/247.342</f>
        <v>6.8540812433796114</v>
      </c>
    </row>
    <row r="18" spans="1:12" x14ac:dyDescent="0.2">
      <c r="A18" s="7" t="s">
        <v>1</v>
      </c>
      <c r="B18" s="9">
        <v>842.75099999999998</v>
      </c>
      <c r="C18" s="9">
        <f>+'tab 10'!E15</f>
        <v>3989.9949999999999</v>
      </c>
      <c r="D18" s="9">
        <f>1432*1.33*2.2046*0.001</f>
        <v>4.1987929760000009</v>
      </c>
      <c r="E18" s="9">
        <f t="shared" si="0"/>
        <v>4836.9447929759999</v>
      </c>
      <c r="F18" s="27">
        <f>1.33*469.351</f>
        <v>624.23683000000005</v>
      </c>
      <c r="G18" s="9">
        <v>990.46</v>
      </c>
      <c r="H18" s="9">
        <v>2312.4380000000001</v>
      </c>
      <c r="I18" s="11">
        <f t="shared" si="1"/>
        <v>208.80996297599995</v>
      </c>
      <c r="J18" s="9">
        <f t="shared" si="2"/>
        <v>4135.9447929759999</v>
      </c>
      <c r="K18" s="43">
        <v>28</v>
      </c>
      <c r="L18" s="43">
        <f>+H18*0.7519/250.132</f>
        <v>6.9512182855452318</v>
      </c>
    </row>
    <row r="19" spans="1:12" x14ac:dyDescent="0.2">
      <c r="A19" s="7" t="s">
        <v>2</v>
      </c>
      <c r="B19" s="9">
        <v>701</v>
      </c>
      <c r="C19" s="9">
        <f>+'tab 10'!E16</f>
        <v>3603.65</v>
      </c>
      <c r="D19" s="9">
        <f>9335*1.33*2.2046*0.001</f>
        <v>27.371321530000007</v>
      </c>
      <c r="E19" s="9">
        <f t="shared" si="0"/>
        <v>4332.02132153</v>
      </c>
      <c r="F19" s="27">
        <f>1.33*517.712</f>
        <v>688.55696</v>
      </c>
      <c r="G19" s="9">
        <v>654.9</v>
      </c>
      <c r="H19" s="9">
        <v>2019.9680000000001</v>
      </c>
      <c r="I19" s="11">
        <f t="shared" si="1"/>
        <v>285.13636152999993</v>
      </c>
      <c r="J19" s="9">
        <f t="shared" si="2"/>
        <v>3648.56132153</v>
      </c>
      <c r="K19" s="43">
        <v>34.700000000000003</v>
      </c>
      <c r="L19" s="43">
        <f>+H19*0.7519/253.493</f>
        <v>5.9915419329133348</v>
      </c>
    </row>
    <row r="20" spans="1:12" x14ac:dyDescent="0.2">
      <c r="A20" s="7" t="s">
        <v>3</v>
      </c>
      <c r="B20" s="9">
        <v>683.46</v>
      </c>
      <c r="C20" s="9">
        <f>+'tab 10'!E17</f>
        <v>4926.57</v>
      </c>
      <c r="D20" s="9">
        <f>1809*1.33*2.2046*0.001</f>
        <v>5.3042014620000009</v>
      </c>
      <c r="E20" s="9">
        <f t="shared" si="0"/>
        <v>5615.3342014619993</v>
      </c>
      <c r="F20" s="27">
        <f>1.33*828.986</f>
        <v>1102.5513800000001</v>
      </c>
      <c r="G20" s="9">
        <v>1001.8</v>
      </c>
      <c r="H20" s="9">
        <v>2207.2049999999999</v>
      </c>
      <c r="I20" s="11">
        <f t="shared" si="1"/>
        <v>248.77782146199934</v>
      </c>
      <c r="J20" s="9">
        <f t="shared" si="2"/>
        <v>4560.3342014619993</v>
      </c>
      <c r="K20" s="43">
        <v>28.3</v>
      </c>
      <c r="L20" s="43">
        <f>+H20*0.7519/256.894</f>
        <v>6.4602421212640238</v>
      </c>
    </row>
    <row r="21" spans="1:12" x14ac:dyDescent="0.2">
      <c r="A21" s="7" t="s">
        <v>4</v>
      </c>
      <c r="B21" s="9">
        <v>1055</v>
      </c>
      <c r="C21" s="9">
        <f>+'tab 10'!E18</f>
        <v>4284.4160000000002</v>
      </c>
      <c r="D21" s="9">
        <f>645*1.33*2.2046*0.001</f>
        <v>1.89121611</v>
      </c>
      <c r="E21" s="9">
        <f t="shared" si="0"/>
        <v>5341.3072161099999</v>
      </c>
      <c r="F21" s="27">
        <f>1.33*669.942</f>
        <v>891.02286000000004</v>
      </c>
      <c r="G21" s="9">
        <v>951</v>
      </c>
      <c r="H21" s="9">
        <v>2121.8910000000001</v>
      </c>
      <c r="I21" s="11">
        <f t="shared" si="1"/>
        <v>27.297356109999782</v>
      </c>
      <c r="J21" s="9">
        <f t="shared" si="2"/>
        <v>3991.2112161099999</v>
      </c>
      <c r="K21" s="43">
        <v>30</v>
      </c>
      <c r="L21" s="43">
        <f>+H21*0.7519/260.255</f>
        <v>6.1303331075291547</v>
      </c>
    </row>
    <row r="22" spans="1:12" x14ac:dyDescent="0.2">
      <c r="A22" s="7" t="s">
        <v>5</v>
      </c>
      <c r="B22" s="9">
        <v>1350.096</v>
      </c>
      <c r="C22" s="9">
        <f>+'tab 10'!E19</f>
        <v>3392.415</v>
      </c>
      <c r="D22" s="9">
        <f>1.42*1.33</f>
        <v>1.8886000000000001</v>
      </c>
      <c r="E22" s="9">
        <f t="shared" si="0"/>
        <v>4744.3996000000006</v>
      </c>
      <c r="F22" s="27">
        <f>1.33*503.674</f>
        <v>669.88642000000004</v>
      </c>
      <c r="G22" s="9">
        <v>532.54999999999995</v>
      </c>
      <c r="H22" s="9">
        <v>2088.0729999999999</v>
      </c>
      <c r="I22" s="11">
        <f t="shared" si="1"/>
        <v>392.92518000000064</v>
      </c>
      <c r="J22" s="9">
        <f t="shared" si="2"/>
        <v>3683.4346000000005</v>
      </c>
      <c r="K22" s="43">
        <v>30.4</v>
      </c>
      <c r="L22" s="43">
        <f>+H22*0.7519/263.436</f>
        <v>5.9597856356002969</v>
      </c>
    </row>
    <row r="23" spans="1:12" x14ac:dyDescent="0.2">
      <c r="A23" s="7" t="s">
        <v>6</v>
      </c>
      <c r="B23" s="9">
        <v>1060.9649999999999</v>
      </c>
      <c r="C23" s="9">
        <f>+'tab 10'!E20</f>
        <v>4247.4549999999999</v>
      </c>
      <c r="D23" s="9">
        <f>55.385*1.33</f>
        <v>73.662050000000008</v>
      </c>
      <c r="E23" s="9">
        <f t="shared" si="0"/>
        <v>5382.08205</v>
      </c>
      <c r="F23" s="27">
        <f>1.33*738.221</f>
        <v>981.83393000000001</v>
      </c>
      <c r="G23" s="9">
        <v>878.1</v>
      </c>
      <c r="H23" s="9">
        <v>2009.231</v>
      </c>
      <c r="I23" s="11">
        <f t="shared" si="1"/>
        <v>315.09012000000007</v>
      </c>
      <c r="J23" s="9">
        <f t="shared" si="2"/>
        <v>4184.2550499999998</v>
      </c>
      <c r="K23" s="43">
        <v>28.9</v>
      </c>
      <c r="L23" s="43">
        <f>+H23*0.7519/266.557</f>
        <v>5.6676087624785696</v>
      </c>
    </row>
    <row r="24" spans="1:12" x14ac:dyDescent="0.2">
      <c r="A24" s="7" t="s">
        <v>7</v>
      </c>
      <c r="B24" s="9">
        <v>1197.827</v>
      </c>
      <c r="C24" s="9">
        <f>+'tab 10'!E21</f>
        <v>3461.4749999999999</v>
      </c>
      <c r="D24" s="9">
        <f>114.788*1.33</f>
        <v>152.66803999999999</v>
      </c>
      <c r="E24" s="9">
        <f t="shared" si="0"/>
        <v>4811.9700399999992</v>
      </c>
      <c r="F24" s="27">
        <f>1.33*751.281</f>
        <v>999.20372999999995</v>
      </c>
      <c r="G24" s="9">
        <v>826</v>
      </c>
      <c r="H24" s="9">
        <v>1992.854</v>
      </c>
      <c r="I24" s="11">
        <f t="shared" si="1"/>
        <v>236.37030999999956</v>
      </c>
      <c r="J24" s="9">
        <f t="shared" si="2"/>
        <v>4054.4280399999993</v>
      </c>
      <c r="K24" s="43">
        <v>29.3</v>
      </c>
      <c r="L24" s="43">
        <f>+H24*0.7519/269.667</f>
        <v>5.5565824613319403</v>
      </c>
    </row>
    <row r="25" spans="1:12" x14ac:dyDescent="0.2">
      <c r="A25" s="7" t="s">
        <v>8</v>
      </c>
      <c r="B25" s="9">
        <v>757.54200000000003</v>
      </c>
      <c r="C25" s="9">
        <f>+'tab 10'!E22</f>
        <v>3661.2049999999999</v>
      </c>
      <c r="D25" s="9">
        <v>126.74235</v>
      </c>
      <c r="E25" s="9">
        <f>SUM(B25:D25)</f>
        <v>4545.4893500000007</v>
      </c>
      <c r="F25" s="27">
        <f>1.33*520.413</f>
        <v>692.14929000000006</v>
      </c>
      <c r="G25" s="9">
        <v>668.48</v>
      </c>
      <c r="H25" s="9">
        <v>2029.4690000000001</v>
      </c>
      <c r="I25" s="11">
        <f t="shared" si="1"/>
        <v>360.76706000000058</v>
      </c>
      <c r="J25" s="9">
        <f t="shared" si="2"/>
        <v>3750.8653500000009</v>
      </c>
      <c r="K25" s="43">
        <v>28.1</v>
      </c>
      <c r="L25" s="43">
        <f>+H25*0.7519/272.912</f>
        <v>5.5913911484287979</v>
      </c>
    </row>
    <row r="26" spans="1:12" x14ac:dyDescent="0.2">
      <c r="A26" s="7" t="s">
        <v>9</v>
      </c>
      <c r="B26" s="9">
        <v>794.62400000000002</v>
      </c>
      <c r="C26" s="9">
        <f>+'tab 10'!E23</f>
        <v>3539.38</v>
      </c>
      <c r="D26" s="9">
        <v>141.29300000000001</v>
      </c>
      <c r="E26" s="9">
        <f t="shared" si="0"/>
        <v>4475.2969999999996</v>
      </c>
      <c r="F26" s="27">
        <f>1.33*409.249</f>
        <v>544.30117000000007</v>
      </c>
      <c r="G26" s="9">
        <v>681.9</v>
      </c>
      <c r="H26" s="9">
        <v>2098.5039999999999</v>
      </c>
      <c r="I26" s="11">
        <f t="shared" si="1"/>
        <v>302.10682999999926</v>
      </c>
      <c r="J26" s="9">
        <f t="shared" si="2"/>
        <v>3626.8119999999994</v>
      </c>
      <c r="K26" s="43">
        <v>28.3</v>
      </c>
      <c r="L26" s="43">
        <f>+H26*0.7519/276.115</f>
        <v>5.7145216942216104</v>
      </c>
    </row>
    <row r="27" spans="1:12" x14ac:dyDescent="0.2">
      <c r="A27" s="7" t="s">
        <v>10</v>
      </c>
      <c r="B27" s="9">
        <v>848.48500000000001</v>
      </c>
      <c r="C27" s="9">
        <f>+'tab 10'!E24</f>
        <v>3963.44</v>
      </c>
      <c r="D27" s="9">
        <f>52.909*1.333*2.204622</f>
        <v>155.48691241553402</v>
      </c>
      <c r="E27" s="9">
        <f t="shared" ref="E27:E33" si="3">SUM(B27:D27)</f>
        <v>4967.4119124155341</v>
      </c>
      <c r="F27" s="27">
        <f>1.33*345.825</f>
        <v>459.94725</v>
      </c>
      <c r="G27" s="9">
        <v>562.1</v>
      </c>
      <c r="H27" s="9">
        <v>2152.8000000000002</v>
      </c>
      <c r="I27" s="11">
        <f t="shared" si="1"/>
        <v>400.83966241553389</v>
      </c>
      <c r="J27" s="9">
        <f t="shared" si="2"/>
        <v>3575.6869124155342</v>
      </c>
      <c r="K27" s="43">
        <v>28.4</v>
      </c>
      <c r="L27" s="43">
        <f>+H27*0.7519/279.295</f>
        <v>5.7956294240856447</v>
      </c>
    </row>
    <row r="28" spans="1:12" x14ac:dyDescent="0.2">
      <c r="A28" s="7" t="s">
        <v>11</v>
      </c>
      <c r="B28" s="9">
        <v>1391.7249999999999</v>
      </c>
      <c r="C28" s="9">
        <f>+'tab 10'!E25</f>
        <v>3829.49</v>
      </c>
      <c r="D28" s="9">
        <f>61.3085*1.333*2.204622</f>
        <v>180.17103649337102</v>
      </c>
      <c r="E28" s="9">
        <f t="shared" si="3"/>
        <v>5401.3860364933707</v>
      </c>
      <c r="F28" s="27">
        <f>1.33*536.164</f>
        <v>713.09811999999999</v>
      </c>
      <c r="G28" s="9">
        <v>742.6</v>
      </c>
      <c r="H28" s="9">
        <v>2233.3944012000002</v>
      </c>
      <c r="I28" s="11">
        <f t="shared" si="1"/>
        <v>478.87751529337038</v>
      </c>
      <c r="J28" s="9">
        <f t="shared" si="2"/>
        <v>4167.9700364933706</v>
      </c>
      <c r="K28" s="43">
        <v>25.4</v>
      </c>
      <c r="L28" s="43">
        <f>+H28*0.7519/282.385</f>
        <v>5.9468075509049001</v>
      </c>
    </row>
    <row r="29" spans="1:12" x14ac:dyDescent="0.2">
      <c r="A29" s="7" t="s">
        <v>155</v>
      </c>
      <c r="B29" s="9">
        <v>1233.4159999999999</v>
      </c>
      <c r="C29" s="9">
        <f>+'tab 10'!E26</f>
        <v>3265.5050000000001</v>
      </c>
      <c r="D29" s="9">
        <f>73.373*1.333*2.204622</f>
        <v>215.62572009799803</v>
      </c>
      <c r="E29" s="9">
        <f t="shared" si="3"/>
        <v>4714.5467200979983</v>
      </c>
      <c r="F29" s="27">
        <f>1.33*411.558</f>
        <v>547.37214000000006</v>
      </c>
      <c r="G29" s="9">
        <v>527.20000000000005</v>
      </c>
      <c r="H29" s="9">
        <v>2183.6</v>
      </c>
      <c r="I29" s="11">
        <f t="shared" si="1"/>
        <v>359.8045800979985</v>
      </c>
      <c r="J29" s="9">
        <f t="shared" si="2"/>
        <v>3617.9767200979986</v>
      </c>
      <c r="K29" s="43">
        <v>27.4</v>
      </c>
      <c r="L29" s="43">
        <f>+H29*0.7519/285.309</f>
        <v>5.7546338881703685</v>
      </c>
    </row>
    <row r="30" spans="1:12" x14ac:dyDescent="0.2">
      <c r="A30" s="7" t="s">
        <v>89</v>
      </c>
      <c r="B30" s="9">
        <v>1096.57</v>
      </c>
      <c r="C30" s="9">
        <f>+'tab 10'!E27</f>
        <v>4276.7039999999997</v>
      </c>
      <c r="D30" s="9">
        <f>1.333*2.204622*69.0115</f>
        <v>202.808313446949</v>
      </c>
      <c r="E30" s="9">
        <f t="shared" si="3"/>
        <v>5576.0823134469483</v>
      </c>
      <c r="F30" s="27">
        <f>1.33*521.173</f>
        <v>693.16009000000008</v>
      </c>
      <c r="G30" s="9">
        <v>699.7</v>
      </c>
      <c r="H30" s="9">
        <v>2225.1</v>
      </c>
      <c r="I30" s="11">
        <f t="shared" si="1"/>
        <v>481.71322344694863</v>
      </c>
      <c r="J30" s="9">
        <f t="shared" si="2"/>
        <v>4099.6733134469487</v>
      </c>
      <c r="K30" s="43">
        <v>23.4</v>
      </c>
      <c r="L30" s="43">
        <f>+H30*0.7519/288.105</f>
        <v>5.8070935596397142</v>
      </c>
    </row>
    <row r="31" spans="1:12" x14ac:dyDescent="0.2">
      <c r="A31" s="7" t="s">
        <v>92</v>
      </c>
      <c r="B31" s="9">
        <v>1476.4090000000001</v>
      </c>
      <c r="C31" s="9">
        <f>+'tab 10'!E28</f>
        <v>3321.04</v>
      </c>
      <c r="D31" s="9">
        <f>1.333*2.204622*25.6475</f>
        <v>75.371875979085004</v>
      </c>
      <c r="E31" s="9">
        <f t="shared" si="3"/>
        <v>4872.8208759790859</v>
      </c>
      <c r="F31" s="27">
        <f>1.33*644.194</f>
        <v>856.77801999999997</v>
      </c>
      <c r="G31" s="9">
        <v>489.9</v>
      </c>
      <c r="H31" s="9">
        <v>2241.1999999999998</v>
      </c>
      <c r="I31" s="11">
        <f t="shared" si="1"/>
        <v>409.81985597908579</v>
      </c>
      <c r="J31" s="9">
        <f t="shared" si="2"/>
        <v>3997.6978759790859</v>
      </c>
      <c r="K31" s="43">
        <v>18.239999999999998</v>
      </c>
      <c r="L31" s="43">
        <f>+H31*0.7519/290.82</f>
        <v>5.7945061550099712</v>
      </c>
    </row>
    <row r="32" spans="1:12" x14ac:dyDescent="0.2">
      <c r="A32" s="7" t="s">
        <v>156</v>
      </c>
      <c r="B32" s="27">
        <v>875.12300000000005</v>
      </c>
      <c r="C32" s="9">
        <f>+'tab 10'!E29</f>
        <v>4144.1499999999996</v>
      </c>
      <c r="D32" s="9">
        <f>1.333*2.204622*12.9604</f>
        <v>38.0875196974104</v>
      </c>
      <c r="E32" s="27">
        <f t="shared" si="3"/>
        <v>5057.3605196974095</v>
      </c>
      <c r="F32" s="27">
        <f>1.33*402.958</f>
        <v>535.93414000000007</v>
      </c>
      <c r="G32" s="27">
        <v>515.9</v>
      </c>
      <c r="H32" s="27">
        <v>2455.9</v>
      </c>
      <c r="I32" s="25">
        <f t="shared" si="1"/>
        <v>428.71037969740883</v>
      </c>
      <c r="J32" s="27">
        <f t="shared" si="2"/>
        <v>3936.4445196974093</v>
      </c>
      <c r="K32" s="43">
        <v>19.25</v>
      </c>
      <c r="L32" s="43">
        <f>+H32*0.7519/293.463</f>
        <v>6.2924157730276047</v>
      </c>
    </row>
    <row r="33" spans="1:15" x14ac:dyDescent="0.2">
      <c r="A33" s="7" t="s">
        <v>93</v>
      </c>
      <c r="B33" s="27">
        <v>1120.9159999999999</v>
      </c>
      <c r="C33" s="9">
        <f>+'tab 10'!E30</f>
        <v>4288.2</v>
      </c>
      <c r="D33" s="9">
        <f>1.333*2.204622*12.5438</f>
        <v>36.863231812318801</v>
      </c>
      <c r="E33" s="27">
        <f t="shared" si="3"/>
        <v>5445.9792318123191</v>
      </c>
      <c r="F33" s="27">
        <f>1.33*295.769</f>
        <v>393.37277</v>
      </c>
      <c r="G33" s="27">
        <v>491</v>
      </c>
      <c r="H33" s="27">
        <v>2600</v>
      </c>
      <c r="I33" s="25">
        <f t="shared" si="1"/>
        <v>547.03146181231932</v>
      </c>
      <c r="J33" s="27">
        <f t="shared" si="2"/>
        <v>4031.4042318123193</v>
      </c>
      <c r="K33" s="43">
        <v>18.899999999999999</v>
      </c>
      <c r="L33" s="43">
        <f>+H33*0.7519/296.186</f>
        <v>6.600379491265624</v>
      </c>
    </row>
    <row r="34" spans="1:15" x14ac:dyDescent="0.2">
      <c r="A34" s="7" t="s">
        <v>94</v>
      </c>
      <c r="B34" s="27">
        <v>1414.575</v>
      </c>
      <c r="C34" s="9">
        <f>+'tab 10'!E31</f>
        <v>4869.8599999999997</v>
      </c>
      <c r="D34" s="9">
        <f>1.333*2.204622*10.9229</f>
        <v>32.0997939031854</v>
      </c>
      <c r="E34" s="27">
        <f t="shared" ref="E34:E51" si="4">SUM(B34:D34)</f>
        <v>6316.5347939031853</v>
      </c>
      <c r="F34" s="27">
        <f>1.33*407.817</f>
        <v>542.39661000000001</v>
      </c>
      <c r="G34" s="27">
        <v>491</v>
      </c>
      <c r="H34" s="27">
        <v>2616</v>
      </c>
      <c r="I34" s="25">
        <f t="shared" si="1"/>
        <v>500.50818390318545</v>
      </c>
      <c r="J34" s="27">
        <f t="shared" si="2"/>
        <v>4149.9047939031852</v>
      </c>
      <c r="K34" s="43">
        <v>17.3</v>
      </c>
      <c r="L34" s="43">
        <f>+H34*0.7519/298.996</f>
        <v>6.5785843288873433</v>
      </c>
    </row>
    <row r="35" spans="1:15" x14ac:dyDescent="0.2">
      <c r="A35" s="7" t="s">
        <v>96</v>
      </c>
      <c r="B35" s="27">
        <v>2166.63</v>
      </c>
      <c r="C35" s="9">
        <f>+'tab 10'!E32</f>
        <v>3464.25</v>
      </c>
      <c r="D35" s="27">
        <f>1.333*2.204622*20.7441</f>
        <v>60.961954673856603</v>
      </c>
      <c r="E35" s="27">
        <f t="shared" si="4"/>
        <v>5691.8419546738569</v>
      </c>
      <c r="F35" s="27">
        <f>1.33*385.375</f>
        <v>512.54875000000004</v>
      </c>
      <c r="G35" s="27">
        <f>1.333*2.204622*(207.4113-0.25*8.8906)</f>
        <v>603.00042811642004</v>
      </c>
      <c r="H35" s="27">
        <v>2585.4</v>
      </c>
      <c r="I35" s="25">
        <f t="shared" si="1"/>
        <v>470.77177655743662</v>
      </c>
      <c r="J35" s="27">
        <f t="shared" si="2"/>
        <v>4171.7209546738568</v>
      </c>
      <c r="K35" s="43">
        <v>17.7</v>
      </c>
      <c r="L35" s="43">
        <f>+H35*0.7519/302.004</f>
        <v>6.4368758691937851</v>
      </c>
    </row>
    <row r="36" spans="1:15" x14ac:dyDescent="0.2">
      <c r="A36" s="7" t="s">
        <v>99</v>
      </c>
      <c r="B36" s="27">
        <v>1520.1210000000001</v>
      </c>
      <c r="C36" s="9">
        <f>+'tab 10'!E33</f>
        <v>3672.25</v>
      </c>
      <c r="D36" s="27">
        <f>1.333*2.204622*24.8198</f>
        <v>72.939463395094805</v>
      </c>
      <c r="E36" s="27">
        <f t="shared" si="4"/>
        <v>5265.3104633950952</v>
      </c>
      <c r="F36" s="27">
        <f>1.33*372.98</f>
        <v>496.06340000000006</v>
      </c>
      <c r="G36" s="27">
        <f>1.333*2.204622*(261.6465-0.25*25.5479)</f>
        <v>750.14676911122513</v>
      </c>
      <c r="H36" s="27">
        <v>2516.5300000000002</v>
      </c>
      <c r="I36" s="25">
        <f t="shared" si="1"/>
        <v>471.26329428386998</v>
      </c>
      <c r="J36" s="27">
        <f t="shared" si="2"/>
        <v>4234.0034633950954</v>
      </c>
      <c r="K36" s="43">
        <v>20.5</v>
      </c>
      <c r="L36" s="43">
        <f>+H36*0.7519/304.798</f>
        <v>6.2079767813437101</v>
      </c>
    </row>
    <row r="37" spans="1:15" x14ac:dyDescent="0.2">
      <c r="A37" s="7" t="s">
        <v>98</v>
      </c>
      <c r="B37" s="27">
        <v>1031.307</v>
      </c>
      <c r="C37" s="9">
        <f>+'tab 10'!E34</f>
        <v>5162.3999999999996</v>
      </c>
      <c r="D37" s="27">
        <f>1.333*2.204622*29.1919</f>
        <v>85.788020914079411</v>
      </c>
      <c r="E37" s="27">
        <f t="shared" si="4"/>
        <v>6279.4950209140789</v>
      </c>
      <c r="F37" s="27">
        <f>1.33*334.296</f>
        <v>444.61367999999999</v>
      </c>
      <c r="G37" s="27">
        <f>1.333*2.204622*(254.8416-0.25*30.432)</f>
        <v>726.5604927210336</v>
      </c>
      <c r="H37" s="27">
        <v>2571.317</v>
      </c>
      <c r="I37" s="25">
        <f t="shared" si="1"/>
        <v>406.90384819304472</v>
      </c>
      <c r="J37" s="27">
        <f t="shared" si="2"/>
        <v>4149.3950209140785</v>
      </c>
      <c r="K37" s="43">
        <v>23</v>
      </c>
      <c r="L37" s="43">
        <f>+H37*0.7519/307.439</f>
        <v>6.2886401930138982</v>
      </c>
    </row>
    <row r="38" spans="1:15" x14ac:dyDescent="0.2">
      <c r="A38" s="29" t="s">
        <v>100</v>
      </c>
      <c r="B38" s="27">
        <v>2130.1</v>
      </c>
      <c r="C38" s="9">
        <f>+'tab 10'!E35</f>
        <v>3691.65</v>
      </c>
      <c r="D38" s="27">
        <f>1.333*2.204622*24.4907</f>
        <v>71.972317108528202</v>
      </c>
      <c r="E38" s="27">
        <f t="shared" si="4"/>
        <v>5893.7223171085279</v>
      </c>
      <c r="F38" s="27">
        <f>1.33*326.779</f>
        <v>434.61607000000004</v>
      </c>
      <c r="G38" s="27">
        <f>1.333*2.204622*(207.8168-0.25*25.1427)</f>
        <v>592.25183582904674</v>
      </c>
      <c r="H38" s="27">
        <v>2674.875</v>
      </c>
      <c r="I38" s="25">
        <f t="shared" si="1"/>
        <v>363.23141127948111</v>
      </c>
      <c r="J38" s="27">
        <f t="shared" si="2"/>
        <v>4064.9743171085279</v>
      </c>
      <c r="K38" s="43">
        <v>21.7</v>
      </c>
      <c r="L38" s="43">
        <f>+H38*0.7519/308.758105</f>
        <v>6.5139618359168256</v>
      </c>
      <c r="N38" s="81"/>
    </row>
    <row r="39" spans="1:15" x14ac:dyDescent="0.2">
      <c r="A39" s="29" t="s">
        <v>101</v>
      </c>
      <c r="B39" s="27">
        <v>1828.748</v>
      </c>
      <c r="C39" s="9">
        <f>+'tab 10'!E36</f>
        <v>4156.84</v>
      </c>
      <c r="D39" s="27">
        <f>1.333*2.204622*21.9793</f>
        <v>64.591912416691798</v>
      </c>
      <c r="E39" s="27">
        <f t="shared" si="4"/>
        <v>6050.1799124166919</v>
      </c>
      <c r="F39" s="27">
        <f>1.33*441.017</f>
        <v>586.55261000000007</v>
      </c>
      <c r="G39" s="27">
        <f>1.3333*2.204622*(215.1149-0.25*35.6944)</f>
        <v>606.08334912226042</v>
      </c>
      <c r="H39" s="27">
        <v>2839.9</v>
      </c>
      <c r="I39" s="25">
        <f t="shared" si="1"/>
        <v>501.70495329443065</v>
      </c>
      <c r="J39" s="27">
        <f t="shared" si="2"/>
        <v>4534.2409124166916</v>
      </c>
      <c r="K39" s="43">
        <v>22.5</v>
      </c>
      <c r="L39" s="43">
        <f>+H39*0.7519/309.327143</f>
        <v>6.9031149005892454</v>
      </c>
      <c r="N39" s="81"/>
      <c r="O39" s="17"/>
    </row>
    <row r="40" spans="1:15" x14ac:dyDescent="0.2">
      <c r="A40" s="29" t="s">
        <v>103</v>
      </c>
      <c r="B40" s="27">
        <v>1515.9390000000001</v>
      </c>
      <c r="C40" s="9">
        <f>+'tab 10'!E37</f>
        <v>3658.59</v>
      </c>
      <c r="D40" s="27">
        <f>1.333*2.204622*86.3958</f>
        <v>253.8966184896708</v>
      </c>
      <c r="E40" s="27">
        <f t="shared" si="4"/>
        <v>5428.4256184896713</v>
      </c>
      <c r="F40" s="27">
        <f>1.333*453.835</f>
        <v>604.96205499999996</v>
      </c>
      <c r="G40" s="27">
        <f>1.3333*2.204622*(193.39119-0.25*(16.8492+13.4595))</f>
        <v>546.18589884759399</v>
      </c>
      <c r="H40" s="27">
        <v>2805</v>
      </c>
      <c r="I40" s="25">
        <f t="shared" si="1"/>
        <v>468.94666464207694</v>
      </c>
      <c r="J40" s="27">
        <f t="shared" si="2"/>
        <v>4425.0946184896711</v>
      </c>
      <c r="K40" s="43">
        <v>31.8</v>
      </c>
      <c r="L40" s="43">
        <f>+H40*0.7519/311.583481</f>
        <v>6.7689066610049196</v>
      </c>
      <c r="N40" s="81"/>
      <c r="O40" s="17"/>
    </row>
    <row r="41" spans="1:15" x14ac:dyDescent="0.2">
      <c r="A41" s="29" t="s">
        <v>102</v>
      </c>
      <c r="B41" s="27">
        <v>1003.331</v>
      </c>
      <c r="C41" s="9">
        <f>+'tab 10'!E38</f>
        <v>6753.88</v>
      </c>
      <c r="D41" s="27">
        <f>1.333*2.204622*40.4468</f>
        <v>118.86348351109682</v>
      </c>
      <c r="E41" s="27">
        <f t="shared" si="4"/>
        <v>7876.0744835110972</v>
      </c>
      <c r="F41" s="27">
        <f>1.333*493.205</f>
        <v>657.44226499999991</v>
      </c>
      <c r="G41" s="27">
        <f>1.3333*2.204622*(428.7709-0.25*(88.4582))</f>
        <v>1195.3348300817449</v>
      </c>
      <c r="H41" s="27">
        <v>2734.8359999999998</v>
      </c>
      <c r="I41" s="25">
        <f t="shared" si="1"/>
        <v>517.71238842935281</v>
      </c>
      <c r="J41" s="27">
        <f t="shared" si="2"/>
        <v>5105.3254835110974</v>
      </c>
      <c r="K41" s="43">
        <v>30.1</v>
      </c>
      <c r="L41" s="43">
        <f>+H41*0.7519/313.877662</f>
        <v>6.5513524450809753</v>
      </c>
      <c r="N41" s="81"/>
      <c r="O41" s="17"/>
    </row>
    <row r="42" spans="1:15" x14ac:dyDescent="0.2">
      <c r="A42" s="29" t="s">
        <v>107</v>
      </c>
      <c r="B42" s="27">
        <v>2770.7489999999998</v>
      </c>
      <c r="C42" s="9">
        <f>+'tab 10'!E39</f>
        <v>4173.17</v>
      </c>
      <c r="D42" s="27">
        <f>1.333*2.204622*29.8644</f>
        <v>87.764337771314402</v>
      </c>
      <c r="E42" s="27">
        <f t="shared" si="4"/>
        <v>7031.6833377713147</v>
      </c>
      <c r="F42" s="27">
        <f>1.333*497.272</f>
        <v>662.86357599999997</v>
      </c>
      <c r="G42" s="27">
        <f>1.3333*2.204622*(389.1268-0.25*65.2604)</f>
        <v>1095.8511039406771</v>
      </c>
      <c r="H42" s="27">
        <v>2892.5</v>
      </c>
      <c r="I42" s="25">
        <f t="shared" si="1"/>
        <v>522.69165783063772</v>
      </c>
      <c r="J42" s="27">
        <f t="shared" si="2"/>
        <v>5173.9063377713146</v>
      </c>
      <c r="K42" s="43">
        <v>24.9</v>
      </c>
      <c r="L42" s="43">
        <f>+H42*0.7519/316.059947</f>
        <v>6.8811969711556014</v>
      </c>
      <c r="N42" s="82"/>
      <c r="O42" s="17"/>
    </row>
    <row r="43" spans="1:15" s="74" customFormat="1" x14ac:dyDescent="0.2">
      <c r="A43" s="75" t="s">
        <v>108</v>
      </c>
      <c r="B43" s="76">
        <v>1857.777</v>
      </c>
      <c r="C43" s="76">
        <f>+'tab 10'!E40</f>
        <v>5188.665</v>
      </c>
      <c r="D43" s="76">
        <f>1.333*2.204622*30.5045</f>
        <v>89.64543876806701</v>
      </c>
      <c r="E43" s="76">
        <f t="shared" si="4"/>
        <v>7136.0874387680669</v>
      </c>
      <c r="F43" s="76">
        <f>1.333*506.677</f>
        <v>675.400441</v>
      </c>
      <c r="G43" s="76">
        <f>1.3333*2.204622*(386.8707-0.25*76.6261)</f>
        <v>1080.867324197136</v>
      </c>
      <c r="H43" s="76">
        <v>2979.6</v>
      </c>
      <c r="I43" s="77">
        <f t="shared" si="1"/>
        <v>299.20267357093144</v>
      </c>
      <c r="J43" s="76">
        <f t="shared" si="2"/>
        <v>5035.0704387680671</v>
      </c>
      <c r="K43" s="78">
        <v>22</v>
      </c>
      <c r="L43" s="78">
        <f>+H43*0.7519/318.386329</f>
        <v>7.036612555057288</v>
      </c>
      <c r="M43"/>
      <c r="N43" s="82"/>
      <c r="O43" s="83"/>
    </row>
    <row r="44" spans="1:15" x14ac:dyDescent="0.2">
      <c r="A44" s="29" t="s">
        <v>112</v>
      </c>
      <c r="B44" s="27">
        <v>2101.0169999999998</v>
      </c>
      <c r="C44" s="9">
        <f>+'tab 10'!E41</f>
        <v>6001.357</v>
      </c>
      <c r="D44" s="27">
        <f>1.333*2.204622*32.0801</f>
        <v>94.275750798192604</v>
      </c>
      <c r="E44" s="27">
        <f t="shared" si="4"/>
        <v>8196.6497507981931</v>
      </c>
      <c r="F44" s="27">
        <f>1.333*531.77</f>
        <v>708.84940999999992</v>
      </c>
      <c r="G44" s="27">
        <v>1544.4201332791811</v>
      </c>
      <c r="H44" s="27">
        <v>3060.4</v>
      </c>
      <c r="I44" s="25">
        <f t="shared" si="1"/>
        <v>1092.0752075190126</v>
      </c>
      <c r="J44" s="27">
        <f t="shared" si="2"/>
        <v>6405.7447507981933</v>
      </c>
      <c r="K44" s="43">
        <v>19.3</v>
      </c>
      <c r="L44" s="78">
        <f>+H44*0.7519/320.738994</f>
        <v>7.1744153440850411</v>
      </c>
      <c r="N44" s="81"/>
      <c r="O44" s="17"/>
    </row>
    <row r="45" spans="1:15" x14ac:dyDescent="0.2">
      <c r="A45" s="29" t="s">
        <v>109</v>
      </c>
      <c r="B45" s="27">
        <v>1790.905</v>
      </c>
      <c r="C45" s="9">
        <f>+'tab 10'!E42</f>
        <v>5581.57</v>
      </c>
      <c r="D45" s="27">
        <f>1.333*2.204622*55.009</f>
        <v>161.658310780134</v>
      </c>
      <c r="E45" s="27">
        <f t="shared" si="4"/>
        <v>7534.1333107801338</v>
      </c>
      <c r="F45" s="27">
        <f>1.333*659.966</f>
        <v>879.73467800000003</v>
      </c>
      <c r="G45" s="27">
        <f>1.3333*2.204622*(472.565-0.25*83.1792)</f>
        <v>1327.9434964018044</v>
      </c>
      <c r="H45" s="27">
        <v>3099.4</v>
      </c>
      <c r="I45" s="25">
        <f t="shared" si="1"/>
        <v>785.46313637832964</v>
      </c>
      <c r="J45" s="27">
        <f t="shared" si="2"/>
        <v>6092.5413107801342</v>
      </c>
      <c r="K45" s="43">
        <v>19.7</v>
      </c>
      <c r="L45" s="78">
        <f>+H45*0.7519/323.071755</f>
        <v>7.2133785263895946</v>
      </c>
      <c r="N45" s="81"/>
      <c r="O45" s="17"/>
    </row>
    <row r="46" spans="1:15" x14ac:dyDescent="0.2">
      <c r="A46" s="31" t="s">
        <v>134</v>
      </c>
      <c r="B46" s="9">
        <v>1441.5920000000001</v>
      </c>
      <c r="C46" s="9">
        <f>+'tab 10'!E43</f>
        <v>7115.41</v>
      </c>
      <c r="D46" s="9">
        <f>1.333*2.204622*57.9684</f>
        <v>170.35528045641843</v>
      </c>
      <c r="E46" s="9">
        <f t="shared" si="4"/>
        <v>8727.3572804564192</v>
      </c>
      <c r="F46" s="9">
        <f>1.333*528.75</f>
        <v>704.82375000000002</v>
      </c>
      <c r="G46" s="9">
        <f>1.3333*2.204622*(450.6865-0.25*(72.2873))</f>
        <v>1271.6373149761323</v>
      </c>
      <c r="H46" s="9">
        <v>3156.4</v>
      </c>
      <c r="I46" s="11">
        <f t="shared" si="1"/>
        <v>877.41621548028752</v>
      </c>
      <c r="J46" s="9">
        <f t="shared" si="2"/>
        <v>6010.2772804564192</v>
      </c>
      <c r="K46" s="43">
        <v>22.9</v>
      </c>
      <c r="L46" s="78">
        <f>+H46*0.7519/325.122128</f>
        <v>7.2997097263093709</v>
      </c>
      <c r="N46" s="81"/>
      <c r="O46" s="17"/>
    </row>
    <row r="47" spans="1:15" x14ac:dyDescent="0.2">
      <c r="A47" s="31" t="s">
        <v>136</v>
      </c>
      <c r="B47" s="9">
        <v>2717.08</v>
      </c>
      <c r="C47" s="9">
        <f>+'tab 10'!E44</f>
        <v>5495.9350000000004</v>
      </c>
      <c r="D47" s="9">
        <f>1.333*2.204622*39.8394</f>
        <v>117.0784800031644</v>
      </c>
      <c r="E47" s="9">
        <f t="shared" si="4"/>
        <v>8330.0934800031646</v>
      </c>
      <c r="F47" s="9">
        <f>1.333*486.398</f>
        <v>648.36853400000007</v>
      </c>
      <c r="G47" s="9">
        <f>1.3333*2.204622*(423.9832-0.25*(63.7497))</f>
        <v>1199.4189372063142</v>
      </c>
      <c r="H47" s="9">
        <v>3106.4</v>
      </c>
      <c r="I47" s="11">
        <f t="shared" si="1"/>
        <v>954.81600879684993</v>
      </c>
      <c r="J47" s="9">
        <f t="shared" si="2"/>
        <v>5909.0034800031644</v>
      </c>
      <c r="K47" s="43">
        <v>21.5</v>
      </c>
      <c r="L47" s="78">
        <f>+H47*0.7519/326.838199</f>
        <v>7.1463561087607159</v>
      </c>
      <c r="N47" s="81"/>
      <c r="O47" s="17"/>
    </row>
    <row r="48" spans="1:15" x14ac:dyDescent="0.2">
      <c r="A48" s="31" t="s">
        <v>135</v>
      </c>
      <c r="B48" s="9">
        <v>2421.09</v>
      </c>
      <c r="C48" s="9">
        <f>+'tab 10'!E45</f>
        <v>5466.4870000000001</v>
      </c>
      <c r="D48" s="9">
        <f>1.333*2.204622*38.932</f>
        <v>114.41184815743202</v>
      </c>
      <c r="E48" s="9">
        <f t="shared" si="4"/>
        <v>8001.9888481574326</v>
      </c>
      <c r="F48" s="9">
        <f>1.333*580.628</f>
        <v>773.977124</v>
      </c>
      <c r="G48" s="9">
        <f>1.3333*2.204622*(610.5871-0.25*(251.05))</f>
        <v>1610.2879621960897</v>
      </c>
      <c r="H48" s="9">
        <v>3221.4</v>
      </c>
      <c r="I48" s="11">
        <f t="shared" si="1"/>
        <v>278.13576196134272</v>
      </c>
      <c r="J48" s="9">
        <f t="shared" si="2"/>
        <v>5883.8008481574325</v>
      </c>
      <c r="K48" s="43">
        <v>20.5</v>
      </c>
      <c r="L48" s="78">
        <f>+H48*0.7519/328.329953</f>
        <v>7.3772454747678786</v>
      </c>
      <c r="N48" s="81"/>
      <c r="O48" s="17"/>
    </row>
    <row r="49" spans="1:16" x14ac:dyDescent="0.2">
      <c r="A49" s="31" t="s">
        <v>148</v>
      </c>
      <c r="B49" s="9">
        <v>2118.1880000000001</v>
      </c>
      <c r="C49" s="9">
        <f>+'tab 10'!E46</f>
        <v>6158.35</v>
      </c>
      <c r="D49" s="9">
        <f>1.333*2.204622*41.1699</f>
        <v>120.9885016813074</v>
      </c>
      <c r="E49" s="9">
        <f t="shared" si="4"/>
        <v>8397.5265016813082</v>
      </c>
      <c r="F49" s="9">
        <f>1.333*654.699</f>
        <v>872.71376699999996</v>
      </c>
      <c r="G49" s="9">
        <f>1.3333*2.204622*(540.2525-0.25*(215.9666))</f>
        <v>1429.3260894860118</v>
      </c>
      <c r="H49" s="9">
        <v>3356.6</v>
      </c>
      <c r="I49" s="11">
        <f t="shared" si="1"/>
        <v>770.72464519529649</v>
      </c>
      <c r="J49" s="9">
        <f t="shared" si="2"/>
        <v>6429.364501681308</v>
      </c>
      <c r="K49" s="43">
        <v>21</v>
      </c>
      <c r="L49" s="78">
        <f>+H49*0.7519/329.484123</f>
        <v>7.6599367429914054</v>
      </c>
      <c r="N49" s="81"/>
      <c r="O49" s="17"/>
    </row>
    <row r="50" spans="1:16" x14ac:dyDescent="0.2">
      <c r="A50" s="31" t="s">
        <v>179</v>
      </c>
      <c r="B50" s="9">
        <v>1968.162</v>
      </c>
      <c r="C50" s="9">
        <f>+'tab 10'!E47</f>
        <v>6361.3310000000001</v>
      </c>
      <c r="D50" s="9">
        <f>1.333*2.204622*36.4374</f>
        <v>107.0808146525124</v>
      </c>
      <c r="E50" s="9">
        <f t="shared" si="4"/>
        <v>8436.5738146525127</v>
      </c>
      <c r="F50" s="9">
        <f>1.333*631.84</f>
        <v>842.24271999999996</v>
      </c>
      <c r="G50" s="9">
        <f>1.3333*2.204622*(433.3534-0.25*(124.2671))</f>
        <v>1182.4903620428738</v>
      </c>
      <c r="H50" s="9">
        <v>3313.1</v>
      </c>
      <c r="I50" s="11">
        <f t="shared" si="1"/>
        <v>738.48373260963899</v>
      </c>
      <c r="J50" s="9">
        <f t="shared" si="2"/>
        <v>6076.3168146525131</v>
      </c>
      <c r="K50" s="43">
        <v>24.3</v>
      </c>
      <c r="L50" s="78">
        <f>+H50*0.7519/333.287557</f>
        <v>7.4743861199714692</v>
      </c>
      <c r="N50" s="81"/>
    </row>
    <row r="51" spans="1:16" x14ac:dyDescent="0.2">
      <c r="A51" s="32" t="s">
        <v>180</v>
      </c>
      <c r="B51" s="10">
        <v>2360.2570000000001</v>
      </c>
      <c r="C51" s="10">
        <f>+'tab 10'!E48</f>
        <v>5568.15</v>
      </c>
      <c r="D51" s="10">
        <v>110</v>
      </c>
      <c r="E51" s="10">
        <f t="shared" si="4"/>
        <v>8038.4069999999992</v>
      </c>
      <c r="F51" s="10">
        <v>800</v>
      </c>
      <c r="G51" s="10">
        <v>1100</v>
      </c>
      <c r="H51" s="10">
        <v>3287.7226918856595</v>
      </c>
      <c r="I51" s="47">
        <f t="shared" si="1"/>
        <v>566.68430811433973</v>
      </c>
      <c r="J51" s="10">
        <f>+E51-B53-2284</f>
        <v>5754.4069999999992</v>
      </c>
      <c r="K51" s="49">
        <v>27</v>
      </c>
      <c r="L51" s="49">
        <f>+H51*0.7519/334.49377</f>
        <v>7.3903878449778828</v>
      </c>
      <c r="P51" s="9"/>
    </row>
    <row r="52" spans="1:16" ht="13.2" customHeight="1" x14ac:dyDescent="0.2">
      <c r="A52" s="31" t="s">
        <v>157</v>
      </c>
    </row>
    <row r="53" spans="1:16" x14ac:dyDescent="0.2">
      <c r="A53" t="s">
        <v>181</v>
      </c>
    </row>
    <row r="54" spans="1:16" x14ac:dyDescent="0.2">
      <c r="A54" t="s">
        <v>161</v>
      </c>
    </row>
    <row r="55" spans="1:16" ht="13.2" customHeight="1" x14ac:dyDescent="0.2">
      <c r="J55" s="52"/>
      <c r="K55" s="52"/>
      <c r="L55" s="51" t="s">
        <v>178</v>
      </c>
    </row>
    <row r="56" spans="1:16" x14ac:dyDescent="0.2">
      <c r="F56" s="27"/>
    </row>
    <row r="57" spans="1:16" x14ac:dyDescent="0.2">
      <c r="F57" s="27"/>
    </row>
    <row r="58" spans="1:16" x14ac:dyDescent="0.2">
      <c r="F58" s="27"/>
    </row>
    <row r="59" spans="1:16" x14ac:dyDescent="0.2">
      <c r="F59" s="27"/>
    </row>
    <row r="60" spans="1:16" x14ac:dyDescent="0.2">
      <c r="F60" s="27"/>
    </row>
    <row r="61" spans="1:16" x14ac:dyDescent="0.2">
      <c r="F61" s="27"/>
    </row>
  </sheetData>
  <pageMargins left="0.7" right="0.7" top="0.75" bottom="0.75" header="0.3" footer="0.3"/>
  <pageSetup scale="90" firstPageNumber="11" orientation="portrait" useFirstPageNumber="1" r:id="rId1"/>
  <headerFooter alignWithMargins="0">
    <oddFooter>&amp;C&amp;P
Oil Crops Yearbook/OCS-2020
March 2020
Economic Research Service, USDA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CEE2-1B9E-4911-89EB-F46A590AC1E6}">
  <sheetPr>
    <pageSetUpPr fitToPage="1"/>
  </sheetPr>
  <dimension ref="A1:N57"/>
  <sheetViews>
    <sheetView zoomScaleNormal="100" zoomScaleSheetLayoutView="100" workbookViewId="0">
      <pane xSplit="1" ySplit="5" topLeftCell="B6" activePane="bottomRight" state="frozen"/>
      <selection activeCell="C57" sqref="C57"/>
      <selection pane="topRight" activeCell="C57" sqref="C57"/>
      <selection pane="bottomLeft" activeCell="C57" sqref="C57"/>
      <selection pane="bottomRight"/>
    </sheetView>
  </sheetViews>
  <sheetFormatPr defaultRowHeight="10.199999999999999" x14ac:dyDescent="0.2"/>
  <cols>
    <col min="1" max="1" width="10.7109375" customWidth="1"/>
    <col min="2" max="8" width="10.85546875" customWidth="1"/>
  </cols>
  <sheetData>
    <row r="1" spans="1:7" x14ac:dyDescent="0.2">
      <c r="A1" s="28" t="s">
        <v>170</v>
      </c>
      <c r="B1" s="1"/>
      <c r="C1" s="1"/>
      <c r="D1" s="1"/>
      <c r="E1" s="1"/>
      <c r="F1" s="1"/>
      <c r="G1" s="1"/>
    </row>
    <row r="2" spans="1:7" x14ac:dyDescent="0.2">
      <c r="A2" s="5" t="s">
        <v>153</v>
      </c>
      <c r="B2" s="54"/>
      <c r="C2" s="5"/>
      <c r="D2" s="5"/>
      <c r="E2" s="5"/>
      <c r="F2" s="5"/>
      <c r="G2" s="5"/>
    </row>
    <row r="3" spans="1:7" x14ac:dyDescent="0.2">
      <c r="A3" s="5" t="s">
        <v>42</v>
      </c>
      <c r="B3" s="55" t="s">
        <v>137</v>
      </c>
      <c r="C3" s="5" t="s">
        <v>139</v>
      </c>
      <c r="D3" s="5" t="s">
        <v>137</v>
      </c>
      <c r="E3" s="5" t="s">
        <v>79</v>
      </c>
      <c r="F3" s="5" t="s">
        <v>143</v>
      </c>
      <c r="G3" s="5" t="s">
        <v>0</v>
      </c>
    </row>
    <row r="4" spans="1:7" x14ac:dyDescent="0.2">
      <c r="A4" s="6" t="s">
        <v>44</v>
      </c>
      <c r="B4" s="58" t="s">
        <v>138</v>
      </c>
      <c r="C4" s="6" t="s">
        <v>140</v>
      </c>
      <c r="D4" s="6" t="s">
        <v>141</v>
      </c>
      <c r="E4" s="6" t="s">
        <v>142</v>
      </c>
      <c r="F4" s="6" t="s">
        <v>144</v>
      </c>
      <c r="G4" s="5"/>
    </row>
    <row r="5" spans="1:7" x14ac:dyDescent="0.2">
      <c r="A5" s="33"/>
      <c r="B5" s="33"/>
      <c r="C5" s="69"/>
      <c r="D5" s="69" t="s">
        <v>145</v>
      </c>
      <c r="E5" s="33"/>
      <c r="F5" s="33"/>
      <c r="G5" s="70"/>
    </row>
    <row r="6" spans="1:7" x14ac:dyDescent="0.2">
      <c r="B6" s="34"/>
      <c r="C6" s="34"/>
      <c r="D6" s="34"/>
      <c r="E6" s="34"/>
      <c r="F6" s="34"/>
      <c r="G6" s="34"/>
    </row>
    <row r="7" spans="1:7" x14ac:dyDescent="0.2">
      <c r="A7" s="7" t="s">
        <v>80</v>
      </c>
      <c r="B7" s="9">
        <v>237.89</v>
      </c>
      <c r="C7" s="9">
        <v>205.489</v>
      </c>
      <c r="D7" s="9">
        <v>612.63400000000001</v>
      </c>
      <c r="E7" s="9">
        <v>19.687999999999999</v>
      </c>
      <c r="F7" s="27">
        <f>120.263*0.7519</f>
        <v>90.425749700000011</v>
      </c>
      <c r="G7" s="65">
        <f>SUM(B7:F7)</f>
        <v>1166.1267497000001</v>
      </c>
    </row>
    <row r="8" spans="1:7" x14ac:dyDescent="0.2">
      <c r="A8" s="7" t="s">
        <v>81</v>
      </c>
      <c r="B8" s="9">
        <v>255.86199999999999</v>
      </c>
      <c r="C8" s="9">
        <v>277.95400000000001</v>
      </c>
      <c r="D8" s="9">
        <v>676.36900000000003</v>
      </c>
      <c r="E8" s="9">
        <v>15.271000000000001</v>
      </c>
      <c r="F8" s="27">
        <f>200.735*0.7519</f>
        <v>150.9326465</v>
      </c>
      <c r="G8" s="65">
        <f t="shared" ref="G8:G45" si="0">SUM(B8:F8)</f>
        <v>1376.3886464999998</v>
      </c>
    </row>
    <row r="9" spans="1:7" x14ac:dyDescent="0.2">
      <c r="A9" s="7" t="s">
        <v>82</v>
      </c>
      <c r="B9" s="9">
        <v>284.15600000000001</v>
      </c>
      <c r="C9" s="9">
        <v>308.11799999999999</v>
      </c>
      <c r="D9" s="9">
        <v>699.53199999999993</v>
      </c>
      <c r="E9" s="9">
        <v>16.959</v>
      </c>
      <c r="F9" s="27">
        <f>206.425*0.7519</f>
        <v>155.21095750000001</v>
      </c>
      <c r="G9" s="65">
        <f t="shared" si="0"/>
        <v>1463.9759575</v>
      </c>
    </row>
    <row r="10" spans="1:7" x14ac:dyDescent="0.2">
      <c r="A10" s="7" t="s">
        <v>83</v>
      </c>
      <c r="B10" s="9">
        <v>298.065</v>
      </c>
      <c r="C10" s="9">
        <v>301.971</v>
      </c>
      <c r="D10" s="9">
        <v>695.70899999999995</v>
      </c>
      <c r="E10" s="9">
        <v>15.468999999999999</v>
      </c>
      <c r="F10" s="27">
        <f>172.984*0.7519</f>
        <v>130.06666960000001</v>
      </c>
      <c r="G10" s="65">
        <f t="shared" si="0"/>
        <v>1441.2806696</v>
      </c>
    </row>
    <row r="11" spans="1:7" x14ac:dyDescent="0.2">
      <c r="A11" s="7" t="s">
        <v>84</v>
      </c>
      <c r="B11" s="9">
        <v>290.31799999999998</v>
      </c>
      <c r="C11" s="9">
        <v>309.05</v>
      </c>
      <c r="D11" s="9">
        <v>723.37699999999995</v>
      </c>
      <c r="E11" s="9">
        <v>19.201000000000001</v>
      </c>
      <c r="F11" s="27">
        <f>211.947*0.7519</f>
        <v>159.3629493</v>
      </c>
      <c r="G11" s="65">
        <f t="shared" si="0"/>
        <v>1501.3089493</v>
      </c>
    </row>
    <row r="12" spans="1:7" x14ac:dyDescent="0.2">
      <c r="A12" s="7" t="s">
        <v>85</v>
      </c>
      <c r="B12" s="9">
        <v>313.488</v>
      </c>
      <c r="C12" s="9">
        <v>355.89800000000002</v>
      </c>
      <c r="D12" s="9">
        <v>726.5</v>
      </c>
      <c r="E12" s="9">
        <v>23.472999999999999</v>
      </c>
      <c r="F12" s="27">
        <f>234.72*0.7519</f>
        <v>176.48596800000001</v>
      </c>
      <c r="G12" s="65">
        <f t="shared" si="0"/>
        <v>1595.8449679999999</v>
      </c>
    </row>
    <row r="13" spans="1:7" x14ac:dyDescent="0.2">
      <c r="A13" s="7" t="s">
        <v>86</v>
      </c>
      <c r="B13" s="9">
        <v>323.45</v>
      </c>
      <c r="C13" s="9">
        <v>375.89800000000002</v>
      </c>
      <c r="D13" s="9">
        <v>709.24400000000003</v>
      </c>
      <c r="E13" s="9">
        <v>39.923000000000002</v>
      </c>
      <c r="F13" s="27">
        <f>215.046*0.7519</f>
        <v>161.6930874</v>
      </c>
      <c r="G13" s="65">
        <f t="shared" si="0"/>
        <v>1610.2080874000001</v>
      </c>
    </row>
    <row r="14" spans="1:7" x14ac:dyDescent="0.2">
      <c r="A14" s="7" t="s">
        <v>87</v>
      </c>
      <c r="B14" s="9">
        <v>296.91199999999998</v>
      </c>
      <c r="C14" s="9">
        <v>401.7</v>
      </c>
      <c r="D14" s="9">
        <v>757.47800000000007</v>
      </c>
      <c r="E14" s="9">
        <v>37.325000000000003</v>
      </c>
      <c r="F14" s="27">
        <f>187.837*0.7519</f>
        <v>141.2346403</v>
      </c>
      <c r="G14" s="65">
        <f t="shared" si="0"/>
        <v>1634.6496403000001</v>
      </c>
    </row>
    <row r="15" spans="1:7" x14ac:dyDescent="0.2">
      <c r="A15" s="7" t="s">
        <v>88</v>
      </c>
      <c r="B15" s="9">
        <v>326.90699999999998</v>
      </c>
      <c r="C15" s="9">
        <v>381.48099999999999</v>
      </c>
      <c r="D15" s="9">
        <v>860.30100000000004</v>
      </c>
      <c r="E15" s="9">
        <v>35.978000000000002</v>
      </c>
      <c r="F15" s="27">
        <f>237.386*0.7519</f>
        <v>178.4905334</v>
      </c>
      <c r="G15" s="65">
        <f t="shared" si="0"/>
        <v>1783.1575333999999</v>
      </c>
    </row>
    <row r="16" spans="1:7" x14ac:dyDescent="0.2">
      <c r="A16" s="7" t="s">
        <v>1</v>
      </c>
      <c r="B16" s="9">
        <v>330.15800000000002</v>
      </c>
      <c r="C16" s="9">
        <v>392.81099999999998</v>
      </c>
      <c r="D16" s="9">
        <v>897.31799999999998</v>
      </c>
      <c r="E16" s="9">
        <v>36.682000000000002</v>
      </c>
      <c r="F16" s="27">
        <f>242.056*0.7519</f>
        <v>182.00190640000002</v>
      </c>
      <c r="G16" s="65">
        <f t="shared" si="0"/>
        <v>1838.9709064000001</v>
      </c>
    </row>
    <row r="17" spans="1:7" x14ac:dyDescent="0.2">
      <c r="A17" s="7" t="s">
        <v>2</v>
      </c>
      <c r="B17" s="9">
        <v>305.32400000000001</v>
      </c>
      <c r="C17" s="9">
        <v>355.25799999999998</v>
      </c>
      <c r="D17" s="9">
        <v>742.38400000000001</v>
      </c>
      <c r="E17" s="9">
        <v>37.887999999999998</v>
      </c>
      <c r="F17" s="27">
        <f>229.641*0.7519</f>
        <v>172.66706790000001</v>
      </c>
      <c r="G17" s="65">
        <f t="shared" si="0"/>
        <v>1613.5210678999997</v>
      </c>
    </row>
    <row r="18" spans="1:7" x14ac:dyDescent="0.2">
      <c r="A18" s="7" t="s">
        <v>3</v>
      </c>
      <c r="B18" s="9">
        <v>327.61700000000002</v>
      </c>
      <c r="C18" s="9">
        <v>346.255</v>
      </c>
      <c r="D18" s="9">
        <v>886.36699999999996</v>
      </c>
      <c r="E18" s="9">
        <v>34.173000000000002</v>
      </c>
      <c r="F18" s="27">
        <f>253.566*0.7519</f>
        <v>190.6562754</v>
      </c>
      <c r="G18" s="65">
        <f t="shared" si="0"/>
        <v>1785.0682753999999</v>
      </c>
    </row>
    <row r="19" spans="1:7" x14ac:dyDescent="0.2">
      <c r="A19" s="7" t="s">
        <v>4</v>
      </c>
      <c r="B19" s="9">
        <v>328.32400000000001</v>
      </c>
      <c r="C19" s="9">
        <v>352.77499999999998</v>
      </c>
      <c r="D19" s="9">
        <v>797.91</v>
      </c>
      <c r="E19" s="9">
        <v>24.981000000000002</v>
      </c>
      <c r="F19" s="27">
        <f>271.365*0.7519</f>
        <v>204.0393435</v>
      </c>
      <c r="G19" s="65">
        <f t="shared" si="0"/>
        <v>1708.0293435000001</v>
      </c>
    </row>
    <row r="20" spans="1:7" x14ac:dyDescent="0.2">
      <c r="A20" s="7" t="s">
        <v>5</v>
      </c>
      <c r="B20" s="9">
        <v>362.41800000000001</v>
      </c>
      <c r="C20" s="9">
        <v>348.86700000000002</v>
      </c>
      <c r="D20" s="9">
        <v>727.00599999999997</v>
      </c>
      <c r="E20" s="9">
        <v>36.301000000000002</v>
      </c>
      <c r="F20" s="27">
        <f>224.485*0.7519</f>
        <v>168.79027150000002</v>
      </c>
      <c r="G20" s="65">
        <f t="shared" si="0"/>
        <v>1643.3822715000001</v>
      </c>
    </row>
    <row r="21" spans="1:7" x14ac:dyDescent="0.2">
      <c r="A21" s="7" t="s">
        <v>6</v>
      </c>
      <c r="B21" s="9">
        <v>349.63</v>
      </c>
      <c r="C21" s="9">
        <v>301.548</v>
      </c>
      <c r="D21" s="9">
        <v>709.82299999999998</v>
      </c>
      <c r="E21" s="9">
        <v>36.853999999999999</v>
      </c>
      <c r="F21" s="27">
        <f>259.122*0.7519</f>
        <v>194.83383180000001</v>
      </c>
      <c r="G21" s="65">
        <f t="shared" si="0"/>
        <v>1592.6888318000001</v>
      </c>
    </row>
    <row r="22" spans="1:7" x14ac:dyDescent="0.2">
      <c r="A22" s="7" t="s">
        <v>7</v>
      </c>
      <c r="B22" s="9">
        <v>350.66300000000001</v>
      </c>
      <c r="C22" s="9">
        <v>277.089</v>
      </c>
      <c r="D22" s="9">
        <v>728.07600000000002</v>
      </c>
      <c r="E22" s="9">
        <v>32.015000000000001</v>
      </c>
      <c r="F22" s="27">
        <f>228.593*0.7519</f>
        <v>171.87907669999998</v>
      </c>
      <c r="G22" s="65">
        <f t="shared" si="0"/>
        <v>1559.7220767000001</v>
      </c>
    </row>
    <row r="23" spans="1:7" x14ac:dyDescent="0.2">
      <c r="A23" s="7" t="s">
        <v>8</v>
      </c>
      <c r="B23" s="9">
        <v>360.846</v>
      </c>
      <c r="C23" s="9">
        <v>290.10199999999998</v>
      </c>
      <c r="D23" s="9">
        <v>727.53099999999995</v>
      </c>
      <c r="E23" s="9">
        <v>33.825000000000003</v>
      </c>
      <c r="F23" s="27">
        <f>241.547*0.7519</f>
        <v>181.61918929999999</v>
      </c>
      <c r="G23" s="65">
        <f t="shared" si="0"/>
        <v>1593.9231892999999</v>
      </c>
    </row>
    <row r="24" spans="1:7" x14ac:dyDescent="0.2">
      <c r="A24" s="7" t="s">
        <v>9</v>
      </c>
      <c r="B24" s="9">
        <v>351.017</v>
      </c>
      <c r="C24" s="9">
        <v>306.90800000000002</v>
      </c>
      <c r="D24" s="9">
        <v>760.23</v>
      </c>
      <c r="E24" s="9">
        <v>35.470999999999997</v>
      </c>
      <c r="F24" s="27">
        <f>253.115*0.7519</f>
        <v>190.31716850000001</v>
      </c>
      <c r="G24" s="65">
        <f t="shared" si="0"/>
        <v>1643.9431685</v>
      </c>
    </row>
    <row r="25" spans="1:7" x14ac:dyDescent="0.2">
      <c r="A25" s="7" t="s">
        <v>10</v>
      </c>
      <c r="B25" s="9">
        <v>380.17700000000002</v>
      </c>
      <c r="C25" s="9">
        <v>349.80599999999998</v>
      </c>
      <c r="D25" s="9">
        <v>744.70600000000002</v>
      </c>
      <c r="E25" s="9">
        <v>22.131</v>
      </c>
      <c r="F25" s="27">
        <f>235.012*0.7519</f>
        <v>176.70552280000001</v>
      </c>
      <c r="G25" s="65">
        <f t="shared" si="0"/>
        <v>1673.5255227999999</v>
      </c>
    </row>
    <row r="26" spans="1:7" x14ac:dyDescent="0.2">
      <c r="A26" s="7" t="s">
        <v>11</v>
      </c>
      <c r="B26" s="9">
        <v>354.95299999999997</v>
      </c>
      <c r="C26" s="9">
        <v>394.12099999999998</v>
      </c>
      <c r="D26" s="9">
        <v>772.10400000000004</v>
      </c>
      <c r="E26" s="9">
        <v>20.227</v>
      </c>
      <c r="F26" s="27">
        <f>248.943*0.7519</f>
        <v>187.18024170000001</v>
      </c>
      <c r="G26" s="65">
        <f t="shared" si="0"/>
        <v>1728.5852417000001</v>
      </c>
    </row>
    <row r="27" spans="1:7" x14ac:dyDescent="0.2">
      <c r="A27" s="7" t="s">
        <v>155</v>
      </c>
      <c r="B27" s="9">
        <v>355.61</v>
      </c>
      <c r="C27" s="9">
        <v>361.51600000000002</v>
      </c>
      <c r="D27" s="9">
        <v>753.23900000000003</v>
      </c>
      <c r="E27" s="9">
        <v>19.998000000000001</v>
      </c>
      <c r="F27" s="27">
        <f>249.726*0.7519</f>
        <v>187.76897940000001</v>
      </c>
      <c r="G27" s="65">
        <f t="shared" si="0"/>
        <v>1678.1319794000001</v>
      </c>
    </row>
    <row r="28" spans="1:7" x14ac:dyDescent="0.2">
      <c r="A28" s="7" t="s">
        <v>89</v>
      </c>
      <c r="B28" s="9">
        <v>349.72899999999998</v>
      </c>
      <c r="C28" s="9">
        <v>360.916</v>
      </c>
      <c r="D28" s="9">
        <v>818.92700000000002</v>
      </c>
      <c r="E28" s="9">
        <v>17.283999999999999</v>
      </c>
      <c r="F28" s="27">
        <f>219.006*0.7519</f>
        <v>164.67061140000001</v>
      </c>
      <c r="G28" s="65">
        <f t="shared" si="0"/>
        <v>1711.5266114000003</v>
      </c>
    </row>
    <row r="29" spans="1:7" x14ac:dyDescent="0.2">
      <c r="A29" s="7" t="s">
        <v>92</v>
      </c>
      <c r="B29" s="9">
        <v>354.23200000000003</v>
      </c>
      <c r="C29" s="9">
        <v>344.91300000000001</v>
      </c>
      <c r="D29" s="9">
        <v>828.529</v>
      </c>
      <c r="E29" s="9">
        <v>24.379000000000001</v>
      </c>
      <c r="F29" s="27">
        <f>224.13*0.7519</f>
        <v>168.523347</v>
      </c>
      <c r="G29" s="65">
        <f t="shared" si="0"/>
        <v>1720.5763469999999</v>
      </c>
    </row>
    <row r="30" spans="1:7" x14ac:dyDescent="0.2">
      <c r="A30" s="7" t="s">
        <v>156</v>
      </c>
      <c r="B30" s="27">
        <v>365.983</v>
      </c>
      <c r="C30" s="9">
        <v>414.58800000000002</v>
      </c>
      <c r="D30" s="9">
        <v>901.63699999999994</v>
      </c>
      <c r="E30" s="27">
        <v>15.93</v>
      </c>
      <c r="F30" s="27">
        <f>242.985*0.7519</f>
        <v>182.7004215</v>
      </c>
      <c r="G30" s="65">
        <f t="shared" si="0"/>
        <v>1880.8384215000001</v>
      </c>
    </row>
    <row r="31" spans="1:7" x14ac:dyDescent="0.2">
      <c r="A31" s="7" t="s">
        <v>93</v>
      </c>
      <c r="B31" s="27">
        <v>389.69600000000003</v>
      </c>
      <c r="C31" s="9">
        <v>450.78100000000001</v>
      </c>
      <c r="D31" s="9">
        <v>938.51400000000001</v>
      </c>
      <c r="E31" s="27">
        <v>22.547000000000001</v>
      </c>
      <c r="F31" s="27">
        <f>252.131*0.7519</f>
        <v>189.57729890000002</v>
      </c>
      <c r="G31" s="65">
        <f t="shared" si="0"/>
        <v>1991.1152989</v>
      </c>
    </row>
    <row r="32" spans="1:7" x14ac:dyDescent="0.2">
      <c r="A32" s="7" t="s">
        <v>94</v>
      </c>
      <c r="B32" s="27">
        <v>376.77699999999999</v>
      </c>
      <c r="C32" s="9">
        <v>454.32400000000001</v>
      </c>
      <c r="D32" s="9">
        <v>974.22299999999996</v>
      </c>
      <c r="E32" s="27">
        <v>12.092000000000001</v>
      </c>
      <c r="F32" s="27">
        <f>252.685*0.7519</f>
        <v>189.99385150000001</v>
      </c>
      <c r="G32" s="65">
        <f t="shared" si="0"/>
        <v>2007.4098515000001</v>
      </c>
    </row>
    <row r="33" spans="1:14" x14ac:dyDescent="0.2">
      <c r="A33" s="7" t="s">
        <v>96</v>
      </c>
      <c r="B33" s="27">
        <v>373.68400000000003</v>
      </c>
      <c r="C33" s="9">
        <v>415.13099999999997</v>
      </c>
      <c r="D33" s="27">
        <v>993.44500000000005</v>
      </c>
      <c r="E33" s="27">
        <v>9.3970000000000002</v>
      </c>
      <c r="F33" s="27">
        <f>236.508*0.7519</f>
        <v>177.83036520000002</v>
      </c>
      <c r="G33" s="65">
        <f t="shared" si="0"/>
        <v>1969.4873652000001</v>
      </c>
    </row>
    <row r="34" spans="1:14" x14ac:dyDescent="0.2">
      <c r="A34" s="7" t="s">
        <v>99</v>
      </c>
      <c r="B34" s="27">
        <v>320.46699999999998</v>
      </c>
      <c r="C34" s="9">
        <v>425.166</v>
      </c>
      <c r="D34" s="27">
        <v>1012.263</v>
      </c>
      <c r="E34" s="27">
        <v>10.676</v>
      </c>
      <c r="F34" s="27">
        <f>241.694*0.7519</f>
        <v>181.72971859999998</v>
      </c>
      <c r="G34" s="65">
        <f t="shared" si="0"/>
        <v>1950.3017186000002</v>
      </c>
    </row>
    <row r="35" spans="1:14" x14ac:dyDescent="0.2">
      <c r="A35" s="7" t="s">
        <v>98</v>
      </c>
      <c r="B35" s="27">
        <v>316.27499999999998</v>
      </c>
      <c r="C35" s="9">
        <v>367.47800000000001</v>
      </c>
      <c r="D35" s="27">
        <v>1102.6980000000001</v>
      </c>
      <c r="E35" s="27">
        <v>9.84</v>
      </c>
      <c r="F35" s="27">
        <f>279.592*0.7519</f>
        <v>210.22522479999998</v>
      </c>
      <c r="G35" s="65">
        <f t="shared" si="0"/>
        <v>2006.5162247999999</v>
      </c>
    </row>
    <row r="36" spans="1:14" x14ac:dyDescent="0.2">
      <c r="A36" s="29" t="s">
        <v>100</v>
      </c>
      <c r="B36" s="27">
        <v>315.59500000000003</v>
      </c>
      <c r="C36" s="9">
        <v>352.96300000000002</v>
      </c>
      <c r="D36" s="27">
        <v>1191.8209999999999</v>
      </c>
      <c r="E36" s="27">
        <v>15.84</v>
      </c>
      <c r="F36" s="27">
        <f>264.972*0.7519</f>
        <v>199.23244679999999</v>
      </c>
      <c r="G36" s="65">
        <f t="shared" si="0"/>
        <v>2075.4514467999998</v>
      </c>
    </row>
    <row r="37" spans="1:14" x14ac:dyDescent="0.2">
      <c r="A37" s="29" t="s">
        <v>101</v>
      </c>
      <c r="B37" s="27">
        <v>395.452</v>
      </c>
      <c r="C37" s="9">
        <v>395.17700000000002</v>
      </c>
      <c r="D37" s="27">
        <v>1213.229</v>
      </c>
      <c r="E37" s="27">
        <v>16.89</v>
      </c>
      <c r="F37" s="27">
        <f>262.915*0.7519</f>
        <v>197.68578850000003</v>
      </c>
      <c r="G37" s="65">
        <f t="shared" si="0"/>
        <v>2218.4337885000004</v>
      </c>
    </row>
    <row r="38" spans="1:14" x14ac:dyDescent="0.2">
      <c r="A38" s="29" t="s">
        <v>103</v>
      </c>
      <c r="B38" s="27">
        <v>394.678</v>
      </c>
      <c r="C38" s="9">
        <v>390.06799999999998</v>
      </c>
      <c r="D38" s="27">
        <v>1197.748</v>
      </c>
      <c r="E38" s="27">
        <v>19.661000000000001</v>
      </c>
      <c r="F38" s="27">
        <f>245.485*0.7519</f>
        <v>184.58017150000001</v>
      </c>
      <c r="G38" s="65">
        <f t="shared" si="0"/>
        <v>2186.7351715000004</v>
      </c>
    </row>
    <row r="39" spans="1:14" x14ac:dyDescent="0.2">
      <c r="A39" s="29" t="s">
        <v>102</v>
      </c>
      <c r="B39" s="27">
        <v>381.91399999999999</v>
      </c>
      <c r="C39" s="9">
        <v>400.42899999999997</v>
      </c>
      <c r="D39" s="27">
        <v>1227.8589999999999</v>
      </c>
      <c r="E39" s="27">
        <v>20.664000000000001</v>
      </c>
      <c r="F39" s="27">
        <f>291.798*0.7519</f>
        <v>219.40291619999999</v>
      </c>
      <c r="G39" s="65">
        <f t="shared" si="0"/>
        <v>2250.2689161999997</v>
      </c>
    </row>
    <row r="40" spans="1:14" x14ac:dyDescent="0.2">
      <c r="A40" s="29" t="s">
        <v>107</v>
      </c>
      <c r="B40" s="27">
        <v>395.726</v>
      </c>
      <c r="C40" s="9">
        <v>429.79599999999994</v>
      </c>
      <c r="D40" s="27">
        <v>1218.17</v>
      </c>
      <c r="E40" s="27">
        <v>29.103000000000002</v>
      </c>
      <c r="F40" s="27">
        <v>242.37421310000002</v>
      </c>
      <c r="G40" s="65">
        <f t="shared" si="0"/>
        <v>2315.1692131</v>
      </c>
    </row>
    <row r="41" spans="1:14" x14ac:dyDescent="0.2">
      <c r="A41" s="29" t="s">
        <v>108</v>
      </c>
      <c r="B41" s="27">
        <v>375.85600000000005</v>
      </c>
      <c r="C41" s="9">
        <v>428.47700000000003</v>
      </c>
      <c r="D41" s="27">
        <v>1303.7549999999999</v>
      </c>
      <c r="E41" s="27">
        <v>53.178999999999988</v>
      </c>
      <c r="F41" s="27">
        <v>211.27487720000005</v>
      </c>
      <c r="G41" s="65">
        <f t="shared" si="0"/>
        <v>2372.5418771999998</v>
      </c>
    </row>
    <row r="42" spans="1:14" x14ac:dyDescent="0.2">
      <c r="A42" s="29" t="s">
        <v>112</v>
      </c>
      <c r="B42" s="27">
        <v>377.50499999999994</v>
      </c>
      <c r="C42" s="9">
        <v>505.69200000000001</v>
      </c>
      <c r="D42" s="27">
        <v>1299.634</v>
      </c>
      <c r="E42" s="27">
        <v>61.387999999999998</v>
      </c>
      <c r="F42" s="27">
        <v>195.65941800000002</v>
      </c>
      <c r="G42" s="65">
        <f t="shared" si="0"/>
        <v>2439.8784180000002</v>
      </c>
      <c r="I42" s="14"/>
    </row>
    <row r="43" spans="1:14" x14ac:dyDescent="0.2">
      <c r="A43" s="29" t="s">
        <v>109</v>
      </c>
      <c r="B43" s="27">
        <v>407.70100000000002</v>
      </c>
      <c r="C43" s="9">
        <v>470.29200000000003</v>
      </c>
      <c r="D43" s="27">
        <v>1338.1949999999999</v>
      </c>
      <c r="E43" s="27">
        <v>56.768999999999991</v>
      </c>
      <c r="F43" s="27">
        <v>172.67985020000003</v>
      </c>
      <c r="G43" s="65">
        <f t="shared" si="0"/>
        <v>2445.6368502</v>
      </c>
      <c r="I43" s="14"/>
    </row>
    <row r="44" spans="1:14" x14ac:dyDescent="0.2">
      <c r="A44" s="15" t="s">
        <v>134</v>
      </c>
      <c r="B44" s="9">
        <v>379.50400000000002</v>
      </c>
      <c r="C44" s="9">
        <v>524.84499999999991</v>
      </c>
      <c r="D44" s="9">
        <v>1314.567</v>
      </c>
      <c r="E44" s="9">
        <v>95.942999999999984</v>
      </c>
      <c r="F44" s="9">
        <v>152.19959800000001</v>
      </c>
      <c r="G44" s="84">
        <f t="shared" si="0"/>
        <v>2467.0585980000005</v>
      </c>
      <c r="I44" s="14"/>
      <c r="J44" s="14"/>
      <c r="K44" s="14"/>
      <c r="L44" s="14"/>
      <c r="M44" s="14"/>
      <c r="N44" s="14"/>
    </row>
    <row r="45" spans="1:14" x14ac:dyDescent="0.2">
      <c r="A45" s="15" t="s">
        <v>136</v>
      </c>
      <c r="B45" s="9">
        <v>380.93599999999998</v>
      </c>
      <c r="C45" s="9">
        <v>467.67600000000004</v>
      </c>
      <c r="D45" s="9">
        <v>1342.4369999999999</v>
      </c>
      <c r="E45" s="9">
        <v>112.651</v>
      </c>
      <c r="F45" s="9">
        <v>151.2243837</v>
      </c>
      <c r="G45" s="85">
        <f t="shared" si="0"/>
        <v>2454.9243836999999</v>
      </c>
      <c r="I45" s="14"/>
      <c r="J45" s="14"/>
      <c r="K45" s="14"/>
      <c r="L45" s="14"/>
      <c r="M45" s="14"/>
      <c r="N45" s="14"/>
    </row>
    <row r="46" spans="1:14" x14ac:dyDescent="0.2">
      <c r="A46" s="15" t="s">
        <v>135</v>
      </c>
      <c r="B46" s="9">
        <v>395.64699999999999</v>
      </c>
      <c r="C46" s="9">
        <f>481.43</f>
        <v>481.43</v>
      </c>
      <c r="D46" s="9">
        <v>1410.2639999999999</v>
      </c>
      <c r="E46" s="9">
        <v>91.566999999999993</v>
      </c>
      <c r="F46" s="9">
        <v>150.47849890000001</v>
      </c>
      <c r="G46" s="85">
        <f>SUM(B46:F46)</f>
        <v>2529.3864988999999</v>
      </c>
      <c r="I46" s="14"/>
      <c r="J46" s="14"/>
      <c r="K46" s="14"/>
      <c r="L46" s="14"/>
      <c r="M46" s="14"/>
      <c r="N46" s="14"/>
    </row>
    <row r="47" spans="1:14" x14ac:dyDescent="0.2">
      <c r="A47" s="15" t="s">
        <v>148</v>
      </c>
      <c r="B47" s="9">
        <v>433.20599999999996</v>
      </c>
      <c r="C47" s="9">
        <v>505.548</v>
      </c>
      <c r="D47" s="9">
        <v>1448.8520000000001</v>
      </c>
      <c r="E47" s="9">
        <v>72.675999999999988</v>
      </c>
      <c r="F47" s="9">
        <v>159.966725</v>
      </c>
      <c r="G47" s="85">
        <f>SUM(B47:F47)</f>
        <v>2620.2487249999995</v>
      </c>
      <c r="I47" s="14"/>
      <c r="J47" s="14"/>
      <c r="K47" s="14"/>
      <c r="L47" s="14"/>
      <c r="M47" s="14"/>
      <c r="N47" s="14"/>
    </row>
    <row r="48" spans="1:14" x14ac:dyDescent="0.2">
      <c r="A48" s="86" t="s">
        <v>182</v>
      </c>
      <c r="B48" s="10">
        <v>490.13200000000001</v>
      </c>
      <c r="C48" s="10">
        <v>485.35899999999998</v>
      </c>
      <c r="D48" s="10">
        <v>1409.12</v>
      </c>
      <c r="E48" s="10">
        <v>60.173000000000002</v>
      </c>
      <c r="F48" s="10">
        <v>166.85488090000001</v>
      </c>
      <c r="G48" s="87">
        <f>SUM(B48:F48)</f>
        <v>2611.6388808999995</v>
      </c>
      <c r="I48" s="14"/>
      <c r="J48" s="14"/>
      <c r="K48" s="14"/>
      <c r="L48" s="14"/>
      <c r="M48" s="14"/>
      <c r="N48" s="14"/>
    </row>
    <row r="49" spans="1:9" x14ac:dyDescent="0.2">
      <c r="A49" s="26" t="s">
        <v>146</v>
      </c>
      <c r="I49" s="14"/>
    </row>
    <row r="50" spans="1:9" x14ac:dyDescent="0.2">
      <c r="A50" t="s">
        <v>150</v>
      </c>
      <c r="I50" s="14"/>
    </row>
    <row r="51" spans="1:9" ht="13.2" customHeight="1" x14ac:dyDescent="0.2">
      <c r="G51" s="51" t="s">
        <v>178</v>
      </c>
      <c r="I51" s="14"/>
    </row>
    <row r="52" spans="1:9" x14ac:dyDescent="0.2">
      <c r="F52" s="27"/>
      <c r="I52" s="14"/>
    </row>
    <row r="53" spans="1:9" x14ac:dyDescent="0.2">
      <c r="F53" s="27"/>
      <c r="I53" s="14"/>
    </row>
    <row r="54" spans="1:9" x14ac:dyDescent="0.2">
      <c r="F54" s="27"/>
      <c r="I54" s="14"/>
    </row>
    <row r="55" spans="1:9" x14ac:dyDescent="0.2">
      <c r="F55" s="27"/>
      <c r="I55" s="14"/>
    </row>
    <row r="56" spans="1:9" x14ac:dyDescent="0.2">
      <c r="F56" s="27"/>
    </row>
    <row r="57" spans="1:9" x14ac:dyDescent="0.2">
      <c r="F57" s="27"/>
    </row>
  </sheetData>
  <pageMargins left="0.7" right="0.7" top="0.75" bottom="0.75" header="0.3" footer="0.3"/>
  <pageSetup firstPageNumber="12" orientation="portrait" useFirstPageNumber="1" r:id="rId1"/>
  <headerFooter alignWithMargins="0">
    <oddFooter>&amp;C&amp;P
Oil Crops Yearbook/OCS-2020
March 2020
Economic Research Service, USDA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E660-FC6B-486A-BE7A-643F6130627D}">
  <sheetPr>
    <pageSetUpPr fitToPage="1"/>
  </sheetPr>
  <dimension ref="A1:P57"/>
  <sheetViews>
    <sheetView zoomScaleNormal="100" zoomScaleSheetLayoutView="100" workbookViewId="0">
      <pane xSplit="1" ySplit="4" topLeftCell="B5" activePane="bottomRight" state="frozen"/>
      <selection activeCell="C57" sqref="C57"/>
      <selection pane="topRight" activeCell="C57" sqref="C57"/>
      <selection pane="bottomLeft" activeCell="C57" sqref="C57"/>
      <selection pane="bottomRight"/>
    </sheetView>
  </sheetViews>
  <sheetFormatPr defaultRowHeight="10.199999999999999" x14ac:dyDescent="0.2"/>
  <cols>
    <col min="1" max="1" width="7.42578125" customWidth="1"/>
    <col min="2" max="5" width="8.85546875" customWidth="1"/>
    <col min="6" max="6" width="13.28515625" customWidth="1"/>
    <col min="7" max="13" width="8.85546875" customWidth="1"/>
    <col min="14" max="14" width="10" customWidth="1"/>
  </cols>
  <sheetData>
    <row r="1" spans="1:15" x14ac:dyDescent="0.2">
      <c r="A1" s="1" t="s">
        <v>171</v>
      </c>
      <c r="B1" s="1"/>
      <c r="C1" s="1"/>
      <c r="D1" s="1"/>
      <c r="E1" s="1"/>
      <c r="F1" s="1"/>
      <c r="G1" s="1"/>
      <c r="H1" s="1"/>
      <c r="I1" s="1"/>
      <c r="J1" s="1"/>
      <c r="K1" s="1"/>
      <c r="L1" s="1" t="s">
        <v>29</v>
      </c>
      <c r="M1" s="1"/>
      <c r="N1" s="1" t="s">
        <v>29</v>
      </c>
    </row>
    <row r="2" spans="1:15" x14ac:dyDescent="0.2">
      <c r="A2" t="s">
        <v>58</v>
      </c>
      <c r="B2" s="61"/>
      <c r="C2" s="6"/>
      <c r="D2" s="4" t="s">
        <v>64</v>
      </c>
      <c r="E2" s="4"/>
      <c r="F2" s="60"/>
      <c r="G2" s="4"/>
      <c r="H2" s="44" t="s">
        <v>63</v>
      </c>
      <c r="I2" s="4"/>
      <c r="J2" s="60"/>
      <c r="K2" s="64"/>
      <c r="L2" s="61" t="s">
        <v>162</v>
      </c>
      <c r="M2" s="60"/>
      <c r="N2" s="5" t="s">
        <v>74</v>
      </c>
    </row>
    <row r="3" spans="1:15" x14ac:dyDescent="0.2">
      <c r="A3" s="1" t="s">
        <v>59</v>
      </c>
      <c r="B3" s="58" t="s">
        <v>65</v>
      </c>
      <c r="C3" s="6" t="s">
        <v>66</v>
      </c>
      <c r="D3" s="6" t="s">
        <v>67</v>
      </c>
      <c r="E3" s="6" t="s">
        <v>68</v>
      </c>
      <c r="F3" s="57" t="s">
        <v>78</v>
      </c>
      <c r="G3" s="6" t="s">
        <v>69</v>
      </c>
      <c r="H3" s="6" t="s">
        <v>70</v>
      </c>
      <c r="I3" s="6" t="s">
        <v>71</v>
      </c>
      <c r="J3" s="57" t="s">
        <v>110</v>
      </c>
      <c r="K3" s="6" t="s">
        <v>72</v>
      </c>
      <c r="L3" s="6" t="s">
        <v>73</v>
      </c>
      <c r="M3" s="57" t="s">
        <v>0</v>
      </c>
      <c r="N3" s="6" t="s">
        <v>75</v>
      </c>
    </row>
    <row r="4" spans="1:15" x14ac:dyDescent="0.2">
      <c r="A4" t="s">
        <v>29</v>
      </c>
      <c r="C4" s="50"/>
      <c r="D4" s="50"/>
      <c r="E4" s="50"/>
      <c r="F4" s="50"/>
      <c r="G4" s="50"/>
      <c r="H4" s="67" t="s">
        <v>62</v>
      </c>
      <c r="I4" s="50"/>
      <c r="J4" s="50"/>
      <c r="K4" s="50"/>
      <c r="L4" s="50"/>
      <c r="M4" s="50"/>
      <c r="N4" s="50"/>
    </row>
    <row r="5" spans="1:15" x14ac:dyDescent="0.2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5" x14ac:dyDescent="0.2">
      <c r="A6" t="s">
        <v>13</v>
      </c>
      <c r="B6" s="12">
        <v>209</v>
      </c>
      <c r="C6" s="12">
        <v>65</v>
      </c>
      <c r="D6" s="12">
        <v>530</v>
      </c>
      <c r="E6" s="12">
        <v>15</v>
      </c>
      <c r="F6" s="12">
        <f>SUM(B6:E6)+7.5</f>
        <v>826.5</v>
      </c>
      <c r="G6" s="12">
        <v>123</v>
      </c>
      <c r="H6" s="12">
        <v>290</v>
      </c>
      <c r="I6" s="12">
        <v>8.9</v>
      </c>
      <c r="J6" s="12">
        <v>421.9</v>
      </c>
      <c r="K6" s="12">
        <v>104</v>
      </c>
      <c r="L6" s="12">
        <v>169</v>
      </c>
      <c r="M6" s="12">
        <f>SUM(K6:L6)</f>
        <v>273</v>
      </c>
      <c r="N6" s="13">
        <v>1521.4</v>
      </c>
      <c r="O6" s="17"/>
    </row>
    <row r="7" spans="1:15" x14ac:dyDescent="0.2">
      <c r="A7" t="s">
        <v>14</v>
      </c>
      <c r="B7" s="12">
        <v>224</v>
      </c>
      <c r="C7" s="12">
        <v>69</v>
      </c>
      <c r="D7" s="12">
        <v>570</v>
      </c>
      <c r="E7" s="12">
        <v>15</v>
      </c>
      <c r="F7" s="12">
        <f>SUM(B7:E7)+7</f>
        <v>885</v>
      </c>
      <c r="G7" s="12">
        <v>95</v>
      </c>
      <c r="H7" s="12">
        <v>244</v>
      </c>
      <c r="I7" s="12">
        <v>10</v>
      </c>
      <c r="J7" s="12">
        <v>349</v>
      </c>
      <c r="K7" s="12">
        <v>105</v>
      </c>
      <c r="L7" s="12">
        <v>175</v>
      </c>
      <c r="M7" s="12">
        <f t="shared" ref="M7:M28" si="0">SUM(K7:L7)</f>
        <v>280</v>
      </c>
      <c r="N7" s="13">
        <v>1514</v>
      </c>
      <c r="O7" s="17"/>
    </row>
    <row r="8" spans="1:15" x14ac:dyDescent="0.2">
      <c r="A8" t="s">
        <v>15</v>
      </c>
      <c r="B8" s="12">
        <v>179</v>
      </c>
      <c r="C8" s="12">
        <v>59</v>
      </c>
      <c r="D8" s="12">
        <v>475</v>
      </c>
      <c r="E8" s="12">
        <v>12</v>
      </c>
      <c r="F8" s="12">
        <f t="shared" ref="F8:F28" si="1">SUM(B8:E8)</f>
        <v>725</v>
      </c>
      <c r="G8" s="12">
        <v>88</v>
      </c>
      <c r="H8" s="12">
        <v>240</v>
      </c>
      <c r="I8" s="12">
        <v>10.4</v>
      </c>
      <c r="J8" s="12">
        <v>338.4</v>
      </c>
      <c r="K8" s="12">
        <v>96</v>
      </c>
      <c r="L8" s="12">
        <v>152</v>
      </c>
      <c r="M8" s="12">
        <f t="shared" si="0"/>
        <v>248</v>
      </c>
      <c r="N8" s="13">
        <v>1311.4</v>
      </c>
      <c r="O8" s="17"/>
    </row>
    <row r="9" spans="1:15" x14ac:dyDescent="0.2">
      <c r="A9" t="s">
        <v>16</v>
      </c>
      <c r="B9" s="12">
        <v>182</v>
      </c>
      <c r="C9" s="12">
        <v>69</v>
      </c>
      <c r="D9" s="12">
        <v>567</v>
      </c>
      <c r="E9" s="12">
        <v>13</v>
      </c>
      <c r="F9" s="12">
        <f t="shared" si="1"/>
        <v>831</v>
      </c>
      <c r="G9" s="12">
        <v>93</v>
      </c>
      <c r="H9" s="12">
        <v>230</v>
      </c>
      <c r="I9" s="12">
        <v>11</v>
      </c>
      <c r="J9" s="12">
        <v>334</v>
      </c>
      <c r="K9" s="12">
        <v>96</v>
      </c>
      <c r="L9" s="12">
        <v>150</v>
      </c>
      <c r="M9" s="12">
        <f t="shared" si="0"/>
        <v>246</v>
      </c>
      <c r="N9" s="13">
        <v>1411</v>
      </c>
      <c r="O9" s="17"/>
    </row>
    <row r="10" spans="1:15" x14ac:dyDescent="0.2">
      <c r="A10" t="s">
        <v>17</v>
      </c>
      <c r="B10" s="12">
        <v>221</v>
      </c>
      <c r="C10" s="12">
        <v>85</v>
      </c>
      <c r="D10" s="12">
        <v>643</v>
      </c>
      <c r="E10" s="12">
        <v>15</v>
      </c>
      <c r="F10" s="12">
        <f t="shared" si="1"/>
        <v>964</v>
      </c>
      <c r="G10" s="12">
        <v>93</v>
      </c>
      <c r="H10" s="12">
        <v>232</v>
      </c>
      <c r="I10" s="12">
        <v>14.6</v>
      </c>
      <c r="J10" s="12">
        <v>339.6</v>
      </c>
      <c r="K10" s="12">
        <v>98</v>
      </c>
      <c r="L10" s="12">
        <v>157</v>
      </c>
      <c r="M10" s="12">
        <f t="shared" si="0"/>
        <v>255</v>
      </c>
      <c r="N10" s="13">
        <v>1558.6</v>
      </c>
      <c r="O10" s="17"/>
    </row>
    <row r="11" spans="1:15" x14ac:dyDescent="0.2">
      <c r="A11" t="s">
        <v>18</v>
      </c>
      <c r="B11" s="12">
        <v>201</v>
      </c>
      <c r="C11" s="12">
        <v>80</v>
      </c>
      <c r="D11" s="12">
        <v>595</v>
      </c>
      <c r="E11" s="12">
        <v>12</v>
      </c>
      <c r="F11" s="12">
        <f t="shared" si="1"/>
        <v>888</v>
      </c>
      <c r="G11" s="12">
        <v>87</v>
      </c>
      <c r="H11" s="12">
        <v>252</v>
      </c>
      <c r="I11" s="12">
        <v>12.4</v>
      </c>
      <c r="J11" s="12">
        <v>351.4</v>
      </c>
      <c r="K11" s="12">
        <v>96</v>
      </c>
      <c r="L11" s="12">
        <v>155</v>
      </c>
      <c r="M11" s="12">
        <f t="shared" si="0"/>
        <v>251</v>
      </c>
      <c r="N11" s="13">
        <v>1490.4</v>
      </c>
      <c r="O11" s="17"/>
    </row>
    <row r="12" spans="1:15" x14ac:dyDescent="0.2">
      <c r="A12" t="s">
        <v>19</v>
      </c>
      <c r="B12" s="12">
        <v>220</v>
      </c>
      <c r="C12" s="12">
        <v>94</v>
      </c>
      <c r="D12" s="12">
        <v>675</v>
      </c>
      <c r="E12" s="12">
        <v>12</v>
      </c>
      <c r="F12" s="12">
        <f t="shared" si="1"/>
        <v>1001</v>
      </c>
      <c r="G12" s="12">
        <v>92</v>
      </c>
      <c r="H12" s="12">
        <v>225</v>
      </c>
      <c r="I12" s="12">
        <v>12.7</v>
      </c>
      <c r="J12" s="12">
        <v>329.7</v>
      </c>
      <c r="K12" s="12">
        <v>89</v>
      </c>
      <c r="L12" s="12">
        <v>145</v>
      </c>
      <c r="M12" s="12">
        <f t="shared" si="0"/>
        <v>234</v>
      </c>
      <c r="N12" s="13">
        <v>1564.7</v>
      </c>
      <c r="O12" s="17"/>
    </row>
    <row r="13" spans="1:15" x14ac:dyDescent="0.2">
      <c r="A13" t="s">
        <v>20</v>
      </c>
      <c r="B13" s="12">
        <v>221</v>
      </c>
      <c r="C13" s="12">
        <v>91</v>
      </c>
      <c r="D13" s="12">
        <v>635</v>
      </c>
      <c r="E13" s="12">
        <v>13</v>
      </c>
      <c r="F13" s="12">
        <f t="shared" si="1"/>
        <v>960</v>
      </c>
      <c r="G13" s="12">
        <v>100</v>
      </c>
      <c r="H13" s="12">
        <v>254</v>
      </c>
      <c r="I13" s="12">
        <v>12.4</v>
      </c>
      <c r="J13" s="12">
        <v>366.4</v>
      </c>
      <c r="K13" s="12">
        <v>91</v>
      </c>
      <c r="L13" s="12">
        <v>150</v>
      </c>
      <c r="M13" s="12">
        <f t="shared" si="0"/>
        <v>241</v>
      </c>
      <c r="N13" s="13">
        <v>1567.4</v>
      </c>
      <c r="O13" s="17"/>
    </row>
    <row r="14" spans="1:15" x14ac:dyDescent="0.2">
      <c r="A14" t="s">
        <v>21</v>
      </c>
      <c r="B14" s="12">
        <v>237</v>
      </c>
      <c r="C14" s="12">
        <v>98</v>
      </c>
      <c r="D14" s="12">
        <v>690</v>
      </c>
      <c r="E14" s="12">
        <v>13</v>
      </c>
      <c r="F14" s="12">
        <f t="shared" si="1"/>
        <v>1038</v>
      </c>
      <c r="G14" s="12">
        <v>99</v>
      </c>
      <c r="H14" s="12">
        <v>260</v>
      </c>
      <c r="I14" s="12">
        <v>13.4</v>
      </c>
      <c r="J14" s="12">
        <v>372.4</v>
      </c>
      <c r="K14" s="12">
        <v>92</v>
      </c>
      <c r="L14" s="12">
        <v>155</v>
      </c>
      <c r="M14" s="12">
        <f t="shared" si="0"/>
        <v>247</v>
      </c>
      <c r="N14" s="13">
        <v>1657.4</v>
      </c>
      <c r="O14" s="17"/>
    </row>
    <row r="15" spans="1:15" x14ac:dyDescent="0.2">
      <c r="A15" t="s">
        <v>22</v>
      </c>
      <c r="B15" s="12">
        <v>240</v>
      </c>
      <c r="C15" s="12">
        <v>95</v>
      </c>
      <c r="D15" s="12">
        <v>690</v>
      </c>
      <c r="E15" s="12">
        <v>13</v>
      </c>
      <c r="F15" s="12">
        <f t="shared" si="1"/>
        <v>1038</v>
      </c>
      <c r="G15" s="12">
        <v>99</v>
      </c>
      <c r="H15" s="12">
        <v>265</v>
      </c>
      <c r="I15" s="12">
        <v>18.2</v>
      </c>
      <c r="J15" s="12">
        <v>382.2</v>
      </c>
      <c r="K15" s="12">
        <v>92</v>
      </c>
      <c r="L15" s="12">
        <v>153</v>
      </c>
      <c r="M15" s="12">
        <f t="shared" si="0"/>
        <v>245</v>
      </c>
      <c r="N15" s="13">
        <v>1665.2</v>
      </c>
      <c r="O15" s="17"/>
    </row>
    <row r="16" spans="1:15" x14ac:dyDescent="0.2">
      <c r="A16" t="s">
        <v>23</v>
      </c>
      <c r="B16" s="12">
        <v>258</v>
      </c>
      <c r="C16" s="12">
        <v>108</v>
      </c>
      <c r="D16" s="12">
        <v>782</v>
      </c>
      <c r="E16" s="12">
        <v>14</v>
      </c>
      <c r="F16" s="12">
        <f t="shared" si="1"/>
        <v>1162</v>
      </c>
      <c r="G16" s="12">
        <v>107</v>
      </c>
      <c r="H16" s="12">
        <v>295</v>
      </c>
      <c r="I16" s="12">
        <v>20</v>
      </c>
      <c r="J16" s="12">
        <v>422</v>
      </c>
      <c r="K16" s="12">
        <v>97</v>
      </c>
      <c r="L16" s="12">
        <v>165</v>
      </c>
      <c r="M16" s="12">
        <f t="shared" si="0"/>
        <v>262</v>
      </c>
      <c r="N16" s="13">
        <v>1846</v>
      </c>
      <c r="O16" s="17"/>
    </row>
    <row r="17" spans="1:15" x14ac:dyDescent="0.2">
      <c r="A17" t="s">
        <v>24</v>
      </c>
      <c r="B17" s="12">
        <v>278</v>
      </c>
      <c r="C17" s="12">
        <v>126</v>
      </c>
      <c r="D17" s="12">
        <v>900</v>
      </c>
      <c r="E17" s="12">
        <v>14.5</v>
      </c>
      <c r="F17" s="12">
        <f t="shared" si="1"/>
        <v>1318.5</v>
      </c>
      <c r="G17" s="12">
        <v>110</v>
      </c>
      <c r="H17" s="12">
        <v>330</v>
      </c>
      <c r="I17" s="12">
        <v>22.7</v>
      </c>
      <c r="J17" s="12">
        <v>462.7</v>
      </c>
      <c r="K17" s="12">
        <v>96</v>
      </c>
      <c r="L17" s="12">
        <v>162</v>
      </c>
      <c r="M17" s="12">
        <f t="shared" si="0"/>
        <v>258</v>
      </c>
      <c r="N17" s="13">
        <v>2039.2</v>
      </c>
      <c r="O17" s="17"/>
    </row>
    <row r="18" spans="1:15" x14ac:dyDescent="0.2">
      <c r="A18" t="s">
        <v>31</v>
      </c>
      <c r="B18" s="12">
        <v>237</v>
      </c>
      <c r="C18" s="12">
        <v>85</v>
      </c>
      <c r="D18" s="12">
        <v>675</v>
      </c>
      <c r="E18" s="12">
        <v>13.5</v>
      </c>
      <c r="F18" s="12">
        <f t="shared" si="1"/>
        <v>1010.5</v>
      </c>
      <c r="G18" s="12">
        <v>100</v>
      </c>
      <c r="H18" s="12">
        <v>308</v>
      </c>
      <c r="I18" s="12">
        <v>21.1</v>
      </c>
      <c r="J18" s="12">
        <v>429.1</v>
      </c>
      <c r="K18" s="12">
        <v>94</v>
      </c>
      <c r="L18" s="12">
        <v>153</v>
      </c>
      <c r="M18" s="12">
        <f t="shared" si="0"/>
        <v>247</v>
      </c>
      <c r="N18" s="13">
        <v>1686.6</v>
      </c>
      <c r="O18" s="17"/>
    </row>
    <row r="19" spans="1:15" x14ac:dyDescent="0.2">
      <c r="A19" t="s">
        <v>25</v>
      </c>
      <c r="B19" s="12">
        <v>240</v>
      </c>
      <c r="C19" s="12">
        <v>98</v>
      </c>
      <c r="D19" s="12">
        <v>702</v>
      </c>
      <c r="E19" s="12">
        <v>14.5</v>
      </c>
      <c r="F19" s="12">
        <f t="shared" si="1"/>
        <v>1054.5</v>
      </c>
      <c r="G19" s="12">
        <v>105</v>
      </c>
      <c r="H19" s="12">
        <v>305</v>
      </c>
      <c r="I19" s="12">
        <v>22</v>
      </c>
      <c r="J19" s="12">
        <v>432</v>
      </c>
      <c r="K19" s="12">
        <v>95</v>
      </c>
      <c r="L19" s="12">
        <v>152</v>
      </c>
      <c r="M19" s="12">
        <f t="shared" si="0"/>
        <v>247</v>
      </c>
      <c r="N19" s="13">
        <v>1733.5</v>
      </c>
      <c r="O19" s="17"/>
    </row>
    <row r="20" spans="1:15" x14ac:dyDescent="0.2">
      <c r="A20" t="s">
        <v>26</v>
      </c>
      <c r="B20" s="12">
        <v>223</v>
      </c>
      <c r="C20" s="12">
        <v>92</v>
      </c>
      <c r="D20" s="12">
        <v>652</v>
      </c>
      <c r="E20" s="12">
        <v>13</v>
      </c>
      <c r="F20" s="12">
        <f t="shared" si="1"/>
        <v>980</v>
      </c>
      <c r="G20" s="12">
        <v>102</v>
      </c>
      <c r="H20" s="12">
        <v>295</v>
      </c>
      <c r="I20" s="12">
        <v>21</v>
      </c>
      <c r="J20" s="12">
        <v>418</v>
      </c>
      <c r="K20" s="12">
        <v>92</v>
      </c>
      <c r="L20" s="12">
        <v>151</v>
      </c>
      <c r="M20" s="12">
        <f t="shared" si="0"/>
        <v>243</v>
      </c>
      <c r="N20" s="13">
        <v>1641</v>
      </c>
      <c r="O20" s="17"/>
    </row>
    <row r="21" spans="1:15" x14ac:dyDescent="0.2">
      <c r="A21" t="s">
        <v>27</v>
      </c>
      <c r="B21" s="12">
        <v>213</v>
      </c>
      <c r="C21" s="12">
        <v>89</v>
      </c>
      <c r="D21" s="12">
        <v>595</v>
      </c>
      <c r="E21" s="12">
        <v>11.5</v>
      </c>
      <c r="F21" s="12">
        <f t="shared" si="1"/>
        <v>908.5</v>
      </c>
      <c r="G21" s="12">
        <v>100</v>
      </c>
      <c r="H21" s="12">
        <v>275</v>
      </c>
      <c r="I21" s="12">
        <v>20</v>
      </c>
      <c r="J21" s="12">
        <v>395</v>
      </c>
      <c r="K21" s="12">
        <v>90</v>
      </c>
      <c r="L21" s="12">
        <v>144</v>
      </c>
      <c r="M21" s="12">
        <f t="shared" si="0"/>
        <v>234</v>
      </c>
      <c r="N21" s="13">
        <v>1537.5</v>
      </c>
      <c r="O21" s="17"/>
    </row>
    <row r="22" spans="1:15" x14ac:dyDescent="0.2">
      <c r="A22" t="s">
        <v>32</v>
      </c>
      <c r="B22" s="12">
        <v>192</v>
      </c>
      <c r="C22" s="12">
        <v>90</v>
      </c>
      <c r="D22" s="12">
        <v>535</v>
      </c>
      <c r="E22" s="12">
        <v>11</v>
      </c>
      <c r="F22" s="12">
        <f t="shared" si="1"/>
        <v>828</v>
      </c>
      <c r="G22" s="12">
        <v>85</v>
      </c>
      <c r="H22" s="12">
        <v>270</v>
      </c>
      <c r="I22" s="12">
        <v>16.5</v>
      </c>
      <c r="J22" s="12">
        <v>371.5</v>
      </c>
      <c r="K22" s="12">
        <v>77</v>
      </c>
      <c r="L22" s="12">
        <v>125</v>
      </c>
      <c r="M22" s="12">
        <f t="shared" si="0"/>
        <v>202</v>
      </c>
      <c r="N22" s="13">
        <v>1401.5</v>
      </c>
      <c r="O22" s="17"/>
    </row>
    <row r="23" spans="1:15" x14ac:dyDescent="0.2">
      <c r="A23" t="s">
        <v>28</v>
      </c>
      <c r="B23" s="12">
        <v>194</v>
      </c>
      <c r="C23" s="12">
        <v>92</v>
      </c>
      <c r="D23" s="12">
        <v>520</v>
      </c>
      <c r="E23" s="12">
        <v>11</v>
      </c>
      <c r="F23" s="12">
        <f t="shared" si="1"/>
        <v>817</v>
      </c>
      <c r="G23" s="12">
        <v>79</v>
      </c>
      <c r="H23" s="12">
        <v>320</v>
      </c>
      <c r="I23" s="12">
        <v>18</v>
      </c>
      <c r="J23" s="12">
        <v>417</v>
      </c>
      <c r="K23" s="12">
        <v>76</v>
      </c>
      <c r="L23" s="12">
        <v>124</v>
      </c>
      <c r="M23" s="12">
        <f t="shared" si="0"/>
        <v>200</v>
      </c>
      <c r="N23" s="13">
        <v>1434</v>
      </c>
      <c r="O23" s="17"/>
    </row>
    <row r="24" spans="1:15" x14ac:dyDescent="0.2">
      <c r="A24" t="s">
        <v>60</v>
      </c>
      <c r="B24" s="12">
        <v>198</v>
      </c>
      <c r="C24" s="12">
        <v>98</v>
      </c>
      <c r="D24" s="12">
        <v>540</v>
      </c>
      <c r="E24" s="12">
        <v>12</v>
      </c>
      <c r="F24" s="12">
        <f t="shared" si="1"/>
        <v>848</v>
      </c>
      <c r="G24" s="12">
        <v>80</v>
      </c>
      <c r="H24" s="12">
        <v>370</v>
      </c>
      <c r="I24" s="12">
        <v>22</v>
      </c>
      <c r="J24" s="12">
        <v>472</v>
      </c>
      <c r="K24" s="12">
        <v>76</v>
      </c>
      <c r="L24" s="12">
        <v>125</v>
      </c>
      <c r="M24" s="12">
        <f t="shared" si="0"/>
        <v>201</v>
      </c>
      <c r="N24" s="13">
        <v>1521</v>
      </c>
      <c r="O24" s="17"/>
    </row>
    <row r="25" spans="1:15" x14ac:dyDescent="0.2">
      <c r="A25" t="s">
        <v>61</v>
      </c>
      <c r="B25" s="12">
        <v>207</v>
      </c>
      <c r="C25" s="12">
        <v>102</v>
      </c>
      <c r="D25" s="12">
        <v>546</v>
      </c>
      <c r="E25" s="12">
        <v>11.5</v>
      </c>
      <c r="F25" s="12">
        <f t="shared" si="1"/>
        <v>866.5</v>
      </c>
      <c r="G25" s="12">
        <v>83</v>
      </c>
      <c r="H25" s="12">
        <v>360</v>
      </c>
      <c r="I25" s="12">
        <v>22</v>
      </c>
      <c r="J25" s="12">
        <v>465</v>
      </c>
      <c r="K25" s="12">
        <v>77</v>
      </c>
      <c r="L25" s="12">
        <v>126</v>
      </c>
      <c r="M25" s="12">
        <f t="shared" si="0"/>
        <v>203</v>
      </c>
      <c r="N25" s="13">
        <v>1534.5</v>
      </c>
      <c r="O25" s="17"/>
    </row>
    <row r="26" spans="1:15" x14ac:dyDescent="0.2">
      <c r="A26" t="s">
        <v>91</v>
      </c>
      <c r="B26" s="12">
        <v>190</v>
      </c>
      <c r="C26" s="12">
        <v>94</v>
      </c>
      <c r="D26" s="12">
        <v>494</v>
      </c>
      <c r="E26" s="12">
        <v>10.5</v>
      </c>
      <c r="F26" s="12">
        <f t="shared" si="1"/>
        <v>788.5</v>
      </c>
      <c r="G26" s="12">
        <v>97</v>
      </c>
      <c r="H26" s="12">
        <v>425</v>
      </c>
      <c r="I26" s="12">
        <v>27.3</v>
      </c>
      <c r="J26" s="12">
        <v>549.29999999999995</v>
      </c>
      <c r="K26" s="12">
        <v>76</v>
      </c>
      <c r="L26" s="12">
        <v>123</v>
      </c>
      <c r="M26" s="12">
        <f t="shared" si="0"/>
        <v>199</v>
      </c>
      <c r="N26" s="13">
        <v>1536.8</v>
      </c>
      <c r="O26" s="17"/>
    </row>
    <row r="27" spans="1:15" x14ac:dyDescent="0.2">
      <c r="A27" t="s">
        <v>119</v>
      </c>
      <c r="B27" s="12">
        <v>200</v>
      </c>
      <c r="C27" s="12">
        <v>90</v>
      </c>
      <c r="D27" s="12">
        <v>515</v>
      </c>
      <c r="E27" s="12">
        <v>11</v>
      </c>
      <c r="F27" s="12">
        <f t="shared" si="1"/>
        <v>816</v>
      </c>
      <c r="G27" s="12">
        <v>80</v>
      </c>
      <c r="H27" s="12">
        <v>425</v>
      </c>
      <c r="I27" s="12">
        <v>22.2</v>
      </c>
      <c r="J27" s="12">
        <v>527.20000000000005</v>
      </c>
      <c r="K27" s="12">
        <v>75</v>
      </c>
      <c r="L27" s="12">
        <v>123</v>
      </c>
      <c r="M27" s="12">
        <f>SUM(K27:L27)</f>
        <v>198</v>
      </c>
      <c r="N27" s="13">
        <v>1541.2</v>
      </c>
      <c r="O27" s="17"/>
    </row>
    <row r="28" spans="1:15" x14ac:dyDescent="0.2">
      <c r="A28" t="s">
        <v>120</v>
      </c>
      <c r="B28" s="12">
        <v>185</v>
      </c>
      <c r="C28" s="12">
        <v>96</v>
      </c>
      <c r="D28" s="12">
        <v>510</v>
      </c>
      <c r="E28" s="12">
        <v>10</v>
      </c>
      <c r="F28" s="12">
        <f t="shared" si="1"/>
        <v>801</v>
      </c>
      <c r="G28" s="12">
        <v>60</v>
      </c>
      <c r="H28" s="12">
        <v>315</v>
      </c>
      <c r="I28" s="12">
        <v>18</v>
      </c>
      <c r="J28" s="12">
        <v>393</v>
      </c>
      <c r="K28" s="12">
        <v>58</v>
      </c>
      <c r="L28" s="12">
        <v>101</v>
      </c>
      <c r="M28" s="12">
        <f t="shared" si="0"/>
        <v>159</v>
      </c>
      <c r="N28" s="13">
        <f t="shared" ref="N28:N44" si="2">+F28+J28+M28</f>
        <v>1353</v>
      </c>
      <c r="O28" s="17"/>
    </row>
    <row r="29" spans="1:15" x14ac:dyDescent="0.2">
      <c r="A29" t="s">
        <v>121</v>
      </c>
      <c r="B29" s="12">
        <v>190</v>
      </c>
      <c r="C29" s="12">
        <v>125</v>
      </c>
      <c r="D29" s="12">
        <v>545</v>
      </c>
      <c r="E29" s="12">
        <v>19</v>
      </c>
      <c r="F29" s="12">
        <f>SUM(B29:E29)</f>
        <v>879</v>
      </c>
      <c r="G29" s="12">
        <v>37</v>
      </c>
      <c r="H29" s="12">
        <v>275</v>
      </c>
      <c r="I29" s="12">
        <v>18</v>
      </c>
      <c r="J29" s="12">
        <v>330</v>
      </c>
      <c r="K29" s="12">
        <v>34</v>
      </c>
      <c r="L29" s="12">
        <v>101</v>
      </c>
      <c r="M29" s="12">
        <f>SUM(K29:L29)</f>
        <v>135</v>
      </c>
      <c r="N29" s="13">
        <f t="shared" si="2"/>
        <v>1344</v>
      </c>
      <c r="O29" s="17"/>
    </row>
    <row r="30" spans="1:15" x14ac:dyDescent="0.2">
      <c r="A30" t="s">
        <v>95</v>
      </c>
      <c r="B30" s="12">
        <v>200</v>
      </c>
      <c r="C30" s="12">
        <v>145</v>
      </c>
      <c r="D30" s="12">
        <v>620</v>
      </c>
      <c r="E30" s="12">
        <v>35</v>
      </c>
      <c r="F30" s="12">
        <f>SUM(B30:E30)</f>
        <v>1000</v>
      </c>
      <c r="G30" s="12">
        <v>35</v>
      </c>
      <c r="H30" s="12">
        <v>240</v>
      </c>
      <c r="I30" s="12">
        <v>17</v>
      </c>
      <c r="J30" s="12">
        <v>292</v>
      </c>
      <c r="K30" s="12">
        <v>33</v>
      </c>
      <c r="L30" s="12">
        <v>105</v>
      </c>
      <c r="M30" s="12">
        <f>SUM(K30:L30)</f>
        <v>138</v>
      </c>
      <c r="N30" s="13">
        <f t="shared" si="2"/>
        <v>1430</v>
      </c>
      <c r="O30" s="17"/>
    </row>
    <row r="31" spans="1:15" x14ac:dyDescent="0.2">
      <c r="A31" t="s">
        <v>122</v>
      </c>
      <c r="B31" s="12">
        <v>225</v>
      </c>
      <c r="C31" s="12">
        <v>160</v>
      </c>
      <c r="D31" s="12">
        <v>755</v>
      </c>
      <c r="E31" s="12">
        <v>63</v>
      </c>
      <c r="F31" s="12">
        <f>SUM(B31:E31)+15</f>
        <v>1218</v>
      </c>
      <c r="G31" s="12">
        <v>35</v>
      </c>
      <c r="H31" s="12">
        <v>265</v>
      </c>
      <c r="I31" s="12">
        <v>19</v>
      </c>
      <c r="J31" s="12">
        <v>319</v>
      </c>
      <c r="K31" s="12">
        <v>23</v>
      </c>
      <c r="L31" s="12">
        <v>97</v>
      </c>
      <c r="M31" s="12">
        <f>SUM(K31:L31)</f>
        <v>120</v>
      </c>
      <c r="N31" s="13">
        <f t="shared" si="2"/>
        <v>1657</v>
      </c>
      <c r="O31" s="17"/>
    </row>
    <row r="32" spans="1:15" x14ac:dyDescent="0.2">
      <c r="A32" t="s">
        <v>123</v>
      </c>
      <c r="B32" s="12">
        <v>165</v>
      </c>
      <c r="C32" s="12">
        <v>130</v>
      </c>
      <c r="D32" s="12">
        <v>580</v>
      </c>
      <c r="E32" s="12">
        <v>59</v>
      </c>
      <c r="F32" s="12">
        <f>SUM(B32:E32)+17</f>
        <v>951</v>
      </c>
      <c r="G32" s="12">
        <v>23</v>
      </c>
      <c r="H32" s="12">
        <v>155</v>
      </c>
      <c r="I32" s="12">
        <v>12</v>
      </c>
      <c r="J32" s="12">
        <v>190</v>
      </c>
      <c r="K32" s="12">
        <v>17</v>
      </c>
      <c r="L32" s="12">
        <v>85</v>
      </c>
      <c r="M32" s="12">
        <f>+K32+L32</f>
        <v>102</v>
      </c>
      <c r="N32" s="13">
        <f t="shared" si="2"/>
        <v>1243</v>
      </c>
      <c r="O32" s="17"/>
    </row>
    <row r="33" spans="1:15" x14ac:dyDescent="0.2">
      <c r="A33" t="s">
        <v>124</v>
      </c>
      <c r="B33" s="12">
        <v>160</v>
      </c>
      <c r="C33" s="12">
        <v>130</v>
      </c>
      <c r="D33" s="12">
        <v>530</v>
      </c>
      <c r="E33" s="12">
        <v>59</v>
      </c>
      <c r="F33" s="12">
        <f>SUM(B33:E33)+19</f>
        <v>898</v>
      </c>
      <c r="G33" s="12">
        <v>18</v>
      </c>
      <c r="H33" s="12">
        <v>190</v>
      </c>
      <c r="I33" s="12">
        <v>10</v>
      </c>
      <c r="J33" s="12">
        <v>218</v>
      </c>
      <c r="K33" s="12">
        <v>22</v>
      </c>
      <c r="L33" s="12">
        <v>92</v>
      </c>
      <c r="M33" s="12">
        <f>+K33+L33</f>
        <v>114</v>
      </c>
      <c r="N33" s="13">
        <f t="shared" si="2"/>
        <v>1230</v>
      </c>
      <c r="O33" s="17"/>
    </row>
    <row r="34" spans="1:15" x14ac:dyDescent="0.2">
      <c r="A34" t="s">
        <v>125</v>
      </c>
      <c r="B34" s="12">
        <v>195</v>
      </c>
      <c r="C34" s="12">
        <v>150</v>
      </c>
      <c r="D34" s="12">
        <v>690</v>
      </c>
      <c r="E34" s="12">
        <v>71</v>
      </c>
      <c r="F34" s="12">
        <f>SUM(B34:E34)+22</f>
        <v>1128</v>
      </c>
      <c r="G34" s="12">
        <v>19</v>
      </c>
      <c r="H34" s="12">
        <v>257</v>
      </c>
      <c r="I34" s="12">
        <v>8</v>
      </c>
      <c r="J34" s="12">
        <v>284</v>
      </c>
      <c r="K34" s="12">
        <v>24</v>
      </c>
      <c r="L34" s="12">
        <v>98</v>
      </c>
      <c r="M34" s="12">
        <f>+K34+L34</f>
        <v>122</v>
      </c>
      <c r="N34" s="13">
        <f t="shared" si="2"/>
        <v>1534</v>
      </c>
      <c r="O34" s="17"/>
    </row>
    <row r="35" spans="1:15" x14ac:dyDescent="0.2">
      <c r="A35" t="s">
        <v>126</v>
      </c>
      <c r="B35" s="12">
        <v>155</v>
      </c>
      <c r="C35" s="12">
        <v>115</v>
      </c>
      <c r="D35" s="12">
        <v>510</v>
      </c>
      <c r="E35" s="12">
        <v>50</v>
      </c>
      <c r="F35" s="12">
        <f>SUM(B35:E35)+21</f>
        <v>851</v>
      </c>
      <c r="G35" s="12">
        <v>14</v>
      </c>
      <c r="H35" s="12">
        <v>165</v>
      </c>
      <c r="I35" s="12">
        <v>7</v>
      </c>
      <c r="J35" s="12">
        <v>186</v>
      </c>
      <c r="K35" s="12">
        <v>12</v>
      </c>
      <c r="L35" s="12">
        <v>67</v>
      </c>
      <c r="M35" s="12">
        <f>+K35+L35</f>
        <v>79</v>
      </c>
      <c r="N35" s="13">
        <f t="shared" si="2"/>
        <v>1116</v>
      </c>
      <c r="O35" s="17"/>
    </row>
    <row r="36" spans="1:15" x14ac:dyDescent="0.2">
      <c r="A36" t="s">
        <v>127</v>
      </c>
      <c r="B36" s="12">
        <v>190</v>
      </c>
      <c r="C36" s="12">
        <v>145</v>
      </c>
      <c r="D36" s="12">
        <v>565</v>
      </c>
      <c r="E36" s="12">
        <v>67</v>
      </c>
      <c r="F36" s="12">
        <f>SUM(B36:E36)+19</f>
        <v>986</v>
      </c>
      <c r="G36" s="12">
        <v>22</v>
      </c>
      <c r="H36" s="12">
        <v>165</v>
      </c>
      <c r="I36" s="12">
        <v>10</v>
      </c>
      <c r="J36" s="12">
        <v>197</v>
      </c>
      <c r="K36" s="12">
        <v>18</v>
      </c>
      <c r="L36" s="12">
        <v>87</v>
      </c>
      <c r="M36" s="12">
        <f t="shared" ref="M36:M41" si="3">SUM(K36:L36)</f>
        <v>105</v>
      </c>
      <c r="N36" s="13">
        <f t="shared" si="2"/>
        <v>1288</v>
      </c>
      <c r="O36" s="17"/>
    </row>
    <row r="37" spans="1:15" x14ac:dyDescent="0.2">
      <c r="A37" t="s">
        <v>128</v>
      </c>
      <c r="B37" s="12">
        <v>170</v>
      </c>
      <c r="C37" s="12">
        <v>170</v>
      </c>
      <c r="D37" s="12">
        <v>475</v>
      </c>
      <c r="E37" s="12">
        <v>77</v>
      </c>
      <c r="F37" s="12">
        <f>SUM(B37:E37)+15</f>
        <v>907</v>
      </c>
      <c r="G37" s="12">
        <v>24</v>
      </c>
      <c r="H37" s="12">
        <v>105</v>
      </c>
      <c r="I37" s="12">
        <v>6.6</v>
      </c>
      <c r="J37" s="12">
        <v>135.6</v>
      </c>
      <c r="K37" s="12">
        <v>16</v>
      </c>
      <c r="L37" s="12">
        <v>82</v>
      </c>
      <c r="M37" s="12">
        <f t="shared" si="3"/>
        <v>98</v>
      </c>
      <c r="N37" s="13">
        <f t="shared" si="2"/>
        <v>1140.5999999999999</v>
      </c>
      <c r="O37" s="17"/>
    </row>
    <row r="38" spans="1:15" x14ac:dyDescent="0.2">
      <c r="A38" t="s">
        <v>129</v>
      </c>
      <c r="B38" s="12">
        <v>220</v>
      </c>
      <c r="C38" s="12">
        <v>210</v>
      </c>
      <c r="D38" s="12">
        <v>735</v>
      </c>
      <c r="E38" s="12">
        <v>110</v>
      </c>
      <c r="F38" s="12">
        <f>SUM(B38:E38)+52</f>
        <v>1327</v>
      </c>
      <c r="G38" s="12">
        <v>24</v>
      </c>
      <c r="H38" s="12">
        <v>150</v>
      </c>
      <c r="I38" s="12">
        <v>10</v>
      </c>
      <c r="J38" s="12">
        <v>184</v>
      </c>
      <c r="K38" s="12">
        <v>20</v>
      </c>
      <c r="L38" s="12">
        <v>107</v>
      </c>
      <c r="M38" s="12">
        <f t="shared" si="3"/>
        <v>127</v>
      </c>
      <c r="N38" s="13">
        <f t="shared" si="2"/>
        <v>1638</v>
      </c>
      <c r="O38" s="17"/>
    </row>
    <row r="39" spans="1:15" x14ac:dyDescent="0.2">
      <c r="A39" t="s">
        <v>130</v>
      </c>
      <c r="B39" s="12">
        <v>140</v>
      </c>
      <c r="C39" s="12">
        <v>140</v>
      </c>
      <c r="D39" s="12">
        <v>430</v>
      </c>
      <c r="E39" s="12">
        <v>81</v>
      </c>
      <c r="F39" s="12">
        <f>SUM(B39:E39)+34</f>
        <v>825</v>
      </c>
      <c r="G39" s="12">
        <v>17</v>
      </c>
      <c r="H39" s="12">
        <v>120</v>
      </c>
      <c r="I39" s="12">
        <v>7</v>
      </c>
      <c r="J39" s="12">
        <v>144</v>
      </c>
      <c r="K39" s="12">
        <v>16</v>
      </c>
      <c r="L39" s="12">
        <v>82</v>
      </c>
      <c r="M39" s="12">
        <f t="shared" si="3"/>
        <v>98</v>
      </c>
      <c r="N39" s="13">
        <f t="shared" si="2"/>
        <v>1067</v>
      </c>
      <c r="O39" s="17"/>
    </row>
    <row r="40" spans="1:15" x14ac:dyDescent="0.2">
      <c r="A40" t="s">
        <v>131</v>
      </c>
      <c r="B40" s="12">
        <v>175</v>
      </c>
      <c r="C40" s="12">
        <v>175</v>
      </c>
      <c r="D40" s="12">
        <v>600</v>
      </c>
      <c r="E40" s="12">
        <v>112</v>
      </c>
      <c r="F40" s="12">
        <f>SUM(B40:E40)+32</f>
        <v>1094</v>
      </c>
      <c r="G40" s="12">
        <v>12</v>
      </c>
      <c r="H40" s="12">
        <v>130</v>
      </c>
      <c r="I40" s="12">
        <v>4.5</v>
      </c>
      <c r="J40" s="12">
        <v>146.5</v>
      </c>
      <c r="K40" s="12">
        <v>19</v>
      </c>
      <c r="L40" s="12">
        <v>94</v>
      </c>
      <c r="M40" s="12">
        <f t="shared" si="3"/>
        <v>113</v>
      </c>
      <c r="N40" s="13">
        <f t="shared" si="2"/>
        <v>1353.5</v>
      </c>
      <c r="O40" s="17"/>
    </row>
    <row r="41" spans="1:15" x14ac:dyDescent="0.2">
      <c r="A41" t="s">
        <v>132</v>
      </c>
      <c r="B41" s="12">
        <v>200</v>
      </c>
      <c r="C41" s="12">
        <v>190</v>
      </c>
      <c r="D41" s="12">
        <v>785</v>
      </c>
      <c r="E41" s="12">
        <v>112</v>
      </c>
      <c r="F41" s="12">
        <f>SUM(B41:E41)+44</f>
        <v>1331</v>
      </c>
      <c r="G41" s="12">
        <v>10</v>
      </c>
      <c r="H41" s="12">
        <v>170</v>
      </c>
      <c r="I41" s="12">
        <v>5</v>
      </c>
      <c r="J41" s="12">
        <v>185</v>
      </c>
      <c r="K41" s="12">
        <v>19</v>
      </c>
      <c r="L41" s="12">
        <v>90</v>
      </c>
      <c r="M41" s="12">
        <f t="shared" si="3"/>
        <v>109</v>
      </c>
      <c r="N41" s="13">
        <f t="shared" si="2"/>
        <v>1625</v>
      </c>
      <c r="O41" s="17"/>
    </row>
    <row r="42" spans="1:15" x14ac:dyDescent="0.2">
      <c r="A42" t="s">
        <v>133</v>
      </c>
      <c r="B42" s="12">
        <v>175</v>
      </c>
      <c r="C42" s="12">
        <v>155</v>
      </c>
      <c r="D42" s="12">
        <v>720</v>
      </c>
      <c r="E42" s="12">
        <v>110</v>
      </c>
      <c r="F42" s="12">
        <f>SUM(B42:E42)+39</f>
        <v>1199</v>
      </c>
      <c r="G42" s="12">
        <v>13</v>
      </c>
      <c r="H42" s="12">
        <v>305</v>
      </c>
      <c r="I42" s="12">
        <v>8</v>
      </c>
      <c r="J42" s="12">
        <v>350</v>
      </c>
      <c r="K42" s="12">
        <v>21</v>
      </c>
      <c r="L42" s="12">
        <v>101</v>
      </c>
      <c r="M42" s="12">
        <f>SUM(K42:L42)</f>
        <v>122</v>
      </c>
      <c r="N42" s="13">
        <f t="shared" si="2"/>
        <v>1671</v>
      </c>
      <c r="O42" s="17"/>
    </row>
    <row r="43" spans="1:15" ht="10.5" customHeight="1" x14ac:dyDescent="0.2">
      <c r="A43" s="7">
        <v>2017</v>
      </c>
      <c r="B43" s="12">
        <v>195</v>
      </c>
      <c r="C43" s="12">
        <v>195</v>
      </c>
      <c r="D43" s="12">
        <v>835</v>
      </c>
      <c r="E43" s="12">
        <v>122</v>
      </c>
      <c r="F43" s="12">
        <f>SUM(B43:E43)+44</f>
        <v>1391</v>
      </c>
      <c r="G43" s="12">
        <v>22</v>
      </c>
      <c r="H43" s="12">
        <v>275</v>
      </c>
      <c r="I43" s="12">
        <v>7.6</v>
      </c>
      <c r="J43" s="12">
        <f>SUM(G43:I43)+30</f>
        <v>334.6</v>
      </c>
      <c r="K43" s="12">
        <v>27</v>
      </c>
      <c r="L43" s="12">
        <v>119</v>
      </c>
      <c r="M43" s="12">
        <v>146</v>
      </c>
      <c r="N43" s="13">
        <f t="shared" si="2"/>
        <v>1871.6</v>
      </c>
      <c r="O43" s="17"/>
    </row>
    <row r="44" spans="1:15" ht="10.5" customHeight="1" x14ac:dyDescent="0.2">
      <c r="A44" s="7">
        <v>2018</v>
      </c>
      <c r="B44" s="12">
        <v>165</v>
      </c>
      <c r="C44" s="12">
        <v>155</v>
      </c>
      <c r="D44" s="12">
        <v>665</v>
      </c>
      <c r="E44" s="12">
        <v>87</v>
      </c>
      <c r="F44" s="12">
        <f>SUM(B44:E44)+25</f>
        <v>1097</v>
      </c>
      <c r="G44" s="12">
        <v>16</v>
      </c>
      <c r="H44" s="12">
        <v>155</v>
      </c>
      <c r="I44" s="12">
        <v>5.5</v>
      </c>
      <c r="J44" s="12">
        <f>SUM(G44:I44)+26</f>
        <v>202.5</v>
      </c>
      <c r="K44" s="12">
        <v>24</v>
      </c>
      <c r="L44" s="12">
        <v>102</v>
      </c>
      <c r="M44" s="12">
        <v>126</v>
      </c>
      <c r="N44" s="13">
        <f t="shared" si="2"/>
        <v>1425.5</v>
      </c>
      <c r="O44" s="17"/>
    </row>
    <row r="45" spans="1:15" x14ac:dyDescent="0.2">
      <c r="A45" s="7">
        <v>2019</v>
      </c>
      <c r="B45" s="12">
        <v>160</v>
      </c>
      <c r="C45" s="12">
        <v>165</v>
      </c>
      <c r="D45" s="12">
        <v>675</v>
      </c>
      <c r="E45" s="12">
        <v>65</v>
      </c>
      <c r="F45" s="12">
        <f>SUM(B45:E45)+20</f>
        <v>1085</v>
      </c>
      <c r="G45" s="12">
        <v>15</v>
      </c>
      <c r="H45" s="12">
        <v>165</v>
      </c>
      <c r="I45" s="12">
        <v>4.7</v>
      </c>
      <c r="J45" s="12">
        <f>SUM(G45:I45)+34</f>
        <v>218.7</v>
      </c>
      <c r="K45" s="12">
        <v>25</v>
      </c>
      <c r="L45" s="12">
        <v>104</v>
      </c>
      <c r="M45" s="12">
        <v>129</v>
      </c>
      <c r="N45" s="13">
        <v>1432.7</v>
      </c>
      <c r="O45" s="17"/>
    </row>
    <row r="46" spans="1:15" x14ac:dyDescent="0.2">
      <c r="A46" s="7">
        <v>2020</v>
      </c>
      <c r="B46" s="12">
        <v>185</v>
      </c>
      <c r="C46" s="12">
        <v>175</v>
      </c>
      <c r="D46" s="12">
        <v>810</v>
      </c>
      <c r="E46" s="12">
        <v>84</v>
      </c>
      <c r="F46" s="12">
        <f>SUM(B46:E46)+23</f>
        <v>1277</v>
      </c>
      <c r="G46" s="12">
        <v>15</v>
      </c>
      <c r="H46" s="12">
        <v>190</v>
      </c>
      <c r="I46" s="12">
        <v>6.5</v>
      </c>
      <c r="J46" s="12">
        <f>SUM(G46:I46)+39</f>
        <v>250.5</v>
      </c>
      <c r="K46" s="12">
        <v>28</v>
      </c>
      <c r="L46" s="12">
        <v>107</v>
      </c>
      <c r="M46" s="12">
        <v>135</v>
      </c>
      <c r="N46" s="13">
        <f>F46+J46+M46</f>
        <v>1662.5</v>
      </c>
      <c r="O46" s="17"/>
    </row>
    <row r="47" spans="1:15" x14ac:dyDescent="0.2">
      <c r="A47" s="7">
        <v>2021</v>
      </c>
      <c r="B47" s="12">
        <v>185</v>
      </c>
      <c r="C47" s="12">
        <v>165</v>
      </c>
      <c r="D47" s="12">
        <v>755</v>
      </c>
      <c r="E47" s="12">
        <v>69</v>
      </c>
      <c r="F47" s="12">
        <f>SUM(B47:E47)+18</f>
        <v>1192</v>
      </c>
      <c r="G47" s="12">
        <v>16</v>
      </c>
      <c r="H47" s="12">
        <v>180</v>
      </c>
      <c r="I47" s="12">
        <v>11.2</v>
      </c>
      <c r="J47" s="12">
        <f>SUM(G47:I47)+36</f>
        <v>243.2</v>
      </c>
      <c r="K47" s="12">
        <v>30</v>
      </c>
      <c r="L47" s="12">
        <v>115</v>
      </c>
      <c r="M47" s="12">
        <v>145</v>
      </c>
      <c r="N47" s="13">
        <f>F47+J47+M47</f>
        <v>1580.2</v>
      </c>
      <c r="O47" s="17"/>
    </row>
    <row r="48" spans="1:15" x14ac:dyDescent="0.2">
      <c r="A48" s="8">
        <v>2022</v>
      </c>
      <c r="B48" s="62">
        <v>165</v>
      </c>
      <c r="C48" s="62">
        <v>150</v>
      </c>
      <c r="D48" s="62">
        <v>685</v>
      </c>
      <c r="E48" s="62">
        <v>71</v>
      </c>
      <c r="F48" s="62">
        <f>SUM(B48:E48)+15</f>
        <v>1086</v>
      </c>
      <c r="G48" s="62">
        <v>18</v>
      </c>
      <c r="H48" s="62">
        <v>160</v>
      </c>
      <c r="I48" s="62">
        <v>7.3</v>
      </c>
      <c r="J48" s="62">
        <f>SUM(G48:I48)+33</f>
        <v>218.3</v>
      </c>
      <c r="K48" s="62">
        <v>29</v>
      </c>
      <c r="L48" s="62">
        <v>117</v>
      </c>
      <c r="M48" s="62">
        <v>146</v>
      </c>
      <c r="N48" s="63">
        <f>F48+J48+M48</f>
        <v>1450.3</v>
      </c>
      <c r="O48" s="17"/>
    </row>
    <row r="49" spans="1:16" x14ac:dyDescent="0.2">
      <c r="A49" s="7" t="s">
        <v>167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3"/>
      <c r="O49" s="17"/>
    </row>
    <row r="50" spans="1:16" x14ac:dyDescent="0.2">
      <c r="A50" s="15" t="s">
        <v>111</v>
      </c>
      <c r="B50" s="12"/>
      <c r="C50" s="12"/>
      <c r="D50" s="12"/>
      <c r="E50" s="12"/>
      <c r="F50" s="13"/>
      <c r="G50" s="12"/>
      <c r="H50" s="12"/>
      <c r="I50" s="12"/>
      <c r="J50" s="12"/>
      <c r="K50" s="12"/>
      <c r="L50" s="12"/>
      <c r="M50" s="12"/>
      <c r="N50" s="13"/>
      <c r="O50" s="13"/>
    </row>
    <row r="51" spans="1:16" x14ac:dyDescent="0.2">
      <c r="A51" t="s">
        <v>183</v>
      </c>
      <c r="O51" s="35"/>
      <c r="P51" s="35"/>
    </row>
    <row r="52" spans="1:16" x14ac:dyDescent="0.2">
      <c r="L52" s="51"/>
      <c r="M52" s="51"/>
      <c r="N52" s="51" t="s">
        <v>178</v>
      </c>
    </row>
    <row r="57" spans="1:16" x14ac:dyDescent="0.2">
      <c r="L57" s="66"/>
    </row>
  </sheetData>
  <pageMargins left="0.7" right="0.7" top="0.75" bottom="0.75" header="0.3" footer="0.3"/>
  <pageSetup scale="93" firstPageNumber="13" orientation="portrait" useFirstPageNumber="1" r:id="rId1"/>
  <headerFooter alignWithMargins="0">
    <oddFooter>&amp;C&amp;P
Oil Crops Yearbook/OCS-2020
March 2020
Economic Research Service, USDA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4034-FFFB-4D63-AD8B-0F0FF126C601}">
  <sheetPr>
    <pageSetUpPr fitToPage="1"/>
  </sheetPr>
  <dimension ref="A1:O52"/>
  <sheetViews>
    <sheetView zoomScaleNormal="100" zoomScaleSheetLayoutView="100" workbookViewId="0">
      <pane xSplit="1" ySplit="4" topLeftCell="B5" activePane="bottomRight" state="frozen"/>
      <selection activeCell="C57" sqref="C57"/>
      <selection pane="topRight" activeCell="C57" sqref="C57"/>
      <selection pane="bottomLeft" activeCell="C57" sqref="C57"/>
      <selection pane="bottomRight"/>
    </sheetView>
  </sheetViews>
  <sheetFormatPr defaultRowHeight="10.199999999999999" x14ac:dyDescent="0.2"/>
  <cols>
    <col min="1" max="1" width="7.42578125" customWidth="1"/>
    <col min="2" max="5" width="8.85546875" customWidth="1"/>
    <col min="6" max="6" width="10.140625" customWidth="1"/>
    <col min="7" max="14" width="8.85546875" customWidth="1"/>
  </cols>
  <sheetData>
    <row r="1" spans="1:15" x14ac:dyDescent="0.2">
      <c r="A1" s="1" t="s">
        <v>172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29</v>
      </c>
      <c r="N1" s="1" t="s">
        <v>29</v>
      </c>
    </row>
    <row r="2" spans="1:15" x14ac:dyDescent="0.2">
      <c r="A2" t="s">
        <v>58</v>
      </c>
      <c r="B2" s="61"/>
      <c r="C2" s="6"/>
      <c r="D2" s="4" t="s">
        <v>64</v>
      </c>
      <c r="E2" s="4"/>
      <c r="F2" s="60"/>
      <c r="G2" s="4"/>
      <c r="H2" s="44" t="s">
        <v>63</v>
      </c>
      <c r="I2" s="4"/>
      <c r="J2" s="60"/>
      <c r="K2" s="64"/>
      <c r="L2" s="61" t="s">
        <v>162</v>
      </c>
      <c r="M2" s="60"/>
      <c r="N2" s="5" t="s">
        <v>74</v>
      </c>
    </row>
    <row r="3" spans="1:15" x14ac:dyDescent="0.2">
      <c r="A3" s="1" t="s">
        <v>59</v>
      </c>
      <c r="B3" s="58" t="s">
        <v>65</v>
      </c>
      <c r="C3" s="6" t="s">
        <v>66</v>
      </c>
      <c r="D3" s="6" t="s">
        <v>67</v>
      </c>
      <c r="E3" s="6" t="s">
        <v>68</v>
      </c>
      <c r="F3" s="57" t="s">
        <v>78</v>
      </c>
      <c r="G3" s="6" t="s">
        <v>69</v>
      </c>
      <c r="H3" s="6" t="s">
        <v>70</v>
      </c>
      <c r="I3" s="6" t="s">
        <v>71</v>
      </c>
      <c r="J3" s="57" t="s">
        <v>110</v>
      </c>
      <c r="K3" s="6" t="s">
        <v>72</v>
      </c>
      <c r="L3" s="6" t="s">
        <v>73</v>
      </c>
      <c r="M3" s="57" t="s">
        <v>0</v>
      </c>
      <c r="N3" s="6" t="s">
        <v>75</v>
      </c>
    </row>
    <row r="4" spans="1:15" x14ac:dyDescent="0.2">
      <c r="C4" s="50"/>
      <c r="D4" s="50"/>
      <c r="E4" s="50"/>
      <c r="F4" s="50"/>
      <c r="G4" s="50"/>
      <c r="H4" s="50"/>
      <c r="I4" s="67" t="s">
        <v>62</v>
      </c>
      <c r="J4" s="50"/>
      <c r="K4" s="50"/>
      <c r="L4" s="50"/>
      <c r="M4" s="50"/>
      <c r="N4" s="50"/>
    </row>
    <row r="5" spans="1:15" x14ac:dyDescent="0.2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5" x14ac:dyDescent="0.2">
      <c r="A6" t="s">
        <v>13</v>
      </c>
      <c r="B6" s="12">
        <v>200</v>
      </c>
      <c r="C6" s="12">
        <v>56</v>
      </c>
      <c r="D6" s="12">
        <v>514</v>
      </c>
      <c r="E6" s="12">
        <v>13</v>
      </c>
      <c r="F6" s="12">
        <f>SUM(B6:E6)+6</f>
        <v>789</v>
      </c>
      <c r="G6" s="13">
        <v>105</v>
      </c>
      <c r="H6" s="12">
        <v>230</v>
      </c>
      <c r="I6" s="12">
        <v>8.8000000000000007</v>
      </c>
      <c r="J6" s="12">
        <f t="shared" ref="J6:J40" si="0">SUM(G6:I6)</f>
        <v>343.8</v>
      </c>
      <c r="K6" s="12">
        <v>101</v>
      </c>
      <c r="L6" s="12">
        <v>166</v>
      </c>
      <c r="M6" s="12">
        <f t="shared" ref="M6:M42" si="1">+K6+L6</f>
        <v>267</v>
      </c>
      <c r="N6" s="13">
        <f>F6+J6+M6</f>
        <v>1399.8</v>
      </c>
      <c r="O6" s="17"/>
    </row>
    <row r="7" spans="1:15" x14ac:dyDescent="0.2">
      <c r="A7" t="s">
        <v>14</v>
      </c>
      <c r="B7" s="12">
        <v>222</v>
      </c>
      <c r="C7" s="12">
        <v>60</v>
      </c>
      <c r="D7" s="12">
        <v>565</v>
      </c>
      <c r="E7" s="12">
        <v>15</v>
      </c>
      <c r="F7" s="12">
        <f>SUM(B7:E7)+6.7</f>
        <v>868.7</v>
      </c>
      <c r="G7" s="13">
        <v>91</v>
      </c>
      <c r="H7" s="12">
        <v>242</v>
      </c>
      <c r="I7" s="12">
        <v>10</v>
      </c>
      <c r="J7" s="12">
        <f t="shared" si="0"/>
        <v>343</v>
      </c>
      <c r="K7" s="12">
        <v>105</v>
      </c>
      <c r="L7" s="12">
        <v>172</v>
      </c>
      <c r="M7" s="12">
        <f t="shared" si="1"/>
        <v>277</v>
      </c>
      <c r="N7" s="13">
        <f t="shared" ref="N7:N44" si="2">F7+J7+M7</f>
        <v>1488.7</v>
      </c>
      <c r="O7" s="17"/>
    </row>
    <row r="8" spans="1:15" x14ac:dyDescent="0.2">
      <c r="A8" t="s">
        <v>15</v>
      </c>
      <c r="B8" s="12">
        <v>177</v>
      </c>
      <c r="C8" s="12">
        <v>51</v>
      </c>
      <c r="D8" s="12">
        <v>472</v>
      </c>
      <c r="E8" s="12">
        <v>12</v>
      </c>
      <c r="F8" s="12">
        <f t="shared" ref="F8:F28" si="3">SUM(B8:E8)</f>
        <v>712</v>
      </c>
      <c r="G8" s="13">
        <v>86</v>
      </c>
      <c r="H8" s="12">
        <v>225</v>
      </c>
      <c r="I8" s="12">
        <v>10.4</v>
      </c>
      <c r="J8" s="12">
        <f t="shared" si="0"/>
        <v>321.39999999999998</v>
      </c>
      <c r="K8" s="12">
        <v>95</v>
      </c>
      <c r="L8" s="12">
        <v>149</v>
      </c>
      <c r="M8" s="12">
        <f t="shared" si="1"/>
        <v>244</v>
      </c>
      <c r="N8" s="13">
        <f t="shared" si="2"/>
        <v>1277.4000000000001</v>
      </c>
      <c r="O8" s="17"/>
    </row>
    <row r="9" spans="1:15" x14ac:dyDescent="0.2">
      <c r="A9" t="s">
        <v>16</v>
      </c>
      <c r="B9" s="12">
        <v>180</v>
      </c>
      <c r="C9" s="12">
        <v>60</v>
      </c>
      <c r="D9" s="12">
        <v>562</v>
      </c>
      <c r="E9" s="12">
        <v>12.5</v>
      </c>
      <c r="F9" s="12">
        <f t="shared" si="3"/>
        <v>814.5</v>
      </c>
      <c r="G9" s="13">
        <v>91</v>
      </c>
      <c r="H9" s="12">
        <v>215</v>
      </c>
      <c r="I9" s="12">
        <v>11</v>
      </c>
      <c r="J9" s="12">
        <f t="shared" si="0"/>
        <v>317</v>
      </c>
      <c r="K9" s="12">
        <v>95</v>
      </c>
      <c r="L9" s="12">
        <v>147</v>
      </c>
      <c r="M9" s="12">
        <f t="shared" si="1"/>
        <v>242</v>
      </c>
      <c r="N9" s="13">
        <f t="shared" si="2"/>
        <v>1373.5</v>
      </c>
      <c r="O9" s="17"/>
    </row>
    <row r="10" spans="1:15" x14ac:dyDescent="0.2">
      <c r="A10" t="s">
        <v>17</v>
      </c>
      <c r="B10" s="12">
        <v>219</v>
      </c>
      <c r="C10" s="12">
        <v>77</v>
      </c>
      <c r="D10" s="12">
        <v>640</v>
      </c>
      <c r="E10" s="12">
        <v>14.5</v>
      </c>
      <c r="F10" s="12">
        <f t="shared" si="3"/>
        <v>950.5</v>
      </c>
      <c r="G10" s="13">
        <v>88</v>
      </c>
      <c r="H10" s="12">
        <v>223</v>
      </c>
      <c r="I10" s="12">
        <v>14.5</v>
      </c>
      <c r="J10" s="12">
        <f t="shared" si="0"/>
        <v>325.5</v>
      </c>
      <c r="K10" s="12">
        <v>97</v>
      </c>
      <c r="L10" s="12">
        <v>155</v>
      </c>
      <c r="M10" s="12">
        <f t="shared" si="1"/>
        <v>252</v>
      </c>
      <c r="N10" s="13">
        <f t="shared" si="2"/>
        <v>1528</v>
      </c>
      <c r="O10" s="17"/>
    </row>
    <row r="11" spans="1:15" x14ac:dyDescent="0.2">
      <c r="A11" t="s">
        <v>18</v>
      </c>
      <c r="B11" s="12">
        <v>200</v>
      </c>
      <c r="C11" s="12">
        <v>72</v>
      </c>
      <c r="D11" s="12">
        <v>593</v>
      </c>
      <c r="E11" s="12">
        <v>12</v>
      </c>
      <c r="F11" s="12">
        <f t="shared" si="3"/>
        <v>877</v>
      </c>
      <c r="G11" s="13">
        <v>83</v>
      </c>
      <c r="H11" s="12">
        <v>245</v>
      </c>
      <c r="I11" s="12">
        <v>12.4</v>
      </c>
      <c r="J11" s="12">
        <f t="shared" si="0"/>
        <v>340.4</v>
      </c>
      <c r="K11" s="12">
        <v>96</v>
      </c>
      <c r="L11" s="12">
        <v>154</v>
      </c>
      <c r="M11" s="12">
        <f t="shared" si="1"/>
        <v>250</v>
      </c>
      <c r="N11" s="13">
        <f t="shared" si="2"/>
        <v>1467.4</v>
      </c>
      <c r="O11" s="17"/>
    </row>
    <row r="12" spans="1:15" x14ac:dyDescent="0.2">
      <c r="A12" t="s">
        <v>19</v>
      </c>
      <c r="B12" s="12">
        <v>219</v>
      </c>
      <c r="C12" s="12">
        <v>87</v>
      </c>
      <c r="D12" s="12">
        <v>665</v>
      </c>
      <c r="E12" s="12">
        <v>11.5</v>
      </c>
      <c r="F12" s="12">
        <f t="shared" si="3"/>
        <v>982.5</v>
      </c>
      <c r="G12" s="13">
        <v>88</v>
      </c>
      <c r="H12" s="12">
        <v>220</v>
      </c>
      <c r="I12" s="12">
        <v>12.7</v>
      </c>
      <c r="J12" s="12">
        <f t="shared" si="0"/>
        <v>320.7</v>
      </c>
      <c r="K12" s="12">
        <v>89</v>
      </c>
      <c r="L12" s="12">
        <v>143</v>
      </c>
      <c r="M12" s="12">
        <f t="shared" si="1"/>
        <v>232</v>
      </c>
      <c r="N12" s="13">
        <f t="shared" si="2"/>
        <v>1535.2</v>
      </c>
      <c r="O12" s="17"/>
    </row>
    <row r="13" spans="1:15" x14ac:dyDescent="0.2">
      <c r="A13" t="s">
        <v>20</v>
      </c>
      <c r="B13" s="12">
        <v>220</v>
      </c>
      <c r="C13" s="12">
        <v>83</v>
      </c>
      <c r="D13" s="12">
        <v>630</v>
      </c>
      <c r="E13" s="12">
        <v>13</v>
      </c>
      <c r="F13" s="12">
        <f t="shared" si="3"/>
        <v>946</v>
      </c>
      <c r="G13" s="13">
        <v>99</v>
      </c>
      <c r="H13" s="12">
        <v>252</v>
      </c>
      <c r="I13" s="12">
        <v>12.4</v>
      </c>
      <c r="J13" s="12">
        <f t="shared" si="0"/>
        <v>363.4</v>
      </c>
      <c r="K13" s="12">
        <v>90</v>
      </c>
      <c r="L13" s="12">
        <v>148</v>
      </c>
      <c r="M13" s="12">
        <f t="shared" si="1"/>
        <v>238</v>
      </c>
      <c r="N13" s="13">
        <f t="shared" si="2"/>
        <v>1547.4</v>
      </c>
      <c r="O13" s="17"/>
    </row>
    <row r="14" spans="1:15" x14ac:dyDescent="0.2">
      <c r="A14" t="s">
        <v>21</v>
      </c>
      <c r="B14" s="12">
        <v>236</v>
      </c>
      <c r="C14" s="12">
        <v>90</v>
      </c>
      <c r="D14" s="12">
        <v>685</v>
      </c>
      <c r="E14" s="12">
        <v>13</v>
      </c>
      <c r="F14" s="12">
        <f t="shared" si="3"/>
        <v>1024</v>
      </c>
      <c r="G14" s="13">
        <v>97</v>
      </c>
      <c r="H14" s="12">
        <v>250</v>
      </c>
      <c r="I14" s="12">
        <v>13.4</v>
      </c>
      <c r="J14" s="12">
        <f t="shared" si="0"/>
        <v>360.4</v>
      </c>
      <c r="K14" s="12">
        <v>91</v>
      </c>
      <c r="L14" s="12">
        <v>153</v>
      </c>
      <c r="M14" s="12">
        <f t="shared" si="1"/>
        <v>244</v>
      </c>
      <c r="N14" s="13">
        <f t="shared" si="2"/>
        <v>1628.4</v>
      </c>
      <c r="O14" s="17"/>
    </row>
    <row r="15" spans="1:15" x14ac:dyDescent="0.2">
      <c r="A15" t="s">
        <v>22</v>
      </c>
      <c r="B15" s="12">
        <v>239</v>
      </c>
      <c r="C15" s="12">
        <v>87</v>
      </c>
      <c r="D15" s="12">
        <v>685</v>
      </c>
      <c r="E15" s="12">
        <v>12.5</v>
      </c>
      <c r="F15" s="12">
        <f t="shared" si="3"/>
        <v>1023.5</v>
      </c>
      <c r="G15" s="13">
        <v>98</v>
      </c>
      <c r="H15" s="12">
        <v>262</v>
      </c>
      <c r="I15" s="12">
        <v>18.2</v>
      </c>
      <c r="J15" s="12">
        <f t="shared" si="0"/>
        <v>378.2</v>
      </c>
      <c r="K15" s="12">
        <v>91</v>
      </c>
      <c r="L15" s="12">
        <v>152</v>
      </c>
      <c r="M15" s="12">
        <f t="shared" si="1"/>
        <v>243</v>
      </c>
      <c r="N15" s="13">
        <f t="shared" si="2"/>
        <v>1644.7</v>
      </c>
      <c r="O15" s="17"/>
    </row>
    <row r="16" spans="1:15" x14ac:dyDescent="0.2">
      <c r="A16" t="s">
        <v>23</v>
      </c>
      <c r="B16" s="12">
        <v>256</v>
      </c>
      <c r="C16" s="12">
        <v>100</v>
      </c>
      <c r="D16" s="12">
        <v>770</v>
      </c>
      <c r="E16" s="12">
        <v>13.5</v>
      </c>
      <c r="F16" s="12">
        <f t="shared" si="3"/>
        <v>1139.5</v>
      </c>
      <c r="G16" s="13">
        <v>106</v>
      </c>
      <c r="H16" s="12">
        <v>289</v>
      </c>
      <c r="I16" s="12">
        <v>20</v>
      </c>
      <c r="J16" s="12">
        <f t="shared" si="0"/>
        <v>415</v>
      </c>
      <c r="K16" s="12">
        <v>97</v>
      </c>
      <c r="L16" s="12">
        <v>164</v>
      </c>
      <c r="M16" s="12">
        <f t="shared" si="1"/>
        <v>261</v>
      </c>
      <c r="N16" s="13">
        <f t="shared" si="2"/>
        <v>1815.5</v>
      </c>
      <c r="O16" s="17"/>
    </row>
    <row r="17" spans="1:15" x14ac:dyDescent="0.2">
      <c r="A17" t="s">
        <v>24</v>
      </c>
      <c r="B17" s="12">
        <v>277</v>
      </c>
      <c r="C17" s="12">
        <v>118</v>
      </c>
      <c r="D17" s="12">
        <v>895</v>
      </c>
      <c r="E17" s="12">
        <v>14</v>
      </c>
      <c r="F17" s="12">
        <f t="shared" si="3"/>
        <v>1304</v>
      </c>
      <c r="G17" s="13">
        <v>106</v>
      </c>
      <c r="H17" s="12">
        <v>325</v>
      </c>
      <c r="I17" s="12">
        <v>22.7</v>
      </c>
      <c r="J17" s="12">
        <f t="shared" si="0"/>
        <v>453.7</v>
      </c>
      <c r="K17" s="12">
        <v>96</v>
      </c>
      <c r="L17" s="12">
        <v>162</v>
      </c>
      <c r="M17" s="12">
        <f t="shared" si="1"/>
        <v>258</v>
      </c>
      <c r="N17" s="13">
        <f t="shared" si="2"/>
        <v>2015.7</v>
      </c>
      <c r="O17" s="17"/>
    </row>
    <row r="18" spans="1:15" x14ac:dyDescent="0.2">
      <c r="A18" t="s">
        <v>31</v>
      </c>
      <c r="B18" s="12">
        <v>236</v>
      </c>
      <c r="C18" s="12">
        <v>77</v>
      </c>
      <c r="D18" s="12">
        <v>673</v>
      </c>
      <c r="E18" s="12">
        <v>13</v>
      </c>
      <c r="F18" s="12">
        <f t="shared" si="3"/>
        <v>999</v>
      </c>
      <c r="G18" s="13">
        <v>98</v>
      </c>
      <c r="H18" s="12">
        <v>305</v>
      </c>
      <c r="I18" s="12">
        <v>21.1</v>
      </c>
      <c r="J18" s="12">
        <f t="shared" si="0"/>
        <v>424.1</v>
      </c>
      <c r="K18" s="12">
        <v>93</v>
      </c>
      <c r="L18" s="12">
        <v>153</v>
      </c>
      <c r="M18" s="12">
        <f t="shared" si="1"/>
        <v>246</v>
      </c>
      <c r="N18" s="13">
        <f t="shared" si="2"/>
        <v>1669.1</v>
      </c>
      <c r="O18" s="17"/>
    </row>
    <row r="19" spans="1:15" x14ac:dyDescent="0.2">
      <c r="A19" t="s">
        <v>25</v>
      </c>
      <c r="B19" s="12">
        <v>239</v>
      </c>
      <c r="C19" s="12">
        <v>84</v>
      </c>
      <c r="D19" s="12">
        <v>697</v>
      </c>
      <c r="E19" s="12">
        <v>14</v>
      </c>
      <c r="F19" s="12">
        <f t="shared" si="3"/>
        <v>1034</v>
      </c>
      <c r="G19" s="13">
        <v>102</v>
      </c>
      <c r="H19" s="12">
        <v>295</v>
      </c>
      <c r="I19" s="12">
        <v>21.8</v>
      </c>
      <c r="J19" s="12">
        <f t="shared" si="0"/>
        <v>418.8</v>
      </c>
      <c r="K19" s="12">
        <v>94</v>
      </c>
      <c r="L19" s="12">
        <v>143</v>
      </c>
      <c r="M19" s="12">
        <f t="shared" si="1"/>
        <v>237</v>
      </c>
      <c r="N19" s="13">
        <f t="shared" si="2"/>
        <v>1689.8</v>
      </c>
      <c r="O19" s="17"/>
    </row>
    <row r="20" spans="1:15" x14ac:dyDescent="0.2">
      <c r="A20" t="s">
        <v>26</v>
      </c>
      <c r="B20" s="12">
        <v>222</v>
      </c>
      <c r="C20" s="12">
        <v>84</v>
      </c>
      <c r="D20" s="12">
        <v>649</v>
      </c>
      <c r="E20" s="12">
        <v>12.5</v>
      </c>
      <c r="F20" s="12">
        <f t="shared" si="3"/>
        <v>967.5</v>
      </c>
      <c r="G20" s="13">
        <v>100</v>
      </c>
      <c r="H20" s="12">
        <v>287</v>
      </c>
      <c r="I20" s="12">
        <v>21</v>
      </c>
      <c r="J20" s="12">
        <f t="shared" si="0"/>
        <v>408</v>
      </c>
      <c r="K20" s="12">
        <v>92</v>
      </c>
      <c r="L20" s="12">
        <v>151</v>
      </c>
      <c r="M20" s="12">
        <f t="shared" si="1"/>
        <v>243</v>
      </c>
      <c r="N20" s="13">
        <f t="shared" si="2"/>
        <v>1618.5</v>
      </c>
      <c r="O20" s="17"/>
    </row>
    <row r="21" spans="1:15" x14ac:dyDescent="0.2">
      <c r="A21" t="s">
        <v>27</v>
      </c>
      <c r="B21" s="12">
        <v>212</v>
      </c>
      <c r="C21" s="12">
        <v>81</v>
      </c>
      <c r="D21" s="12">
        <v>592</v>
      </c>
      <c r="E21" s="12">
        <v>11</v>
      </c>
      <c r="F21" s="12">
        <f t="shared" si="3"/>
        <v>896</v>
      </c>
      <c r="G21" s="13">
        <v>98</v>
      </c>
      <c r="H21" s="12">
        <v>270</v>
      </c>
      <c r="I21" s="12">
        <v>20</v>
      </c>
      <c r="J21" s="12">
        <f t="shared" si="0"/>
        <v>388</v>
      </c>
      <c r="K21" s="12">
        <v>89</v>
      </c>
      <c r="L21" s="12">
        <v>144</v>
      </c>
      <c r="M21" s="12">
        <f t="shared" si="1"/>
        <v>233</v>
      </c>
      <c r="N21" s="13">
        <f t="shared" si="2"/>
        <v>1517</v>
      </c>
      <c r="O21" s="17"/>
    </row>
    <row r="22" spans="1:15" x14ac:dyDescent="0.2">
      <c r="A22" t="s">
        <v>32</v>
      </c>
      <c r="B22" s="12">
        <v>191</v>
      </c>
      <c r="C22" s="12">
        <v>82</v>
      </c>
      <c r="D22" s="12">
        <v>533</v>
      </c>
      <c r="E22" s="12">
        <v>10.5</v>
      </c>
      <c r="F22" s="12">
        <f t="shared" si="3"/>
        <v>816.5</v>
      </c>
      <c r="G22" s="13">
        <v>81</v>
      </c>
      <c r="H22" s="12">
        <v>265</v>
      </c>
      <c r="I22" s="12">
        <v>16.5</v>
      </c>
      <c r="J22" s="12">
        <f t="shared" si="0"/>
        <v>362.5</v>
      </c>
      <c r="K22" s="12">
        <v>76</v>
      </c>
      <c r="L22" s="12">
        <v>125</v>
      </c>
      <c r="M22" s="12">
        <f t="shared" si="1"/>
        <v>201</v>
      </c>
      <c r="N22" s="13">
        <f t="shared" si="2"/>
        <v>1380</v>
      </c>
      <c r="O22" s="17"/>
    </row>
    <row r="23" spans="1:15" x14ac:dyDescent="0.2">
      <c r="A23" t="s">
        <v>28</v>
      </c>
      <c r="B23" s="12">
        <v>193</v>
      </c>
      <c r="C23" s="12">
        <v>84</v>
      </c>
      <c r="D23" s="12">
        <v>519</v>
      </c>
      <c r="E23" s="12">
        <v>10.5</v>
      </c>
      <c r="F23" s="12">
        <f t="shared" si="3"/>
        <v>806.5</v>
      </c>
      <c r="G23" s="13">
        <v>77</v>
      </c>
      <c r="H23" s="12">
        <v>315</v>
      </c>
      <c r="I23" s="12">
        <v>17.3</v>
      </c>
      <c r="J23" s="12">
        <f t="shared" si="0"/>
        <v>409.3</v>
      </c>
      <c r="K23" s="12">
        <v>75</v>
      </c>
      <c r="L23" s="12">
        <v>123</v>
      </c>
      <c r="M23" s="12">
        <f t="shared" si="1"/>
        <v>198</v>
      </c>
      <c r="N23" s="13">
        <f t="shared" si="2"/>
        <v>1413.8</v>
      </c>
      <c r="O23" s="17"/>
    </row>
    <row r="24" spans="1:15" x14ac:dyDescent="0.2">
      <c r="A24" t="s">
        <v>60</v>
      </c>
      <c r="B24" s="12">
        <v>197</v>
      </c>
      <c r="C24" s="12">
        <v>90</v>
      </c>
      <c r="D24" s="12">
        <v>537</v>
      </c>
      <c r="E24" s="12">
        <v>11.5</v>
      </c>
      <c r="F24" s="12">
        <f t="shared" si="3"/>
        <v>835.5</v>
      </c>
      <c r="G24" s="13">
        <v>75</v>
      </c>
      <c r="H24" s="12">
        <v>335</v>
      </c>
      <c r="I24" s="12">
        <v>22</v>
      </c>
      <c r="J24" s="12">
        <f t="shared" si="0"/>
        <v>432</v>
      </c>
      <c r="K24" s="12">
        <v>75</v>
      </c>
      <c r="L24" s="12">
        <v>124.5</v>
      </c>
      <c r="M24" s="12">
        <f t="shared" si="1"/>
        <v>199.5</v>
      </c>
      <c r="N24" s="13">
        <f t="shared" si="2"/>
        <v>1467</v>
      </c>
      <c r="O24" s="17"/>
    </row>
    <row r="25" spans="1:15" x14ac:dyDescent="0.2">
      <c r="A25" t="s">
        <v>61</v>
      </c>
      <c r="B25" s="12">
        <v>206</v>
      </c>
      <c r="C25" s="12">
        <v>94</v>
      </c>
      <c r="D25" s="12">
        <v>544</v>
      </c>
      <c r="E25" s="12">
        <v>11</v>
      </c>
      <c r="F25" s="12">
        <f t="shared" si="3"/>
        <v>855</v>
      </c>
      <c r="G25" s="13">
        <v>79</v>
      </c>
      <c r="H25" s="12">
        <v>280</v>
      </c>
      <c r="I25" s="12">
        <v>22</v>
      </c>
      <c r="J25" s="12">
        <f t="shared" si="0"/>
        <v>381</v>
      </c>
      <c r="K25" s="12">
        <v>76</v>
      </c>
      <c r="L25" s="12">
        <v>124</v>
      </c>
      <c r="M25" s="12">
        <f t="shared" si="1"/>
        <v>200</v>
      </c>
      <c r="N25" s="13">
        <f t="shared" si="2"/>
        <v>1436</v>
      </c>
      <c r="O25" s="17"/>
    </row>
    <row r="26" spans="1:15" x14ac:dyDescent="0.2">
      <c r="A26" t="s">
        <v>91</v>
      </c>
      <c r="B26" s="12">
        <v>182</v>
      </c>
      <c r="C26" s="12">
        <v>86</v>
      </c>
      <c r="D26" s="12">
        <v>492</v>
      </c>
      <c r="E26" s="12">
        <v>10</v>
      </c>
      <c r="F26" s="12">
        <f t="shared" si="3"/>
        <v>770</v>
      </c>
      <c r="G26" s="13">
        <v>67</v>
      </c>
      <c r="H26" s="12">
        <v>275</v>
      </c>
      <c r="I26" s="12">
        <v>26</v>
      </c>
      <c r="J26" s="12">
        <f t="shared" si="0"/>
        <v>368</v>
      </c>
      <c r="K26" s="12">
        <v>75</v>
      </c>
      <c r="L26" s="12">
        <v>123</v>
      </c>
      <c r="M26" s="12">
        <f t="shared" si="1"/>
        <v>198</v>
      </c>
      <c r="N26" s="13">
        <f t="shared" si="2"/>
        <v>1336</v>
      </c>
      <c r="O26" s="17"/>
    </row>
    <row r="27" spans="1:15" x14ac:dyDescent="0.2">
      <c r="A27" t="s">
        <v>119</v>
      </c>
      <c r="B27" s="12">
        <v>199</v>
      </c>
      <c r="C27" s="12">
        <v>82</v>
      </c>
      <c r="D27" s="12">
        <v>514</v>
      </c>
      <c r="E27" s="12">
        <v>10.199999999999999</v>
      </c>
      <c r="F27" s="12">
        <f t="shared" si="3"/>
        <v>805.2</v>
      </c>
      <c r="G27" s="13">
        <v>77</v>
      </c>
      <c r="H27" s="12">
        <v>310</v>
      </c>
      <c r="I27" s="12">
        <v>22.2</v>
      </c>
      <c r="J27" s="12">
        <f t="shared" si="0"/>
        <v>409.2</v>
      </c>
      <c r="K27" s="12">
        <v>75</v>
      </c>
      <c r="L27" s="12">
        <v>122.5</v>
      </c>
      <c r="M27" s="12">
        <f t="shared" si="1"/>
        <v>197.5</v>
      </c>
      <c r="N27" s="13">
        <f t="shared" si="2"/>
        <v>1411.9</v>
      </c>
      <c r="O27" s="17"/>
    </row>
    <row r="28" spans="1:15" x14ac:dyDescent="0.2">
      <c r="A28" t="s">
        <v>120</v>
      </c>
      <c r="B28" s="12">
        <v>180</v>
      </c>
      <c r="C28" s="12">
        <v>86</v>
      </c>
      <c r="D28" s="12">
        <v>505</v>
      </c>
      <c r="E28" s="12">
        <v>8.6999999999999993</v>
      </c>
      <c r="F28" s="9">
        <f t="shared" si="3"/>
        <v>779.7</v>
      </c>
      <c r="G28" s="13">
        <v>57</v>
      </c>
      <c r="H28" s="12">
        <v>280</v>
      </c>
      <c r="I28" s="12">
        <v>18</v>
      </c>
      <c r="J28" s="12">
        <f t="shared" si="0"/>
        <v>355</v>
      </c>
      <c r="K28" s="12">
        <v>57</v>
      </c>
      <c r="L28" s="12">
        <v>100</v>
      </c>
      <c r="M28" s="12">
        <f t="shared" si="1"/>
        <v>157</v>
      </c>
      <c r="N28" s="88">
        <f t="shared" si="2"/>
        <v>1291.7</v>
      </c>
      <c r="O28" s="17"/>
    </row>
    <row r="29" spans="1:15" x14ac:dyDescent="0.2">
      <c r="A29" t="s">
        <v>121</v>
      </c>
      <c r="B29" s="12">
        <v>185</v>
      </c>
      <c r="C29" s="12">
        <v>115</v>
      </c>
      <c r="D29" s="12">
        <v>540</v>
      </c>
      <c r="E29" s="12">
        <v>17</v>
      </c>
      <c r="F29" s="9">
        <f>SUM(B29:E29)</f>
        <v>857</v>
      </c>
      <c r="G29" s="13">
        <v>35</v>
      </c>
      <c r="H29" s="12">
        <v>270</v>
      </c>
      <c r="I29" s="12">
        <v>17</v>
      </c>
      <c r="J29" s="12">
        <f t="shared" si="0"/>
        <v>322</v>
      </c>
      <c r="K29" s="12">
        <v>33</v>
      </c>
      <c r="L29" s="12">
        <v>100</v>
      </c>
      <c r="M29" s="12">
        <f t="shared" si="1"/>
        <v>133</v>
      </c>
      <c r="N29" s="88">
        <f t="shared" si="2"/>
        <v>1312</v>
      </c>
      <c r="O29" s="17"/>
    </row>
    <row r="30" spans="1:15" x14ac:dyDescent="0.2">
      <c r="A30" t="s">
        <v>95</v>
      </c>
      <c r="B30" s="12">
        <v>199</v>
      </c>
      <c r="C30" s="12">
        <v>130</v>
      </c>
      <c r="D30" s="12">
        <v>610</v>
      </c>
      <c r="E30" s="12">
        <v>33</v>
      </c>
      <c r="F30" s="9">
        <f>SUM(B30:E30)</f>
        <v>972</v>
      </c>
      <c r="G30" s="13">
        <v>33</v>
      </c>
      <c r="H30" s="12">
        <v>235</v>
      </c>
      <c r="I30" s="12">
        <v>17</v>
      </c>
      <c r="J30" s="12">
        <f t="shared" si="0"/>
        <v>285</v>
      </c>
      <c r="K30" s="12">
        <v>32</v>
      </c>
      <c r="L30" s="12">
        <v>105</v>
      </c>
      <c r="M30" s="12">
        <f t="shared" si="1"/>
        <v>137</v>
      </c>
      <c r="N30" s="88">
        <f t="shared" si="2"/>
        <v>1394</v>
      </c>
      <c r="O30" s="17"/>
    </row>
    <row r="31" spans="1:15" x14ac:dyDescent="0.2">
      <c r="A31" t="s">
        <v>122</v>
      </c>
      <c r="B31" s="12">
        <v>223</v>
      </c>
      <c r="C31" s="12">
        <v>152</v>
      </c>
      <c r="D31" s="12">
        <v>750</v>
      </c>
      <c r="E31" s="12">
        <v>60</v>
      </c>
      <c r="F31" s="9">
        <f>SUM(B31:E31)+14</f>
        <v>1199</v>
      </c>
      <c r="G31" s="13">
        <v>33</v>
      </c>
      <c r="H31" s="12">
        <v>260</v>
      </c>
      <c r="I31" s="12">
        <v>19</v>
      </c>
      <c r="J31" s="12">
        <f t="shared" si="0"/>
        <v>312</v>
      </c>
      <c r="K31" s="12">
        <v>22</v>
      </c>
      <c r="L31" s="12">
        <v>96</v>
      </c>
      <c r="M31" s="12">
        <f t="shared" si="1"/>
        <v>118</v>
      </c>
      <c r="N31" s="88">
        <f t="shared" si="2"/>
        <v>1629</v>
      </c>
      <c r="O31" s="17"/>
    </row>
    <row r="32" spans="1:15" x14ac:dyDescent="0.2">
      <c r="A32" t="s">
        <v>123</v>
      </c>
      <c r="B32" s="12">
        <v>163</v>
      </c>
      <c r="C32" s="12">
        <v>120</v>
      </c>
      <c r="D32" s="12">
        <v>575</v>
      </c>
      <c r="E32" s="12">
        <v>56</v>
      </c>
      <c r="F32" s="9">
        <f>SUM(B32:E32)+16</f>
        <v>930</v>
      </c>
      <c r="G32" s="13">
        <v>22</v>
      </c>
      <c r="H32" s="12">
        <v>145</v>
      </c>
      <c r="I32" s="12">
        <v>12</v>
      </c>
      <c r="J32" s="12">
        <f t="shared" si="0"/>
        <v>179</v>
      </c>
      <c r="K32" s="12">
        <v>17</v>
      </c>
      <c r="L32" s="12">
        <v>84</v>
      </c>
      <c r="M32" s="12">
        <f t="shared" si="1"/>
        <v>101</v>
      </c>
      <c r="N32" s="88">
        <f t="shared" si="2"/>
        <v>1210</v>
      </c>
      <c r="O32" s="17"/>
    </row>
    <row r="33" spans="1:15" x14ac:dyDescent="0.2">
      <c r="A33" t="s">
        <v>124</v>
      </c>
      <c r="B33" s="12">
        <v>157</v>
      </c>
      <c r="C33" s="12">
        <v>119</v>
      </c>
      <c r="D33" s="12">
        <v>520</v>
      </c>
      <c r="E33" s="12">
        <v>56</v>
      </c>
      <c r="F33" s="9">
        <f>SUM(B33:E33)+18</f>
        <v>870</v>
      </c>
      <c r="G33" s="13">
        <v>17</v>
      </c>
      <c r="H33" s="12">
        <v>187</v>
      </c>
      <c r="I33" s="12">
        <v>10</v>
      </c>
      <c r="J33" s="12">
        <f t="shared" si="0"/>
        <v>214</v>
      </c>
      <c r="K33" s="12">
        <v>21</v>
      </c>
      <c r="L33" s="12">
        <v>90</v>
      </c>
      <c r="M33" s="12">
        <f t="shared" si="1"/>
        <v>111</v>
      </c>
      <c r="N33" s="88">
        <f t="shared" si="2"/>
        <v>1195</v>
      </c>
      <c r="O33" s="17"/>
    </row>
    <row r="34" spans="1:15" x14ac:dyDescent="0.2">
      <c r="A34" t="s">
        <v>125</v>
      </c>
      <c r="B34" s="12">
        <v>193</v>
      </c>
      <c r="C34" s="12">
        <v>140</v>
      </c>
      <c r="D34" s="12">
        <v>685</v>
      </c>
      <c r="E34" s="12">
        <v>68</v>
      </c>
      <c r="F34" s="9">
        <f>SUM(B34:E34)+21</f>
        <v>1107</v>
      </c>
      <c r="G34" s="13">
        <v>18</v>
      </c>
      <c r="H34" s="12">
        <v>253</v>
      </c>
      <c r="I34" s="12">
        <v>8</v>
      </c>
      <c r="J34" s="12">
        <f t="shared" si="0"/>
        <v>279</v>
      </c>
      <c r="K34" s="12">
        <v>24</v>
      </c>
      <c r="L34" s="12">
        <v>97</v>
      </c>
      <c r="M34" s="12">
        <f t="shared" si="1"/>
        <v>121</v>
      </c>
      <c r="N34" s="88">
        <f t="shared" si="2"/>
        <v>1507</v>
      </c>
      <c r="O34" s="17"/>
    </row>
    <row r="35" spans="1:15" x14ac:dyDescent="0.2">
      <c r="A35" t="s">
        <v>126</v>
      </c>
      <c r="B35" s="12">
        <v>150</v>
      </c>
      <c r="C35" s="12">
        <v>105</v>
      </c>
      <c r="D35" s="12">
        <v>505</v>
      </c>
      <c r="E35" s="12">
        <v>48</v>
      </c>
      <c r="F35" s="9">
        <f>SUM(B35:E35)+18</f>
        <v>826</v>
      </c>
      <c r="G35" s="13">
        <v>13</v>
      </c>
      <c r="H35" s="12">
        <v>155</v>
      </c>
      <c r="I35" s="12">
        <v>7</v>
      </c>
      <c r="J35" s="12">
        <f t="shared" si="0"/>
        <v>175</v>
      </c>
      <c r="K35" s="12">
        <v>12</v>
      </c>
      <c r="L35" s="12">
        <v>66</v>
      </c>
      <c r="M35" s="12">
        <f t="shared" si="1"/>
        <v>78</v>
      </c>
      <c r="N35" s="88">
        <f t="shared" si="2"/>
        <v>1079</v>
      </c>
      <c r="O35" s="17"/>
    </row>
    <row r="36" spans="1:15" x14ac:dyDescent="0.2">
      <c r="A36" t="s">
        <v>127</v>
      </c>
      <c r="B36" s="12">
        <v>185</v>
      </c>
      <c r="C36" s="12">
        <v>135</v>
      </c>
      <c r="D36" s="12">
        <v>555</v>
      </c>
      <c r="E36" s="12">
        <v>64</v>
      </c>
      <c r="F36" s="9">
        <f>SUM(B36:E36)+18</f>
        <v>957</v>
      </c>
      <c r="G36" s="13">
        <v>21</v>
      </c>
      <c r="H36" s="12">
        <v>163</v>
      </c>
      <c r="I36" s="12">
        <v>10</v>
      </c>
      <c r="J36" s="12">
        <f t="shared" si="0"/>
        <v>194</v>
      </c>
      <c r="K36" s="12">
        <v>18</v>
      </c>
      <c r="L36" s="12">
        <v>86</v>
      </c>
      <c r="M36" s="12">
        <f t="shared" si="1"/>
        <v>104</v>
      </c>
      <c r="N36" s="88">
        <f t="shared" si="2"/>
        <v>1255</v>
      </c>
      <c r="O36" s="17"/>
    </row>
    <row r="37" spans="1:15" x14ac:dyDescent="0.2">
      <c r="A37" t="s">
        <v>128</v>
      </c>
      <c r="B37" s="12">
        <v>166</v>
      </c>
      <c r="C37" s="12">
        <v>157</v>
      </c>
      <c r="D37" s="12">
        <v>454</v>
      </c>
      <c r="E37" s="12">
        <v>73</v>
      </c>
      <c r="F37" s="9">
        <f>SUM(B37:E37)+14</f>
        <v>864</v>
      </c>
      <c r="G37" s="13">
        <v>21</v>
      </c>
      <c r="H37" s="12">
        <v>93</v>
      </c>
      <c r="I37" s="12">
        <v>6.6</v>
      </c>
      <c r="J37" s="12">
        <f t="shared" si="0"/>
        <v>120.6</v>
      </c>
      <c r="K37" s="12">
        <v>15</v>
      </c>
      <c r="L37" s="12">
        <v>81</v>
      </c>
      <c r="M37" s="12">
        <f t="shared" si="1"/>
        <v>96</v>
      </c>
      <c r="N37" s="88">
        <f t="shared" si="2"/>
        <v>1080.5999999999999</v>
      </c>
      <c r="O37" s="17"/>
    </row>
    <row r="38" spans="1:15" x14ac:dyDescent="0.2">
      <c r="A38" t="s">
        <v>129</v>
      </c>
      <c r="B38" s="12">
        <v>219</v>
      </c>
      <c r="C38" s="12">
        <v>195</v>
      </c>
      <c r="D38" s="12">
        <v>730</v>
      </c>
      <c r="E38" s="12">
        <v>107</v>
      </c>
      <c r="F38" s="9">
        <f>SUM(B38:E38)+49</f>
        <v>1300</v>
      </c>
      <c r="G38" s="13">
        <v>22</v>
      </c>
      <c r="H38" s="12">
        <v>146</v>
      </c>
      <c r="I38" s="12">
        <v>10</v>
      </c>
      <c r="J38" s="12">
        <f t="shared" si="0"/>
        <v>178</v>
      </c>
      <c r="K38" s="12">
        <v>20</v>
      </c>
      <c r="L38" s="12">
        <v>106</v>
      </c>
      <c r="M38" s="12">
        <f t="shared" si="1"/>
        <v>126</v>
      </c>
      <c r="N38" s="88">
        <f t="shared" si="2"/>
        <v>1604</v>
      </c>
      <c r="O38" s="17"/>
    </row>
    <row r="39" spans="1:15" x14ac:dyDescent="0.2">
      <c r="A39" t="s">
        <v>130</v>
      </c>
      <c r="B39" s="12">
        <v>138</v>
      </c>
      <c r="C39" s="12">
        <v>131</v>
      </c>
      <c r="D39" s="12">
        <v>426</v>
      </c>
      <c r="E39" s="12">
        <v>78</v>
      </c>
      <c r="F39" s="9">
        <f>SUM(B39:E39)+33</f>
        <v>806</v>
      </c>
      <c r="G39" s="13">
        <v>16</v>
      </c>
      <c r="H39" s="12">
        <v>117</v>
      </c>
      <c r="I39" s="12">
        <v>7</v>
      </c>
      <c r="J39" s="12">
        <f t="shared" si="0"/>
        <v>140</v>
      </c>
      <c r="K39" s="12">
        <v>16</v>
      </c>
      <c r="L39" s="12">
        <v>81</v>
      </c>
      <c r="M39" s="12">
        <f t="shared" si="1"/>
        <v>97</v>
      </c>
      <c r="N39" s="88">
        <f t="shared" si="2"/>
        <v>1043</v>
      </c>
      <c r="O39" s="17"/>
    </row>
    <row r="40" spans="1:15" x14ac:dyDescent="0.2">
      <c r="A40" t="s">
        <v>131</v>
      </c>
      <c r="B40" s="12">
        <v>173</v>
      </c>
      <c r="C40" s="12">
        <v>167</v>
      </c>
      <c r="D40" s="12">
        <v>589</v>
      </c>
      <c r="E40" s="12">
        <v>108</v>
      </c>
      <c r="F40" s="9">
        <f>SUM(B40:E40)+31</f>
        <v>1068</v>
      </c>
      <c r="G40" s="13">
        <v>11</v>
      </c>
      <c r="H40" s="12">
        <v>127</v>
      </c>
      <c r="I40" s="12">
        <v>4.5</v>
      </c>
      <c r="J40" s="12">
        <f t="shared" si="0"/>
        <v>142.5</v>
      </c>
      <c r="K40" s="12">
        <v>19</v>
      </c>
      <c r="L40" s="12">
        <v>93</v>
      </c>
      <c r="M40" s="12">
        <f t="shared" si="1"/>
        <v>112</v>
      </c>
      <c r="N40" s="88">
        <f t="shared" si="2"/>
        <v>1322.5</v>
      </c>
      <c r="O40" s="17"/>
    </row>
    <row r="41" spans="1:15" x14ac:dyDescent="0.2">
      <c r="A41" t="s">
        <v>132</v>
      </c>
      <c r="B41" s="12">
        <v>196</v>
      </c>
      <c r="C41" s="12">
        <v>180</v>
      </c>
      <c r="D41" s="12">
        <v>777</v>
      </c>
      <c r="E41" s="12">
        <v>82</v>
      </c>
      <c r="F41" s="9">
        <f>SUM(B41:E41)+41</f>
        <v>1276</v>
      </c>
      <c r="G41" s="13">
        <v>9</v>
      </c>
      <c r="H41" s="12">
        <v>165</v>
      </c>
      <c r="I41" s="12">
        <v>4.9000000000000004</v>
      </c>
      <c r="J41" s="12">
        <f>SUM(G41:I41)</f>
        <v>178.9</v>
      </c>
      <c r="K41" s="12">
        <v>19</v>
      </c>
      <c r="L41" s="12">
        <v>87</v>
      </c>
      <c r="M41" s="12">
        <f t="shared" si="1"/>
        <v>106</v>
      </c>
      <c r="N41" s="88">
        <f t="shared" si="2"/>
        <v>1560.9</v>
      </c>
      <c r="O41" s="17"/>
    </row>
    <row r="42" spans="1:15" x14ac:dyDescent="0.2">
      <c r="A42" t="s">
        <v>133</v>
      </c>
      <c r="B42" s="12">
        <v>172</v>
      </c>
      <c r="C42" s="12">
        <v>146</v>
      </c>
      <c r="D42" s="12">
        <v>706</v>
      </c>
      <c r="E42" s="12">
        <v>106</v>
      </c>
      <c r="F42" s="9">
        <f>SUM(B42:E42)+38</f>
        <v>1168</v>
      </c>
      <c r="G42" s="13">
        <v>12</v>
      </c>
      <c r="H42" s="12">
        <v>205</v>
      </c>
      <c r="I42" s="12">
        <v>8</v>
      </c>
      <c r="J42" s="12">
        <f>SUM(G42:I42)+23</f>
        <v>248</v>
      </c>
      <c r="K42" s="12">
        <v>21</v>
      </c>
      <c r="L42" s="12">
        <v>99</v>
      </c>
      <c r="M42" s="12">
        <f t="shared" si="1"/>
        <v>120</v>
      </c>
      <c r="N42" s="88">
        <f t="shared" si="2"/>
        <v>1536</v>
      </c>
      <c r="O42" s="17"/>
    </row>
    <row r="43" spans="1:15" x14ac:dyDescent="0.2">
      <c r="A43" s="7">
        <v>2017</v>
      </c>
      <c r="B43" s="12">
        <v>193</v>
      </c>
      <c r="C43" s="12">
        <v>185</v>
      </c>
      <c r="D43" s="12">
        <v>825</v>
      </c>
      <c r="E43" s="12">
        <v>118</v>
      </c>
      <c r="F43" s="9">
        <f>SUM(B43:E43)+43</f>
        <v>1364</v>
      </c>
      <c r="G43" s="13">
        <v>21</v>
      </c>
      <c r="H43" s="12">
        <v>210</v>
      </c>
      <c r="I43" s="12">
        <v>7.6</v>
      </c>
      <c r="J43" s="12">
        <f>SUM(G43:I43)+29</f>
        <v>267.60000000000002</v>
      </c>
      <c r="K43" s="12">
        <v>27</v>
      </c>
      <c r="L43" s="12">
        <v>117</v>
      </c>
      <c r="M43" s="12">
        <v>144</v>
      </c>
      <c r="N43" s="88">
        <f t="shared" si="2"/>
        <v>1775.6</v>
      </c>
      <c r="O43" s="17"/>
    </row>
    <row r="44" spans="1:15" x14ac:dyDescent="0.2">
      <c r="A44" s="7">
        <v>2018</v>
      </c>
      <c r="B44" s="12">
        <v>161</v>
      </c>
      <c r="C44" s="12">
        <v>143</v>
      </c>
      <c r="D44" s="12">
        <v>655</v>
      </c>
      <c r="E44" s="12">
        <v>80</v>
      </c>
      <c r="F44" s="9">
        <f>SUM(B44:E44)+24</f>
        <v>1063</v>
      </c>
      <c r="G44" s="13">
        <v>15</v>
      </c>
      <c r="H44" s="12">
        <v>145</v>
      </c>
      <c r="I44" s="12">
        <v>5.5</v>
      </c>
      <c r="J44" s="12">
        <f>SUM(G44:I44)+23</f>
        <v>188.5</v>
      </c>
      <c r="K44" s="12">
        <v>24</v>
      </c>
      <c r="L44" s="12">
        <v>98</v>
      </c>
      <c r="M44" s="12">
        <v>122</v>
      </c>
      <c r="N44" s="88">
        <f t="shared" si="2"/>
        <v>1373.5</v>
      </c>
      <c r="O44" s="17"/>
    </row>
    <row r="45" spans="1:15" x14ac:dyDescent="0.2">
      <c r="A45" s="7">
        <v>2019</v>
      </c>
      <c r="B45" s="12">
        <v>156</v>
      </c>
      <c r="C45" s="12">
        <v>155</v>
      </c>
      <c r="D45" s="12">
        <v>660</v>
      </c>
      <c r="E45" s="12">
        <v>62</v>
      </c>
      <c r="F45" s="9">
        <f>SUM(B45:E45)+19</f>
        <v>1052</v>
      </c>
      <c r="G45" s="13">
        <v>14</v>
      </c>
      <c r="H45" s="12">
        <v>160</v>
      </c>
      <c r="I45" s="12">
        <v>4.7</v>
      </c>
      <c r="J45" s="12">
        <f>SUM(G45:I45)+33</f>
        <v>211.7</v>
      </c>
      <c r="K45" s="12">
        <v>24</v>
      </c>
      <c r="L45" s="12">
        <v>102</v>
      </c>
      <c r="M45" s="12">
        <v>126</v>
      </c>
      <c r="N45" s="88">
        <f>F45+J45+M45</f>
        <v>1389.7</v>
      </c>
      <c r="O45" s="17"/>
    </row>
    <row r="46" spans="1:15" x14ac:dyDescent="0.2">
      <c r="A46" s="7">
        <v>2020</v>
      </c>
      <c r="B46" s="12">
        <v>183</v>
      </c>
      <c r="C46" s="12">
        <v>166</v>
      </c>
      <c r="D46" s="12">
        <v>805</v>
      </c>
      <c r="E46" s="12">
        <v>80</v>
      </c>
      <c r="F46" s="9">
        <f>SUM(B46:E46)+22</f>
        <v>1256</v>
      </c>
      <c r="G46" s="13">
        <v>14</v>
      </c>
      <c r="H46" s="12">
        <v>170</v>
      </c>
      <c r="I46" s="12">
        <v>5.2</v>
      </c>
      <c r="J46" s="12">
        <f>SUM(G46:I46)+38</f>
        <v>227.2</v>
      </c>
      <c r="K46" s="12">
        <v>27</v>
      </c>
      <c r="L46" s="12">
        <v>105</v>
      </c>
      <c r="M46" s="12">
        <v>132</v>
      </c>
      <c r="N46" s="88">
        <f>F46+J46+M46</f>
        <v>1615.2</v>
      </c>
      <c r="O46" s="17"/>
    </row>
    <row r="47" spans="1:15" x14ac:dyDescent="0.2">
      <c r="A47" s="7">
        <v>2021</v>
      </c>
      <c r="B47" s="12">
        <v>182</v>
      </c>
      <c r="C47" s="12">
        <v>158</v>
      </c>
      <c r="D47" s="12">
        <v>750</v>
      </c>
      <c r="E47" s="12">
        <v>66</v>
      </c>
      <c r="F47" s="9">
        <f>SUM(B47:E47)+17</f>
        <v>1173</v>
      </c>
      <c r="G47" s="13">
        <v>15</v>
      </c>
      <c r="H47" s="12">
        <v>162</v>
      </c>
      <c r="I47" s="12">
        <v>11.1</v>
      </c>
      <c r="J47" s="12">
        <f>SUM(G47:I47)+35</f>
        <v>223.1</v>
      </c>
      <c r="K47" s="12">
        <v>30</v>
      </c>
      <c r="L47" s="12">
        <v>114</v>
      </c>
      <c r="M47" s="12">
        <v>144</v>
      </c>
      <c r="N47" s="88">
        <f>F47+J47+M47</f>
        <v>1540.1</v>
      </c>
      <c r="O47" s="17"/>
    </row>
    <row r="48" spans="1:15" x14ac:dyDescent="0.2">
      <c r="A48" s="8">
        <v>2022</v>
      </c>
      <c r="B48" s="62">
        <v>162</v>
      </c>
      <c r="C48" s="62">
        <v>142</v>
      </c>
      <c r="D48" s="62">
        <v>680</v>
      </c>
      <c r="E48" s="62">
        <v>68</v>
      </c>
      <c r="F48" s="10">
        <f>SUM(B48:E48)+14</f>
        <v>1066</v>
      </c>
      <c r="G48" s="63">
        <v>17</v>
      </c>
      <c r="H48" s="62">
        <v>120</v>
      </c>
      <c r="I48" s="62">
        <v>6.4</v>
      </c>
      <c r="J48" s="62">
        <f>SUM(G48:I48)+32</f>
        <v>175.4</v>
      </c>
      <c r="K48" s="62">
        <v>28</v>
      </c>
      <c r="L48" s="62">
        <v>116</v>
      </c>
      <c r="M48" s="62">
        <v>144</v>
      </c>
      <c r="N48" s="89">
        <f>F48+J48+M48</f>
        <v>1385.4</v>
      </c>
      <c r="O48" s="17"/>
    </row>
    <row r="49" spans="1:15" x14ac:dyDescent="0.2">
      <c r="A49" s="7" t="s">
        <v>167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3"/>
      <c r="O49" s="17"/>
    </row>
    <row r="50" spans="1:15" x14ac:dyDescent="0.2">
      <c r="A50" s="15" t="s">
        <v>111</v>
      </c>
      <c r="B50" s="12"/>
      <c r="C50" s="12"/>
      <c r="D50" s="12"/>
      <c r="E50" s="12"/>
      <c r="F50" s="13"/>
      <c r="G50" s="13"/>
      <c r="H50" s="12"/>
      <c r="I50" s="12"/>
      <c r="J50" s="12"/>
      <c r="K50" s="12"/>
      <c r="L50" s="12"/>
      <c r="M50" s="12"/>
      <c r="N50" s="13"/>
      <c r="O50" s="17"/>
    </row>
    <row r="51" spans="1:15" x14ac:dyDescent="0.2">
      <c r="A51" t="s">
        <v>183</v>
      </c>
    </row>
    <row r="52" spans="1:15" x14ac:dyDescent="0.2">
      <c r="N52" s="51" t="s">
        <v>178</v>
      </c>
    </row>
  </sheetData>
  <pageMargins left="0.7" right="0.7" top="0.75" bottom="0.75" header="0.3" footer="0.3"/>
  <pageSetup scale="93" firstPageNumber="14" orientation="portrait" useFirstPageNumber="1" r:id="rId1"/>
  <headerFooter alignWithMargins="0">
    <oddFooter>&amp;C&amp;P
Oil Crops Yearbook/OCS-2020
March 2020
Economic Research Service, USDA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658-4E95-4F11-91D5-9A10D5E6ACED}">
  <sheetPr>
    <pageSetUpPr fitToPage="1"/>
  </sheetPr>
  <dimension ref="A1:AB53"/>
  <sheetViews>
    <sheetView zoomScaleNormal="100" zoomScaleSheetLayoutView="100" workbookViewId="0">
      <pane xSplit="1" ySplit="4" topLeftCell="B5" activePane="bottomRight" state="frozen"/>
      <selection activeCell="C57" sqref="C57"/>
      <selection pane="topRight" activeCell="C57" sqref="C57"/>
      <selection pane="bottomLeft" activeCell="C57" sqref="C57"/>
      <selection pane="bottomRight" activeCell="C57" sqref="C57"/>
    </sheetView>
  </sheetViews>
  <sheetFormatPr defaultRowHeight="10.199999999999999" x14ac:dyDescent="0.2"/>
  <cols>
    <col min="1" max="1" width="6.42578125" customWidth="1"/>
    <col min="2" max="3" width="8.85546875" customWidth="1"/>
    <col min="4" max="4" width="9.85546875" customWidth="1"/>
    <col min="5" max="5" width="8.85546875" customWidth="1"/>
    <col min="6" max="6" width="9.85546875" customWidth="1"/>
    <col min="7" max="9" width="8.85546875" customWidth="1"/>
    <col min="10" max="10" width="9.85546875" customWidth="1"/>
    <col min="11" max="12" width="8.85546875" customWidth="1"/>
    <col min="13" max="13" width="9.85546875" customWidth="1"/>
    <col min="14" max="14" width="11.85546875" customWidth="1"/>
    <col min="15" max="15" width="10.7109375" bestFit="1" customWidth="1"/>
  </cols>
  <sheetData>
    <row r="1" spans="1:16" x14ac:dyDescent="0.2">
      <c r="A1" s="28" t="s">
        <v>173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29</v>
      </c>
      <c r="N1" s="1" t="s">
        <v>29</v>
      </c>
    </row>
    <row r="2" spans="1:16" x14ac:dyDescent="0.2">
      <c r="A2" t="s">
        <v>58</v>
      </c>
      <c r="B2" s="61"/>
      <c r="C2" s="6"/>
      <c r="D2" s="4" t="s">
        <v>64</v>
      </c>
      <c r="E2" s="4"/>
      <c r="F2" s="60"/>
      <c r="G2" s="4"/>
      <c r="H2" s="44" t="s">
        <v>63</v>
      </c>
      <c r="I2" s="4"/>
      <c r="J2" s="60"/>
      <c r="K2" s="64"/>
      <c r="L2" s="61" t="s">
        <v>162</v>
      </c>
      <c r="M2" s="60"/>
      <c r="N2" s="5" t="s">
        <v>74</v>
      </c>
    </row>
    <row r="3" spans="1:16" x14ac:dyDescent="0.2">
      <c r="A3" s="1" t="s">
        <v>59</v>
      </c>
      <c r="B3" s="58" t="s">
        <v>65</v>
      </c>
      <c r="C3" s="6" t="s">
        <v>66</v>
      </c>
      <c r="D3" s="6" t="s">
        <v>67</v>
      </c>
      <c r="E3" s="6" t="s">
        <v>68</v>
      </c>
      <c r="F3" s="57" t="s">
        <v>78</v>
      </c>
      <c r="G3" s="6" t="s">
        <v>69</v>
      </c>
      <c r="H3" s="6" t="s">
        <v>70</v>
      </c>
      <c r="I3" s="6" t="s">
        <v>71</v>
      </c>
      <c r="J3" s="57" t="s">
        <v>110</v>
      </c>
      <c r="K3" s="6" t="s">
        <v>72</v>
      </c>
      <c r="L3" s="6" t="s">
        <v>73</v>
      </c>
      <c r="M3" s="57" t="s">
        <v>0</v>
      </c>
      <c r="N3" s="6" t="s">
        <v>75</v>
      </c>
    </row>
    <row r="4" spans="1:16" x14ac:dyDescent="0.2">
      <c r="C4" s="50"/>
      <c r="D4" s="50"/>
      <c r="E4" s="50"/>
      <c r="F4" s="50"/>
      <c r="G4" s="50"/>
      <c r="H4" s="50"/>
      <c r="I4" s="67" t="s">
        <v>76</v>
      </c>
      <c r="J4" s="50"/>
      <c r="K4" s="50"/>
      <c r="L4" s="50"/>
      <c r="M4" s="50"/>
      <c r="N4" s="50"/>
    </row>
    <row r="5" spans="1:16" x14ac:dyDescent="0.2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6" x14ac:dyDescent="0.2">
      <c r="A6" t="s">
        <v>13</v>
      </c>
      <c r="B6" s="14">
        <v>265000</v>
      </c>
      <c r="C6" s="14">
        <v>144480</v>
      </c>
      <c r="D6" s="14">
        <v>994590</v>
      </c>
      <c r="E6" s="14">
        <v>14300</v>
      </c>
      <c r="F6" s="14">
        <f>SUM(B6:E6)+7500</f>
        <v>1425870</v>
      </c>
      <c r="G6" s="14">
        <v>140175</v>
      </c>
      <c r="H6" s="14">
        <v>293250</v>
      </c>
      <c r="I6" s="14">
        <v>22352</v>
      </c>
      <c r="J6" s="30">
        <f t="shared" ref="J6:J40" si="0">SUM(G6:I6)</f>
        <v>455777</v>
      </c>
      <c r="K6" s="30">
        <v>136350</v>
      </c>
      <c r="L6" s="30">
        <v>291330</v>
      </c>
      <c r="M6" s="30">
        <f t="shared" ref="M6:M40" si="1">SUM(K6:L6)</f>
        <v>427680</v>
      </c>
      <c r="N6" s="30">
        <f>F6+J6+M6</f>
        <v>2309327</v>
      </c>
      <c r="O6" s="9"/>
      <c r="P6" s="14"/>
    </row>
    <row r="7" spans="1:16" x14ac:dyDescent="0.2">
      <c r="A7" t="s">
        <v>14</v>
      </c>
      <c r="B7" s="14">
        <v>602730</v>
      </c>
      <c r="C7" s="14">
        <v>178200</v>
      </c>
      <c r="D7" s="14">
        <v>1655450</v>
      </c>
      <c r="E7" s="14">
        <v>39000</v>
      </c>
      <c r="F7" s="14">
        <f>SUM(B7:E7)+12730</f>
        <v>2488110</v>
      </c>
      <c r="G7" s="14">
        <v>189280</v>
      </c>
      <c r="H7" s="14">
        <v>393250</v>
      </c>
      <c r="I7" s="14">
        <v>24900</v>
      </c>
      <c r="J7" s="30">
        <f t="shared" si="0"/>
        <v>607430</v>
      </c>
      <c r="K7" s="30">
        <v>330750</v>
      </c>
      <c r="L7" s="30">
        <v>555560</v>
      </c>
      <c r="M7" s="30">
        <f t="shared" si="1"/>
        <v>886310</v>
      </c>
      <c r="N7" s="30">
        <f t="shared" ref="N7:N44" si="2">F7+J7+M7</f>
        <v>3981850</v>
      </c>
      <c r="O7" s="9"/>
      <c r="P7" s="14"/>
    </row>
    <row r="8" spans="1:16" x14ac:dyDescent="0.2">
      <c r="A8" t="s">
        <v>15</v>
      </c>
      <c r="B8" s="14">
        <v>522150</v>
      </c>
      <c r="C8" s="14">
        <v>153000</v>
      </c>
      <c r="D8" s="14">
        <v>1517480</v>
      </c>
      <c r="E8" s="14">
        <v>30000</v>
      </c>
      <c r="F8" s="14">
        <f t="shared" ref="F8:F28" si="3">SUM(B8:E8)</f>
        <v>2222630</v>
      </c>
      <c r="G8" s="14">
        <v>174580</v>
      </c>
      <c r="H8" s="14">
        <v>325125</v>
      </c>
      <c r="I8" s="14">
        <v>25220</v>
      </c>
      <c r="J8" s="30">
        <f t="shared" si="0"/>
        <v>524925</v>
      </c>
      <c r="K8" s="30">
        <v>275500</v>
      </c>
      <c r="L8" s="30">
        <v>417200</v>
      </c>
      <c r="M8" s="30">
        <f t="shared" si="1"/>
        <v>692700</v>
      </c>
      <c r="N8" s="30">
        <f t="shared" si="2"/>
        <v>3440255</v>
      </c>
      <c r="O8" s="9"/>
      <c r="P8" s="14"/>
    </row>
    <row r="9" spans="1:16" x14ac:dyDescent="0.2">
      <c r="A9" t="s">
        <v>16</v>
      </c>
      <c r="B9" s="14">
        <v>454500</v>
      </c>
      <c r="C9" s="14">
        <v>166800</v>
      </c>
      <c r="D9" s="14">
        <v>1567980</v>
      </c>
      <c r="E9" s="14">
        <v>25000</v>
      </c>
      <c r="F9" s="14">
        <f t="shared" si="3"/>
        <v>2214280</v>
      </c>
      <c r="G9" s="14">
        <v>176540</v>
      </c>
      <c r="H9" s="14">
        <v>362275</v>
      </c>
      <c r="I9" s="14">
        <v>25630</v>
      </c>
      <c r="J9" s="30">
        <f t="shared" si="0"/>
        <v>564445</v>
      </c>
      <c r="K9" s="30">
        <v>198550</v>
      </c>
      <c r="L9" s="30">
        <v>318255</v>
      </c>
      <c r="M9" s="30">
        <f t="shared" si="1"/>
        <v>516805</v>
      </c>
      <c r="N9" s="30">
        <f t="shared" si="2"/>
        <v>3295530</v>
      </c>
      <c r="O9" s="9"/>
      <c r="P9" s="14"/>
    </row>
    <row r="10" spans="1:16" x14ac:dyDescent="0.2">
      <c r="A10" t="s">
        <v>17</v>
      </c>
      <c r="B10" s="14">
        <v>648550</v>
      </c>
      <c r="C10" s="14">
        <v>246400</v>
      </c>
      <c r="D10" s="14">
        <v>2160000</v>
      </c>
      <c r="E10" s="14">
        <v>39150</v>
      </c>
      <c r="F10" s="14">
        <f t="shared" si="3"/>
        <v>3094100</v>
      </c>
      <c r="G10" s="14">
        <v>189200</v>
      </c>
      <c r="H10" s="14">
        <v>371295</v>
      </c>
      <c r="I10" s="14">
        <v>32190</v>
      </c>
      <c r="J10" s="30">
        <f t="shared" si="0"/>
        <v>592685</v>
      </c>
      <c r="K10" s="30">
        <v>269660</v>
      </c>
      <c r="L10" s="30">
        <v>449500</v>
      </c>
      <c r="M10" s="30">
        <f t="shared" si="1"/>
        <v>719160</v>
      </c>
      <c r="N10" s="30">
        <f t="shared" si="2"/>
        <v>4405945</v>
      </c>
      <c r="O10" s="9"/>
      <c r="P10" s="14"/>
    </row>
    <row r="11" spans="1:16" x14ac:dyDescent="0.2">
      <c r="A11" t="s">
        <v>18</v>
      </c>
      <c r="B11" s="14">
        <v>590000</v>
      </c>
      <c r="C11" s="14">
        <v>216000</v>
      </c>
      <c r="D11" s="14">
        <v>1921320</v>
      </c>
      <c r="E11" s="14">
        <v>34200</v>
      </c>
      <c r="F11" s="14">
        <f t="shared" si="3"/>
        <v>2761520</v>
      </c>
      <c r="G11" s="14">
        <v>170980</v>
      </c>
      <c r="H11" s="14">
        <v>422625</v>
      </c>
      <c r="I11" s="14">
        <v>31992</v>
      </c>
      <c r="J11" s="30">
        <f t="shared" si="0"/>
        <v>625597</v>
      </c>
      <c r="K11" s="30">
        <v>283680</v>
      </c>
      <c r="L11" s="30">
        <v>451990</v>
      </c>
      <c r="M11" s="30">
        <f t="shared" si="1"/>
        <v>735670</v>
      </c>
      <c r="N11" s="30">
        <f t="shared" si="2"/>
        <v>4122787</v>
      </c>
      <c r="O11" s="9"/>
      <c r="P11" s="14"/>
    </row>
    <row r="12" spans="1:16" x14ac:dyDescent="0.2">
      <c r="A12" t="s">
        <v>19</v>
      </c>
      <c r="B12" s="14">
        <v>494940</v>
      </c>
      <c r="C12" s="14">
        <v>233160</v>
      </c>
      <c r="D12" s="14">
        <v>1632575</v>
      </c>
      <c r="E12" s="14">
        <v>25530</v>
      </c>
      <c r="F12" s="14">
        <f t="shared" si="3"/>
        <v>2386205</v>
      </c>
      <c r="G12" s="14">
        <v>180840</v>
      </c>
      <c r="H12" s="14">
        <v>385000</v>
      </c>
      <c r="I12" s="14">
        <v>28700</v>
      </c>
      <c r="J12" s="30">
        <f t="shared" si="0"/>
        <v>594540</v>
      </c>
      <c r="K12" s="30">
        <v>275900</v>
      </c>
      <c r="L12" s="30">
        <v>440440</v>
      </c>
      <c r="M12" s="30">
        <f t="shared" si="1"/>
        <v>716340</v>
      </c>
      <c r="N12" s="30">
        <f t="shared" si="2"/>
        <v>3697085</v>
      </c>
      <c r="O12" s="9"/>
      <c r="P12" s="14"/>
    </row>
    <row r="13" spans="1:16" x14ac:dyDescent="0.2">
      <c r="A13" t="s">
        <v>20</v>
      </c>
      <c r="B13" s="14">
        <v>465300</v>
      </c>
      <c r="C13" s="14">
        <v>215800</v>
      </c>
      <c r="D13" s="14">
        <v>1575000</v>
      </c>
      <c r="E13" s="14">
        <v>31200</v>
      </c>
      <c r="F13" s="14">
        <f t="shared" si="3"/>
        <v>2287300</v>
      </c>
      <c r="G13" s="14">
        <v>222750</v>
      </c>
      <c r="H13" s="14">
        <v>441000</v>
      </c>
      <c r="I13" s="14">
        <v>29760</v>
      </c>
      <c r="J13" s="30">
        <f t="shared" si="0"/>
        <v>693510</v>
      </c>
      <c r="K13" s="30">
        <v>243000</v>
      </c>
      <c r="L13" s="30">
        <v>392200</v>
      </c>
      <c r="M13" s="30">
        <f t="shared" si="1"/>
        <v>635200</v>
      </c>
      <c r="N13" s="30">
        <f t="shared" si="2"/>
        <v>3616010</v>
      </c>
      <c r="O13" s="9"/>
      <c r="P13" s="14"/>
    </row>
    <row r="14" spans="1:16" x14ac:dyDescent="0.2">
      <c r="A14" t="s">
        <v>21</v>
      </c>
      <c r="B14" s="14">
        <v>561680</v>
      </c>
      <c r="C14" s="14">
        <v>228600</v>
      </c>
      <c r="D14" s="14">
        <v>1801550</v>
      </c>
      <c r="E14" s="14">
        <v>32110</v>
      </c>
      <c r="F14" s="14">
        <f t="shared" si="3"/>
        <v>2623940</v>
      </c>
      <c r="G14" s="14">
        <v>225040</v>
      </c>
      <c r="H14" s="14">
        <v>417500</v>
      </c>
      <c r="I14" s="14">
        <v>30552</v>
      </c>
      <c r="J14" s="30">
        <f t="shared" si="0"/>
        <v>673092</v>
      </c>
      <c r="K14" s="30">
        <v>263900</v>
      </c>
      <c r="L14" s="30">
        <v>419985</v>
      </c>
      <c r="M14" s="30">
        <f t="shared" si="1"/>
        <v>683885</v>
      </c>
      <c r="N14" s="30">
        <f t="shared" si="2"/>
        <v>3980917</v>
      </c>
      <c r="O14" s="9"/>
      <c r="P14" s="14"/>
    </row>
    <row r="15" spans="1:16" x14ac:dyDescent="0.2">
      <c r="A15" t="s">
        <v>22</v>
      </c>
      <c r="B15" s="14">
        <v>537750</v>
      </c>
      <c r="C15" s="14">
        <v>214890</v>
      </c>
      <c r="D15" s="14">
        <v>1849500</v>
      </c>
      <c r="E15" s="14">
        <v>32500</v>
      </c>
      <c r="F15" s="14">
        <f t="shared" si="3"/>
        <v>2634640</v>
      </c>
      <c r="G15" s="14">
        <v>210700</v>
      </c>
      <c r="H15" s="14">
        <v>484700</v>
      </c>
      <c r="I15" s="14">
        <v>43680</v>
      </c>
      <c r="J15" s="30">
        <f t="shared" si="0"/>
        <v>739080</v>
      </c>
      <c r="K15" s="30">
        <v>246155</v>
      </c>
      <c r="L15" s="30">
        <v>370120</v>
      </c>
      <c r="M15" s="30">
        <f t="shared" si="1"/>
        <v>616275</v>
      </c>
      <c r="N15" s="30">
        <f t="shared" si="2"/>
        <v>3989995</v>
      </c>
      <c r="O15" s="9"/>
      <c r="P15" s="14"/>
    </row>
    <row r="16" spans="1:16" x14ac:dyDescent="0.2">
      <c r="A16" t="s">
        <v>23</v>
      </c>
      <c r="B16" s="14">
        <v>386560</v>
      </c>
      <c r="C16" s="14">
        <v>234000</v>
      </c>
      <c r="D16" s="14">
        <v>1347500</v>
      </c>
      <c r="E16" s="14">
        <v>30105</v>
      </c>
      <c r="F16" s="14">
        <f t="shared" si="3"/>
        <v>1998165</v>
      </c>
      <c r="G16" s="14">
        <v>235320</v>
      </c>
      <c r="H16" s="14">
        <v>534650</v>
      </c>
      <c r="I16" s="14">
        <v>50000</v>
      </c>
      <c r="J16" s="30">
        <f t="shared" si="0"/>
        <v>819970</v>
      </c>
      <c r="K16" s="30">
        <v>309915</v>
      </c>
      <c r="L16" s="30">
        <v>475600</v>
      </c>
      <c r="M16" s="30">
        <f t="shared" si="1"/>
        <v>785515</v>
      </c>
      <c r="N16" s="30">
        <f t="shared" si="2"/>
        <v>3603650</v>
      </c>
      <c r="O16" s="9"/>
      <c r="P16" s="14"/>
    </row>
    <row r="17" spans="1:16" x14ac:dyDescent="0.2">
      <c r="A17" t="s">
        <v>24</v>
      </c>
      <c r="B17" s="14">
        <v>638485</v>
      </c>
      <c r="C17" s="14">
        <v>279660</v>
      </c>
      <c r="D17" s="14">
        <v>2228550</v>
      </c>
      <c r="E17" s="14">
        <v>33600</v>
      </c>
      <c r="F17" s="14">
        <f t="shared" si="3"/>
        <v>3180295</v>
      </c>
      <c r="G17" s="14">
        <v>243800</v>
      </c>
      <c r="H17" s="14">
        <v>682500</v>
      </c>
      <c r="I17" s="14">
        <v>51075</v>
      </c>
      <c r="J17" s="30">
        <f t="shared" si="0"/>
        <v>977375</v>
      </c>
      <c r="K17" s="30">
        <v>307200</v>
      </c>
      <c r="L17" s="30">
        <v>461700</v>
      </c>
      <c r="M17" s="30">
        <f t="shared" si="1"/>
        <v>768900</v>
      </c>
      <c r="N17" s="30">
        <f t="shared" si="2"/>
        <v>4926570</v>
      </c>
      <c r="O17" s="9"/>
      <c r="P17" s="14"/>
    </row>
    <row r="18" spans="1:16" x14ac:dyDescent="0.2">
      <c r="A18" t="s">
        <v>31</v>
      </c>
      <c r="B18" s="14">
        <v>591180</v>
      </c>
      <c r="C18" s="14">
        <v>202510</v>
      </c>
      <c r="D18" s="14">
        <v>1820465</v>
      </c>
      <c r="E18" s="14">
        <v>32500</v>
      </c>
      <c r="F18" s="14">
        <f t="shared" si="3"/>
        <v>2646655</v>
      </c>
      <c r="G18" s="14">
        <v>236180</v>
      </c>
      <c r="H18" s="14">
        <v>680150</v>
      </c>
      <c r="I18" s="14">
        <v>58236</v>
      </c>
      <c r="J18" s="30">
        <f t="shared" si="0"/>
        <v>974566</v>
      </c>
      <c r="K18" s="30">
        <v>256215</v>
      </c>
      <c r="L18" s="30">
        <v>406980</v>
      </c>
      <c r="M18" s="30">
        <f t="shared" si="1"/>
        <v>663195</v>
      </c>
      <c r="N18" s="30">
        <f t="shared" si="2"/>
        <v>4284416</v>
      </c>
      <c r="O18" s="9"/>
      <c r="P18" s="14"/>
    </row>
    <row r="19" spans="1:16" x14ac:dyDescent="0.2">
      <c r="A19" t="s">
        <v>25</v>
      </c>
      <c r="B19" s="14">
        <v>473220</v>
      </c>
      <c r="C19" s="14">
        <v>194880</v>
      </c>
      <c r="D19" s="14">
        <v>1383545</v>
      </c>
      <c r="E19" s="14">
        <v>24500</v>
      </c>
      <c r="F19" s="14">
        <f t="shared" si="3"/>
        <v>2076145</v>
      </c>
      <c r="G19" s="14">
        <v>233580</v>
      </c>
      <c r="H19" s="14">
        <v>550175</v>
      </c>
      <c r="I19" s="14">
        <v>56680</v>
      </c>
      <c r="J19" s="30">
        <f t="shared" si="0"/>
        <v>840435</v>
      </c>
      <c r="K19" s="30">
        <v>176250</v>
      </c>
      <c r="L19" s="30">
        <v>299585</v>
      </c>
      <c r="M19" s="30">
        <f t="shared" si="1"/>
        <v>475835</v>
      </c>
      <c r="N19" s="30">
        <f t="shared" si="2"/>
        <v>3392415</v>
      </c>
      <c r="O19" s="9"/>
      <c r="P19" s="14"/>
    </row>
    <row r="20" spans="1:16" x14ac:dyDescent="0.2">
      <c r="A20" t="s">
        <v>26</v>
      </c>
      <c r="B20" s="14">
        <v>446220</v>
      </c>
      <c r="C20" s="14">
        <v>207480</v>
      </c>
      <c r="D20" s="14">
        <v>1862630</v>
      </c>
      <c r="E20" s="14">
        <v>36250</v>
      </c>
      <c r="F20" s="14">
        <f t="shared" si="3"/>
        <v>2552580</v>
      </c>
      <c r="G20" s="14">
        <v>261000</v>
      </c>
      <c r="H20" s="14">
        <v>605570</v>
      </c>
      <c r="I20" s="14">
        <v>51660</v>
      </c>
      <c r="J20" s="30">
        <f t="shared" si="0"/>
        <v>918230</v>
      </c>
      <c r="K20" s="30">
        <v>291180</v>
      </c>
      <c r="L20" s="30">
        <v>485465</v>
      </c>
      <c r="M20" s="30">
        <f t="shared" si="1"/>
        <v>776645</v>
      </c>
      <c r="N20" s="30">
        <f t="shared" si="2"/>
        <v>4247455</v>
      </c>
      <c r="O20" s="9"/>
      <c r="P20" s="14"/>
    </row>
    <row r="21" spans="1:16" x14ac:dyDescent="0.2">
      <c r="A21" t="s">
        <v>27</v>
      </c>
      <c r="B21" s="14">
        <v>483360</v>
      </c>
      <c r="C21" s="14">
        <v>193590</v>
      </c>
      <c r="D21" s="14">
        <v>1414880</v>
      </c>
      <c r="E21" s="14">
        <v>30800</v>
      </c>
      <c r="F21" s="14">
        <f t="shared" si="3"/>
        <v>2122630</v>
      </c>
      <c r="G21" s="14">
        <v>201880</v>
      </c>
      <c r="H21" s="14">
        <v>540000</v>
      </c>
      <c r="I21" s="14">
        <v>43000</v>
      </c>
      <c r="J21" s="30">
        <f t="shared" si="0"/>
        <v>784880</v>
      </c>
      <c r="K21" s="30">
        <v>206925</v>
      </c>
      <c r="L21" s="30">
        <v>347040</v>
      </c>
      <c r="M21" s="30">
        <f t="shared" si="1"/>
        <v>553965</v>
      </c>
      <c r="N21" s="30">
        <f t="shared" si="2"/>
        <v>3461475</v>
      </c>
      <c r="O21" s="9"/>
      <c r="P21" s="14"/>
    </row>
    <row r="22" spans="1:16" x14ac:dyDescent="0.2">
      <c r="A22" t="s">
        <v>32</v>
      </c>
      <c r="B22" s="14">
        <v>449805</v>
      </c>
      <c r="C22" s="14">
        <v>236160</v>
      </c>
      <c r="D22" s="14">
        <v>1433770</v>
      </c>
      <c r="E22" s="14">
        <v>32550</v>
      </c>
      <c r="F22" s="14">
        <f t="shared" si="3"/>
        <v>2152285</v>
      </c>
      <c r="G22" s="14">
        <v>195210</v>
      </c>
      <c r="H22" s="14">
        <v>689000</v>
      </c>
      <c r="I22" s="14">
        <v>37950</v>
      </c>
      <c r="J22" s="30">
        <f t="shared" si="0"/>
        <v>922160</v>
      </c>
      <c r="K22" s="30">
        <v>219260</v>
      </c>
      <c r="L22" s="30">
        <v>367500</v>
      </c>
      <c r="M22" s="30">
        <f t="shared" si="1"/>
        <v>586760</v>
      </c>
      <c r="N22" s="30">
        <f t="shared" si="2"/>
        <v>3661205</v>
      </c>
      <c r="O22" s="9"/>
      <c r="P22" s="14"/>
    </row>
    <row r="23" spans="1:16" x14ac:dyDescent="0.2">
      <c r="A23" t="s">
        <v>28</v>
      </c>
      <c r="B23" s="14">
        <v>372490</v>
      </c>
      <c r="C23" s="14">
        <v>228060</v>
      </c>
      <c r="D23" s="14">
        <v>1333830</v>
      </c>
      <c r="E23" s="14">
        <v>30450</v>
      </c>
      <c r="F23" s="14">
        <f t="shared" si="3"/>
        <v>1964830</v>
      </c>
      <c r="G23" s="14">
        <v>184800</v>
      </c>
      <c r="H23" s="14">
        <v>822150</v>
      </c>
      <c r="I23" s="14">
        <v>46710</v>
      </c>
      <c r="J23" s="30">
        <f t="shared" si="0"/>
        <v>1053660</v>
      </c>
      <c r="K23" s="30">
        <v>191250</v>
      </c>
      <c r="L23" s="30">
        <v>329640</v>
      </c>
      <c r="M23" s="30">
        <f t="shared" si="1"/>
        <v>520890</v>
      </c>
      <c r="N23" s="30">
        <f t="shared" si="2"/>
        <v>3539380</v>
      </c>
      <c r="O23" s="9"/>
      <c r="P23" s="14"/>
    </row>
    <row r="24" spans="1:16" x14ac:dyDescent="0.2">
      <c r="A24" t="s">
        <v>60</v>
      </c>
      <c r="B24" s="14">
        <v>432415</v>
      </c>
      <c r="C24" s="14">
        <v>233100</v>
      </c>
      <c r="D24" s="14">
        <v>1511655</v>
      </c>
      <c r="E24" s="14">
        <v>28175</v>
      </c>
      <c r="F24" s="14">
        <f t="shared" si="3"/>
        <v>2205345</v>
      </c>
      <c r="G24" s="14">
        <v>159750</v>
      </c>
      <c r="H24" s="14">
        <v>917900</v>
      </c>
      <c r="I24" s="14">
        <v>62040</v>
      </c>
      <c r="J24" s="30">
        <f t="shared" si="0"/>
        <v>1139690</v>
      </c>
      <c r="K24" s="30">
        <v>221250</v>
      </c>
      <c r="L24" s="30">
        <v>397155</v>
      </c>
      <c r="M24" s="30">
        <f t="shared" si="1"/>
        <v>618405</v>
      </c>
      <c r="N24" s="30">
        <f t="shared" si="2"/>
        <v>3963440</v>
      </c>
      <c r="O24" s="9"/>
      <c r="P24" s="14"/>
    </row>
    <row r="25" spans="1:16" x14ac:dyDescent="0.2">
      <c r="A25" t="s">
        <v>61</v>
      </c>
      <c r="B25" s="14">
        <v>448050</v>
      </c>
      <c r="C25" s="14">
        <v>260380</v>
      </c>
      <c r="D25" s="14">
        <v>1400800</v>
      </c>
      <c r="E25" s="14">
        <v>25300</v>
      </c>
      <c r="F25" s="14">
        <f t="shared" si="3"/>
        <v>2134530</v>
      </c>
      <c r="G25" s="14">
        <v>189600</v>
      </c>
      <c r="H25" s="14">
        <v>926800</v>
      </c>
      <c r="I25" s="14">
        <v>61600</v>
      </c>
      <c r="J25" s="30">
        <f t="shared" si="0"/>
        <v>1178000</v>
      </c>
      <c r="K25" s="30">
        <v>218120</v>
      </c>
      <c r="L25" s="30">
        <v>298840</v>
      </c>
      <c r="M25" s="30">
        <f t="shared" si="1"/>
        <v>516960</v>
      </c>
      <c r="N25" s="30">
        <f t="shared" si="2"/>
        <v>3829490</v>
      </c>
      <c r="O25" s="9"/>
      <c r="P25" s="14"/>
    </row>
    <row r="26" spans="1:16" x14ac:dyDescent="0.2">
      <c r="A26" s="7">
        <v>2000</v>
      </c>
      <c r="B26" s="14">
        <v>271180</v>
      </c>
      <c r="C26" s="14">
        <v>213710</v>
      </c>
      <c r="D26" s="14">
        <v>1328400</v>
      </c>
      <c r="E26" s="14">
        <v>29500</v>
      </c>
      <c r="F26" s="14">
        <f t="shared" si="3"/>
        <v>1842790</v>
      </c>
      <c r="G26" s="14">
        <v>120600</v>
      </c>
      <c r="H26" s="14">
        <v>698500</v>
      </c>
      <c r="I26" s="14">
        <v>54990</v>
      </c>
      <c r="J26" s="30">
        <f t="shared" si="0"/>
        <v>874090</v>
      </c>
      <c r="K26" s="30">
        <v>210375</v>
      </c>
      <c r="L26" s="30">
        <v>338250</v>
      </c>
      <c r="M26" s="30">
        <f t="shared" si="1"/>
        <v>548625</v>
      </c>
      <c r="N26" s="30">
        <f t="shared" si="2"/>
        <v>3265505</v>
      </c>
      <c r="O26" s="9"/>
      <c r="P26" s="14"/>
    </row>
    <row r="27" spans="1:16" x14ac:dyDescent="0.2">
      <c r="A27" s="7">
        <v>2001</v>
      </c>
      <c r="B27" s="14">
        <v>532325</v>
      </c>
      <c r="C27" s="14">
        <v>250100</v>
      </c>
      <c r="D27" s="14">
        <v>1711620</v>
      </c>
      <c r="E27" s="14">
        <v>30600</v>
      </c>
      <c r="F27" s="14">
        <f t="shared" si="3"/>
        <v>2524645</v>
      </c>
      <c r="G27" s="14">
        <v>197890</v>
      </c>
      <c r="H27" s="14">
        <v>895900</v>
      </c>
      <c r="I27" s="14">
        <v>67044</v>
      </c>
      <c r="J27" s="30">
        <f t="shared" si="0"/>
        <v>1160834</v>
      </c>
      <c r="K27" s="30">
        <v>234750</v>
      </c>
      <c r="L27" s="30">
        <v>356475</v>
      </c>
      <c r="M27" s="30">
        <f t="shared" si="1"/>
        <v>591225</v>
      </c>
      <c r="N27" s="30">
        <f t="shared" si="2"/>
        <v>4276704</v>
      </c>
      <c r="O27" s="9"/>
      <c r="P27" s="14"/>
    </row>
    <row r="28" spans="1:16" x14ac:dyDescent="0.2">
      <c r="A28" s="7">
        <v>2002</v>
      </c>
      <c r="B28" s="30">
        <v>379800</v>
      </c>
      <c r="C28" s="30">
        <v>197800</v>
      </c>
      <c r="D28" s="30">
        <v>1313000</v>
      </c>
      <c r="E28" s="30">
        <v>19140</v>
      </c>
      <c r="F28" s="30">
        <f t="shared" si="3"/>
        <v>1909740</v>
      </c>
      <c r="G28" s="30">
        <v>159600</v>
      </c>
      <c r="H28" s="30">
        <v>868000</v>
      </c>
      <c r="I28" s="30">
        <v>54000</v>
      </c>
      <c r="J28" s="30">
        <f t="shared" si="0"/>
        <v>1081600</v>
      </c>
      <c r="K28" s="30">
        <v>119700</v>
      </c>
      <c r="L28" s="30">
        <v>210000</v>
      </c>
      <c r="M28" s="30">
        <f t="shared" si="1"/>
        <v>329700</v>
      </c>
      <c r="N28" s="30">
        <f t="shared" si="2"/>
        <v>3321040</v>
      </c>
      <c r="O28" s="9"/>
      <c r="P28" s="14"/>
    </row>
    <row r="29" spans="1:16" x14ac:dyDescent="0.2">
      <c r="A29" s="7">
        <v>2003</v>
      </c>
      <c r="B29" s="30">
        <v>508750</v>
      </c>
      <c r="C29" s="30">
        <v>345000</v>
      </c>
      <c r="D29" s="30">
        <v>1863000</v>
      </c>
      <c r="E29" s="30">
        <v>57800</v>
      </c>
      <c r="F29" s="30">
        <f>SUM(B29:E29)</f>
        <v>2774550</v>
      </c>
      <c r="G29" s="30">
        <v>98000</v>
      </c>
      <c r="H29" s="30">
        <v>810000</v>
      </c>
      <c r="I29" s="30">
        <v>45900</v>
      </c>
      <c r="J29" s="30">
        <f t="shared" si="0"/>
        <v>953900</v>
      </c>
      <c r="K29" s="30">
        <v>95700</v>
      </c>
      <c r="L29" s="30">
        <v>320000</v>
      </c>
      <c r="M29" s="30">
        <f t="shared" si="1"/>
        <v>415700</v>
      </c>
      <c r="N29" s="30">
        <f t="shared" si="2"/>
        <v>4144150</v>
      </c>
      <c r="O29" s="9"/>
      <c r="P29" s="14"/>
    </row>
    <row r="30" spans="1:16" x14ac:dyDescent="0.2">
      <c r="A30" s="7">
        <v>2004</v>
      </c>
      <c r="B30" s="30">
        <v>557200</v>
      </c>
      <c r="C30" s="30">
        <v>364000</v>
      </c>
      <c r="D30" s="30">
        <v>1817800</v>
      </c>
      <c r="E30" s="30">
        <v>112200</v>
      </c>
      <c r="F30" s="30">
        <f>SUM(B30:E30)</f>
        <v>2851200</v>
      </c>
      <c r="G30" s="30">
        <v>102300</v>
      </c>
      <c r="H30" s="30">
        <v>803700</v>
      </c>
      <c r="I30" s="30">
        <v>59500</v>
      </c>
      <c r="J30" s="30">
        <f t="shared" si="0"/>
        <v>965500</v>
      </c>
      <c r="K30" s="30">
        <v>104000</v>
      </c>
      <c r="L30" s="30">
        <v>367500</v>
      </c>
      <c r="M30" s="30">
        <f t="shared" si="1"/>
        <v>471500</v>
      </c>
      <c r="N30" s="30">
        <f t="shared" si="2"/>
        <v>4288200</v>
      </c>
      <c r="O30" s="9"/>
      <c r="P30" s="14"/>
    </row>
    <row r="31" spans="1:16" x14ac:dyDescent="0.2">
      <c r="A31" s="29">
        <v>2005</v>
      </c>
      <c r="B31" s="30">
        <v>613250</v>
      </c>
      <c r="C31" s="30">
        <v>410400</v>
      </c>
      <c r="D31" s="30">
        <v>2130000</v>
      </c>
      <c r="E31" s="30">
        <v>168000</v>
      </c>
      <c r="F31" s="30">
        <f>SUM(B31:E31)+44800</f>
        <v>3366450</v>
      </c>
      <c r="G31" s="30">
        <v>107910</v>
      </c>
      <c r="H31" s="30">
        <v>975000</v>
      </c>
      <c r="I31" s="30">
        <v>66500</v>
      </c>
      <c r="J31" s="30">
        <f t="shared" si="0"/>
        <v>1149410</v>
      </c>
      <c r="K31" s="30">
        <v>66000</v>
      </c>
      <c r="L31" s="30">
        <v>288000</v>
      </c>
      <c r="M31" s="30">
        <f t="shared" si="1"/>
        <v>354000</v>
      </c>
      <c r="N31" s="30">
        <f t="shared" si="2"/>
        <v>4869860</v>
      </c>
      <c r="O31" s="9"/>
      <c r="P31" s="14"/>
    </row>
    <row r="32" spans="1:16" x14ac:dyDescent="0.2">
      <c r="A32" s="29">
        <v>2006</v>
      </c>
      <c r="B32" s="30">
        <v>407500</v>
      </c>
      <c r="C32" s="30">
        <v>300000</v>
      </c>
      <c r="D32" s="30">
        <v>1598500</v>
      </c>
      <c r="E32" s="30">
        <v>168000</v>
      </c>
      <c r="F32" s="30">
        <f>SUM(B32:E32)+46400</f>
        <v>2520400</v>
      </c>
      <c r="G32" s="30">
        <v>62700</v>
      </c>
      <c r="H32" s="30">
        <v>514750</v>
      </c>
      <c r="I32" s="30">
        <v>43200</v>
      </c>
      <c r="J32" s="30">
        <f t="shared" si="0"/>
        <v>620650</v>
      </c>
      <c r="K32" s="30">
        <v>54400</v>
      </c>
      <c r="L32" s="30">
        <v>268800</v>
      </c>
      <c r="M32" s="30">
        <f t="shared" si="1"/>
        <v>323200</v>
      </c>
      <c r="N32" s="30">
        <f t="shared" si="2"/>
        <v>3464250</v>
      </c>
      <c r="O32" s="9"/>
      <c r="P32" s="14"/>
    </row>
    <row r="33" spans="1:28" x14ac:dyDescent="0.2">
      <c r="A33" s="29">
        <v>2007</v>
      </c>
      <c r="B33" s="30">
        <v>400350</v>
      </c>
      <c r="C33" s="30">
        <v>321300</v>
      </c>
      <c r="D33" s="30">
        <v>1622400</v>
      </c>
      <c r="E33" s="30">
        <v>173600</v>
      </c>
      <c r="F33" s="30">
        <f>SUM(B33:E33)+59400</f>
        <v>2577050</v>
      </c>
      <c r="G33" s="30">
        <v>57800</v>
      </c>
      <c r="H33" s="30">
        <v>691900</v>
      </c>
      <c r="I33" s="30">
        <v>32000</v>
      </c>
      <c r="J33" s="30">
        <f t="shared" si="0"/>
        <v>781700</v>
      </c>
      <c r="K33" s="30">
        <v>52500</v>
      </c>
      <c r="L33" s="30">
        <v>261000</v>
      </c>
      <c r="M33" s="30">
        <f t="shared" si="1"/>
        <v>313500</v>
      </c>
      <c r="N33" s="30">
        <f t="shared" si="2"/>
        <v>3672250</v>
      </c>
      <c r="O33" s="9"/>
      <c r="P33" s="14"/>
    </row>
    <row r="34" spans="1:28" x14ac:dyDescent="0.2">
      <c r="A34" s="29">
        <v>2008</v>
      </c>
      <c r="B34" s="30">
        <v>675500</v>
      </c>
      <c r="C34" s="30">
        <v>448000</v>
      </c>
      <c r="D34" s="30">
        <v>2329000</v>
      </c>
      <c r="E34" s="30">
        <v>265200</v>
      </c>
      <c r="F34" s="30">
        <f>SUM(B34:E34)+81900</f>
        <v>3799600</v>
      </c>
      <c r="G34" s="30">
        <v>63000</v>
      </c>
      <c r="H34" s="30">
        <v>834900</v>
      </c>
      <c r="I34" s="30">
        <v>25600</v>
      </c>
      <c r="J34" s="30">
        <f t="shared" si="0"/>
        <v>923500</v>
      </c>
      <c r="K34" s="30">
        <v>80400</v>
      </c>
      <c r="L34" s="30">
        <v>358900</v>
      </c>
      <c r="M34" s="30">
        <f t="shared" si="1"/>
        <v>439300</v>
      </c>
      <c r="N34" s="30">
        <f t="shared" si="2"/>
        <v>5162400</v>
      </c>
      <c r="O34" s="9"/>
      <c r="P34" s="14"/>
    </row>
    <row r="35" spans="1:28" x14ac:dyDescent="0.2">
      <c r="A35" s="29">
        <v>2009</v>
      </c>
      <c r="B35" s="30">
        <v>495000</v>
      </c>
      <c r="C35" s="30">
        <v>336000</v>
      </c>
      <c r="D35" s="30">
        <v>1797800</v>
      </c>
      <c r="E35" s="30">
        <v>148800</v>
      </c>
      <c r="F35" s="30">
        <f>SUM(B35:E35)+54000</f>
        <v>2831600</v>
      </c>
      <c r="G35" s="30">
        <v>42900</v>
      </c>
      <c r="H35" s="30">
        <v>506850</v>
      </c>
      <c r="I35" s="30">
        <v>21700</v>
      </c>
      <c r="J35" s="30">
        <f t="shared" si="0"/>
        <v>571450</v>
      </c>
      <c r="K35" s="30">
        <v>44400</v>
      </c>
      <c r="L35" s="30">
        <v>244200</v>
      </c>
      <c r="M35" s="30">
        <f t="shared" si="1"/>
        <v>288600</v>
      </c>
      <c r="N35" s="30">
        <f t="shared" si="2"/>
        <v>3691650</v>
      </c>
      <c r="O35" s="9"/>
      <c r="P35" s="14"/>
    </row>
    <row r="36" spans="1:28" x14ac:dyDescent="0.2">
      <c r="A36" s="29">
        <v>2010</v>
      </c>
      <c r="B36" s="30">
        <v>481000</v>
      </c>
      <c r="C36" s="30">
        <v>472500</v>
      </c>
      <c r="D36" s="30">
        <v>1959150</v>
      </c>
      <c r="E36" s="30">
        <v>224000</v>
      </c>
      <c r="F36" s="30">
        <f>SUM(B36:E36)+63000</f>
        <v>3199650</v>
      </c>
      <c r="G36" s="30">
        <v>70350</v>
      </c>
      <c r="H36" s="30">
        <v>586800</v>
      </c>
      <c r="I36" s="30">
        <v>34000</v>
      </c>
      <c r="J36" s="30">
        <f t="shared" si="0"/>
        <v>691150</v>
      </c>
      <c r="K36" s="30">
        <v>33840</v>
      </c>
      <c r="L36" s="30">
        <v>232200</v>
      </c>
      <c r="M36" s="30">
        <f t="shared" si="1"/>
        <v>266040</v>
      </c>
      <c r="N36" s="30">
        <f t="shared" si="2"/>
        <v>4156840</v>
      </c>
      <c r="O36" s="9"/>
      <c r="P36" s="14"/>
    </row>
    <row r="37" spans="1:28" x14ac:dyDescent="0.2">
      <c r="A37" s="29">
        <v>2011</v>
      </c>
      <c r="B37" s="30">
        <v>489700</v>
      </c>
      <c r="C37" s="30">
        <v>549500</v>
      </c>
      <c r="D37" s="30">
        <v>1645750</v>
      </c>
      <c r="E37" s="30">
        <v>240900</v>
      </c>
      <c r="F37" s="30">
        <f>SUM(B37:E37)+56000</f>
        <v>2981850</v>
      </c>
      <c r="G37" s="30">
        <v>54600</v>
      </c>
      <c r="H37" s="30">
        <v>249240</v>
      </c>
      <c r="I37" s="30">
        <v>19800</v>
      </c>
      <c r="J37" s="30">
        <f t="shared" si="0"/>
        <v>323640</v>
      </c>
      <c r="K37" s="30">
        <v>61500</v>
      </c>
      <c r="L37" s="30">
        <v>291600</v>
      </c>
      <c r="M37" s="30">
        <f t="shared" si="1"/>
        <v>353100</v>
      </c>
      <c r="N37" s="30">
        <f t="shared" si="2"/>
        <v>3658590</v>
      </c>
      <c r="O37" s="9"/>
      <c r="P37" s="14"/>
    </row>
    <row r="38" spans="1:28" x14ac:dyDescent="0.2">
      <c r="A38" s="29">
        <v>2012</v>
      </c>
      <c r="B38" s="30">
        <v>876000</v>
      </c>
      <c r="C38" s="30">
        <v>760500</v>
      </c>
      <c r="D38" s="30">
        <v>3343400</v>
      </c>
      <c r="E38" s="30">
        <v>417300</v>
      </c>
      <c r="F38" s="30">
        <f>SUM(B38:E38)+215600</f>
        <v>5612800</v>
      </c>
      <c r="G38" s="30">
        <v>80300</v>
      </c>
      <c r="H38" s="30">
        <v>525600</v>
      </c>
      <c r="I38" s="30">
        <v>26000</v>
      </c>
      <c r="J38" s="30">
        <f t="shared" si="0"/>
        <v>631900</v>
      </c>
      <c r="K38" s="30">
        <v>82000</v>
      </c>
      <c r="L38" s="30">
        <v>427180</v>
      </c>
      <c r="M38" s="30">
        <f t="shared" si="1"/>
        <v>509180</v>
      </c>
      <c r="N38" s="30">
        <f t="shared" si="2"/>
        <v>6753880</v>
      </c>
      <c r="O38" s="9"/>
      <c r="P38" s="14"/>
    </row>
    <row r="39" spans="1:28" x14ac:dyDescent="0.2">
      <c r="A39" s="29">
        <v>2013</v>
      </c>
      <c r="B39" s="30">
        <v>489900</v>
      </c>
      <c r="C39" s="30">
        <v>517450</v>
      </c>
      <c r="D39" s="30">
        <v>1887180</v>
      </c>
      <c r="E39" s="30">
        <v>273000</v>
      </c>
      <c r="F39" s="30">
        <f>SUM(B39:E39)+122100</f>
        <v>3289630</v>
      </c>
      <c r="G39" s="30">
        <v>59200</v>
      </c>
      <c r="H39" s="30">
        <v>423540</v>
      </c>
      <c r="I39" s="30">
        <v>21700</v>
      </c>
      <c r="J39" s="30">
        <f t="shared" si="0"/>
        <v>504440</v>
      </c>
      <c r="K39" s="30">
        <v>63200</v>
      </c>
      <c r="L39" s="30">
        <v>315900</v>
      </c>
      <c r="M39" s="30">
        <f t="shared" si="1"/>
        <v>379100</v>
      </c>
      <c r="N39" s="30">
        <f t="shared" si="2"/>
        <v>4173170</v>
      </c>
      <c r="O39" s="9"/>
      <c r="P39" s="14"/>
    </row>
    <row r="40" spans="1:28" x14ac:dyDescent="0.2">
      <c r="A40" s="29">
        <v>2014</v>
      </c>
      <c r="B40" s="30">
        <v>544950</v>
      </c>
      <c r="C40" s="30">
        <v>668000</v>
      </c>
      <c r="D40" s="30">
        <v>2435515</v>
      </c>
      <c r="E40" s="30">
        <v>410400</v>
      </c>
      <c r="F40" s="30">
        <f>SUM(B40:E40)+124000</f>
        <v>4182865</v>
      </c>
      <c r="G40" s="30">
        <v>44000</v>
      </c>
      <c r="H40" s="30">
        <v>459740</v>
      </c>
      <c r="I40" s="30">
        <v>15750</v>
      </c>
      <c r="J40" s="30">
        <f t="shared" si="0"/>
        <v>519490</v>
      </c>
      <c r="K40" s="30">
        <v>84550</v>
      </c>
      <c r="L40" s="30">
        <v>401760</v>
      </c>
      <c r="M40" s="30">
        <f t="shared" si="1"/>
        <v>486310</v>
      </c>
      <c r="N40" s="30">
        <f t="shared" si="2"/>
        <v>5188665</v>
      </c>
      <c r="O40" s="9"/>
      <c r="P40" s="14"/>
    </row>
    <row r="41" spans="1:28" x14ac:dyDescent="0.2">
      <c r="A41" s="29">
        <v>2015</v>
      </c>
      <c r="B41" s="30">
        <v>637000</v>
      </c>
      <c r="C41" s="30">
        <v>648000</v>
      </c>
      <c r="D41" s="30">
        <v>3364410</v>
      </c>
      <c r="E41" s="30">
        <v>262400</v>
      </c>
      <c r="F41" s="30">
        <f>SUM(B41:E41)+143500</f>
        <v>5055310</v>
      </c>
      <c r="G41" s="30">
        <v>30600</v>
      </c>
      <c r="H41" s="30">
        <v>528000</v>
      </c>
      <c r="I41" s="30">
        <v>15337</v>
      </c>
      <c r="J41" s="30">
        <f>SUM(G41:I41)</f>
        <v>573937</v>
      </c>
      <c r="K41" s="30">
        <v>69350</v>
      </c>
      <c r="L41" s="30">
        <v>302760</v>
      </c>
      <c r="M41" s="30">
        <f t="shared" ref="M41:M42" si="4">SUM(K41:L41)</f>
        <v>372110</v>
      </c>
      <c r="N41" s="30">
        <f t="shared" si="2"/>
        <v>6001357</v>
      </c>
      <c r="O41" s="9"/>
      <c r="P41" s="14"/>
    </row>
    <row r="42" spans="1:28" x14ac:dyDescent="0.2">
      <c r="A42" s="29">
        <v>2016</v>
      </c>
      <c r="B42" s="30">
        <v>619200</v>
      </c>
      <c r="C42" s="30">
        <v>554800</v>
      </c>
      <c r="D42" s="30">
        <v>2753400</v>
      </c>
      <c r="E42" s="30">
        <v>339200</v>
      </c>
      <c r="F42" s="30">
        <f>SUM(B42:E42)+152000</f>
        <v>4418600</v>
      </c>
      <c r="G42" s="30">
        <v>44400</v>
      </c>
      <c r="H42" s="30">
        <v>559650</v>
      </c>
      <c r="I42" s="30">
        <v>22400</v>
      </c>
      <c r="J42" s="30">
        <f>SUM(G42:I42)+110400</f>
        <v>736850</v>
      </c>
      <c r="K42" s="30">
        <v>76650</v>
      </c>
      <c r="L42" s="30">
        <v>349470</v>
      </c>
      <c r="M42" s="30">
        <f t="shared" si="4"/>
        <v>426120</v>
      </c>
      <c r="N42" s="30">
        <f t="shared" si="2"/>
        <v>5581570</v>
      </c>
      <c r="O42" s="9"/>
      <c r="P42" s="14"/>
    </row>
    <row r="43" spans="1:28" x14ac:dyDescent="0.2">
      <c r="A43" s="7">
        <v>2017</v>
      </c>
      <c r="B43" s="14">
        <v>704450</v>
      </c>
      <c r="C43" s="14">
        <v>638250</v>
      </c>
      <c r="D43" s="14">
        <v>3572250</v>
      </c>
      <c r="E43" s="14">
        <v>472000</v>
      </c>
      <c r="F43" s="14">
        <f>SUM(B43:E43)+172000</f>
        <v>5558950</v>
      </c>
      <c r="G43" s="14">
        <v>79380</v>
      </c>
      <c r="H43" s="14">
        <v>697200</v>
      </c>
      <c r="I43" s="14">
        <v>26600</v>
      </c>
      <c r="J43" s="14">
        <f>SUM(G43:I43)+153700</f>
        <v>956880</v>
      </c>
      <c r="K43" s="14">
        <v>119880</v>
      </c>
      <c r="L43" s="14">
        <v>479700</v>
      </c>
      <c r="M43" s="14">
        <v>599580</v>
      </c>
      <c r="N43" s="14">
        <f t="shared" si="2"/>
        <v>7115410</v>
      </c>
      <c r="O43" s="9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1:28" x14ac:dyDescent="0.2">
      <c r="A44" s="7">
        <v>2018</v>
      </c>
      <c r="B44" s="14">
        <v>571550</v>
      </c>
      <c r="C44" s="14">
        <v>564850</v>
      </c>
      <c r="D44" s="14">
        <v>2875450</v>
      </c>
      <c r="E44" s="14">
        <v>272000</v>
      </c>
      <c r="F44" s="14">
        <f>SUM(B44:E44)+93600</f>
        <v>4377450</v>
      </c>
      <c r="G44" s="14">
        <v>46050</v>
      </c>
      <c r="H44" s="14">
        <v>464000</v>
      </c>
      <c r="I44" s="14">
        <v>15675</v>
      </c>
      <c r="J44" s="14">
        <f>SUM(G44:I44)+112700</f>
        <v>638425</v>
      </c>
      <c r="K44" s="14">
        <v>100800</v>
      </c>
      <c r="L44" s="14">
        <v>379260</v>
      </c>
      <c r="M44" s="14">
        <v>480060</v>
      </c>
      <c r="N44" s="14">
        <f t="shared" si="2"/>
        <v>5495935</v>
      </c>
      <c r="O44" s="9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1:28" x14ac:dyDescent="0.2">
      <c r="A45" s="7">
        <v>2019</v>
      </c>
      <c r="B45" s="14">
        <v>522600</v>
      </c>
      <c r="C45" s="14">
        <v>589000</v>
      </c>
      <c r="D45" s="14">
        <v>2752200</v>
      </c>
      <c r="E45" s="14">
        <v>235600</v>
      </c>
      <c r="F45" s="14">
        <f>SUM(B45:E45)+76000</f>
        <v>4175400</v>
      </c>
      <c r="G45" s="14">
        <v>56000</v>
      </c>
      <c r="H45" s="14">
        <v>488000</v>
      </c>
      <c r="I45" s="14">
        <v>15087</v>
      </c>
      <c r="J45" s="14">
        <f>SUM(G45:I45)+171600</f>
        <v>730687</v>
      </c>
      <c r="K45" s="14">
        <v>111600</v>
      </c>
      <c r="L45" s="14">
        <v>448800</v>
      </c>
      <c r="M45" s="14">
        <v>560400</v>
      </c>
      <c r="N45" s="14">
        <f>F45+J45+M45</f>
        <v>5466487</v>
      </c>
      <c r="O45" s="9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1:28" x14ac:dyDescent="0.2">
      <c r="A46" s="7">
        <v>2020</v>
      </c>
      <c r="B46" s="14">
        <v>622200</v>
      </c>
      <c r="C46" s="14">
        <v>564400</v>
      </c>
      <c r="D46" s="14">
        <v>3316600</v>
      </c>
      <c r="E46" s="14">
        <v>296000</v>
      </c>
      <c r="F46" s="14">
        <f>SUM(B46:E46)+96800</f>
        <v>4896000</v>
      </c>
      <c r="G46" s="14">
        <v>59080</v>
      </c>
      <c r="H46" s="14">
        <v>484500</v>
      </c>
      <c r="I46" s="14">
        <v>14820</v>
      </c>
      <c r="J46" s="14">
        <f>SUM(G46:I46)+182400</f>
        <v>740800</v>
      </c>
      <c r="K46" s="14">
        <v>112050</v>
      </c>
      <c r="L46" s="14">
        <v>409500</v>
      </c>
      <c r="M46" s="14">
        <v>521550</v>
      </c>
      <c r="N46" s="14">
        <f>F46+J46+M46</f>
        <v>6158350</v>
      </c>
      <c r="O46" s="9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1:28" x14ac:dyDescent="0.2">
      <c r="A47" s="7">
        <v>2021</v>
      </c>
      <c r="B47" s="14">
        <v>609700</v>
      </c>
      <c r="C47" s="14">
        <v>584600</v>
      </c>
      <c r="D47" s="14">
        <v>3337500</v>
      </c>
      <c r="E47" s="14">
        <v>277200</v>
      </c>
      <c r="F47" s="14">
        <f>SUM(B47:E47)+69700</f>
        <v>4878700</v>
      </c>
      <c r="G47" s="14">
        <v>66750</v>
      </c>
      <c r="H47" s="14">
        <v>578340</v>
      </c>
      <c r="I47" s="14">
        <v>25641</v>
      </c>
      <c r="J47" s="14">
        <f>SUM(G47:I47)+175000</f>
        <v>845731</v>
      </c>
      <c r="K47" s="14">
        <v>141000</v>
      </c>
      <c r="L47" s="14">
        <v>495900</v>
      </c>
      <c r="M47" s="14">
        <v>636900</v>
      </c>
      <c r="N47" s="14">
        <f>F47+J47+M47</f>
        <v>6361331</v>
      </c>
      <c r="O47" s="9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1:28" x14ac:dyDescent="0.2">
      <c r="A48" s="8">
        <v>2022</v>
      </c>
      <c r="B48" s="90">
        <v>558900</v>
      </c>
      <c r="C48" s="90">
        <v>553800</v>
      </c>
      <c r="D48" s="90">
        <v>2890000</v>
      </c>
      <c r="E48" s="90">
        <v>285600</v>
      </c>
      <c r="F48" s="90">
        <f>SUM(B48:E48)+63000</f>
        <v>4351300</v>
      </c>
      <c r="G48" s="90">
        <v>62050</v>
      </c>
      <c r="H48" s="90">
        <v>336000</v>
      </c>
      <c r="I48" s="90">
        <v>16000</v>
      </c>
      <c r="J48" s="14">
        <f>SUM(G48:I48)+166400</f>
        <v>580450</v>
      </c>
      <c r="K48" s="90">
        <v>126000</v>
      </c>
      <c r="L48" s="90">
        <v>510400</v>
      </c>
      <c r="M48" s="90">
        <v>636400</v>
      </c>
      <c r="N48" s="90">
        <f>F48+J48+M48</f>
        <v>5568150</v>
      </c>
      <c r="O48" s="9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1:16" x14ac:dyDescent="0.2">
      <c r="A49" s="7" t="s">
        <v>167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3"/>
      <c r="O49" s="17"/>
    </row>
    <row r="50" spans="1:16" x14ac:dyDescent="0.2">
      <c r="A50" s="15" t="s">
        <v>111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9"/>
      <c r="P50" s="14"/>
    </row>
    <row r="51" spans="1:16" x14ac:dyDescent="0.2">
      <c r="A51" t="s">
        <v>183</v>
      </c>
      <c r="O51" s="9"/>
    </row>
    <row r="52" spans="1:16" x14ac:dyDescent="0.2">
      <c r="N52" s="51" t="s">
        <v>178</v>
      </c>
      <c r="O52" s="9"/>
    </row>
    <row r="53" spans="1:16" x14ac:dyDescent="0.2">
      <c r="O53" s="9"/>
    </row>
  </sheetData>
  <pageMargins left="0.7" right="0.7" top="0.75" bottom="0.75" header="0.3" footer="0.3"/>
  <pageSetup scale="89" firstPageNumber="15" orientation="portrait" useFirstPageNumber="1" r:id="rId1"/>
  <headerFooter alignWithMargins="0">
    <oddFooter>&amp;C&amp;P
Oil Crops Yearbook/OCS-2020
March 2020
Economic Research Service, USDA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39A9-73D8-46D6-85D4-BA3A04546CD8}">
  <sheetPr>
    <pageSetUpPr fitToPage="1"/>
  </sheetPr>
  <dimension ref="A1:O52"/>
  <sheetViews>
    <sheetView zoomScaleNormal="100" zoomScaleSheetLayoutView="100" workbookViewId="0">
      <pane xSplit="1" ySplit="4" topLeftCell="B5" activePane="bottomRight" state="frozen"/>
      <selection activeCell="C57" sqref="C57"/>
      <selection pane="topRight" activeCell="C57" sqref="C57"/>
      <selection pane="bottomLeft" activeCell="C57" sqref="C57"/>
      <selection pane="bottomRight" activeCell="C57" sqref="C57"/>
    </sheetView>
  </sheetViews>
  <sheetFormatPr defaultRowHeight="10.199999999999999" x14ac:dyDescent="0.2"/>
  <cols>
    <col min="1" max="1" width="7.42578125" customWidth="1"/>
    <col min="2" max="14" width="8.42578125" customWidth="1"/>
  </cols>
  <sheetData>
    <row r="1" spans="1:15" x14ac:dyDescent="0.2">
      <c r="A1" s="28" t="s">
        <v>174</v>
      </c>
      <c r="B1" s="1"/>
      <c r="C1" s="1"/>
      <c r="D1" s="1"/>
      <c r="E1" s="1"/>
      <c r="F1" s="1"/>
      <c r="G1" s="1"/>
      <c r="H1" s="1"/>
      <c r="I1" s="1"/>
      <c r="J1" s="1"/>
      <c r="K1" s="1" t="s">
        <v>29</v>
      </c>
      <c r="L1" s="1" t="s">
        <v>29</v>
      </c>
      <c r="M1" s="1"/>
      <c r="N1" s="1" t="s">
        <v>29</v>
      </c>
    </row>
    <row r="2" spans="1:15" x14ac:dyDescent="0.2">
      <c r="A2" t="s">
        <v>58</v>
      </c>
      <c r="B2" s="61"/>
      <c r="C2" s="6"/>
      <c r="D2" s="4" t="s">
        <v>64</v>
      </c>
      <c r="E2" s="4"/>
      <c r="F2" s="60"/>
      <c r="G2" s="4"/>
      <c r="H2" s="44" t="s">
        <v>63</v>
      </c>
      <c r="I2" s="4"/>
      <c r="J2" s="60"/>
      <c r="K2" s="3"/>
      <c r="L2" s="4" t="s">
        <v>162</v>
      </c>
      <c r="M2" s="60"/>
      <c r="N2" s="5" t="s">
        <v>74</v>
      </c>
    </row>
    <row r="3" spans="1:15" x14ac:dyDescent="0.2">
      <c r="A3" s="1" t="s">
        <v>59</v>
      </c>
      <c r="B3" s="58" t="s">
        <v>65</v>
      </c>
      <c r="C3" s="6" t="s">
        <v>66</v>
      </c>
      <c r="D3" s="6" t="s">
        <v>67</v>
      </c>
      <c r="E3" s="6" t="s">
        <v>68</v>
      </c>
      <c r="F3" s="57" t="s">
        <v>78</v>
      </c>
      <c r="G3" s="6" t="s">
        <v>69</v>
      </c>
      <c r="H3" s="6" t="s">
        <v>70</v>
      </c>
      <c r="I3" s="6" t="s">
        <v>71</v>
      </c>
      <c r="J3" s="57" t="s">
        <v>110</v>
      </c>
      <c r="K3" s="6" t="s">
        <v>72</v>
      </c>
      <c r="L3" s="6" t="s">
        <v>73</v>
      </c>
      <c r="M3" s="57" t="s">
        <v>0</v>
      </c>
      <c r="N3" s="6" t="s">
        <v>75</v>
      </c>
    </row>
    <row r="4" spans="1:15" x14ac:dyDescent="0.2">
      <c r="C4" s="50"/>
      <c r="D4" s="50"/>
      <c r="E4" s="50"/>
      <c r="F4" s="50"/>
      <c r="G4" s="50"/>
      <c r="H4" s="67" t="s">
        <v>38</v>
      </c>
      <c r="I4" s="50"/>
      <c r="J4" s="50"/>
      <c r="K4" s="50"/>
      <c r="L4" s="50"/>
      <c r="M4" s="50"/>
      <c r="N4" s="50"/>
    </row>
    <row r="5" spans="1:15" x14ac:dyDescent="0.2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5" x14ac:dyDescent="0.2">
      <c r="A6" t="s">
        <v>13</v>
      </c>
      <c r="B6" s="9">
        <f>'tab 15'!B6/'tab 14'!B6</f>
        <v>1325</v>
      </c>
      <c r="C6" s="9">
        <f>'tab 15'!C6/'tab 14'!C6</f>
        <v>2580</v>
      </c>
      <c r="D6" s="9">
        <f>'tab 15'!D6/'tab 14'!D6</f>
        <v>1935</v>
      </c>
      <c r="E6" s="9">
        <f>'tab 15'!E6/'tab 14'!E6</f>
        <v>1100</v>
      </c>
      <c r="F6" s="9">
        <f>'tab 15'!F6/'tab 14'!F6</f>
        <v>1807.1863117870723</v>
      </c>
      <c r="G6" s="9">
        <f>'tab 15'!G6/'tab 14'!G6</f>
        <v>1335</v>
      </c>
      <c r="H6" s="9">
        <f>'tab 15'!H6/'tab 14'!H6</f>
        <v>1275</v>
      </c>
      <c r="I6" s="9">
        <f>'tab 15'!I6/'tab 14'!I6</f>
        <v>2540</v>
      </c>
      <c r="J6" s="9">
        <f>'tab 15'!J6/'tab 14'!J6</f>
        <v>1325.7038976148924</v>
      </c>
      <c r="K6" s="9">
        <f>'tab 15'!K6/'tab 14'!K6</f>
        <v>1350</v>
      </c>
      <c r="L6" s="9">
        <f>'tab 15'!L6/'tab 14'!L6</f>
        <v>1755</v>
      </c>
      <c r="M6" s="9">
        <f>'tab 15'!M6/'tab 14'!M6</f>
        <v>1601.7977528089887</v>
      </c>
      <c r="N6" s="9">
        <f>'tab 15'!N6/'tab 14'!N6</f>
        <v>1649.7549649949992</v>
      </c>
      <c r="O6" s="9"/>
    </row>
    <row r="7" spans="1:15" x14ac:dyDescent="0.2">
      <c r="A7" t="s">
        <v>14</v>
      </c>
      <c r="B7" s="9">
        <f>'tab 15'!B7/'tab 14'!B7</f>
        <v>2715</v>
      </c>
      <c r="C7" s="9">
        <f>'tab 15'!C7/'tab 14'!C7</f>
        <v>2970</v>
      </c>
      <c r="D7" s="9">
        <f>'tab 15'!D7/'tab 14'!D7</f>
        <v>2930</v>
      </c>
      <c r="E7" s="9">
        <f>'tab 15'!E7/'tab 14'!E7</f>
        <v>2600</v>
      </c>
      <c r="F7" s="9">
        <f>'tab 15'!F7/'tab 14'!F7</f>
        <v>2864.1763554736963</v>
      </c>
      <c r="G7" s="9">
        <f>'tab 15'!G7/'tab 14'!G7</f>
        <v>2080</v>
      </c>
      <c r="H7" s="9">
        <f>'tab 15'!H7/'tab 14'!H7</f>
        <v>1625</v>
      </c>
      <c r="I7" s="9">
        <f>'tab 15'!I7/'tab 14'!I7</f>
        <v>2490</v>
      </c>
      <c r="J7" s="9">
        <f>'tab 15'!J7/'tab 14'!J7</f>
        <v>1770.9329446064139</v>
      </c>
      <c r="K7" s="9">
        <f>'tab 15'!K7/'tab 14'!K7</f>
        <v>3150</v>
      </c>
      <c r="L7" s="9">
        <f>'tab 15'!L7/'tab 14'!L7</f>
        <v>3230</v>
      </c>
      <c r="M7" s="9">
        <f>'tab 15'!M7/'tab 14'!M7</f>
        <v>3199.6750902527074</v>
      </c>
      <c r="N7" s="9">
        <f>'tab 15'!N7/'tab 14'!N7</f>
        <v>2674.7161953382147</v>
      </c>
      <c r="O7" s="9"/>
    </row>
    <row r="8" spans="1:15" x14ac:dyDescent="0.2">
      <c r="A8" t="s">
        <v>15</v>
      </c>
      <c r="B8" s="9">
        <f>'tab 15'!B8/'tab 14'!B8</f>
        <v>2950</v>
      </c>
      <c r="C8" s="9">
        <f>'tab 15'!C8/'tab 14'!C8</f>
        <v>3000</v>
      </c>
      <c r="D8" s="9">
        <f>'tab 15'!D8/'tab 14'!D8</f>
        <v>3215</v>
      </c>
      <c r="E8" s="9">
        <f>'tab 15'!E8/'tab 14'!E8</f>
        <v>2500</v>
      </c>
      <c r="F8" s="9">
        <f>'tab 15'!F8/'tab 14'!F8</f>
        <v>3121.6713483146068</v>
      </c>
      <c r="G8" s="9">
        <f>'tab 15'!G8/'tab 14'!G8</f>
        <v>2030</v>
      </c>
      <c r="H8" s="9">
        <f>'tab 15'!H8/'tab 14'!H8</f>
        <v>1445</v>
      </c>
      <c r="I8" s="9">
        <f>'tab 15'!I8/'tab 14'!I8</f>
        <v>2425</v>
      </c>
      <c r="J8" s="9">
        <f>'tab 15'!J8/'tab 14'!J8</f>
        <v>1633.2451773490977</v>
      </c>
      <c r="K8" s="9">
        <f>'tab 15'!K8/'tab 14'!K8</f>
        <v>2900</v>
      </c>
      <c r="L8" s="9">
        <f>'tab 15'!L8/'tab 14'!L8</f>
        <v>2800</v>
      </c>
      <c r="M8" s="9">
        <f>'tab 15'!M8/'tab 14'!M8</f>
        <v>2838.9344262295081</v>
      </c>
      <c r="N8" s="9">
        <f>'tab 15'!N8/'tab 14'!N8</f>
        <v>2693.1697197432281</v>
      </c>
      <c r="O8" s="9"/>
    </row>
    <row r="9" spans="1:15" x14ac:dyDescent="0.2">
      <c r="A9" t="s">
        <v>16</v>
      </c>
      <c r="B9" s="9">
        <f>'tab 15'!B9/'tab 14'!B9</f>
        <v>2525</v>
      </c>
      <c r="C9" s="9">
        <f>'tab 15'!C9/'tab 14'!C9</f>
        <v>2780</v>
      </c>
      <c r="D9" s="9">
        <f>'tab 15'!D9/'tab 14'!D9</f>
        <v>2790</v>
      </c>
      <c r="E9" s="9">
        <f>'tab 15'!E9/'tab 14'!E9</f>
        <v>2000</v>
      </c>
      <c r="F9" s="9">
        <f>'tab 15'!F9/'tab 14'!F9</f>
        <v>2718.5758133824434</v>
      </c>
      <c r="G9" s="9">
        <f>'tab 15'!G9/'tab 14'!G9</f>
        <v>1940</v>
      </c>
      <c r="H9" s="9">
        <f>'tab 15'!H9/'tab 14'!H9</f>
        <v>1685</v>
      </c>
      <c r="I9" s="9">
        <f>'tab 15'!I9/'tab 14'!I9</f>
        <v>2330</v>
      </c>
      <c r="J9" s="9">
        <f>'tab 15'!J9/'tab 14'!J9</f>
        <v>1780.5835962145111</v>
      </c>
      <c r="K9" s="9">
        <f>'tab 15'!K9/'tab 14'!K9</f>
        <v>2090</v>
      </c>
      <c r="L9" s="9">
        <f>'tab 15'!L9/'tab 14'!L9</f>
        <v>2165</v>
      </c>
      <c r="M9" s="9">
        <f>'tab 15'!M9/'tab 14'!M9</f>
        <v>2135.5578512396696</v>
      </c>
      <c r="N9" s="9">
        <f>'tab 15'!N9/'tab 14'!N9</f>
        <v>2399.3665817255187</v>
      </c>
      <c r="O9" s="9"/>
    </row>
    <row r="10" spans="1:15" x14ac:dyDescent="0.2">
      <c r="A10" t="s">
        <v>17</v>
      </c>
      <c r="B10" s="9">
        <f>'tab 15'!B10/'tab 14'!B10</f>
        <v>2961.4155251141551</v>
      </c>
      <c r="C10" s="9">
        <f>'tab 15'!C10/'tab 14'!C10</f>
        <v>3200</v>
      </c>
      <c r="D10" s="9">
        <f>'tab 15'!D10/'tab 14'!D10</f>
        <v>3375</v>
      </c>
      <c r="E10" s="9">
        <f>'tab 15'!E10/'tab 14'!E10</f>
        <v>2700</v>
      </c>
      <c r="F10" s="9">
        <f>'tab 15'!F10/'tab 14'!F10</f>
        <v>3255.2340873224621</v>
      </c>
      <c r="G10" s="9">
        <f>'tab 15'!G10/'tab 14'!G10</f>
        <v>2150</v>
      </c>
      <c r="H10" s="9">
        <f>'tab 15'!H10/'tab 14'!H10</f>
        <v>1665</v>
      </c>
      <c r="I10" s="9">
        <f>'tab 15'!I10/'tab 14'!I10</f>
        <v>2220</v>
      </c>
      <c r="J10" s="9">
        <f>'tab 15'!J10/'tab 14'!J10</f>
        <v>1820.8448540706606</v>
      </c>
      <c r="K10" s="9">
        <f>'tab 15'!K10/'tab 14'!K10</f>
        <v>2780</v>
      </c>
      <c r="L10" s="9">
        <f>'tab 15'!L10/'tab 14'!L10</f>
        <v>2900</v>
      </c>
      <c r="M10" s="9">
        <f>'tab 15'!M10/'tab 14'!M10</f>
        <v>2853.8095238095239</v>
      </c>
      <c r="N10" s="9">
        <f>'tab 15'!N10/'tab 14'!N10</f>
        <v>2883.4718586387435</v>
      </c>
      <c r="O10" s="9"/>
    </row>
    <row r="11" spans="1:15" x14ac:dyDescent="0.2">
      <c r="A11" t="s">
        <v>18</v>
      </c>
      <c r="B11" s="9">
        <f>'tab 15'!B11/'tab 14'!B11</f>
        <v>2950</v>
      </c>
      <c r="C11" s="9">
        <f>'tab 15'!C11/'tab 14'!C11</f>
        <v>3000</v>
      </c>
      <c r="D11" s="9">
        <f>'tab 15'!D11/'tab 14'!D11</f>
        <v>3240</v>
      </c>
      <c r="E11" s="9">
        <f>'tab 15'!E11/'tab 14'!E11</f>
        <v>2850</v>
      </c>
      <c r="F11" s="9">
        <f>'tab 15'!F11/'tab 14'!F11</f>
        <v>3148.8255416191564</v>
      </c>
      <c r="G11" s="9">
        <f>'tab 15'!G11/'tab 14'!G11</f>
        <v>2060</v>
      </c>
      <c r="H11" s="9">
        <f>'tab 15'!H11/'tab 14'!H11</f>
        <v>1725</v>
      </c>
      <c r="I11" s="9">
        <f>'tab 15'!I11/'tab 14'!I11</f>
        <v>2580</v>
      </c>
      <c r="J11" s="9">
        <f>'tab 15'!J11/'tab 14'!J11</f>
        <v>1837.8290246768508</v>
      </c>
      <c r="K11" s="9">
        <f>'tab 15'!K11/'tab 14'!K11</f>
        <v>2955</v>
      </c>
      <c r="L11" s="9">
        <f>'tab 15'!L11/'tab 14'!L11</f>
        <v>2935</v>
      </c>
      <c r="M11" s="9">
        <f>'tab 15'!M11/'tab 14'!M11</f>
        <v>2942.68</v>
      </c>
      <c r="N11" s="9">
        <f>'tab 15'!N11/'tab 14'!N11</f>
        <v>2809.5863431920402</v>
      </c>
      <c r="O11" s="9"/>
    </row>
    <row r="12" spans="1:15" x14ac:dyDescent="0.2">
      <c r="A12" t="s">
        <v>19</v>
      </c>
      <c r="B12" s="9">
        <f>'tab 15'!B12/'tab 14'!B12</f>
        <v>2260</v>
      </c>
      <c r="C12" s="9">
        <f>'tab 15'!C12/'tab 14'!C12</f>
        <v>2680</v>
      </c>
      <c r="D12" s="9">
        <f>'tab 15'!D12/'tab 14'!D12</f>
        <v>2455</v>
      </c>
      <c r="E12" s="9">
        <f>'tab 15'!E12/'tab 14'!E12</f>
        <v>2220</v>
      </c>
      <c r="F12" s="9">
        <f>'tab 15'!F12/'tab 14'!F12</f>
        <v>2428.7073791348603</v>
      </c>
      <c r="G12" s="9">
        <f>'tab 15'!G12/'tab 14'!G12</f>
        <v>2055</v>
      </c>
      <c r="H12" s="9">
        <f>'tab 15'!H12/'tab 14'!H12</f>
        <v>1750</v>
      </c>
      <c r="I12" s="9">
        <f>'tab 15'!I12/'tab 14'!I12</f>
        <v>2259.8425196850394</v>
      </c>
      <c r="J12" s="9">
        <f>'tab 15'!J12/'tab 14'!J12</f>
        <v>1853.8821328344247</v>
      </c>
      <c r="K12" s="9">
        <f>'tab 15'!K12/'tab 14'!K12</f>
        <v>3100</v>
      </c>
      <c r="L12" s="9">
        <f>'tab 15'!L12/'tab 14'!L12</f>
        <v>3080</v>
      </c>
      <c r="M12" s="9">
        <f>'tab 15'!M12/'tab 14'!M12</f>
        <v>3087.6724137931033</v>
      </c>
      <c r="N12" s="9">
        <f>'tab 15'!N12/'tab 14'!N12</f>
        <v>2408.2106565919748</v>
      </c>
      <c r="O12" s="9"/>
    </row>
    <row r="13" spans="1:15" x14ac:dyDescent="0.2">
      <c r="A13" t="s">
        <v>20</v>
      </c>
      <c r="B13" s="9">
        <f>'tab 15'!B13/'tab 14'!B13</f>
        <v>2115</v>
      </c>
      <c r="C13" s="9">
        <f>'tab 15'!C13/'tab 14'!C13</f>
        <v>2600</v>
      </c>
      <c r="D13" s="9">
        <f>'tab 15'!D13/'tab 14'!D13</f>
        <v>2500</v>
      </c>
      <c r="E13" s="9">
        <f>'tab 15'!E13/'tab 14'!E13</f>
        <v>2400</v>
      </c>
      <c r="F13" s="9">
        <f>'tab 15'!F13/'tab 14'!F13</f>
        <v>2417.8646934460889</v>
      </c>
      <c r="G13" s="9">
        <f>'tab 15'!G13/'tab 14'!G13</f>
        <v>2250</v>
      </c>
      <c r="H13" s="9">
        <f>'tab 15'!H13/'tab 14'!H13</f>
        <v>1750</v>
      </c>
      <c r="I13" s="9">
        <f>'tab 15'!I13/'tab 14'!I13</f>
        <v>2400</v>
      </c>
      <c r="J13" s="9">
        <f>'tab 15'!J13/'tab 14'!J13</f>
        <v>1908.3929554210238</v>
      </c>
      <c r="K13" s="9">
        <f>'tab 15'!K13/'tab 14'!K13</f>
        <v>2700</v>
      </c>
      <c r="L13" s="9">
        <f>'tab 15'!L13/'tab 14'!L13</f>
        <v>2650</v>
      </c>
      <c r="M13" s="9">
        <f>'tab 15'!M13/'tab 14'!M13</f>
        <v>2668.90756302521</v>
      </c>
      <c r="N13" s="9">
        <f>'tab 15'!N13/'tab 14'!N13</f>
        <v>2336.8295204859764</v>
      </c>
      <c r="O13" s="9"/>
    </row>
    <row r="14" spans="1:15" x14ac:dyDescent="0.2">
      <c r="A14" t="s">
        <v>21</v>
      </c>
      <c r="B14" s="9">
        <f>'tab 15'!B14/'tab 14'!B14</f>
        <v>2380</v>
      </c>
      <c r="C14" s="9">
        <f>'tab 15'!C14/'tab 14'!C14</f>
        <v>2540</v>
      </c>
      <c r="D14" s="9">
        <f>'tab 15'!D14/'tab 14'!D14</f>
        <v>2630</v>
      </c>
      <c r="E14" s="9">
        <f>'tab 15'!E14/'tab 14'!E14</f>
        <v>2470</v>
      </c>
      <c r="F14" s="9">
        <f>'tab 15'!F14/'tab 14'!F14</f>
        <v>2562.44140625</v>
      </c>
      <c r="G14" s="9">
        <f>'tab 15'!G14/'tab 14'!G14</f>
        <v>2320</v>
      </c>
      <c r="H14" s="9">
        <f>'tab 15'!H14/'tab 14'!H14</f>
        <v>1670</v>
      </c>
      <c r="I14" s="9">
        <f>'tab 15'!I14/'tab 14'!I14</f>
        <v>2280</v>
      </c>
      <c r="J14" s="9">
        <f>'tab 15'!J14/'tab 14'!J14</f>
        <v>1867.624861265261</v>
      </c>
      <c r="K14" s="9">
        <f>'tab 15'!K14/'tab 14'!K14</f>
        <v>2900</v>
      </c>
      <c r="L14" s="9">
        <f>'tab 15'!L14/'tab 14'!L14</f>
        <v>2745</v>
      </c>
      <c r="M14" s="9">
        <f>'tab 15'!M14/'tab 14'!M14</f>
        <v>2802.8073770491801</v>
      </c>
      <c r="N14" s="9">
        <f>'tab 15'!N14/'tab 14'!N14</f>
        <v>2444.6800540407762</v>
      </c>
      <c r="O14" s="9"/>
    </row>
    <row r="15" spans="1:15" x14ac:dyDescent="0.2">
      <c r="A15" t="s">
        <v>22</v>
      </c>
      <c r="B15" s="9">
        <f>'tab 15'!B15/'tab 14'!B15</f>
        <v>2250</v>
      </c>
      <c r="C15" s="9">
        <f>'tab 15'!C15/'tab 14'!C15</f>
        <v>2470</v>
      </c>
      <c r="D15" s="9">
        <f>'tab 15'!D15/'tab 14'!D15</f>
        <v>2700</v>
      </c>
      <c r="E15" s="9">
        <f>'tab 15'!E15/'tab 14'!E15</f>
        <v>2600</v>
      </c>
      <c r="F15" s="9">
        <f>'tab 15'!F15/'tab 14'!F15</f>
        <v>2574.1475329750856</v>
      </c>
      <c r="G15" s="9">
        <f>'tab 15'!G15/'tab 14'!G15</f>
        <v>2150</v>
      </c>
      <c r="H15" s="9">
        <f>'tab 15'!H15/'tab 14'!H15</f>
        <v>1850</v>
      </c>
      <c r="I15" s="9">
        <f>'tab 15'!I15/'tab 14'!I15</f>
        <v>2400</v>
      </c>
      <c r="J15" s="9">
        <f>'tab 15'!J15/'tab 14'!J15</f>
        <v>1954.2041248016924</v>
      </c>
      <c r="K15" s="9">
        <f>'tab 15'!K15/'tab 14'!K15</f>
        <v>2705</v>
      </c>
      <c r="L15" s="9">
        <f>'tab 15'!L15/'tab 14'!L15</f>
        <v>2435</v>
      </c>
      <c r="M15" s="9">
        <f>'tab 15'!M15/'tab 14'!M15</f>
        <v>2536.1111111111113</v>
      </c>
      <c r="N15" s="9">
        <f>'tab 15'!N15/'tab 14'!N15</f>
        <v>2425.9713017571594</v>
      </c>
      <c r="O15" s="9"/>
    </row>
    <row r="16" spans="1:15" x14ac:dyDescent="0.2">
      <c r="A16" t="s">
        <v>23</v>
      </c>
      <c r="B16" s="9">
        <f>'tab 15'!B16/'tab 14'!B16</f>
        <v>1510</v>
      </c>
      <c r="C16" s="9">
        <f>'tab 15'!C16/'tab 14'!C16</f>
        <v>2340</v>
      </c>
      <c r="D16" s="9">
        <f>'tab 15'!D16/'tab 14'!D16</f>
        <v>1750</v>
      </c>
      <c r="E16" s="9">
        <f>'tab 15'!E16/'tab 14'!E16</f>
        <v>2230</v>
      </c>
      <c r="F16" s="9">
        <f>'tab 15'!F16/'tab 14'!F16</f>
        <v>1753.5454146555508</v>
      </c>
      <c r="G16" s="9">
        <f>'tab 15'!G16/'tab 14'!G16</f>
        <v>2220</v>
      </c>
      <c r="H16" s="9">
        <f>'tab 15'!H16/'tab 14'!H16</f>
        <v>1850</v>
      </c>
      <c r="I16" s="9">
        <f>'tab 15'!I16/'tab 14'!I16</f>
        <v>2500</v>
      </c>
      <c r="J16" s="9">
        <f>'tab 15'!J16/'tab 14'!J16</f>
        <v>1975.8313253012047</v>
      </c>
      <c r="K16" s="9">
        <f>'tab 15'!K16/'tab 14'!K16</f>
        <v>3195</v>
      </c>
      <c r="L16" s="9">
        <f>'tab 15'!L16/'tab 14'!L16</f>
        <v>2900</v>
      </c>
      <c r="M16" s="9">
        <f>'tab 15'!M16/'tab 14'!M16</f>
        <v>3009.6360153256705</v>
      </c>
      <c r="N16" s="9">
        <f>'tab 15'!N16/'tab 14'!N16</f>
        <v>1984.9352795373175</v>
      </c>
      <c r="O16" s="9"/>
    </row>
    <row r="17" spans="1:15" x14ac:dyDescent="0.2">
      <c r="A17" t="s">
        <v>24</v>
      </c>
      <c r="B17" s="9">
        <f>'tab 15'!B17/'tab 14'!B17</f>
        <v>2305</v>
      </c>
      <c r="C17" s="9">
        <f>'tab 15'!C17/'tab 14'!C17</f>
        <v>2370</v>
      </c>
      <c r="D17" s="9">
        <f>'tab 15'!D17/'tab 14'!D17</f>
        <v>2490</v>
      </c>
      <c r="E17" s="9">
        <f>'tab 15'!E17/'tab 14'!E17</f>
        <v>2400</v>
      </c>
      <c r="F17" s="9">
        <f>'tab 15'!F17/'tab 14'!F17</f>
        <v>2438.8765337423315</v>
      </c>
      <c r="G17" s="9">
        <f>'tab 15'!G17/'tab 14'!G17</f>
        <v>2300</v>
      </c>
      <c r="H17" s="9">
        <f>'tab 15'!H17/'tab 14'!H17</f>
        <v>2100</v>
      </c>
      <c r="I17" s="9">
        <f>'tab 15'!I17/'tab 14'!I17</f>
        <v>2250</v>
      </c>
      <c r="J17" s="9">
        <f>'tab 15'!J17/'tab 14'!J17</f>
        <v>2154.2318712805818</v>
      </c>
      <c r="K17" s="9">
        <f>'tab 15'!K17/'tab 14'!K17</f>
        <v>3200</v>
      </c>
      <c r="L17" s="9">
        <f>'tab 15'!L17/'tab 14'!L17</f>
        <v>2850</v>
      </c>
      <c r="M17" s="9">
        <f>'tab 15'!M17/'tab 14'!M17</f>
        <v>2980.2325581395348</v>
      </c>
      <c r="N17" s="9">
        <f>'tab 15'!N17/'tab 14'!N17</f>
        <v>2444.0988242297963</v>
      </c>
      <c r="O17" s="9"/>
    </row>
    <row r="18" spans="1:15" x14ac:dyDescent="0.2">
      <c r="A18" t="s">
        <v>31</v>
      </c>
      <c r="B18" s="9">
        <f>'tab 15'!B18/'tab 14'!B18</f>
        <v>2505</v>
      </c>
      <c r="C18" s="9">
        <f>'tab 15'!C18/'tab 14'!C18</f>
        <v>2630</v>
      </c>
      <c r="D18" s="9">
        <f>'tab 15'!D18/'tab 14'!D18</f>
        <v>2705</v>
      </c>
      <c r="E18" s="9">
        <f>'tab 15'!E18/'tab 14'!E18</f>
        <v>2500</v>
      </c>
      <c r="F18" s="9">
        <f>'tab 15'!F18/'tab 14'!F18</f>
        <v>2649.3043043043044</v>
      </c>
      <c r="G18" s="9">
        <f>'tab 15'!G18/'tab 14'!G18</f>
        <v>2410</v>
      </c>
      <c r="H18" s="9">
        <f>'tab 15'!H18/'tab 14'!H18</f>
        <v>2230</v>
      </c>
      <c r="I18" s="9">
        <f>'tab 15'!I18/'tab 14'!I18</f>
        <v>2760</v>
      </c>
      <c r="J18" s="9">
        <f>'tab 15'!J18/'tab 14'!J18</f>
        <v>2297.962744635699</v>
      </c>
      <c r="K18" s="9">
        <f>'tab 15'!K18/'tab 14'!K18</f>
        <v>2755</v>
      </c>
      <c r="L18" s="9">
        <f>'tab 15'!L18/'tab 14'!L18</f>
        <v>2660</v>
      </c>
      <c r="M18" s="9">
        <f>'tab 15'!M18/'tab 14'!M18</f>
        <v>2695.9146341463415</v>
      </c>
      <c r="N18" s="9">
        <f>'tab 15'!N18/'tab 14'!N18</f>
        <v>2566.9019231921397</v>
      </c>
      <c r="O18" s="9"/>
    </row>
    <row r="19" spans="1:15" x14ac:dyDescent="0.2">
      <c r="A19" t="s">
        <v>25</v>
      </c>
      <c r="B19" s="9">
        <f>'tab 15'!B19/'tab 14'!B19</f>
        <v>1980</v>
      </c>
      <c r="C19" s="9">
        <f>'tab 15'!C19/'tab 14'!C19</f>
        <v>2320</v>
      </c>
      <c r="D19" s="9">
        <f>'tab 15'!D19/'tab 14'!D19</f>
        <v>1985</v>
      </c>
      <c r="E19" s="9">
        <f>'tab 15'!E19/'tab 14'!E19</f>
        <v>1750</v>
      </c>
      <c r="F19" s="9">
        <f>'tab 15'!F19/'tab 14'!F19</f>
        <v>2007.8771760154739</v>
      </c>
      <c r="G19" s="9">
        <f>'tab 15'!G19/'tab 14'!G19</f>
        <v>2290</v>
      </c>
      <c r="H19" s="9">
        <f>'tab 15'!H19/'tab 14'!H19</f>
        <v>1865</v>
      </c>
      <c r="I19" s="9">
        <f>'tab 15'!I19/'tab 14'!I19</f>
        <v>2600</v>
      </c>
      <c r="J19" s="9">
        <f>'tab 15'!J19/'tab 14'!J19</f>
        <v>2006.7693409742119</v>
      </c>
      <c r="K19" s="9">
        <f>'tab 15'!K19/'tab 14'!K19</f>
        <v>1875</v>
      </c>
      <c r="L19" s="9">
        <f>'tab 15'!L19/'tab 14'!L19</f>
        <v>2095</v>
      </c>
      <c r="M19" s="9">
        <f>'tab 15'!M19/'tab 14'!M19</f>
        <v>2007.7426160337552</v>
      </c>
      <c r="N19" s="9">
        <f>'tab 15'!N19/'tab 14'!N19</f>
        <v>2007.5837377204402</v>
      </c>
      <c r="O19" s="9"/>
    </row>
    <row r="20" spans="1:15" x14ac:dyDescent="0.2">
      <c r="A20" t="s">
        <v>26</v>
      </c>
      <c r="B20" s="9">
        <f>'tab 15'!B20/'tab 14'!B20</f>
        <v>2010</v>
      </c>
      <c r="C20" s="9">
        <f>'tab 15'!C20/'tab 14'!C20</f>
        <v>2470</v>
      </c>
      <c r="D20" s="9">
        <f>'tab 15'!D20/'tab 14'!D20</f>
        <v>2870</v>
      </c>
      <c r="E20" s="9">
        <f>'tab 15'!E20/'tab 14'!E20</f>
        <v>2900</v>
      </c>
      <c r="F20" s="9">
        <f>'tab 15'!F20/'tab 14'!F20</f>
        <v>2638.3255813953488</v>
      </c>
      <c r="G20" s="9">
        <f>'tab 15'!G20/'tab 14'!G20</f>
        <v>2610</v>
      </c>
      <c r="H20" s="9">
        <f>'tab 15'!H20/'tab 14'!H20</f>
        <v>2110</v>
      </c>
      <c r="I20" s="9">
        <f>'tab 15'!I20/'tab 14'!I20</f>
        <v>2460</v>
      </c>
      <c r="J20" s="9">
        <f>'tab 15'!J20/'tab 14'!J20</f>
        <v>2250.5637254901962</v>
      </c>
      <c r="K20" s="9">
        <f>'tab 15'!K20/'tab 14'!K20</f>
        <v>3165</v>
      </c>
      <c r="L20" s="9">
        <f>'tab 15'!L20/'tab 14'!L20</f>
        <v>3215</v>
      </c>
      <c r="M20" s="9">
        <f>'tab 15'!M20/'tab 14'!M20</f>
        <v>3196.0699588477364</v>
      </c>
      <c r="N20" s="9">
        <f>'tab 15'!N20/'tab 14'!N20</f>
        <v>2624.3157244362064</v>
      </c>
      <c r="O20" s="9"/>
    </row>
    <row r="21" spans="1:15" x14ac:dyDescent="0.2">
      <c r="A21" t="s">
        <v>27</v>
      </c>
      <c r="B21" s="9">
        <f>'tab 15'!B21/'tab 14'!B21</f>
        <v>2280</v>
      </c>
      <c r="C21" s="9">
        <f>'tab 15'!C21/'tab 14'!C21</f>
        <v>2390</v>
      </c>
      <c r="D21" s="9">
        <f>'tab 15'!D21/'tab 14'!D21</f>
        <v>2390</v>
      </c>
      <c r="E21" s="9">
        <f>'tab 15'!E21/'tab 14'!E21</f>
        <v>2800</v>
      </c>
      <c r="F21" s="9">
        <f>'tab 15'!F21/'tab 14'!F21</f>
        <v>2369.0066964285716</v>
      </c>
      <c r="G21" s="9">
        <f>'tab 15'!G21/'tab 14'!G21</f>
        <v>2060</v>
      </c>
      <c r="H21" s="9">
        <f>'tab 15'!H21/'tab 14'!H21</f>
        <v>2000</v>
      </c>
      <c r="I21" s="9">
        <f>'tab 15'!I21/'tab 14'!I21</f>
        <v>2150</v>
      </c>
      <c r="J21" s="9">
        <f>'tab 15'!J21/'tab 14'!J21</f>
        <v>2022.8865979381444</v>
      </c>
      <c r="K21" s="9">
        <f>'tab 15'!K21/'tab 14'!K21</f>
        <v>2325</v>
      </c>
      <c r="L21" s="9">
        <f>'tab 15'!L21/'tab 14'!L21</f>
        <v>2410</v>
      </c>
      <c r="M21" s="9">
        <f>'tab 15'!M21/'tab 14'!M21</f>
        <v>2377.5321888412018</v>
      </c>
      <c r="N21" s="9">
        <f>'tab 15'!N21/'tab 14'!N21</f>
        <v>2281.7897165458139</v>
      </c>
      <c r="O21" s="9"/>
    </row>
    <row r="22" spans="1:15" x14ac:dyDescent="0.2">
      <c r="A22" t="s">
        <v>32</v>
      </c>
      <c r="B22" s="9">
        <f>'tab 15'!B22/'tab 14'!B22</f>
        <v>2355</v>
      </c>
      <c r="C22" s="9">
        <f>'tab 15'!C22/'tab 14'!C22</f>
        <v>2880</v>
      </c>
      <c r="D22" s="9">
        <f>'tab 15'!D22/'tab 14'!D22</f>
        <v>2690</v>
      </c>
      <c r="E22" s="9">
        <f>'tab 15'!E22/'tab 14'!E22</f>
        <v>3100</v>
      </c>
      <c r="F22" s="9">
        <f>'tab 15'!F22/'tab 14'!F22</f>
        <v>2635.9889773423147</v>
      </c>
      <c r="G22" s="9">
        <f>'tab 15'!G22/'tab 14'!G22</f>
        <v>2410</v>
      </c>
      <c r="H22" s="9">
        <f>'tab 15'!H22/'tab 14'!H22</f>
        <v>2600</v>
      </c>
      <c r="I22" s="9">
        <f>'tab 15'!I22/'tab 14'!I22</f>
        <v>2300</v>
      </c>
      <c r="J22" s="9">
        <f>'tab 15'!J22/'tab 14'!J22</f>
        <v>2543.8896551724138</v>
      </c>
      <c r="K22" s="9">
        <f>'tab 15'!K22/'tab 14'!K22</f>
        <v>2885</v>
      </c>
      <c r="L22" s="9">
        <f>'tab 15'!L22/'tab 14'!L22</f>
        <v>2940</v>
      </c>
      <c r="M22" s="9">
        <f>'tab 15'!M22/'tab 14'!M22</f>
        <v>2919.2039800995026</v>
      </c>
      <c r="N22" s="9">
        <f>'tab 15'!N22/'tab 14'!N22</f>
        <v>2653.0471014492755</v>
      </c>
      <c r="O22" s="9"/>
    </row>
    <row r="23" spans="1:15" x14ac:dyDescent="0.2">
      <c r="A23" t="s">
        <v>28</v>
      </c>
      <c r="B23" s="9">
        <f>'tab 15'!B23/'tab 14'!B23</f>
        <v>1930</v>
      </c>
      <c r="C23" s="9">
        <f>'tab 15'!C23/'tab 14'!C23</f>
        <v>2715</v>
      </c>
      <c r="D23" s="9">
        <f>'tab 15'!D23/'tab 14'!D23</f>
        <v>2570</v>
      </c>
      <c r="E23" s="9">
        <f>'tab 15'!E23/'tab 14'!E23</f>
        <v>2900</v>
      </c>
      <c r="F23" s="9">
        <f>'tab 15'!F23/'tab 14'!F23</f>
        <v>2436.2430254184751</v>
      </c>
      <c r="G23" s="9">
        <f>'tab 15'!G23/'tab 14'!G23</f>
        <v>2400</v>
      </c>
      <c r="H23" s="9">
        <f>'tab 15'!H23/'tab 14'!H23</f>
        <v>2610</v>
      </c>
      <c r="I23" s="9">
        <f>'tab 15'!I23/'tab 14'!I23</f>
        <v>2700</v>
      </c>
      <c r="J23" s="9">
        <f>'tab 15'!J23/'tab 14'!J23</f>
        <v>2574.297581236257</v>
      </c>
      <c r="K23" s="9">
        <f>'tab 15'!K23/'tab 14'!K23</f>
        <v>2550</v>
      </c>
      <c r="L23" s="9">
        <f>'tab 15'!L23/'tab 14'!L23</f>
        <v>2680</v>
      </c>
      <c r="M23" s="9">
        <f>'tab 15'!M23/'tab 14'!M23</f>
        <v>2630.757575757576</v>
      </c>
      <c r="N23" s="9">
        <f>'tab 15'!N23/'tab 14'!N23</f>
        <v>2503.4516904795587</v>
      </c>
      <c r="O23" s="9"/>
    </row>
    <row r="24" spans="1:15" x14ac:dyDescent="0.2">
      <c r="A24" t="s">
        <v>60</v>
      </c>
      <c r="B24" s="9">
        <f>'tab 15'!B24/'tab 14'!B24</f>
        <v>2195</v>
      </c>
      <c r="C24" s="9">
        <f>'tab 15'!C24/'tab 14'!C24</f>
        <v>2590</v>
      </c>
      <c r="D24" s="9">
        <f>'tab 15'!D24/'tab 14'!D24</f>
        <v>2815</v>
      </c>
      <c r="E24" s="9">
        <f>'tab 15'!E24/'tab 14'!E24</f>
        <v>2450</v>
      </c>
      <c r="F24" s="9">
        <f>'tab 15'!F24/'tab 14'!F24</f>
        <v>2639.5511669658886</v>
      </c>
      <c r="G24" s="9">
        <f>'tab 15'!G24/'tab 14'!G24</f>
        <v>2130</v>
      </c>
      <c r="H24" s="9">
        <f>'tab 15'!H24/'tab 14'!H24</f>
        <v>2740</v>
      </c>
      <c r="I24" s="9">
        <f>'tab 15'!I24/'tab 14'!I24</f>
        <v>2820</v>
      </c>
      <c r="J24" s="9">
        <f>'tab 15'!J24/'tab 14'!J24</f>
        <v>2638.1712962962961</v>
      </c>
      <c r="K24" s="9">
        <f>'tab 15'!K24/'tab 14'!K24</f>
        <v>2950</v>
      </c>
      <c r="L24" s="9">
        <f>'tab 15'!L24/'tab 14'!L24</f>
        <v>3190</v>
      </c>
      <c r="M24" s="9">
        <f>'tab 15'!M24/'tab 14'!M24</f>
        <v>3099.7744360902257</v>
      </c>
      <c r="N24" s="9">
        <f>'tab 15'!N24/'tab 14'!N24</f>
        <v>2701.7314246762098</v>
      </c>
      <c r="O24" s="9"/>
    </row>
    <row r="25" spans="1:15" x14ac:dyDescent="0.2">
      <c r="A25" t="s">
        <v>61</v>
      </c>
      <c r="B25" s="9">
        <f>'tab 15'!B25/'tab 14'!B25</f>
        <v>2175</v>
      </c>
      <c r="C25" s="9">
        <f>'tab 15'!C25/'tab 14'!C25</f>
        <v>2770</v>
      </c>
      <c r="D25" s="9">
        <f>'tab 15'!D25/'tab 14'!D25</f>
        <v>2575</v>
      </c>
      <c r="E25" s="9">
        <f>'tab 15'!E25/'tab 14'!E25</f>
        <v>2300</v>
      </c>
      <c r="F25" s="9">
        <f>'tab 15'!F25/'tab 14'!F25</f>
        <v>2496.5263157894738</v>
      </c>
      <c r="G25" s="9">
        <f>'tab 15'!G25/'tab 14'!G25</f>
        <v>2400</v>
      </c>
      <c r="H25" s="9">
        <f>'tab 15'!H25/'tab 14'!H25</f>
        <v>3310</v>
      </c>
      <c r="I25" s="9">
        <f>'tab 15'!I25/'tab 14'!I25</f>
        <v>2800</v>
      </c>
      <c r="J25" s="9">
        <f>'tab 15'!J25/'tab 14'!J25</f>
        <v>3091.8635170603675</v>
      </c>
      <c r="K25" s="9">
        <f>'tab 15'!K25/'tab 14'!K25</f>
        <v>2870</v>
      </c>
      <c r="L25" s="9">
        <f>'tab 15'!L25/'tab 14'!L25</f>
        <v>2410</v>
      </c>
      <c r="M25" s="9">
        <f>'tab 15'!M25/'tab 14'!M25</f>
        <v>2584.8000000000002</v>
      </c>
      <c r="N25" s="9">
        <f>'tab 15'!N25/'tab 14'!N25</f>
        <v>2666.7757660167131</v>
      </c>
      <c r="O25" s="9"/>
    </row>
    <row r="26" spans="1:15" x14ac:dyDescent="0.2">
      <c r="A26" s="7">
        <v>2000</v>
      </c>
      <c r="B26" s="9">
        <f>'tab 15'!B26/'tab 14'!B26</f>
        <v>1490</v>
      </c>
      <c r="C26" s="9">
        <f>'tab 15'!C26/'tab 14'!C26</f>
        <v>2485</v>
      </c>
      <c r="D26" s="9">
        <f>'tab 15'!D26/'tab 14'!D26</f>
        <v>2700</v>
      </c>
      <c r="E26" s="9">
        <f>'tab 15'!E26/'tab 14'!E26</f>
        <v>2950</v>
      </c>
      <c r="F26" s="9">
        <f>'tab 15'!F26/'tab 14'!F26</f>
        <v>2393.2337662337663</v>
      </c>
      <c r="G26" s="9">
        <f>'tab 15'!G26/'tab 14'!G26</f>
        <v>1800</v>
      </c>
      <c r="H26" s="9">
        <f>'tab 15'!H26/'tab 14'!H26</f>
        <v>2540</v>
      </c>
      <c r="I26" s="9">
        <f>'tab 15'!I26/'tab 14'!I26</f>
        <v>2115</v>
      </c>
      <c r="J26" s="9">
        <f>'tab 15'!J26/'tab 14'!J26</f>
        <v>2375.2445652173915</v>
      </c>
      <c r="K26" s="9">
        <f>'tab 15'!K26/'tab 14'!K26</f>
        <v>2805</v>
      </c>
      <c r="L26" s="9">
        <f>'tab 15'!L26/'tab 14'!L26</f>
        <v>2750</v>
      </c>
      <c r="M26" s="9">
        <f>'tab 15'!M26/'tab 14'!M26</f>
        <v>2770.8333333333335</v>
      </c>
      <c r="N26" s="9">
        <f>'tab 15'!N26/'tab 14'!N26</f>
        <v>2444.2402694610778</v>
      </c>
      <c r="O26" s="9"/>
    </row>
    <row r="27" spans="1:15" x14ac:dyDescent="0.2">
      <c r="A27" s="7">
        <v>2001</v>
      </c>
      <c r="B27" s="9">
        <f>'tab 15'!B27/'tab 14'!B27</f>
        <v>2675</v>
      </c>
      <c r="C27" s="9">
        <f>'tab 15'!C27/'tab 14'!C27</f>
        <v>3050</v>
      </c>
      <c r="D27" s="9">
        <f>'tab 15'!D27/'tab 14'!D27</f>
        <v>3330</v>
      </c>
      <c r="E27" s="9">
        <f>'tab 15'!E27/'tab 14'!E27</f>
        <v>3000</v>
      </c>
      <c r="F27" s="9">
        <f>'tab 15'!F27/'tab 14'!F27</f>
        <v>3135.4259811227021</v>
      </c>
      <c r="G27" s="9">
        <f>'tab 15'!G27/'tab 14'!G27</f>
        <v>2570</v>
      </c>
      <c r="H27" s="9">
        <f>'tab 15'!H27/'tab 14'!H27</f>
        <v>2890</v>
      </c>
      <c r="I27" s="9">
        <f>'tab 15'!I27/'tab 14'!I27</f>
        <v>3020</v>
      </c>
      <c r="J27" s="9">
        <f>'tab 15'!J27/'tab 14'!J27</f>
        <v>2836.837732160313</v>
      </c>
      <c r="K27" s="9">
        <f>'tab 15'!K27/'tab 14'!K27</f>
        <v>3130</v>
      </c>
      <c r="L27" s="9">
        <f>'tab 15'!L27/'tab 14'!L27</f>
        <v>2910</v>
      </c>
      <c r="M27" s="9">
        <f>'tab 15'!M27/'tab 14'!M27</f>
        <v>2993.5443037974683</v>
      </c>
      <c r="N27" s="9">
        <f>'tab 15'!N27/'tab 14'!N27</f>
        <v>3029.0417168354697</v>
      </c>
      <c r="O27" s="9"/>
    </row>
    <row r="28" spans="1:15" x14ac:dyDescent="0.2">
      <c r="A28" s="7">
        <v>2002</v>
      </c>
      <c r="B28" s="9">
        <f>'tab 15'!B28/'tab 14'!B28</f>
        <v>2110</v>
      </c>
      <c r="C28" s="9">
        <f>'tab 15'!C28/'tab 14'!C28</f>
        <v>2300</v>
      </c>
      <c r="D28" s="9">
        <f>'tab 15'!D28/'tab 14'!D28</f>
        <v>2600</v>
      </c>
      <c r="E28" s="9">
        <f>'tab 15'!E28/'tab 14'!E28</f>
        <v>2200</v>
      </c>
      <c r="F28" s="9">
        <f>'tab 15'!F28/'tab 14'!F28</f>
        <v>2449.3266641015775</v>
      </c>
      <c r="G28" s="9">
        <f>'tab 15'!G28/'tab 14'!G28</f>
        <v>2800</v>
      </c>
      <c r="H28" s="9">
        <f>'tab 15'!H28/'tab 14'!H28</f>
        <v>3100</v>
      </c>
      <c r="I28" s="9">
        <f>'tab 15'!I28/'tab 14'!I28</f>
        <v>3000</v>
      </c>
      <c r="J28" s="9">
        <f>'tab 15'!J28/'tab 14'!J28</f>
        <v>3046.7605633802818</v>
      </c>
      <c r="K28" s="9">
        <f>'tab 15'!K28/'tab 14'!K28</f>
        <v>2100</v>
      </c>
      <c r="L28" s="9">
        <f>'tab 15'!L28/'tab 14'!L28</f>
        <v>2100</v>
      </c>
      <c r="M28" s="9">
        <f>'tab 15'!M28/'tab 14'!M28</f>
        <v>2100</v>
      </c>
      <c r="N28" s="9">
        <f>'tab 15'!N28/'tab 14'!N28</f>
        <v>2571.0613919640782</v>
      </c>
      <c r="O28" s="9"/>
    </row>
    <row r="29" spans="1:15" x14ac:dyDescent="0.2">
      <c r="A29" s="7">
        <v>2003</v>
      </c>
      <c r="B29" s="9">
        <f>'tab 15'!B29/'tab 14'!B29</f>
        <v>2750</v>
      </c>
      <c r="C29" s="9">
        <f>'tab 15'!C29/'tab 14'!C29</f>
        <v>3000</v>
      </c>
      <c r="D29" s="9">
        <f>'tab 15'!D29/'tab 14'!D29</f>
        <v>3450</v>
      </c>
      <c r="E29" s="9">
        <f>'tab 15'!E29/'tab 14'!E29</f>
        <v>3400</v>
      </c>
      <c r="F29" s="9">
        <f>'tab 15'!F29/'tab 14'!F29</f>
        <v>3237.5145857642942</v>
      </c>
      <c r="G29" s="9">
        <f>'tab 15'!G29/'tab 14'!G29</f>
        <v>2800</v>
      </c>
      <c r="H29" s="9">
        <f>'tab 15'!H29/'tab 14'!H29</f>
        <v>3000</v>
      </c>
      <c r="I29" s="9">
        <f>'tab 15'!I29/'tab 14'!I29</f>
        <v>2700</v>
      </c>
      <c r="J29" s="9">
        <f>'tab 15'!J29/'tab 14'!J29</f>
        <v>2962.4223602484471</v>
      </c>
      <c r="K29" s="9">
        <f>'tab 15'!K29/'tab 14'!K29</f>
        <v>2900</v>
      </c>
      <c r="L29" s="9">
        <f>'tab 15'!L29/'tab 14'!L29</f>
        <v>3200</v>
      </c>
      <c r="M29" s="9">
        <f>'tab 15'!M29/'tab 14'!M29</f>
        <v>3125.5639097744361</v>
      </c>
      <c r="N29" s="9">
        <f>'tab 15'!N29/'tab 14'!N29</f>
        <v>3158.6509146341464</v>
      </c>
      <c r="O29" s="9"/>
    </row>
    <row r="30" spans="1:15" x14ac:dyDescent="0.2">
      <c r="A30" s="7">
        <v>2004</v>
      </c>
      <c r="B30" s="9">
        <f>'tab 15'!B30/'tab 14'!B30</f>
        <v>2800</v>
      </c>
      <c r="C30" s="9">
        <f>'tab 15'!C30/'tab 14'!C30</f>
        <v>2800</v>
      </c>
      <c r="D30" s="9">
        <f>'tab 15'!D30/'tab 14'!D30</f>
        <v>2980</v>
      </c>
      <c r="E30" s="9">
        <f>'tab 15'!E30/'tab 14'!E30</f>
        <v>3400</v>
      </c>
      <c r="F30" s="9">
        <f>'tab 15'!F30/'tab 14'!F30</f>
        <v>2933.3333333333335</v>
      </c>
      <c r="G30" s="9">
        <f>'tab 15'!G30/'tab 14'!G30</f>
        <v>3100</v>
      </c>
      <c r="H30" s="9">
        <f>'tab 15'!H30/'tab 14'!H30</f>
        <v>3420</v>
      </c>
      <c r="I30" s="9">
        <f>'tab 15'!I30/'tab 14'!I30</f>
        <v>3500</v>
      </c>
      <c r="J30" s="9">
        <f>'tab 15'!J30/'tab 14'!J30</f>
        <v>3387.719298245614</v>
      </c>
      <c r="K30" s="9">
        <f>'tab 15'!K30/'tab 14'!K30</f>
        <v>3250</v>
      </c>
      <c r="L30" s="9">
        <f>'tab 15'!L30/'tab 14'!L30</f>
        <v>3500</v>
      </c>
      <c r="M30" s="9">
        <f>'tab 15'!M30/'tab 14'!M30</f>
        <v>3441.6058394160582</v>
      </c>
      <c r="N30" s="9">
        <f>'tab 15'!N30/'tab 14'!N30</f>
        <v>3076.1836441893829</v>
      </c>
      <c r="O30" s="9"/>
    </row>
    <row r="31" spans="1:15" x14ac:dyDescent="0.2">
      <c r="A31" s="7">
        <v>2005</v>
      </c>
      <c r="B31" s="9">
        <f>'tab 15'!B31/'tab 14'!B31</f>
        <v>2750</v>
      </c>
      <c r="C31" s="9">
        <f>'tab 15'!C31/'tab 14'!C31</f>
        <v>2700</v>
      </c>
      <c r="D31" s="9">
        <f>'tab 15'!D31/'tab 14'!D31</f>
        <v>2840</v>
      </c>
      <c r="E31" s="9">
        <f>'tab 15'!E31/'tab 14'!E31</f>
        <v>2800</v>
      </c>
      <c r="F31" s="9">
        <f>'tab 15'!F31/'tab 14'!F31</f>
        <v>2807.7147623019182</v>
      </c>
      <c r="G31" s="9">
        <f>'tab 15'!G31/'tab 14'!G31</f>
        <v>3270</v>
      </c>
      <c r="H31" s="9">
        <f>'tab 15'!H31/'tab 14'!H31</f>
        <v>3750</v>
      </c>
      <c r="I31" s="9">
        <f>'tab 15'!I31/'tab 14'!I31</f>
        <v>3500</v>
      </c>
      <c r="J31" s="9">
        <f>'tab 15'!J31/'tab 14'!J31</f>
        <v>3684.0064102564102</v>
      </c>
      <c r="K31" s="9">
        <f>'tab 15'!K31/'tab 14'!K31</f>
        <v>3000</v>
      </c>
      <c r="L31" s="9">
        <f>'tab 15'!L31/'tab 14'!L31</f>
        <v>3000</v>
      </c>
      <c r="M31" s="9">
        <f>'tab 15'!M31/'tab 14'!M31</f>
        <v>3000</v>
      </c>
      <c r="N31" s="9">
        <f>'tab 15'!N31/'tab 14'!N31</f>
        <v>2989.4782074892573</v>
      </c>
      <c r="O31" s="9"/>
    </row>
    <row r="32" spans="1:15" x14ac:dyDescent="0.2">
      <c r="A32" s="7">
        <v>2006</v>
      </c>
      <c r="B32" s="9">
        <f>'tab 15'!B32/'tab 14'!B32</f>
        <v>2500</v>
      </c>
      <c r="C32" s="9">
        <f>'tab 15'!C32/'tab 14'!C32</f>
        <v>2500</v>
      </c>
      <c r="D32" s="9">
        <f>'tab 15'!D32/'tab 14'!D32</f>
        <v>2780</v>
      </c>
      <c r="E32" s="9">
        <f>'tab 15'!E32/'tab 14'!E32</f>
        <v>3000</v>
      </c>
      <c r="F32" s="9">
        <f>'tab 15'!F32/'tab 14'!F32</f>
        <v>2710.1075268817203</v>
      </c>
      <c r="G32" s="9">
        <f>'tab 15'!G32/'tab 14'!G32</f>
        <v>2850</v>
      </c>
      <c r="H32" s="9">
        <f>'tab 15'!H32/'tab 14'!H32</f>
        <v>3550</v>
      </c>
      <c r="I32" s="9">
        <f>'tab 15'!I32/'tab 14'!I32</f>
        <v>3600</v>
      </c>
      <c r="J32" s="9">
        <f>'tab 15'!J32/'tab 14'!J32</f>
        <v>3467.31843575419</v>
      </c>
      <c r="K32" s="9">
        <f>'tab 15'!K32/'tab 14'!K32</f>
        <v>3200</v>
      </c>
      <c r="L32" s="9">
        <f>'tab 15'!L32/'tab 14'!L32</f>
        <v>3200</v>
      </c>
      <c r="M32" s="9">
        <f>'tab 15'!M32/'tab 14'!M32</f>
        <v>3200</v>
      </c>
      <c r="N32" s="9">
        <f>'tab 15'!N32/'tab 14'!N32</f>
        <v>2863.0165289256197</v>
      </c>
      <c r="O32" s="9"/>
    </row>
    <row r="33" spans="1:15" x14ac:dyDescent="0.2">
      <c r="A33" s="7">
        <v>2007</v>
      </c>
      <c r="B33" s="9">
        <f>'tab 15'!B33/'tab 14'!B33</f>
        <v>2550</v>
      </c>
      <c r="C33" s="9">
        <f>'tab 15'!C33/'tab 14'!C33</f>
        <v>2700</v>
      </c>
      <c r="D33" s="9">
        <f>'tab 15'!D33/'tab 14'!D33</f>
        <v>3120</v>
      </c>
      <c r="E33" s="9">
        <f>'tab 15'!E33/'tab 14'!E33</f>
        <v>3100</v>
      </c>
      <c r="F33" s="9">
        <f>'tab 15'!F33/'tab 14'!F33</f>
        <v>2962.1264367816093</v>
      </c>
      <c r="G33" s="9">
        <f>'tab 15'!G33/'tab 14'!G33</f>
        <v>3400</v>
      </c>
      <c r="H33" s="9">
        <f>'tab 15'!H33/'tab 14'!H33</f>
        <v>3700</v>
      </c>
      <c r="I33" s="9">
        <f>'tab 15'!I33/'tab 14'!I33</f>
        <v>3200</v>
      </c>
      <c r="J33" s="9">
        <f>'tab 15'!J33/'tab 14'!J33</f>
        <v>3652.8037383177571</v>
      </c>
      <c r="K33" s="9">
        <f>'tab 15'!K33/'tab 14'!K33</f>
        <v>2500</v>
      </c>
      <c r="L33" s="9">
        <f>'tab 15'!L33/'tab 14'!L33</f>
        <v>2900</v>
      </c>
      <c r="M33" s="9">
        <f>'tab 15'!M33/'tab 14'!M33</f>
        <v>2824.3243243243242</v>
      </c>
      <c r="N33" s="9">
        <f>'tab 15'!N33/'tab 14'!N33</f>
        <v>3073.0125523012553</v>
      </c>
      <c r="O33" s="9"/>
    </row>
    <row r="34" spans="1:15" x14ac:dyDescent="0.2">
      <c r="A34" s="7">
        <v>2008</v>
      </c>
      <c r="B34" s="9">
        <f>'tab 15'!B34/'tab 14'!B34</f>
        <v>3500</v>
      </c>
      <c r="C34" s="9">
        <f>'tab 15'!C34/'tab 14'!C34</f>
        <v>3200</v>
      </c>
      <c r="D34" s="9">
        <f>'tab 15'!D34/'tab 14'!D34</f>
        <v>3400</v>
      </c>
      <c r="E34" s="9">
        <f>'tab 15'!E34/'tab 14'!E34</f>
        <v>3900</v>
      </c>
      <c r="F34" s="9">
        <f>'tab 15'!F34/'tab 14'!F34</f>
        <v>3432.3396567299005</v>
      </c>
      <c r="G34" s="9">
        <f>'tab 15'!G34/'tab 14'!G34</f>
        <v>3500</v>
      </c>
      <c r="H34" s="9">
        <f>'tab 15'!H34/'tab 14'!H34</f>
        <v>3300</v>
      </c>
      <c r="I34" s="9">
        <f>'tab 15'!I34/'tab 14'!I34</f>
        <v>3200</v>
      </c>
      <c r="J34" s="9">
        <f>'tab 15'!J34/'tab 14'!J34</f>
        <v>3310.0358422939066</v>
      </c>
      <c r="K34" s="9">
        <f>'tab 15'!K34/'tab 14'!K34</f>
        <v>3350</v>
      </c>
      <c r="L34" s="9">
        <f>'tab 15'!L34/'tab 14'!L34</f>
        <v>3700</v>
      </c>
      <c r="M34" s="9">
        <f>'tab 15'!M34/'tab 14'!M34</f>
        <v>3630.5785123966944</v>
      </c>
      <c r="N34" s="9">
        <f>'tab 15'!N34/'tab 14'!N34</f>
        <v>3425.6138022561381</v>
      </c>
      <c r="O34" s="9"/>
    </row>
    <row r="35" spans="1:15" x14ac:dyDescent="0.2">
      <c r="A35" s="7">
        <v>2009</v>
      </c>
      <c r="B35" s="9">
        <f>'tab 15'!B35/'tab 14'!B35</f>
        <v>3300</v>
      </c>
      <c r="C35" s="9">
        <f>'tab 15'!C35/'tab 14'!C35</f>
        <v>3200</v>
      </c>
      <c r="D35" s="9">
        <f>'tab 15'!D35/'tab 14'!D35</f>
        <v>3560</v>
      </c>
      <c r="E35" s="9">
        <f>'tab 15'!E35/'tab 14'!E35</f>
        <v>3100</v>
      </c>
      <c r="F35" s="9">
        <f>'tab 15'!F35/'tab 14'!F35</f>
        <v>3428.0871670702181</v>
      </c>
      <c r="G35" s="9">
        <f>'tab 15'!G35/'tab 14'!G35</f>
        <v>3300</v>
      </c>
      <c r="H35" s="9">
        <f>'tab 15'!H35/'tab 14'!H35</f>
        <v>3270</v>
      </c>
      <c r="I35" s="9">
        <f>'tab 15'!I35/'tab 14'!I35</f>
        <v>3100</v>
      </c>
      <c r="J35" s="9">
        <f>'tab 15'!J35/'tab 14'!J35</f>
        <v>3265.4285714285716</v>
      </c>
      <c r="K35" s="9">
        <f>'tab 15'!K35/'tab 14'!K35</f>
        <v>3700</v>
      </c>
      <c r="L35" s="9">
        <f>'tab 15'!L35/'tab 14'!L35</f>
        <v>3700</v>
      </c>
      <c r="M35" s="9">
        <f>'tab 15'!M35/'tab 14'!M35</f>
        <v>3700</v>
      </c>
      <c r="N35" s="9">
        <f>'tab 15'!N35/'tab 14'!N35</f>
        <v>3421.3623725671919</v>
      </c>
      <c r="O35" s="9"/>
    </row>
    <row r="36" spans="1:15" x14ac:dyDescent="0.2">
      <c r="A36" s="7">
        <v>2010</v>
      </c>
      <c r="B36" s="9">
        <f>'tab 15'!B36/'tab 14'!B36</f>
        <v>2600</v>
      </c>
      <c r="C36" s="9">
        <f>'tab 15'!C36/'tab 14'!C36</f>
        <v>3500</v>
      </c>
      <c r="D36" s="9">
        <f>'tab 15'!D36/'tab 14'!D36</f>
        <v>3530</v>
      </c>
      <c r="E36" s="9">
        <f>'tab 15'!E36/'tab 14'!E36</f>
        <v>3500</v>
      </c>
      <c r="F36" s="9">
        <f>'tab 15'!F36/'tab 14'!F36</f>
        <v>3343.4169278996865</v>
      </c>
      <c r="G36" s="9">
        <f>'tab 15'!G36/'tab 14'!G36</f>
        <v>3350</v>
      </c>
      <c r="H36" s="9">
        <f>'tab 15'!H36/'tab 14'!H36</f>
        <v>3600</v>
      </c>
      <c r="I36" s="9">
        <f>'tab 15'!I36/'tab 14'!I36</f>
        <v>3400</v>
      </c>
      <c r="J36" s="9">
        <f>'tab 15'!J36/'tab 14'!J36</f>
        <v>3562.6288659793813</v>
      </c>
      <c r="K36" s="9">
        <f>'tab 15'!K36/'tab 14'!K36</f>
        <v>1880</v>
      </c>
      <c r="L36" s="9">
        <f>'tab 15'!L36/'tab 14'!L36</f>
        <v>2700</v>
      </c>
      <c r="M36" s="9">
        <f>'tab 15'!M36/'tab 14'!M36</f>
        <v>2558.0769230769229</v>
      </c>
      <c r="N36" s="9">
        <f>'tab 15'!N36/'tab 14'!N36</f>
        <v>3312.2231075697209</v>
      </c>
      <c r="O36" s="9"/>
    </row>
    <row r="37" spans="1:15" x14ac:dyDescent="0.2">
      <c r="A37" s="7">
        <v>2011</v>
      </c>
      <c r="B37" s="9">
        <f>'tab 15'!B37/'tab 14'!B37</f>
        <v>2950</v>
      </c>
      <c r="C37" s="9">
        <f>'tab 15'!C37/'tab 14'!C37</f>
        <v>3500</v>
      </c>
      <c r="D37" s="9">
        <f>'tab 15'!D37/'tab 14'!D37</f>
        <v>3625</v>
      </c>
      <c r="E37" s="9">
        <f>'tab 15'!E37/'tab 14'!E37</f>
        <v>3300</v>
      </c>
      <c r="F37" s="9">
        <f>'tab 15'!F37/'tab 14'!F37</f>
        <v>3451.2152777777778</v>
      </c>
      <c r="G37" s="9">
        <f>'tab 15'!G37/'tab 14'!G37</f>
        <v>2600</v>
      </c>
      <c r="H37" s="9">
        <f>'tab 15'!H37/'tab 14'!H37</f>
        <v>2680</v>
      </c>
      <c r="I37" s="9">
        <f>'tab 15'!I37/'tab 14'!I37</f>
        <v>3000</v>
      </c>
      <c r="J37" s="9">
        <f>'tab 15'!J37/'tab 14'!J37</f>
        <v>2683.5820895522388</v>
      </c>
      <c r="K37" s="9">
        <f>'tab 15'!K37/'tab 14'!K37</f>
        <v>4100</v>
      </c>
      <c r="L37" s="9">
        <f>'tab 15'!L37/'tab 14'!L37</f>
        <v>3600</v>
      </c>
      <c r="M37" s="9">
        <f>'tab 15'!M37/'tab 14'!M37</f>
        <v>3678.125</v>
      </c>
      <c r="N37" s="9">
        <f>'tab 15'!N37/'tab 14'!N37</f>
        <v>3385.7023875624654</v>
      </c>
      <c r="O37" s="9"/>
    </row>
    <row r="38" spans="1:15" x14ac:dyDescent="0.2">
      <c r="A38" s="7">
        <v>2012</v>
      </c>
      <c r="B38" s="9">
        <f>'tab 15'!B38/'tab 14'!B38</f>
        <v>4000</v>
      </c>
      <c r="C38" s="9">
        <f>'tab 15'!C38/'tab 14'!C38</f>
        <v>3900</v>
      </c>
      <c r="D38" s="9">
        <f>'tab 15'!D38/'tab 14'!D38</f>
        <v>4580</v>
      </c>
      <c r="E38" s="9">
        <f>'tab 15'!E38/'tab 14'!E38</f>
        <v>3900</v>
      </c>
      <c r="F38" s="9">
        <f>'tab 15'!F38/'tab 14'!F38</f>
        <v>4317.5384615384619</v>
      </c>
      <c r="G38" s="9">
        <f>'tab 15'!G38/'tab 14'!G38</f>
        <v>3650</v>
      </c>
      <c r="H38" s="9">
        <f>'tab 15'!H38/'tab 14'!H38</f>
        <v>3600</v>
      </c>
      <c r="I38" s="9">
        <f>'tab 15'!I38/'tab 14'!I38</f>
        <v>2600</v>
      </c>
      <c r="J38" s="9">
        <f>'tab 15'!J38/'tab 14'!J38</f>
        <v>3550</v>
      </c>
      <c r="K38" s="9">
        <f>'tab 15'!K38/'tab 14'!K38</f>
        <v>4100</v>
      </c>
      <c r="L38" s="9">
        <f>'tab 15'!L38/'tab 14'!L38</f>
        <v>4030</v>
      </c>
      <c r="M38" s="9">
        <f>'tab 15'!M38/'tab 14'!M38</f>
        <v>4041.1111111111113</v>
      </c>
      <c r="N38" s="9">
        <f>'tab 15'!N38/'tab 14'!N38</f>
        <v>4210.6483790523689</v>
      </c>
      <c r="O38" s="9"/>
    </row>
    <row r="39" spans="1:15" x14ac:dyDescent="0.2">
      <c r="A39" s="7">
        <v>2013</v>
      </c>
      <c r="B39" s="9">
        <f>'tab 15'!B39/'tab 14'!B39</f>
        <v>3550</v>
      </c>
      <c r="C39" s="9">
        <f>'tab 15'!C39/'tab 14'!C39</f>
        <v>3950</v>
      </c>
      <c r="D39" s="9">
        <f>'tab 15'!D39/'tab 14'!D39</f>
        <v>4430</v>
      </c>
      <c r="E39" s="9">
        <f>'tab 15'!E39/'tab 14'!E39</f>
        <v>3500</v>
      </c>
      <c r="F39" s="9">
        <f>'tab 15'!F39/'tab 14'!F39</f>
        <v>4081.4267990074441</v>
      </c>
      <c r="G39" s="9">
        <f>'tab 15'!G39/'tab 14'!G39</f>
        <v>3700</v>
      </c>
      <c r="H39" s="9">
        <f>'tab 15'!H39/'tab 14'!H39</f>
        <v>3620</v>
      </c>
      <c r="I39" s="9">
        <f>'tab 15'!I39/'tab 14'!I39</f>
        <v>3100</v>
      </c>
      <c r="J39" s="9">
        <f>'tab 15'!J39/'tab 14'!J39</f>
        <v>3603.1428571428573</v>
      </c>
      <c r="K39" s="9">
        <f>'tab 15'!K39/'tab 14'!K39</f>
        <v>3950</v>
      </c>
      <c r="L39" s="9">
        <f>'tab 15'!L39/'tab 14'!L39</f>
        <v>3900</v>
      </c>
      <c r="M39" s="9">
        <f>'tab 15'!M39/'tab 14'!M39</f>
        <v>3908.2474226804125</v>
      </c>
      <c r="N39" s="9">
        <f>'tab 15'!N39/'tab 14'!N39</f>
        <v>4001.1217641418984</v>
      </c>
      <c r="O39" s="9"/>
    </row>
    <row r="40" spans="1:15" x14ac:dyDescent="0.2">
      <c r="A40" s="7">
        <v>2014</v>
      </c>
      <c r="B40" s="9">
        <f>'tab 15'!B40/'tab 14'!B40</f>
        <v>3150</v>
      </c>
      <c r="C40" s="9">
        <f>'tab 15'!C40/'tab 14'!C40</f>
        <v>4000</v>
      </c>
      <c r="D40" s="9">
        <f>'tab 15'!D40/'tab 14'!D40</f>
        <v>4135</v>
      </c>
      <c r="E40" s="9">
        <f>'tab 15'!E40/'tab 14'!E40</f>
        <v>3800</v>
      </c>
      <c r="F40" s="9">
        <f>'tab 15'!F40/'tab 14'!F40</f>
        <v>3916.5402621722847</v>
      </c>
      <c r="G40" s="9">
        <f>'tab 15'!G40/'tab 14'!G40</f>
        <v>4000</v>
      </c>
      <c r="H40" s="9">
        <f>'tab 15'!H40/'tab 14'!H40</f>
        <v>3620</v>
      </c>
      <c r="I40" s="9">
        <f>'tab 15'!I40/'tab 14'!I40</f>
        <v>3500</v>
      </c>
      <c r="J40" s="9">
        <f>'tab 15'!J40/'tab 14'!J40</f>
        <v>3645.5438596491226</v>
      </c>
      <c r="K40" s="9">
        <f>'tab 15'!K40/'tab 14'!K40</f>
        <v>4450</v>
      </c>
      <c r="L40" s="9">
        <f>'tab 15'!L40/'tab 14'!L40</f>
        <v>4320</v>
      </c>
      <c r="M40" s="9">
        <f>'tab 15'!M40/'tab 14'!M40</f>
        <v>4342.0535714285716</v>
      </c>
      <c r="N40" s="9">
        <f>'tab 15'!N40/'tab 14'!N40</f>
        <v>3923.3761814744803</v>
      </c>
      <c r="O40" s="9"/>
    </row>
    <row r="41" spans="1:15" x14ac:dyDescent="0.2">
      <c r="A41" s="7">
        <v>2015</v>
      </c>
      <c r="B41" s="9">
        <f>'tab 15'!B41/'tab 14'!B41</f>
        <v>3250</v>
      </c>
      <c r="C41" s="9">
        <f>'tab 15'!C41/'tab 14'!C41</f>
        <v>3600</v>
      </c>
      <c r="D41" s="9">
        <f>'tab 15'!D41/'tab 14'!D41</f>
        <v>4330</v>
      </c>
      <c r="E41" s="9">
        <f>'tab 15'!E41/'tab 14'!E41</f>
        <v>3200</v>
      </c>
      <c r="F41" s="9">
        <f>'tab 15'!F41/'tab 14'!F41</f>
        <v>3961.8416927899689</v>
      </c>
      <c r="G41" s="9">
        <f>'tab 15'!G41/'tab 14'!G41</f>
        <v>3400</v>
      </c>
      <c r="H41" s="9">
        <f>'tab 15'!H41/'tab 14'!H41</f>
        <v>3200</v>
      </c>
      <c r="I41" s="9">
        <f>'tab 15'!I41/'tab 14'!I41</f>
        <v>3130</v>
      </c>
      <c r="J41" s="9">
        <f>'tab 15'!J41/'tab 14'!J41</f>
        <v>3208.1442146450531</v>
      </c>
      <c r="K41" s="9">
        <f>'tab 15'!K41/'tab 14'!K41</f>
        <v>3650</v>
      </c>
      <c r="L41" s="9">
        <f>'tab 15'!L41/'tab 14'!L41</f>
        <v>3480</v>
      </c>
      <c r="M41" s="9">
        <f>'tab 15'!M41/'tab 14'!M41</f>
        <v>3510.4716981132074</v>
      </c>
      <c r="N41" s="9">
        <f>'tab 15'!N41/'tab 14'!N41</f>
        <v>3844.8055608943555</v>
      </c>
      <c r="O41" s="9"/>
    </row>
    <row r="42" spans="1:15" x14ac:dyDescent="0.2">
      <c r="A42" s="7">
        <v>2016</v>
      </c>
      <c r="B42" s="9">
        <f>'tab 15'!B42/'tab 14'!B42</f>
        <v>3600</v>
      </c>
      <c r="C42" s="9">
        <f>'tab 15'!C42/'tab 14'!C42</f>
        <v>3800</v>
      </c>
      <c r="D42" s="9">
        <f>'tab 15'!D42/'tab 14'!D42</f>
        <v>3900</v>
      </c>
      <c r="E42" s="9">
        <f>'tab 15'!E42/'tab 14'!E42</f>
        <v>3200</v>
      </c>
      <c r="F42" s="9">
        <f>'tab 15'!F42/'tab 14'!F42</f>
        <v>3783.0479452054797</v>
      </c>
      <c r="G42" s="9">
        <f>'tab 15'!G42/'tab 14'!G42</f>
        <v>3700</v>
      </c>
      <c r="H42" s="9">
        <f>'tab 15'!H42/'tab 14'!H42</f>
        <v>2730</v>
      </c>
      <c r="I42" s="9">
        <f>'tab 15'!I42/'tab 14'!I42</f>
        <v>2800</v>
      </c>
      <c r="J42" s="9">
        <f>'tab 15'!J42/'tab 14'!J42</f>
        <v>2971.1693548387098</v>
      </c>
      <c r="K42" s="9">
        <f>'tab 15'!K42/'tab 14'!K42</f>
        <v>3650</v>
      </c>
      <c r="L42" s="9">
        <f>'tab 15'!L42/'tab 14'!L42</f>
        <v>3530</v>
      </c>
      <c r="M42" s="9">
        <f>'tab 15'!M42/'tab 14'!M42</f>
        <v>3551</v>
      </c>
      <c r="N42" s="9">
        <f>'tab 15'!N42/'tab 14'!N42</f>
        <v>3633.8346354166665</v>
      </c>
      <c r="O42" s="9"/>
    </row>
    <row r="43" spans="1:15" x14ac:dyDescent="0.2">
      <c r="A43" s="7">
        <v>2017</v>
      </c>
      <c r="B43" s="9">
        <f>'tab 15'!B43/'tab 14'!B43</f>
        <v>3650</v>
      </c>
      <c r="C43" s="9">
        <f>'tab 15'!C43/'tab 14'!C43</f>
        <v>3450</v>
      </c>
      <c r="D43" s="9">
        <f>'tab 15'!D43/'tab 14'!D43</f>
        <v>4330</v>
      </c>
      <c r="E43" s="9">
        <f>'tab 15'!E43/'tab 14'!E43</f>
        <v>4000</v>
      </c>
      <c r="F43" s="9">
        <f>'tab 15'!F43/'tab 14'!F43</f>
        <v>4075.4765395894428</v>
      </c>
      <c r="G43" s="9">
        <f>'tab 15'!G43/'tab 14'!G43</f>
        <v>3780</v>
      </c>
      <c r="H43" s="9">
        <f>'tab 15'!H43/'tab 14'!H43</f>
        <v>3320</v>
      </c>
      <c r="I43" s="9">
        <f>'tab 15'!I43/'tab 14'!I43</f>
        <v>3500</v>
      </c>
      <c r="J43" s="9">
        <f>'tab 15'!J43/'tab 14'!J43</f>
        <v>3575.7847533632284</v>
      </c>
      <c r="K43" s="9">
        <f>'tab 15'!K43/'tab 14'!K43</f>
        <v>4440</v>
      </c>
      <c r="L43" s="9">
        <f>'tab 15'!L43/'tab 14'!L43</f>
        <v>4100</v>
      </c>
      <c r="M43" s="9">
        <f>'tab 15'!M43/'tab 14'!M43</f>
        <v>4163.75</v>
      </c>
      <c r="N43" s="9">
        <f>'tab 15'!N43/'tab 14'!N43</f>
        <v>4007.3271006983555</v>
      </c>
      <c r="O43" s="9"/>
    </row>
    <row r="44" spans="1:15" x14ac:dyDescent="0.2">
      <c r="A44" s="7">
        <v>2018</v>
      </c>
      <c r="B44" s="9">
        <f>'tab 15'!B44/'tab 14'!B44</f>
        <v>3550</v>
      </c>
      <c r="C44" s="9">
        <f>'tab 15'!C44/'tab 14'!C44</f>
        <v>3950</v>
      </c>
      <c r="D44" s="9">
        <f>'tab 15'!D44/'tab 14'!D44</f>
        <v>4390</v>
      </c>
      <c r="E44" s="9">
        <f>'tab 15'!E44/'tab 14'!E44</f>
        <v>3400</v>
      </c>
      <c r="F44" s="9">
        <f>'tab 15'!F44/'tab 14'!F44</f>
        <v>4118.0150517403572</v>
      </c>
      <c r="G44" s="9">
        <f>'tab 15'!G44/'tab 14'!G44</f>
        <v>3070</v>
      </c>
      <c r="H44" s="9">
        <f>'tab 15'!H44/'tab 14'!H44</f>
        <v>3200</v>
      </c>
      <c r="I44" s="9">
        <f>'tab 15'!I44/'tab 14'!I44</f>
        <v>2850</v>
      </c>
      <c r="J44" s="9">
        <f>'tab 15'!J44/'tab 14'!J44</f>
        <v>3386.8700265251991</v>
      </c>
      <c r="K44" s="9">
        <f>'tab 15'!K44/'tab 14'!K44</f>
        <v>4200</v>
      </c>
      <c r="L44" s="9">
        <f>'tab 15'!L44/'tab 14'!L44</f>
        <v>3870</v>
      </c>
      <c r="M44" s="9">
        <f>'tab 15'!M44/'tab 14'!M44</f>
        <v>3934.9180327868853</v>
      </c>
      <c r="N44" s="9">
        <f>'tab 15'!N44/'tab 14'!N44</f>
        <v>4001.4088096104842</v>
      </c>
      <c r="O44" s="9"/>
    </row>
    <row r="45" spans="1:15" x14ac:dyDescent="0.2">
      <c r="A45" s="7">
        <v>2019</v>
      </c>
      <c r="B45" s="9">
        <f>'tab 15'!B45/'tab 14'!B45</f>
        <v>3350</v>
      </c>
      <c r="C45" s="9">
        <f>'tab 15'!C45/'tab 14'!C45</f>
        <v>3800</v>
      </c>
      <c r="D45" s="9">
        <f>'tab 15'!D45/'tab 14'!D45</f>
        <v>4170</v>
      </c>
      <c r="E45" s="9">
        <f>'tab 15'!E45/'tab 14'!E45</f>
        <v>3800</v>
      </c>
      <c r="F45" s="9">
        <f>'tab 15'!F45/'tab 14'!F45</f>
        <v>3969.0114068441067</v>
      </c>
      <c r="G45" s="9">
        <f>'tab 15'!G45/'tab 14'!G45</f>
        <v>4000</v>
      </c>
      <c r="H45" s="9">
        <f>'tab 15'!H45/'tab 14'!H45</f>
        <v>3050</v>
      </c>
      <c r="I45" s="9">
        <f>'tab 15'!I45/'tab 14'!I45</f>
        <v>3210</v>
      </c>
      <c r="J45" s="9">
        <f>'tab 15'!J45/'tab 14'!J45</f>
        <v>3451.5210203117622</v>
      </c>
      <c r="K45" s="9">
        <f>'tab 15'!K45/'tab 14'!K45</f>
        <v>4650</v>
      </c>
      <c r="L45" s="9">
        <f>'tab 15'!L45/'tab 14'!L45</f>
        <v>4400</v>
      </c>
      <c r="M45" s="9">
        <f>'tab 15'!M45/'tab 14'!M45</f>
        <v>4447.6190476190477</v>
      </c>
      <c r="N45" s="9">
        <f>'tab 15'!N45/'tab 14'!N45</f>
        <v>3933.5734331150607</v>
      </c>
    </row>
    <row r="46" spans="1:15" x14ac:dyDescent="0.2">
      <c r="A46" s="7">
        <v>2020</v>
      </c>
      <c r="B46" s="9">
        <f>'tab 15'!B46/'tab 14'!B46</f>
        <v>3400</v>
      </c>
      <c r="C46" s="9">
        <f>'tab 15'!C46/'tab 14'!C46</f>
        <v>3400</v>
      </c>
      <c r="D46" s="9">
        <f>'tab 15'!D46/'tab 14'!D46</f>
        <v>4120</v>
      </c>
      <c r="E46" s="9">
        <f>'tab 15'!E46/'tab 14'!E46</f>
        <v>3700</v>
      </c>
      <c r="F46" s="9">
        <f>'tab 15'!F46/'tab 14'!F46</f>
        <v>3898.0891719745223</v>
      </c>
      <c r="G46" s="9">
        <f>'tab 15'!G46/'tab 14'!G46</f>
        <v>4220</v>
      </c>
      <c r="H46" s="9">
        <f>'tab 15'!H46/'tab 14'!H46</f>
        <v>2850</v>
      </c>
      <c r="I46" s="9">
        <f>'tab 15'!I46/'tab 14'!I46</f>
        <v>2850</v>
      </c>
      <c r="J46" s="9">
        <f>'tab 15'!J46/'tab 14'!J46</f>
        <v>3260.5633802816901</v>
      </c>
      <c r="K46" s="9">
        <f>'tab 15'!K46/'tab 14'!K46</f>
        <v>4150</v>
      </c>
      <c r="L46" s="9">
        <f>'tab 15'!L46/'tab 14'!L46</f>
        <v>3900</v>
      </c>
      <c r="M46" s="9">
        <f>'tab 15'!M46/'tab 14'!M46</f>
        <v>3951.1363636363635</v>
      </c>
      <c r="N46" s="9">
        <f>'tab 15'!N46/'tab 14'!N46</f>
        <v>3812.7476473501733</v>
      </c>
    </row>
    <row r="47" spans="1:15" x14ac:dyDescent="0.2">
      <c r="A47" s="7">
        <v>2021</v>
      </c>
      <c r="B47" s="9">
        <f>'tab 15'!B47/'tab 14'!B47</f>
        <v>3350</v>
      </c>
      <c r="C47" s="9">
        <f>'tab 15'!C47/'tab 14'!C47</f>
        <v>3700</v>
      </c>
      <c r="D47" s="9">
        <f>'tab 15'!D47/'tab 14'!D47</f>
        <v>4450</v>
      </c>
      <c r="E47" s="9">
        <f>'tab 15'!E47/'tab 14'!E47</f>
        <v>4200</v>
      </c>
      <c r="F47" s="9">
        <f>'tab 15'!F47/'tab 14'!F47</f>
        <v>4159.1645353793692</v>
      </c>
      <c r="G47" s="9">
        <f>'tab 15'!G47/'tab 14'!G47</f>
        <v>4450</v>
      </c>
      <c r="H47" s="9">
        <f>'tab 15'!H47/'tab 14'!H47</f>
        <v>3570</v>
      </c>
      <c r="I47" s="9">
        <f>'tab 15'!I47/'tab 14'!I47</f>
        <v>2310</v>
      </c>
      <c r="J47" s="9">
        <f>'tab 15'!J47/'tab 14'!J47</f>
        <v>3790.8157776781713</v>
      </c>
      <c r="K47" s="9">
        <f>'tab 15'!K47/'tab 14'!K47</f>
        <v>4700</v>
      </c>
      <c r="L47" s="9">
        <f>'tab 15'!L47/'tab 14'!L47</f>
        <v>4350</v>
      </c>
      <c r="M47" s="9">
        <f>'tab 15'!M47/'tab 14'!M47</f>
        <v>4422.916666666667</v>
      </c>
      <c r="N47" s="9">
        <f>'tab 15'!N47/'tab 14'!N47</f>
        <v>4130.4662034932799</v>
      </c>
    </row>
    <row r="48" spans="1:15" x14ac:dyDescent="0.2">
      <c r="A48" s="8">
        <v>2022</v>
      </c>
      <c r="B48" s="10">
        <f>'tab 15'!B48/'tab 14'!B48</f>
        <v>3450</v>
      </c>
      <c r="C48" s="10">
        <f>'tab 15'!C48/'tab 14'!C48</f>
        <v>3900</v>
      </c>
      <c r="D48" s="10">
        <f>'tab 15'!D48/'tab 14'!D48</f>
        <v>4250</v>
      </c>
      <c r="E48" s="10">
        <f>'tab 15'!E48/'tab 14'!E48</f>
        <v>4200</v>
      </c>
      <c r="F48" s="10">
        <f>'tab 15'!F48/'tab 14'!F48</f>
        <v>4081.8949343339586</v>
      </c>
      <c r="G48" s="10">
        <f>'tab 15'!G48/'tab 14'!G48</f>
        <v>3650</v>
      </c>
      <c r="H48" s="10">
        <f>'tab 15'!H48/'tab 14'!H48</f>
        <v>2800</v>
      </c>
      <c r="I48" s="10">
        <f>'tab 15'!I48/'tab 14'!I48</f>
        <v>2500</v>
      </c>
      <c r="J48" s="10">
        <f>'tab 15'!J48/'tab 14'!J48</f>
        <v>3309.2930444697831</v>
      </c>
      <c r="K48" s="10">
        <f>'tab 15'!K48/'tab 14'!K48</f>
        <v>4500</v>
      </c>
      <c r="L48" s="10">
        <f>'tab 15'!L48/'tab 14'!L48</f>
        <v>4400</v>
      </c>
      <c r="M48" s="10">
        <f>'tab 15'!M48/'tab 14'!M48</f>
        <v>4419.4444444444443</v>
      </c>
      <c r="N48" s="10">
        <f>'tab 15'!N48/'tab 14'!N48</f>
        <v>4019.1641403204849</v>
      </c>
    </row>
    <row r="49" spans="1:15" x14ac:dyDescent="0.2">
      <c r="A49" s="7" t="s">
        <v>167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3"/>
      <c r="O49" s="17"/>
    </row>
    <row r="50" spans="1:15" x14ac:dyDescent="0.2">
      <c r="A50" s="15" t="s">
        <v>111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5" x14ac:dyDescent="0.2">
      <c r="A51" t="s">
        <v>183</v>
      </c>
    </row>
    <row r="52" spans="1:15" x14ac:dyDescent="0.2">
      <c r="L52" s="51"/>
      <c r="M52" s="51"/>
      <c r="N52" s="51" t="s">
        <v>178</v>
      </c>
    </row>
  </sheetData>
  <pageMargins left="0.7" right="0.7" top="0.75" bottom="0.75" header="0.3" footer="0.3"/>
  <pageSetup scale="98" firstPageNumber="16" orientation="portrait" useFirstPageNumber="1" r:id="rId1"/>
  <headerFooter alignWithMargins="0">
    <oddFooter>&amp;C&amp;P
Oil Crops Yearbook/OCS-2020
March 2020
Economic Research Service, USDA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BA319C043DC4A8381C9E195FB1B27" ma:contentTypeVersion="4" ma:contentTypeDescription="Create a new document." ma:contentTypeScope="" ma:versionID="6b1a0caf0774e32845426cb3810d65d2">
  <xsd:schema xmlns:xsd="http://www.w3.org/2001/XMLSchema" xmlns:xs="http://www.w3.org/2001/XMLSchema" xmlns:p="http://schemas.microsoft.com/office/2006/metadata/properties" xmlns:ns2="c49de858-f9fd-4eb6-bcba-50396646711f" xmlns:ns3="7818c5c2-d41f-4dce-801c-4e3595afcb3f" targetNamespace="http://schemas.microsoft.com/office/2006/metadata/properties" ma:root="true" ma:fieldsID="7ed9e12bf1f8304dab8bd3f843b3f685" ns2:_="" ns3:_="">
    <xsd:import namespace="c49de858-f9fd-4eb6-bcba-50396646711f"/>
    <xsd:import namespace="7818c5c2-d41f-4dce-801c-4e3595afcb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de858-f9fd-4eb6-bcba-5039664671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18c5c2-d41f-4dce-801c-4e3595afcb3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D3A4BC-10CD-421A-9A34-8AE710E38C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5E9EC5-E56C-4F46-B2E2-EDA6A54286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de858-f9fd-4eb6-bcba-50396646711f"/>
    <ds:schemaRef ds:uri="7818c5c2-d41f-4dce-801c-4e3595afcb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07B1ED-5D3A-4952-84FC-23ECBD02EB28}">
  <ds:schemaRefs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  <ds:schemaRef ds:uri="7818c5c2-d41f-4dce-801c-4e3595afcb3f"/>
    <ds:schemaRef ds:uri="c49de858-f9fd-4eb6-bcba-50396646711f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Contents</vt:lpstr>
      <vt:lpstr>tab 10</vt:lpstr>
      <vt:lpstr>tab 11</vt:lpstr>
      <vt:lpstr>tab 12</vt:lpstr>
      <vt:lpstr>tab 13</vt:lpstr>
      <vt:lpstr>tab 14</vt:lpstr>
      <vt:lpstr>tab 15</vt:lpstr>
      <vt:lpstr>tab 16</vt:lpstr>
      <vt:lpstr>'tab 10'!Print_Area</vt:lpstr>
      <vt:lpstr>'tab 11'!Print_Area</vt:lpstr>
      <vt:lpstr>'tab 12'!Print_Area</vt:lpstr>
      <vt:lpstr>'tab 13'!Print_Area</vt:lpstr>
      <vt:lpstr>'tab 14'!Print_Area</vt:lpstr>
      <vt:lpstr>'tab 15'!Print_Area</vt:lpstr>
      <vt:lpstr>'tab 16'!Print_Area</vt:lpstr>
      <vt:lpstr>'tab 10'!Print_Titles</vt:lpstr>
      <vt:lpstr>'tab 11'!Print_Titles</vt:lpstr>
      <vt:lpstr>'tab 12'!Print_Titles</vt:lpstr>
      <vt:lpstr>'tab 13'!Print_Titles</vt:lpstr>
      <vt:lpstr>'tab 14'!Print_Titles</vt:lpstr>
      <vt:lpstr>'tab 15'!Print_Titles</vt:lpstr>
      <vt:lpstr>'tab 16'!Print_Titles</vt:lpstr>
    </vt:vector>
  </TitlesOfParts>
  <Manager/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Oil Crops Yearbook: Peanuts</dc:title>
  <dc:subject>Agricultural economics</dc:subject>
  <dc:creator>Aaron Ates; Maria Bukowski</dc:creator>
  <cp:keywords>oil crops, peanuts</cp:keywords>
  <dc:description/>
  <cp:lastModifiedBy>Bukowski, Maria - REE-ERS</cp:lastModifiedBy>
  <cp:lastPrinted>2021-05-10T14:46:56Z</cp:lastPrinted>
  <dcterms:created xsi:type="dcterms:W3CDTF">2020-03-23T18:32:41Z</dcterms:created>
  <dcterms:modified xsi:type="dcterms:W3CDTF">2023-03-24T21:30:00Z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0x0101003EDBA319C043DC4A8381C9E195FB1B27</vt:lpwstr>
  </property>
</Properties>
</file>