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0" documentId="13_ncr:1_{BD103BA8-CA56-406D-8C17-6BBAACFB69BE}" xr6:coauthVersionLast="47" xr6:coauthVersionMax="47" xr10:uidLastSave="{7D1337CE-776E-49BC-BF15-07CFB4BEB6ED}"/>
  <bookViews>
    <workbookView xWindow="-108" yWindow="-108" windowWidth="23256" windowHeight="12576" xr2:uid="{37A4DB02-04BA-4A98-95A7-65BB00E2D09B}"/>
  </bookViews>
  <sheets>
    <sheet name="Contents" sheetId="11" r:id="rId1"/>
    <sheet name="tab01" sheetId="12" r:id="rId2"/>
    <sheet name="tab02" sheetId="13" r:id="rId3"/>
    <sheet name="tab3" sheetId="14" r:id="rId4"/>
    <sheet name="tab4" sheetId="15" r:id="rId5"/>
    <sheet name="tab5" sheetId="16" r:id="rId6"/>
    <sheet name="tab6" sheetId="17" r:id="rId7"/>
    <sheet name="tab7" sheetId="18" r:id="rId8"/>
    <sheet name="tab8" sheetId="19" r:id="rId9"/>
    <sheet name="tab 9" sheetId="20" r:id="rId10"/>
  </sheets>
  <definedNames>
    <definedName name="_xlnm.Print_Area" localSheetId="9">'tab 9'!$B$84:$O$143</definedName>
    <definedName name="_xlnm.Print_Area" localSheetId="1">'tab01'!$B$41:$D$145</definedName>
    <definedName name="_xlnm.Print_Area" localSheetId="2">'tab02'!$B$5:$G$54</definedName>
    <definedName name="_xlnm.Print_Area" localSheetId="3">'tab3'!$B$8:$K$54</definedName>
    <definedName name="_xlnm.Print_Area" localSheetId="4">'tab4'!$B$8:$J$55</definedName>
    <definedName name="_xlnm.Print_Area" localSheetId="5">'tab5'!$B$7:$K$59</definedName>
    <definedName name="_xlnm.Print_Area" localSheetId="6">'tab6'!$B$112:$J$195</definedName>
    <definedName name="_xlnm.Print_Area" localSheetId="7">'tab7'!$B$63:$I$122</definedName>
    <definedName name="_xlnm.Print_Area" localSheetId="8">'tab8'!$B$63:$J$122</definedName>
    <definedName name="_xlnm.Print_Titles" localSheetId="9">'tab 9'!$A:$A,'tab 9'!$1:$7</definedName>
    <definedName name="_xlnm.Print_Titles" localSheetId="1">'tab01'!$A:$A,'tab01'!$1:$3</definedName>
    <definedName name="_xlnm.Print_Titles" localSheetId="2">'tab02'!$A:$A,'tab02'!$1:$4</definedName>
    <definedName name="_xlnm.Print_Titles" localSheetId="3">'tab3'!$A:$A,'tab3'!$1:$6</definedName>
    <definedName name="_xlnm.Print_Titles" localSheetId="4">'tab4'!$A:$A,'tab4'!$1:$6</definedName>
    <definedName name="_xlnm.Print_Titles" localSheetId="5">'tab5'!$A:$A,'tab5'!$1:$5</definedName>
    <definedName name="_xlnm.Print_Titles" localSheetId="6">'tab6'!$A:$A,'tab6'!$1:$6</definedName>
    <definedName name="_xlnm.Print_Titles" localSheetId="7">'tab7'!$A:$A,'tab7'!$1:$6</definedName>
    <definedName name="_xlnm.Print_Titles" localSheetId="8">'tab8'!$A:$A,'tab8'!$1:$6</definedName>
    <definedName name="WASDE_Updated" localSheetId="0">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0" i="20" l="1"/>
  <c r="I180" i="20"/>
  <c r="H180" i="20"/>
  <c r="J180" i="20" s="1"/>
  <c r="F180" i="20"/>
  <c r="E180" i="20"/>
  <c r="G180" i="20" s="1"/>
  <c r="C180" i="20"/>
  <c r="B180" i="20"/>
  <c r="D180" i="20" s="1"/>
  <c r="J179" i="20"/>
  <c r="H179" i="20"/>
  <c r="G179" i="20"/>
  <c r="E179" i="20"/>
  <c r="D179" i="20"/>
  <c r="B179" i="20"/>
  <c r="H178" i="20"/>
  <c r="J178" i="20" s="1"/>
  <c r="G178" i="20"/>
  <c r="E178" i="20"/>
  <c r="D178" i="20"/>
  <c r="B178" i="20"/>
  <c r="H177" i="20"/>
  <c r="J177" i="20" s="1"/>
  <c r="E177" i="20"/>
  <c r="G177" i="20" s="1"/>
  <c r="D177" i="20"/>
  <c r="B177" i="20"/>
  <c r="J176" i="20"/>
  <c r="H176" i="20"/>
  <c r="E176" i="20"/>
  <c r="G176" i="20" s="1"/>
  <c r="B176" i="20"/>
  <c r="D176" i="20" s="1"/>
  <c r="K176" i="20" s="1"/>
  <c r="O176" i="20" s="1"/>
  <c r="J175" i="20"/>
  <c r="H175" i="20"/>
  <c r="G175" i="20"/>
  <c r="E175" i="20"/>
  <c r="B175" i="20"/>
  <c r="D175" i="20" s="1"/>
  <c r="K175" i="20" s="1"/>
  <c r="O175" i="20" s="1"/>
  <c r="J174" i="20"/>
  <c r="H174" i="20"/>
  <c r="G174" i="20"/>
  <c r="E174" i="20"/>
  <c r="D174" i="20"/>
  <c r="B174" i="20"/>
  <c r="J173" i="20"/>
  <c r="H173" i="20"/>
  <c r="G173" i="20"/>
  <c r="E173" i="20"/>
  <c r="D173" i="20"/>
  <c r="B173" i="20"/>
  <c r="H172" i="20"/>
  <c r="J172" i="20" s="1"/>
  <c r="G172" i="20"/>
  <c r="E172" i="20"/>
  <c r="D172" i="20"/>
  <c r="B172" i="20"/>
  <c r="H171" i="20"/>
  <c r="J171" i="20" s="1"/>
  <c r="E171" i="20"/>
  <c r="G171" i="20" s="1"/>
  <c r="D171" i="20"/>
  <c r="B171" i="20"/>
  <c r="O170" i="20"/>
  <c r="L170" i="20"/>
  <c r="J170" i="20"/>
  <c r="H170" i="20"/>
  <c r="E170" i="20"/>
  <c r="G170" i="20" s="1"/>
  <c r="B170" i="20"/>
  <c r="D170" i="20" s="1"/>
  <c r="K170" i="20" s="1"/>
  <c r="J169" i="20"/>
  <c r="H169" i="20"/>
  <c r="G169" i="20"/>
  <c r="E169" i="20"/>
  <c r="B169" i="20"/>
  <c r="D169" i="20" s="1"/>
  <c r="K169" i="20" s="1"/>
  <c r="O169" i="20" s="1"/>
  <c r="J168" i="20"/>
  <c r="E168" i="20"/>
  <c r="G168" i="20" s="1"/>
  <c r="B168" i="20"/>
  <c r="D168" i="20" s="1"/>
  <c r="N166" i="20"/>
  <c r="I166" i="20"/>
  <c r="H166" i="20"/>
  <c r="J166" i="20" s="1"/>
  <c r="F166" i="20"/>
  <c r="E166" i="20"/>
  <c r="G166" i="20" s="1"/>
  <c r="C166" i="20"/>
  <c r="B166" i="20"/>
  <c r="D166" i="20" s="1"/>
  <c r="H165" i="20"/>
  <c r="J165" i="20" s="1"/>
  <c r="E165" i="20"/>
  <c r="G165" i="20" s="1"/>
  <c r="B165" i="20"/>
  <c r="D165" i="20" s="1"/>
  <c r="H164" i="20"/>
  <c r="J164" i="20" s="1"/>
  <c r="E164" i="20"/>
  <c r="G164" i="20" s="1"/>
  <c r="B164" i="20"/>
  <c r="D164" i="20" s="1"/>
  <c r="J163" i="20"/>
  <c r="H163" i="20"/>
  <c r="E163" i="20"/>
  <c r="G163" i="20" s="1"/>
  <c r="B163" i="20"/>
  <c r="D163" i="20" s="1"/>
  <c r="H162" i="20"/>
  <c r="J162" i="20" s="1"/>
  <c r="G162" i="20"/>
  <c r="E162" i="20"/>
  <c r="B162" i="20"/>
  <c r="D162" i="20" s="1"/>
  <c r="H161" i="20"/>
  <c r="J161" i="20" s="1"/>
  <c r="E161" i="20"/>
  <c r="G161" i="20" s="1"/>
  <c r="K161" i="20" s="1"/>
  <c r="D161" i="20"/>
  <c r="B161" i="20"/>
  <c r="H160" i="20"/>
  <c r="J160" i="20" s="1"/>
  <c r="E160" i="20"/>
  <c r="G160" i="20" s="1"/>
  <c r="B160" i="20"/>
  <c r="D160" i="20" s="1"/>
  <c r="H159" i="20"/>
  <c r="J159" i="20" s="1"/>
  <c r="E159" i="20"/>
  <c r="G159" i="20" s="1"/>
  <c r="B159" i="20"/>
  <c r="D159" i="20" s="1"/>
  <c r="H158" i="20"/>
  <c r="J158" i="20" s="1"/>
  <c r="E158" i="20"/>
  <c r="G158" i="20" s="1"/>
  <c r="B158" i="20"/>
  <c r="D158" i="20" s="1"/>
  <c r="J157" i="20"/>
  <c r="H157" i="20"/>
  <c r="E157" i="20"/>
  <c r="G157" i="20" s="1"/>
  <c r="B157" i="20"/>
  <c r="D157" i="20" s="1"/>
  <c r="H156" i="20"/>
  <c r="J156" i="20" s="1"/>
  <c r="G156" i="20"/>
  <c r="E156" i="20"/>
  <c r="B156" i="20"/>
  <c r="D156" i="20" s="1"/>
  <c r="H155" i="20"/>
  <c r="J155" i="20" s="1"/>
  <c r="E155" i="20"/>
  <c r="G155" i="20" s="1"/>
  <c r="D155" i="20"/>
  <c r="B155" i="20"/>
  <c r="H154" i="20"/>
  <c r="J154" i="20" s="1"/>
  <c r="E154" i="20"/>
  <c r="G154" i="20" s="1"/>
  <c r="B154" i="20"/>
  <c r="D154" i="20" s="1"/>
  <c r="N152" i="20"/>
  <c r="J152" i="20"/>
  <c r="I152" i="20"/>
  <c r="H152" i="20"/>
  <c r="F152" i="20"/>
  <c r="E152" i="20"/>
  <c r="G152" i="20" s="1"/>
  <c r="C152" i="20"/>
  <c r="D152" i="20" s="1"/>
  <c r="B152" i="20"/>
  <c r="H151" i="20"/>
  <c r="J151" i="20" s="1"/>
  <c r="E151" i="20"/>
  <c r="G151" i="20" s="1"/>
  <c r="B151" i="20"/>
  <c r="D151" i="20" s="1"/>
  <c r="H150" i="20"/>
  <c r="J150" i="20" s="1"/>
  <c r="E150" i="20"/>
  <c r="G150" i="20" s="1"/>
  <c r="B150" i="20"/>
  <c r="D150" i="20" s="1"/>
  <c r="H149" i="20"/>
  <c r="J149" i="20" s="1"/>
  <c r="E149" i="20"/>
  <c r="G149" i="20" s="1"/>
  <c r="B149" i="20"/>
  <c r="D149" i="20" s="1"/>
  <c r="J148" i="20"/>
  <c r="H148" i="20"/>
  <c r="E148" i="20"/>
  <c r="G148" i="20" s="1"/>
  <c r="B148" i="20"/>
  <c r="D148" i="20" s="1"/>
  <c r="H147" i="20"/>
  <c r="J147" i="20" s="1"/>
  <c r="G147" i="20"/>
  <c r="E147" i="20"/>
  <c r="B147" i="20"/>
  <c r="D147" i="20" s="1"/>
  <c r="H146" i="20"/>
  <c r="J146" i="20" s="1"/>
  <c r="E146" i="20"/>
  <c r="G146" i="20" s="1"/>
  <c r="D146" i="20"/>
  <c r="B146" i="20"/>
  <c r="H145" i="20"/>
  <c r="J145" i="20" s="1"/>
  <c r="E145" i="20"/>
  <c r="G145" i="20" s="1"/>
  <c r="B145" i="20"/>
  <c r="D145" i="20" s="1"/>
  <c r="H144" i="20"/>
  <c r="J144" i="20" s="1"/>
  <c r="E144" i="20"/>
  <c r="G144" i="20" s="1"/>
  <c r="B144" i="20"/>
  <c r="D144" i="20" s="1"/>
  <c r="H143" i="20"/>
  <c r="J143" i="20" s="1"/>
  <c r="E143" i="20"/>
  <c r="G143" i="20" s="1"/>
  <c r="B143" i="20"/>
  <c r="D143" i="20" s="1"/>
  <c r="J142" i="20"/>
  <c r="H142" i="20"/>
  <c r="E142" i="20"/>
  <c r="G142" i="20" s="1"/>
  <c r="B142" i="20"/>
  <c r="D142" i="20" s="1"/>
  <c r="H141" i="20"/>
  <c r="J141" i="20" s="1"/>
  <c r="G141" i="20"/>
  <c r="E141" i="20"/>
  <c r="B141" i="20"/>
  <c r="D141" i="20" s="1"/>
  <c r="H140" i="20"/>
  <c r="J140" i="20" s="1"/>
  <c r="E140" i="20"/>
  <c r="G140" i="20" s="1"/>
  <c r="D140" i="20"/>
  <c r="B140" i="20"/>
  <c r="N138" i="20"/>
  <c r="J138" i="20"/>
  <c r="I138" i="20"/>
  <c r="H138" i="20"/>
  <c r="F138" i="20"/>
  <c r="E138" i="20"/>
  <c r="G138" i="20" s="1"/>
  <c r="C138" i="20"/>
  <c r="B138" i="20"/>
  <c r="D138" i="20" s="1"/>
  <c r="H137" i="20"/>
  <c r="J137" i="20" s="1"/>
  <c r="E137" i="20"/>
  <c r="G137" i="20" s="1"/>
  <c r="D137" i="20"/>
  <c r="B137" i="20"/>
  <c r="K136" i="20"/>
  <c r="O136" i="20" s="1"/>
  <c r="H136" i="20"/>
  <c r="J136" i="20" s="1"/>
  <c r="E136" i="20"/>
  <c r="G136" i="20" s="1"/>
  <c r="B136" i="20"/>
  <c r="D136" i="20" s="1"/>
  <c r="H135" i="20"/>
  <c r="J135" i="20" s="1"/>
  <c r="E135" i="20"/>
  <c r="G135" i="20" s="1"/>
  <c r="B135" i="20"/>
  <c r="D135" i="20" s="1"/>
  <c r="H134" i="20"/>
  <c r="J134" i="20" s="1"/>
  <c r="E134" i="20"/>
  <c r="G134" i="20" s="1"/>
  <c r="B134" i="20"/>
  <c r="D134" i="20" s="1"/>
  <c r="J133" i="20"/>
  <c r="H133" i="20"/>
  <c r="E133" i="20"/>
  <c r="G133" i="20" s="1"/>
  <c r="B133" i="20"/>
  <c r="D133" i="20" s="1"/>
  <c r="H132" i="20"/>
  <c r="J132" i="20" s="1"/>
  <c r="G132" i="20"/>
  <c r="E132" i="20"/>
  <c r="B132" i="20"/>
  <c r="D132" i="20" s="1"/>
  <c r="H131" i="20"/>
  <c r="J131" i="20" s="1"/>
  <c r="E131" i="20"/>
  <c r="G131" i="20" s="1"/>
  <c r="D131" i="20"/>
  <c r="B131" i="20"/>
  <c r="H130" i="20"/>
  <c r="J130" i="20" s="1"/>
  <c r="E130" i="20"/>
  <c r="G130" i="20" s="1"/>
  <c r="B130" i="20"/>
  <c r="D130" i="20" s="1"/>
  <c r="H129" i="20"/>
  <c r="J129" i="20" s="1"/>
  <c r="E129" i="20"/>
  <c r="G129" i="20" s="1"/>
  <c r="B129" i="20"/>
  <c r="D129" i="20" s="1"/>
  <c r="H128" i="20"/>
  <c r="J128" i="20" s="1"/>
  <c r="E128" i="20"/>
  <c r="G128" i="20" s="1"/>
  <c r="B128" i="20"/>
  <c r="D128" i="20" s="1"/>
  <c r="J127" i="20"/>
  <c r="H127" i="20"/>
  <c r="E127" i="20"/>
  <c r="G127" i="20" s="1"/>
  <c r="B127" i="20"/>
  <c r="D127" i="20" s="1"/>
  <c r="H126" i="20"/>
  <c r="J126" i="20" s="1"/>
  <c r="G126" i="20"/>
  <c r="E126" i="20"/>
  <c r="B126" i="20"/>
  <c r="D126" i="20" s="1"/>
  <c r="N124" i="20"/>
  <c r="I124" i="20"/>
  <c r="H124" i="20"/>
  <c r="J124" i="20" s="1"/>
  <c r="G124" i="20"/>
  <c r="F124" i="20"/>
  <c r="E124" i="20"/>
  <c r="C124" i="20"/>
  <c r="B124" i="20"/>
  <c r="D124" i="20" s="1"/>
  <c r="H123" i="20"/>
  <c r="J123" i="20" s="1"/>
  <c r="G123" i="20"/>
  <c r="E123" i="20"/>
  <c r="B123" i="20"/>
  <c r="D123" i="20" s="1"/>
  <c r="K122" i="20"/>
  <c r="O122" i="20" s="1"/>
  <c r="H122" i="20"/>
  <c r="J122" i="20" s="1"/>
  <c r="M122" i="20" s="1"/>
  <c r="E122" i="20"/>
  <c r="G122" i="20" s="1"/>
  <c r="D122" i="20"/>
  <c r="B122" i="20"/>
  <c r="H121" i="20"/>
  <c r="J121" i="20" s="1"/>
  <c r="E121" i="20"/>
  <c r="G121" i="20" s="1"/>
  <c r="B121" i="20"/>
  <c r="D121" i="20" s="1"/>
  <c r="H120" i="20"/>
  <c r="J120" i="20" s="1"/>
  <c r="E120" i="20"/>
  <c r="G120" i="20" s="1"/>
  <c r="B120" i="20"/>
  <c r="D120" i="20" s="1"/>
  <c r="H119" i="20"/>
  <c r="J119" i="20" s="1"/>
  <c r="E119" i="20"/>
  <c r="G119" i="20" s="1"/>
  <c r="B119" i="20"/>
  <c r="D119" i="20" s="1"/>
  <c r="J118" i="20"/>
  <c r="H118" i="20"/>
  <c r="E118" i="20"/>
  <c r="G118" i="20" s="1"/>
  <c r="B118" i="20"/>
  <c r="D118" i="20" s="1"/>
  <c r="H117" i="20"/>
  <c r="J117" i="20" s="1"/>
  <c r="G117" i="20"/>
  <c r="E117" i="20"/>
  <c r="B117" i="20"/>
  <c r="D117" i="20" s="1"/>
  <c r="M116" i="20"/>
  <c r="K116" i="20"/>
  <c r="O116" i="20" s="1"/>
  <c r="H116" i="20"/>
  <c r="J116" i="20" s="1"/>
  <c r="E116" i="20"/>
  <c r="G116" i="20" s="1"/>
  <c r="D116" i="20"/>
  <c r="B116" i="20"/>
  <c r="H115" i="20"/>
  <c r="J115" i="20" s="1"/>
  <c r="E115" i="20"/>
  <c r="G115" i="20" s="1"/>
  <c r="B115" i="20"/>
  <c r="D115" i="20" s="1"/>
  <c r="H114" i="20"/>
  <c r="J114" i="20" s="1"/>
  <c r="E114" i="20"/>
  <c r="G114" i="20" s="1"/>
  <c r="B114" i="20"/>
  <c r="D114" i="20" s="1"/>
  <c r="H113" i="20"/>
  <c r="J113" i="20" s="1"/>
  <c r="E113" i="20"/>
  <c r="G113" i="20" s="1"/>
  <c r="B113" i="20"/>
  <c r="D113" i="20" s="1"/>
  <c r="J112" i="20"/>
  <c r="H112" i="20"/>
  <c r="E112" i="20"/>
  <c r="G112" i="20" s="1"/>
  <c r="B112" i="20"/>
  <c r="D112" i="20" s="1"/>
  <c r="J110" i="20"/>
  <c r="G110" i="20"/>
  <c r="F110" i="20"/>
  <c r="C110" i="20"/>
  <c r="B110" i="20"/>
  <c r="D110" i="20" s="1"/>
  <c r="J109" i="20"/>
  <c r="G109" i="20"/>
  <c r="B109" i="20"/>
  <c r="D109" i="20" s="1"/>
  <c r="J108" i="20"/>
  <c r="G108" i="20"/>
  <c r="B108" i="20"/>
  <c r="D108" i="20" s="1"/>
  <c r="J107" i="20"/>
  <c r="G107" i="20"/>
  <c r="B107" i="20"/>
  <c r="D107" i="20" s="1"/>
  <c r="J106" i="20"/>
  <c r="G106" i="20"/>
  <c r="B106" i="20"/>
  <c r="D106" i="20" s="1"/>
  <c r="J105" i="20"/>
  <c r="G105" i="20"/>
  <c r="B105" i="20"/>
  <c r="D105" i="20" s="1"/>
  <c r="J104" i="20"/>
  <c r="G104" i="20"/>
  <c r="B104" i="20"/>
  <c r="D104" i="20" s="1"/>
  <c r="M103" i="20"/>
  <c r="K103" i="20"/>
  <c r="O103" i="20" s="1"/>
  <c r="J103" i="20"/>
  <c r="G103" i="20"/>
  <c r="B103" i="20"/>
  <c r="D103" i="20" s="1"/>
  <c r="J102" i="20"/>
  <c r="G102" i="20"/>
  <c r="B102" i="20"/>
  <c r="D102" i="20" s="1"/>
  <c r="J101" i="20"/>
  <c r="G101" i="20"/>
  <c r="B101" i="20"/>
  <c r="D101" i="20" s="1"/>
  <c r="K100" i="20"/>
  <c r="O100" i="20" s="1"/>
  <c r="J100" i="20"/>
  <c r="G100" i="20"/>
  <c r="B100" i="20"/>
  <c r="D100" i="20" s="1"/>
  <c r="J99" i="20"/>
  <c r="G99" i="20"/>
  <c r="B99" i="20"/>
  <c r="D99" i="20" s="1"/>
  <c r="J98" i="20"/>
  <c r="G98" i="20"/>
  <c r="B98" i="20"/>
  <c r="D98" i="20" s="1"/>
  <c r="N96" i="20"/>
  <c r="I96" i="20"/>
  <c r="H96" i="20"/>
  <c r="J96" i="20" s="1"/>
  <c r="G96" i="20"/>
  <c r="F96" i="20"/>
  <c r="E96" i="20"/>
  <c r="C96" i="20"/>
  <c r="B96" i="20"/>
  <c r="D96" i="20" s="1"/>
  <c r="H95" i="20"/>
  <c r="J95" i="20" s="1"/>
  <c r="G95" i="20"/>
  <c r="E95" i="20"/>
  <c r="B95" i="20"/>
  <c r="D95" i="20" s="1"/>
  <c r="M94" i="20"/>
  <c r="K94" i="20"/>
  <c r="O94" i="20" s="1"/>
  <c r="H94" i="20"/>
  <c r="J94" i="20" s="1"/>
  <c r="E94" i="20"/>
  <c r="G94" i="20" s="1"/>
  <c r="B94" i="20"/>
  <c r="D94" i="20" s="1"/>
  <c r="H93" i="20"/>
  <c r="J93" i="20" s="1"/>
  <c r="E93" i="20"/>
  <c r="G93" i="20" s="1"/>
  <c r="B93" i="20"/>
  <c r="D93" i="20" s="1"/>
  <c r="H92" i="20"/>
  <c r="J92" i="20" s="1"/>
  <c r="E92" i="20"/>
  <c r="G92" i="20" s="1"/>
  <c r="B92" i="20"/>
  <c r="D92" i="20" s="1"/>
  <c r="H91" i="20"/>
  <c r="J91" i="20" s="1"/>
  <c r="E91" i="20"/>
  <c r="G91" i="20" s="1"/>
  <c r="B91" i="20"/>
  <c r="D91" i="20" s="1"/>
  <c r="H90" i="20"/>
  <c r="J90" i="20" s="1"/>
  <c r="E90" i="20"/>
  <c r="G90" i="20" s="1"/>
  <c r="B90" i="20"/>
  <c r="D90" i="20" s="1"/>
  <c r="H89" i="20"/>
  <c r="J89" i="20" s="1"/>
  <c r="E89" i="20"/>
  <c r="G89" i="20" s="1"/>
  <c r="B89" i="20"/>
  <c r="D89" i="20" s="1"/>
  <c r="H88" i="20"/>
  <c r="J88" i="20" s="1"/>
  <c r="E88" i="20"/>
  <c r="G88" i="20" s="1"/>
  <c r="K88" i="20" s="1"/>
  <c r="O88" i="20" s="1"/>
  <c r="B88" i="20"/>
  <c r="D88" i="20" s="1"/>
  <c r="H87" i="20"/>
  <c r="J87" i="20" s="1"/>
  <c r="E87" i="20"/>
  <c r="G87" i="20" s="1"/>
  <c r="B87" i="20"/>
  <c r="D87" i="20" s="1"/>
  <c r="H86" i="20"/>
  <c r="J86" i="20" s="1"/>
  <c r="E86" i="20"/>
  <c r="G86" i="20" s="1"/>
  <c r="B86" i="20"/>
  <c r="D86" i="20" s="1"/>
  <c r="H85" i="20"/>
  <c r="J85" i="20" s="1"/>
  <c r="E85" i="20"/>
  <c r="G85" i="20" s="1"/>
  <c r="B85" i="20"/>
  <c r="D85" i="20" s="1"/>
  <c r="H84" i="20"/>
  <c r="J84" i="20" s="1"/>
  <c r="E84" i="20"/>
  <c r="G84" i="20" s="1"/>
  <c r="B84" i="20"/>
  <c r="D84" i="20" s="1"/>
  <c r="N82" i="20"/>
  <c r="J82" i="20"/>
  <c r="I82" i="20"/>
  <c r="H82" i="20"/>
  <c r="F82" i="20"/>
  <c r="E82" i="20"/>
  <c r="G82" i="20" s="1"/>
  <c r="D82" i="20"/>
  <c r="C82" i="20"/>
  <c r="B82" i="20"/>
  <c r="H81" i="20"/>
  <c r="J81" i="20" s="1"/>
  <c r="E81" i="20"/>
  <c r="G81" i="20" s="1"/>
  <c r="B81" i="20"/>
  <c r="D81" i="20" s="1"/>
  <c r="H80" i="20"/>
  <c r="J80" i="20" s="1"/>
  <c r="E80" i="20"/>
  <c r="G80" i="20" s="1"/>
  <c r="B80" i="20"/>
  <c r="D80" i="20" s="1"/>
  <c r="H79" i="20"/>
  <c r="J79" i="20" s="1"/>
  <c r="E79" i="20"/>
  <c r="G79" i="20" s="1"/>
  <c r="B79" i="20"/>
  <c r="D79" i="20" s="1"/>
  <c r="H78" i="20"/>
  <c r="J78" i="20" s="1"/>
  <c r="E78" i="20"/>
  <c r="G78" i="20" s="1"/>
  <c r="B78" i="20"/>
  <c r="D78" i="20" s="1"/>
  <c r="H77" i="20"/>
  <c r="J77" i="20" s="1"/>
  <c r="E77" i="20"/>
  <c r="G77" i="20" s="1"/>
  <c r="B77" i="20"/>
  <c r="D77" i="20" s="1"/>
  <c r="H76" i="20"/>
  <c r="J76" i="20" s="1"/>
  <c r="E76" i="20"/>
  <c r="G76" i="20" s="1"/>
  <c r="B76" i="20"/>
  <c r="D76" i="20" s="1"/>
  <c r="K75" i="20"/>
  <c r="O75" i="20" s="1"/>
  <c r="H75" i="20"/>
  <c r="J75" i="20" s="1"/>
  <c r="E75" i="20"/>
  <c r="G75" i="20" s="1"/>
  <c r="B75" i="20"/>
  <c r="D75" i="20" s="1"/>
  <c r="H74" i="20"/>
  <c r="J74" i="20" s="1"/>
  <c r="E74" i="20"/>
  <c r="G74" i="20" s="1"/>
  <c r="B74" i="20"/>
  <c r="D74" i="20" s="1"/>
  <c r="K73" i="20"/>
  <c r="O73" i="20" s="1"/>
  <c r="H73" i="20"/>
  <c r="J73" i="20" s="1"/>
  <c r="E73" i="20"/>
  <c r="G73" i="20" s="1"/>
  <c r="M73" i="20" s="1"/>
  <c r="B73" i="20"/>
  <c r="D73" i="20" s="1"/>
  <c r="H72" i="20"/>
  <c r="J72" i="20" s="1"/>
  <c r="E72" i="20"/>
  <c r="G72" i="20" s="1"/>
  <c r="B72" i="20"/>
  <c r="D72" i="20" s="1"/>
  <c r="H71" i="20"/>
  <c r="J71" i="20" s="1"/>
  <c r="E71" i="20"/>
  <c r="G71" i="20" s="1"/>
  <c r="B71" i="20"/>
  <c r="D71" i="20" s="1"/>
  <c r="M70" i="20"/>
  <c r="K70" i="20"/>
  <c r="O70" i="20" s="1"/>
  <c r="H70" i="20"/>
  <c r="J70" i="20" s="1"/>
  <c r="E70" i="20"/>
  <c r="G70" i="20" s="1"/>
  <c r="B70" i="20"/>
  <c r="D70" i="20" s="1"/>
  <c r="N68" i="20"/>
  <c r="J68" i="20"/>
  <c r="I68" i="20"/>
  <c r="H68" i="20"/>
  <c r="F68" i="20"/>
  <c r="E68" i="20"/>
  <c r="D68" i="20"/>
  <c r="C68" i="20"/>
  <c r="B68" i="20"/>
  <c r="H67" i="20"/>
  <c r="J67" i="20" s="1"/>
  <c r="E67" i="20"/>
  <c r="G67" i="20" s="1"/>
  <c r="B67" i="20"/>
  <c r="D67" i="20" s="1"/>
  <c r="H66" i="20"/>
  <c r="J66" i="20" s="1"/>
  <c r="E66" i="20"/>
  <c r="G66" i="20" s="1"/>
  <c r="B66" i="20"/>
  <c r="D66" i="20" s="1"/>
  <c r="H65" i="20"/>
  <c r="J65" i="20" s="1"/>
  <c r="E65" i="20"/>
  <c r="G65" i="20" s="1"/>
  <c r="B65" i="20"/>
  <c r="D65" i="20" s="1"/>
  <c r="H64" i="20"/>
  <c r="J64" i="20" s="1"/>
  <c r="E64" i="20"/>
  <c r="G64" i="20" s="1"/>
  <c r="D64" i="20"/>
  <c r="B64" i="20"/>
  <c r="M63" i="20"/>
  <c r="K63" i="20"/>
  <c r="O63" i="20" s="1"/>
  <c r="H63" i="20"/>
  <c r="J63" i="20" s="1"/>
  <c r="E63" i="20"/>
  <c r="G63" i="20" s="1"/>
  <c r="B63" i="20"/>
  <c r="D63" i="20" s="1"/>
  <c r="H62" i="20"/>
  <c r="J62" i="20" s="1"/>
  <c r="E62" i="20"/>
  <c r="G62" i="20" s="1"/>
  <c r="B62" i="20"/>
  <c r="D62" i="20" s="1"/>
  <c r="L61" i="20"/>
  <c r="K61" i="20"/>
  <c r="O61" i="20" s="1"/>
  <c r="H61" i="20"/>
  <c r="J61" i="20" s="1"/>
  <c r="E61" i="20"/>
  <c r="G61" i="20" s="1"/>
  <c r="B61" i="20"/>
  <c r="D61" i="20" s="1"/>
  <c r="J60" i="20"/>
  <c r="H60" i="20"/>
  <c r="E60" i="20"/>
  <c r="G60" i="20" s="1"/>
  <c r="B60" i="20"/>
  <c r="D60" i="20" s="1"/>
  <c r="H59" i="20"/>
  <c r="J59" i="20" s="1"/>
  <c r="E59" i="20"/>
  <c r="G59" i="20" s="1"/>
  <c r="B59" i="20"/>
  <c r="D59" i="20" s="1"/>
  <c r="H58" i="20"/>
  <c r="J58" i="20" s="1"/>
  <c r="E58" i="20"/>
  <c r="G58" i="20" s="1"/>
  <c r="B58" i="20"/>
  <c r="D58" i="20" s="1"/>
  <c r="H57" i="20"/>
  <c r="J57" i="20" s="1"/>
  <c r="E57" i="20"/>
  <c r="G57" i="20" s="1"/>
  <c r="D57" i="20"/>
  <c r="B57" i="20"/>
  <c r="H56" i="20"/>
  <c r="J56" i="20" s="1"/>
  <c r="E56" i="20"/>
  <c r="G56" i="20" s="1"/>
  <c r="B56" i="20"/>
  <c r="D56" i="20" s="1"/>
  <c r="N54" i="20"/>
  <c r="K54" i="20"/>
  <c r="O54" i="20" s="1"/>
  <c r="I54" i="20"/>
  <c r="H54" i="20"/>
  <c r="J54" i="20" s="1"/>
  <c r="F54" i="20"/>
  <c r="E54" i="20"/>
  <c r="G54" i="20" s="1"/>
  <c r="C54" i="20"/>
  <c r="B54" i="20"/>
  <c r="D54" i="20" s="1"/>
  <c r="J53" i="20"/>
  <c r="H53" i="20"/>
  <c r="E53" i="20"/>
  <c r="G53" i="20" s="1"/>
  <c r="B53" i="20"/>
  <c r="D53" i="20" s="1"/>
  <c r="J52" i="20"/>
  <c r="H52" i="20"/>
  <c r="G52" i="20"/>
  <c r="E52" i="20"/>
  <c r="B52" i="20"/>
  <c r="D52" i="20" s="1"/>
  <c r="H51" i="20"/>
  <c r="J51" i="20" s="1"/>
  <c r="G51" i="20"/>
  <c r="E51" i="20"/>
  <c r="D51" i="20"/>
  <c r="B51" i="20"/>
  <c r="H50" i="20"/>
  <c r="J50" i="20" s="1"/>
  <c r="E50" i="20"/>
  <c r="G50" i="20" s="1"/>
  <c r="D50" i="20"/>
  <c r="B50" i="20"/>
  <c r="H49" i="20"/>
  <c r="J49" i="20" s="1"/>
  <c r="E49" i="20"/>
  <c r="G49" i="20" s="1"/>
  <c r="B49" i="20"/>
  <c r="D49" i="20" s="1"/>
  <c r="H48" i="20"/>
  <c r="J48" i="20" s="1"/>
  <c r="E48" i="20"/>
  <c r="G48" i="20" s="1"/>
  <c r="B48" i="20"/>
  <c r="D48" i="20" s="1"/>
  <c r="J47" i="20"/>
  <c r="H47" i="20"/>
  <c r="E47" i="20"/>
  <c r="G47" i="20" s="1"/>
  <c r="B47" i="20"/>
  <c r="D47" i="20" s="1"/>
  <c r="K47" i="20" s="1"/>
  <c r="O47" i="20" s="1"/>
  <c r="J46" i="20"/>
  <c r="H46" i="20"/>
  <c r="G46" i="20"/>
  <c r="E46" i="20"/>
  <c r="B46" i="20"/>
  <c r="D46" i="20" s="1"/>
  <c r="H45" i="20"/>
  <c r="J45" i="20" s="1"/>
  <c r="G45" i="20"/>
  <c r="E45" i="20"/>
  <c r="D45" i="20"/>
  <c r="B45" i="20"/>
  <c r="H44" i="20"/>
  <c r="J44" i="20" s="1"/>
  <c r="E44" i="20"/>
  <c r="G44" i="20" s="1"/>
  <c r="D44" i="20"/>
  <c r="B44" i="20"/>
  <c r="H43" i="20"/>
  <c r="J43" i="20" s="1"/>
  <c r="E43" i="20"/>
  <c r="G43" i="20" s="1"/>
  <c r="B43" i="20"/>
  <c r="D43" i="20" s="1"/>
  <c r="H42" i="20"/>
  <c r="J42" i="20" s="1"/>
  <c r="E42" i="20"/>
  <c r="G42" i="20" s="1"/>
  <c r="B42" i="20"/>
  <c r="D42" i="20" s="1"/>
  <c r="N40" i="20"/>
  <c r="J40" i="20"/>
  <c r="I40" i="20"/>
  <c r="H40" i="20"/>
  <c r="F40" i="20"/>
  <c r="E40" i="20"/>
  <c r="G40" i="20" s="1"/>
  <c r="K40" i="20" s="1"/>
  <c r="O40" i="20" s="1"/>
  <c r="D40" i="20"/>
  <c r="C40" i="20"/>
  <c r="B40" i="20"/>
  <c r="H39" i="20"/>
  <c r="J39" i="20" s="1"/>
  <c r="E39" i="20"/>
  <c r="G39" i="20" s="1"/>
  <c r="B39" i="20"/>
  <c r="D39" i="20" s="1"/>
  <c r="J38" i="20"/>
  <c r="H38" i="20"/>
  <c r="E38" i="20"/>
  <c r="G38" i="20" s="1"/>
  <c r="B38" i="20"/>
  <c r="D38" i="20" s="1"/>
  <c r="K38" i="20" s="1"/>
  <c r="O38" i="20" s="1"/>
  <c r="J37" i="20"/>
  <c r="H37" i="20"/>
  <c r="G37" i="20"/>
  <c r="E37" i="20"/>
  <c r="B37" i="20"/>
  <c r="D37" i="20" s="1"/>
  <c r="H36" i="20"/>
  <c r="J36" i="20" s="1"/>
  <c r="G36" i="20"/>
  <c r="E36" i="20"/>
  <c r="D36" i="20"/>
  <c r="B36" i="20"/>
  <c r="H35" i="20"/>
  <c r="J35" i="20" s="1"/>
  <c r="E35" i="20"/>
  <c r="G35" i="20" s="1"/>
  <c r="D35" i="20"/>
  <c r="B35" i="20"/>
  <c r="H34" i="20"/>
  <c r="J34" i="20" s="1"/>
  <c r="E34" i="20"/>
  <c r="G34" i="20" s="1"/>
  <c r="B34" i="20"/>
  <c r="D34" i="20" s="1"/>
  <c r="H33" i="20"/>
  <c r="J33" i="20" s="1"/>
  <c r="E33" i="20"/>
  <c r="G33" i="20" s="1"/>
  <c r="B33" i="20"/>
  <c r="D33" i="20" s="1"/>
  <c r="J32" i="20"/>
  <c r="H32" i="20"/>
  <c r="E32" i="20"/>
  <c r="G32" i="20" s="1"/>
  <c r="B32" i="20"/>
  <c r="D32" i="20" s="1"/>
  <c r="J31" i="20"/>
  <c r="H31" i="20"/>
  <c r="G31" i="20"/>
  <c r="E31" i="20"/>
  <c r="B31" i="20"/>
  <c r="D31" i="20" s="1"/>
  <c r="H30" i="20"/>
  <c r="J30" i="20" s="1"/>
  <c r="G30" i="20"/>
  <c r="E30" i="20"/>
  <c r="D30" i="20"/>
  <c r="B30" i="20"/>
  <c r="H29" i="20"/>
  <c r="J29" i="20" s="1"/>
  <c r="E29" i="20"/>
  <c r="G29" i="20" s="1"/>
  <c r="D29" i="20"/>
  <c r="B29" i="20"/>
  <c r="H28" i="20"/>
  <c r="J28" i="20" s="1"/>
  <c r="E28" i="20"/>
  <c r="G28" i="20" s="1"/>
  <c r="B28" i="20"/>
  <c r="D28" i="20" s="1"/>
  <c r="H25" i="20"/>
  <c r="J25" i="20" s="1"/>
  <c r="E25" i="20"/>
  <c r="G25" i="20" s="1"/>
  <c r="B25" i="20"/>
  <c r="D25" i="20" s="1"/>
  <c r="L24" i="20"/>
  <c r="J24" i="20"/>
  <c r="H24" i="20"/>
  <c r="E24" i="20"/>
  <c r="G24" i="20" s="1"/>
  <c r="B24" i="20"/>
  <c r="D24" i="20" s="1"/>
  <c r="K24" i="20" s="1"/>
  <c r="O24" i="20" s="1"/>
  <c r="J23" i="20"/>
  <c r="H23" i="20"/>
  <c r="G23" i="20"/>
  <c r="E23" i="20"/>
  <c r="B23" i="20"/>
  <c r="D23" i="20" s="1"/>
  <c r="H22" i="20"/>
  <c r="J22" i="20" s="1"/>
  <c r="G22" i="20"/>
  <c r="E22" i="20"/>
  <c r="D22" i="20"/>
  <c r="B22" i="20"/>
  <c r="H21" i="20"/>
  <c r="J21" i="20" s="1"/>
  <c r="E21" i="20"/>
  <c r="G21" i="20" s="1"/>
  <c r="D21" i="20"/>
  <c r="B21" i="20"/>
  <c r="H20" i="20"/>
  <c r="J20" i="20" s="1"/>
  <c r="E20" i="20"/>
  <c r="G20" i="20" s="1"/>
  <c r="B20" i="20"/>
  <c r="D20" i="20" s="1"/>
  <c r="E19" i="20"/>
  <c r="G19" i="20" s="1"/>
  <c r="B19" i="20"/>
  <c r="D19" i="20" s="1"/>
  <c r="G18" i="20"/>
  <c r="E18" i="20"/>
  <c r="D18" i="20"/>
  <c r="B18" i="20"/>
  <c r="E17" i="20"/>
  <c r="G17" i="20" s="1"/>
  <c r="B17" i="20"/>
  <c r="D17" i="20" s="1"/>
  <c r="E16" i="20"/>
  <c r="G16" i="20" s="1"/>
  <c r="B16" i="20"/>
  <c r="D16" i="20" s="1"/>
  <c r="G15" i="20"/>
  <c r="E15" i="20"/>
  <c r="D15" i="20"/>
  <c r="B15" i="20"/>
  <c r="E14" i="20"/>
  <c r="G14" i="20" s="1"/>
  <c r="B14" i="20"/>
  <c r="D14" i="20" s="1"/>
  <c r="E13" i="20"/>
  <c r="G13" i="20" s="1"/>
  <c r="B13" i="20"/>
  <c r="D13" i="20" s="1"/>
  <c r="G12" i="20"/>
  <c r="E12" i="20"/>
  <c r="D12" i="20"/>
  <c r="B12" i="20"/>
  <c r="G11" i="20"/>
  <c r="D11" i="20"/>
  <c r="L10" i="20"/>
  <c r="G10" i="20"/>
  <c r="M10" i="20" s="1"/>
  <c r="D10" i="20"/>
  <c r="K10" i="20" s="1"/>
  <c r="O10" i="20" s="1"/>
  <c r="G9" i="20"/>
  <c r="D9" i="20"/>
  <c r="H160" i="19"/>
  <c r="G160" i="19"/>
  <c r="D160" i="19"/>
  <c r="C160" i="19"/>
  <c r="J159" i="19"/>
  <c r="B159" i="19"/>
  <c r="E159" i="19" s="1"/>
  <c r="I159" i="19" s="1"/>
  <c r="F159" i="19" s="1"/>
  <c r="J158" i="19"/>
  <c r="F158" i="19"/>
  <c r="B158" i="19"/>
  <c r="E158" i="19" s="1"/>
  <c r="I158" i="19" s="1"/>
  <c r="J157" i="19"/>
  <c r="B157" i="19"/>
  <c r="E157" i="19" s="1"/>
  <c r="I157" i="19" s="1"/>
  <c r="F157" i="19" s="1"/>
  <c r="J156" i="19"/>
  <c r="B156" i="19"/>
  <c r="E156" i="19" s="1"/>
  <c r="I156" i="19" s="1"/>
  <c r="F156" i="19" s="1"/>
  <c r="J155" i="19"/>
  <c r="B155" i="19"/>
  <c r="E155" i="19" s="1"/>
  <c r="I155" i="19" s="1"/>
  <c r="F155" i="19" s="1"/>
  <c r="J154" i="19"/>
  <c r="J153" i="19"/>
  <c r="B154" i="19" s="1"/>
  <c r="E154" i="19" s="1"/>
  <c r="I154" i="19" s="1"/>
  <c r="F154" i="19" s="1"/>
  <c r="I153" i="19"/>
  <c r="F153" i="19" s="1"/>
  <c r="E153" i="19"/>
  <c r="B153" i="19"/>
  <c r="J152" i="19"/>
  <c r="J151" i="19"/>
  <c r="B152" i="19" s="1"/>
  <c r="E152" i="19" s="1"/>
  <c r="I152" i="19" s="1"/>
  <c r="F152" i="19" s="1"/>
  <c r="J150" i="19"/>
  <c r="B151" i="19" s="1"/>
  <c r="E151" i="19" s="1"/>
  <c r="I151" i="19" s="1"/>
  <c r="F151" i="19" s="1"/>
  <c r="J149" i="19"/>
  <c r="B150" i="19" s="1"/>
  <c r="E150" i="19" s="1"/>
  <c r="I150" i="19" s="1"/>
  <c r="F150" i="19" s="1"/>
  <c r="J148" i="19"/>
  <c r="B149" i="19" s="1"/>
  <c r="E149" i="19" s="1"/>
  <c r="I149" i="19" s="1"/>
  <c r="F149" i="19" s="1"/>
  <c r="H146" i="19"/>
  <c r="G146" i="19"/>
  <c r="D146" i="19"/>
  <c r="C146" i="19"/>
  <c r="J145" i="19"/>
  <c r="B148" i="19" s="1"/>
  <c r="J144" i="19"/>
  <c r="B145" i="19" s="1"/>
  <c r="E145" i="19" s="1"/>
  <c r="B144" i="19"/>
  <c r="E144" i="19" s="1"/>
  <c r="I144" i="19" s="1"/>
  <c r="F144" i="19" s="1"/>
  <c r="J143" i="19"/>
  <c r="B143" i="19"/>
  <c r="E143" i="19" s="1"/>
  <c r="I143" i="19" s="1"/>
  <c r="F143" i="19" s="1"/>
  <c r="J142" i="19"/>
  <c r="B142" i="19"/>
  <c r="E142" i="19" s="1"/>
  <c r="I142" i="19" s="1"/>
  <c r="F142" i="19" s="1"/>
  <c r="J141" i="19"/>
  <c r="B141" i="19"/>
  <c r="E141" i="19" s="1"/>
  <c r="I141" i="19" s="1"/>
  <c r="F141" i="19" s="1"/>
  <c r="J140" i="19"/>
  <c r="B140" i="19"/>
  <c r="E140" i="19" s="1"/>
  <c r="I140" i="19" s="1"/>
  <c r="F140" i="19" s="1"/>
  <c r="J139" i="19"/>
  <c r="J138" i="19"/>
  <c r="B139" i="19" s="1"/>
  <c r="E139" i="19" s="1"/>
  <c r="I139" i="19" s="1"/>
  <c r="F139" i="19" s="1"/>
  <c r="I138" i="19"/>
  <c r="F138" i="19" s="1"/>
  <c r="E138" i="19"/>
  <c r="B138" i="19"/>
  <c r="J137" i="19"/>
  <c r="J136" i="19"/>
  <c r="B137" i="19" s="1"/>
  <c r="E137" i="19" s="1"/>
  <c r="I137" i="19" s="1"/>
  <c r="F137" i="19" s="1"/>
  <c r="E136" i="19"/>
  <c r="I136" i="19" s="1"/>
  <c r="F136" i="19" s="1"/>
  <c r="J135" i="19"/>
  <c r="B136" i="19" s="1"/>
  <c r="J134" i="19"/>
  <c r="B135" i="19" s="1"/>
  <c r="E135" i="19" s="1"/>
  <c r="H132" i="19"/>
  <c r="G132" i="19"/>
  <c r="D132" i="19"/>
  <c r="J131" i="19"/>
  <c r="B134" i="19" s="1"/>
  <c r="J130" i="19"/>
  <c r="B131" i="19" s="1"/>
  <c r="E131" i="19" s="1"/>
  <c r="I131" i="19" s="1"/>
  <c r="F131" i="19" s="1"/>
  <c r="J129" i="19"/>
  <c r="B130" i="19" s="1"/>
  <c r="E130" i="19" s="1"/>
  <c r="I130" i="19" s="1"/>
  <c r="F130" i="19" s="1"/>
  <c r="B129" i="19"/>
  <c r="E129" i="19" s="1"/>
  <c r="I129" i="19" s="1"/>
  <c r="F129" i="19" s="1"/>
  <c r="J128" i="19"/>
  <c r="F128" i="19"/>
  <c r="B128" i="19"/>
  <c r="E128" i="19" s="1"/>
  <c r="I128" i="19" s="1"/>
  <c r="J127" i="19"/>
  <c r="B127" i="19"/>
  <c r="E127" i="19" s="1"/>
  <c r="I127" i="19" s="1"/>
  <c r="F127" i="19" s="1"/>
  <c r="J126" i="19"/>
  <c r="B126" i="19"/>
  <c r="E126" i="19" s="1"/>
  <c r="I126" i="19" s="1"/>
  <c r="F126" i="19" s="1"/>
  <c r="J125" i="19"/>
  <c r="B125" i="19"/>
  <c r="E125" i="19" s="1"/>
  <c r="I125" i="19" s="1"/>
  <c r="F125" i="19" s="1"/>
  <c r="J124" i="19"/>
  <c r="J123" i="19"/>
  <c r="B124" i="19" s="1"/>
  <c r="E124" i="19" s="1"/>
  <c r="I124" i="19" s="1"/>
  <c r="F124" i="19" s="1"/>
  <c r="C123" i="19"/>
  <c r="C132" i="19" s="1"/>
  <c r="J122" i="19"/>
  <c r="B123" i="19" s="1"/>
  <c r="E123" i="19" s="1"/>
  <c r="I123" i="19" s="1"/>
  <c r="F123" i="19" s="1"/>
  <c r="B122" i="19"/>
  <c r="E122" i="19" s="1"/>
  <c r="I122" i="19" s="1"/>
  <c r="F122" i="19" s="1"/>
  <c r="J121" i="19"/>
  <c r="F121" i="19"/>
  <c r="B121" i="19"/>
  <c r="E121" i="19" s="1"/>
  <c r="I121" i="19" s="1"/>
  <c r="J120" i="19"/>
  <c r="H118" i="19"/>
  <c r="G118" i="19"/>
  <c r="E118" i="19"/>
  <c r="D118" i="19"/>
  <c r="C118" i="19"/>
  <c r="J117" i="19"/>
  <c r="B120" i="19" s="1"/>
  <c r="B117" i="19"/>
  <c r="E117" i="19" s="1"/>
  <c r="I117" i="19" s="1"/>
  <c r="F117" i="19" s="1"/>
  <c r="J116" i="19"/>
  <c r="I116" i="19"/>
  <c r="F116" i="19" s="1"/>
  <c r="B116" i="19"/>
  <c r="E116" i="19" s="1"/>
  <c r="J115" i="19"/>
  <c r="B115" i="19"/>
  <c r="E115" i="19" s="1"/>
  <c r="I115" i="19" s="1"/>
  <c r="F115" i="19" s="1"/>
  <c r="J114" i="19"/>
  <c r="E114" i="19"/>
  <c r="I114" i="19" s="1"/>
  <c r="F114" i="19" s="1"/>
  <c r="J113" i="19"/>
  <c r="B114" i="19" s="1"/>
  <c r="I113" i="19"/>
  <c r="F113" i="19" s="1"/>
  <c r="E113" i="19"/>
  <c r="B113" i="19"/>
  <c r="J112" i="19"/>
  <c r="J111" i="19"/>
  <c r="B112" i="19" s="1"/>
  <c r="E112" i="19" s="1"/>
  <c r="I112" i="19" s="1"/>
  <c r="F112" i="19" s="1"/>
  <c r="E111" i="19"/>
  <c r="J110" i="19"/>
  <c r="B111" i="19" s="1"/>
  <c r="J109" i="19"/>
  <c r="B110" i="19" s="1"/>
  <c r="E110" i="19" s="1"/>
  <c r="I110" i="19" s="1"/>
  <c r="F110" i="19" s="1"/>
  <c r="F109" i="19"/>
  <c r="J108" i="19"/>
  <c r="B109" i="19" s="1"/>
  <c r="E109" i="19" s="1"/>
  <c r="I109" i="19" s="1"/>
  <c r="E108" i="19"/>
  <c r="J107" i="19"/>
  <c r="B108" i="19" s="1"/>
  <c r="B107" i="19"/>
  <c r="E107" i="19" s="1"/>
  <c r="I107" i="19" s="1"/>
  <c r="F107" i="19" s="1"/>
  <c r="J106" i="19"/>
  <c r="F106" i="19"/>
  <c r="B106" i="19"/>
  <c r="E106" i="19" s="1"/>
  <c r="I106" i="19" s="1"/>
  <c r="G104" i="19"/>
  <c r="C104" i="19"/>
  <c r="J103" i="19"/>
  <c r="H103" i="19"/>
  <c r="D103" i="19"/>
  <c r="E103" i="19" s="1"/>
  <c r="I103" i="19" s="1"/>
  <c r="F103" i="19" s="1"/>
  <c r="J102" i="19"/>
  <c r="B103" i="19" s="1"/>
  <c r="H102" i="19"/>
  <c r="D102" i="19"/>
  <c r="J101" i="19"/>
  <c r="B102" i="19" s="1"/>
  <c r="E102" i="19" s="1"/>
  <c r="I102" i="19" s="1"/>
  <c r="F102" i="19" s="1"/>
  <c r="H101" i="19"/>
  <c r="D101" i="19"/>
  <c r="J100" i="19"/>
  <c r="B101" i="19" s="1"/>
  <c r="E101" i="19" s="1"/>
  <c r="I101" i="19" s="1"/>
  <c r="F101" i="19" s="1"/>
  <c r="H100" i="19"/>
  <c r="D100" i="19"/>
  <c r="J99" i="19"/>
  <c r="B100" i="19" s="1"/>
  <c r="E100" i="19" s="1"/>
  <c r="I100" i="19" s="1"/>
  <c r="H99" i="19"/>
  <c r="D99" i="19"/>
  <c r="J98" i="19"/>
  <c r="B99" i="19" s="1"/>
  <c r="E99" i="19" s="1"/>
  <c r="I99" i="19" s="1"/>
  <c r="F99" i="19" s="1"/>
  <c r="H98" i="19"/>
  <c r="D98" i="19"/>
  <c r="B98" i="19"/>
  <c r="E98" i="19" s="1"/>
  <c r="J97" i="19"/>
  <c r="H97" i="19"/>
  <c r="D97" i="19"/>
  <c r="J96" i="19"/>
  <c r="B97" i="19" s="1"/>
  <c r="E97" i="19" s="1"/>
  <c r="I97" i="19" s="1"/>
  <c r="F97" i="19" s="1"/>
  <c r="H96" i="19"/>
  <c r="E96" i="19"/>
  <c r="I96" i="19" s="1"/>
  <c r="F96" i="19" s="1"/>
  <c r="D96" i="19"/>
  <c r="J95" i="19"/>
  <c r="B96" i="19" s="1"/>
  <c r="H95" i="19"/>
  <c r="D95" i="19"/>
  <c r="B95" i="19"/>
  <c r="E95" i="19" s="1"/>
  <c r="I95" i="19" s="1"/>
  <c r="F95" i="19" s="1"/>
  <c r="J94" i="19"/>
  <c r="I94" i="19"/>
  <c r="F94" i="19" s="1"/>
  <c r="H94" i="19"/>
  <c r="D94" i="19"/>
  <c r="B94" i="19"/>
  <c r="E94" i="19" s="1"/>
  <c r="J93" i="19"/>
  <c r="H93" i="19"/>
  <c r="D93" i="19"/>
  <c r="B93" i="19"/>
  <c r="E93" i="19" s="1"/>
  <c r="I93" i="19" s="1"/>
  <c r="F93" i="19" s="1"/>
  <c r="J92" i="19"/>
  <c r="H92" i="19"/>
  <c r="D92" i="19"/>
  <c r="D104" i="19" s="1"/>
  <c r="B92" i="19"/>
  <c r="G90" i="19"/>
  <c r="D90" i="19"/>
  <c r="E90" i="19" s="1"/>
  <c r="C90" i="19"/>
  <c r="J89" i="19"/>
  <c r="H89" i="19"/>
  <c r="E89" i="19"/>
  <c r="I89" i="19" s="1"/>
  <c r="F89" i="19" s="1"/>
  <c r="D89" i="19"/>
  <c r="J88" i="19"/>
  <c r="H88" i="19"/>
  <c r="E88" i="19"/>
  <c r="I88" i="19" s="1"/>
  <c r="F88" i="19" s="1"/>
  <c r="D88" i="19"/>
  <c r="J87" i="19"/>
  <c r="H87" i="19"/>
  <c r="E87" i="19"/>
  <c r="I87" i="19" s="1"/>
  <c r="F87" i="19" s="1"/>
  <c r="D87" i="19"/>
  <c r="J86" i="19"/>
  <c r="I86" i="19"/>
  <c r="F86" i="19" s="1"/>
  <c r="H86" i="19"/>
  <c r="E86" i="19"/>
  <c r="D86" i="19"/>
  <c r="J85" i="19"/>
  <c r="H85" i="19"/>
  <c r="E85" i="19"/>
  <c r="I85" i="19" s="1"/>
  <c r="F85" i="19" s="1"/>
  <c r="D85" i="19"/>
  <c r="J84" i="19"/>
  <c r="H84" i="19"/>
  <c r="E84" i="19"/>
  <c r="I84" i="19" s="1"/>
  <c r="F84" i="19" s="1"/>
  <c r="D84" i="19"/>
  <c r="J83" i="19"/>
  <c r="H83" i="19"/>
  <c r="E83" i="19"/>
  <c r="I83" i="19" s="1"/>
  <c r="F83" i="19" s="1"/>
  <c r="D83" i="19"/>
  <c r="J82" i="19"/>
  <c r="H82" i="19"/>
  <c r="E82" i="19"/>
  <c r="I82" i="19" s="1"/>
  <c r="F82" i="19" s="1"/>
  <c r="D82" i="19"/>
  <c r="J81" i="19"/>
  <c r="H81" i="19"/>
  <c r="E81" i="19"/>
  <c r="I81" i="19" s="1"/>
  <c r="F81" i="19" s="1"/>
  <c r="D81" i="19"/>
  <c r="J80" i="19"/>
  <c r="H80" i="19"/>
  <c r="E80" i="19"/>
  <c r="I80" i="19" s="1"/>
  <c r="F80" i="19" s="1"/>
  <c r="D80" i="19"/>
  <c r="J79" i="19"/>
  <c r="H79" i="19"/>
  <c r="E79" i="19"/>
  <c r="I79" i="19" s="1"/>
  <c r="D79" i="19"/>
  <c r="J78" i="19"/>
  <c r="H78" i="19"/>
  <c r="E78" i="19"/>
  <c r="I78" i="19" s="1"/>
  <c r="D78" i="19"/>
  <c r="G76" i="19"/>
  <c r="C76" i="19"/>
  <c r="J75" i="19"/>
  <c r="H75" i="19"/>
  <c r="D75" i="19"/>
  <c r="J74" i="19"/>
  <c r="B75" i="19" s="1"/>
  <c r="E75" i="19" s="1"/>
  <c r="I75" i="19" s="1"/>
  <c r="F75" i="19" s="1"/>
  <c r="H74" i="19"/>
  <c r="E74" i="19"/>
  <c r="I74" i="19" s="1"/>
  <c r="F74" i="19" s="1"/>
  <c r="D74" i="19"/>
  <c r="B74" i="19"/>
  <c r="J73" i="19"/>
  <c r="H73" i="19"/>
  <c r="D73" i="19"/>
  <c r="J72" i="19"/>
  <c r="B73" i="19" s="1"/>
  <c r="E73" i="19" s="1"/>
  <c r="I73" i="19" s="1"/>
  <c r="F73" i="19" s="1"/>
  <c r="H72" i="19"/>
  <c r="E72" i="19"/>
  <c r="I72" i="19" s="1"/>
  <c r="F72" i="19" s="1"/>
  <c r="D72" i="19"/>
  <c r="B72" i="19"/>
  <c r="J71" i="19"/>
  <c r="H71" i="19"/>
  <c r="F71" i="19"/>
  <c r="E71" i="19"/>
  <c r="I71" i="19" s="1"/>
  <c r="D71" i="19"/>
  <c r="B71" i="19"/>
  <c r="J70" i="19"/>
  <c r="I70" i="19"/>
  <c r="H70" i="19"/>
  <c r="F70" i="19"/>
  <c r="E70" i="19"/>
  <c r="D70" i="19"/>
  <c r="J69" i="19"/>
  <c r="B70" i="19" s="1"/>
  <c r="H69" i="19"/>
  <c r="D69" i="19"/>
  <c r="J68" i="19"/>
  <c r="B69" i="19" s="1"/>
  <c r="E69" i="19" s="1"/>
  <c r="I69" i="19" s="1"/>
  <c r="H68" i="19"/>
  <c r="D68" i="19"/>
  <c r="J67" i="19"/>
  <c r="B68" i="19" s="1"/>
  <c r="E68" i="19" s="1"/>
  <c r="I68" i="19" s="1"/>
  <c r="F68" i="19" s="1"/>
  <c r="H67" i="19"/>
  <c r="D67" i="19"/>
  <c r="J66" i="19"/>
  <c r="B67" i="19" s="1"/>
  <c r="E67" i="19" s="1"/>
  <c r="I67" i="19" s="1"/>
  <c r="F67" i="19" s="1"/>
  <c r="H66" i="19"/>
  <c r="D66" i="19"/>
  <c r="B66" i="19"/>
  <c r="E66" i="19" s="1"/>
  <c r="I66" i="19" s="1"/>
  <c r="F66" i="19" s="1"/>
  <c r="J65" i="19"/>
  <c r="H65" i="19"/>
  <c r="D65" i="19"/>
  <c r="B65" i="19"/>
  <c r="E65" i="19" s="1"/>
  <c r="I65" i="19" s="1"/>
  <c r="F65" i="19" s="1"/>
  <c r="J64" i="19"/>
  <c r="H64" i="19"/>
  <c r="E64" i="19"/>
  <c r="I64" i="19" s="1"/>
  <c r="D64" i="19"/>
  <c r="G62" i="19"/>
  <c r="C62" i="19"/>
  <c r="H61" i="19"/>
  <c r="E61" i="19"/>
  <c r="I61" i="19" s="1"/>
  <c r="F61" i="19" s="1"/>
  <c r="D61" i="19"/>
  <c r="B61" i="19"/>
  <c r="H60" i="19"/>
  <c r="E60" i="19"/>
  <c r="I60" i="19" s="1"/>
  <c r="F60" i="19" s="1"/>
  <c r="D60" i="19"/>
  <c r="B60" i="19"/>
  <c r="J59" i="19"/>
  <c r="H59" i="19"/>
  <c r="D59" i="19"/>
  <c r="J58" i="19"/>
  <c r="B59" i="19" s="1"/>
  <c r="E59" i="19" s="1"/>
  <c r="I59" i="19" s="1"/>
  <c r="F59" i="19" s="1"/>
  <c r="H58" i="19"/>
  <c r="D58" i="19"/>
  <c r="J57" i="19"/>
  <c r="B58" i="19" s="1"/>
  <c r="E58" i="19" s="1"/>
  <c r="I58" i="19" s="1"/>
  <c r="F58" i="19" s="1"/>
  <c r="H57" i="19"/>
  <c r="D57" i="19"/>
  <c r="J56" i="19"/>
  <c r="B57" i="19" s="1"/>
  <c r="E57" i="19" s="1"/>
  <c r="I57" i="19" s="1"/>
  <c r="F57" i="19" s="1"/>
  <c r="H56" i="19"/>
  <c r="D56" i="19"/>
  <c r="B56" i="19"/>
  <c r="J55" i="19"/>
  <c r="H55" i="19"/>
  <c r="D55" i="19"/>
  <c r="B55" i="19"/>
  <c r="E55" i="19" s="1"/>
  <c r="I55" i="19" s="1"/>
  <c r="F55" i="19" s="1"/>
  <c r="J54" i="19"/>
  <c r="H54" i="19"/>
  <c r="E54" i="19"/>
  <c r="I54" i="19" s="1"/>
  <c r="F54" i="19" s="1"/>
  <c r="D54" i="19"/>
  <c r="B54" i="19"/>
  <c r="J53" i="19"/>
  <c r="H53" i="19"/>
  <c r="D53" i="19"/>
  <c r="J52" i="19"/>
  <c r="B53" i="19" s="1"/>
  <c r="E53" i="19" s="1"/>
  <c r="I53" i="19" s="1"/>
  <c r="F53" i="19" s="1"/>
  <c r="I52" i="19"/>
  <c r="F52" i="19" s="1"/>
  <c r="H52" i="19"/>
  <c r="D52" i="19"/>
  <c r="B52" i="19"/>
  <c r="E52" i="19" s="1"/>
  <c r="J51" i="19"/>
  <c r="H51" i="19"/>
  <c r="D51" i="19"/>
  <c r="B51" i="19"/>
  <c r="E51" i="19" s="1"/>
  <c r="I51" i="19" s="1"/>
  <c r="F51" i="19" s="1"/>
  <c r="J50" i="19"/>
  <c r="H50" i="19"/>
  <c r="D50" i="19"/>
  <c r="B50" i="19"/>
  <c r="E50" i="19" s="1"/>
  <c r="I50" i="19" s="1"/>
  <c r="G48" i="19"/>
  <c r="C48" i="19"/>
  <c r="J47" i="19"/>
  <c r="H47" i="19"/>
  <c r="E47" i="19"/>
  <c r="I47" i="19" s="1"/>
  <c r="F47" i="19" s="1"/>
  <c r="D47" i="19"/>
  <c r="B47" i="19"/>
  <c r="J46" i="19"/>
  <c r="H46" i="19"/>
  <c r="D46" i="19"/>
  <c r="J45" i="19"/>
  <c r="B46" i="19" s="1"/>
  <c r="E46" i="19" s="1"/>
  <c r="I46" i="19" s="1"/>
  <c r="F46" i="19" s="1"/>
  <c r="H45" i="19"/>
  <c r="D45" i="19"/>
  <c r="J44" i="19"/>
  <c r="B45" i="19" s="1"/>
  <c r="E45" i="19" s="1"/>
  <c r="I45" i="19" s="1"/>
  <c r="F45" i="19" s="1"/>
  <c r="H44" i="19"/>
  <c r="D44" i="19"/>
  <c r="J43" i="19"/>
  <c r="B44" i="19" s="1"/>
  <c r="E44" i="19" s="1"/>
  <c r="I44" i="19" s="1"/>
  <c r="F44" i="19" s="1"/>
  <c r="H43" i="19"/>
  <c r="D43" i="19"/>
  <c r="B43" i="19"/>
  <c r="J42" i="19"/>
  <c r="H42" i="19"/>
  <c r="D42" i="19"/>
  <c r="B42" i="19"/>
  <c r="E42" i="19" s="1"/>
  <c r="I42" i="19" s="1"/>
  <c r="F42" i="19" s="1"/>
  <c r="J41" i="19"/>
  <c r="H41" i="19"/>
  <c r="E41" i="19"/>
  <c r="I41" i="19" s="1"/>
  <c r="F41" i="19" s="1"/>
  <c r="D41" i="19"/>
  <c r="B41" i="19"/>
  <c r="J40" i="19"/>
  <c r="H40" i="19"/>
  <c r="D40" i="19"/>
  <c r="J39" i="19"/>
  <c r="B40" i="19" s="1"/>
  <c r="E40" i="19" s="1"/>
  <c r="I40" i="19" s="1"/>
  <c r="F40" i="19" s="1"/>
  <c r="H39" i="19"/>
  <c r="D39" i="19"/>
  <c r="B39" i="19"/>
  <c r="E39" i="19" s="1"/>
  <c r="I39" i="19" s="1"/>
  <c r="F39" i="19" s="1"/>
  <c r="J38" i="19"/>
  <c r="H38" i="19"/>
  <c r="D38" i="19"/>
  <c r="B38" i="19"/>
  <c r="E38" i="19" s="1"/>
  <c r="I38" i="19" s="1"/>
  <c r="F38" i="19" s="1"/>
  <c r="J37" i="19"/>
  <c r="H37" i="19"/>
  <c r="H48" i="19" s="1"/>
  <c r="D37" i="19"/>
  <c r="B37" i="19"/>
  <c r="E37" i="19" s="1"/>
  <c r="I37" i="19" s="1"/>
  <c r="F37" i="19" s="1"/>
  <c r="J36" i="19"/>
  <c r="H36" i="19"/>
  <c r="E36" i="19"/>
  <c r="I36" i="19" s="1"/>
  <c r="D36" i="19"/>
  <c r="D48" i="19" s="1"/>
  <c r="E48" i="19" s="1"/>
  <c r="B36" i="19"/>
  <c r="G34" i="19"/>
  <c r="C34" i="19"/>
  <c r="J33" i="19"/>
  <c r="H33" i="19"/>
  <c r="D33" i="19"/>
  <c r="J32" i="19"/>
  <c r="B33" i="19" s="1"/>
  <c r="E33" i="19" s="1"/>
  <c r="I33" i="19" s="1"/>
  <c r="H32" i="19"/>
  <c r="D32" i="19"/>
  <c r="J31" i="19"/>
  <c r="B32" i="19" s="1"/>
  <c r="E32" i="19" s="1"/>
  <c r="I32" i="19" s="1"/>
  <c r="F32" i="19" s="1"/>
  <c r="H31" i="19"/>
  <c r="D31" i="19"/>
  <c r="J30" i="19"/>
  <c r="B31" i="19" s="1"/>
  <c r="E31" i="19" s="1"/>
  <c r="H30" i="19"/>
  <c r="D30" i="19"/>
  <c r="B30" i="19"/>
  <c r="J29" i="19"/>
  <c r="H29" i="19"/>
  <c r="D29" i="19"/>
  <c r="B29" i="19"/>
  <c r="E29" i="19" s="1"/>
  <c r="I29" i="19" s="1"/>
  <c r="F29" i="19" s="1"/>
  <c r="J28" i="19"/>
  <c r="H28" i="19"/>
  <c r="E28" i="19"/>
  <c r="I28" i="19" s="1"/>
  <c r="F28" i="19" s="1"/>
  <c r="D28" i="19"/>
  <c r="B28" i="19"/>
  <c r="J27" i="19"/>
  <c r="H27" i="19"/>
  <c r="D27" i="19"/>
  <c r="J26" i="19"/>
  <c r="B27" i="19" s="1"/>
  <c r="E27" i="19" s="1"/>
  <c r="I27" i="19" s="1"/>
  <c r="F27" i="19" s="1"/>
  <c r="I26" i="19"/>
  <c r="F26" i="19" s="1"/>
  <c r="H26" i="19"/>
  <c r="D26" i="19"/>
  <c r="B26" i="19"/>
  <c r="E26" i="19" s="1"/>
  <c r="J25" i="19"/>
  <c r="H25" i="19"/>
  <c r="D25" i="19"/>
  <c r="B25" i="19"/>
  <c r="E25" i="19" s="1"/>
  <c r="I25" i="19" s="1"/>
  <c r="F25" i="19" s="1"/>
  <c r="J24" i="19"/>
  <c r="H24" i="19"/>
  <c r="D24" i="19"/>
  <c r="B24" i="19"/>
  <c r="E24" i="19" s="1"/>
  <c r="I24" i="19" s="1"/>
  <c r="F24" i="19" s="1"/>
  <c r="J23" i="19"/>
  <c r="H23" i="19"/>
  <c r="E23" i="19"/>
  <c r="I23" i="19" s="1"/>
  <c r="F23" i="19" s="1"/>
  <c r="D23" i="19"/>
  <c r="J22" i="19"/>
  <c r="B23" i="19" s="1"/>
  <c r="H22" i="19"/>
  <c r="E22" i="19"/>
  <c r="I22" i="19" s="1"/>
  <c r="D22" i="19"/>
  <c r="G20" i="19"/>
  <c r="C20" i="19"/>
  <c r="J19" i="19"/>
  <c r="B22" i="19" s="1"/>
  <c r="H19" i="19"/>
  <c r="D19" i="19"/>
  <c r="J18" i="19"/>
  <c r="B19" i="19" s="1"/>
  <c r="E19" i="19" s="1"/>
  <c r="I19" i="19" s="1"/>
  <c r="F19" i="19" s="1"/>
  <c r="H18" i="19"/>
  <c r="D18" i="19"/>
  <c r="J17" i="19"/>
  <c r="B18" i="19" s="1"/>
  <c r="H17" i="19"/>
  <c r="D17" i="19"/>
  <c r="B17" i="19"/>
  <c r="J16" i="19"/>
  <c r="H16" i="19"/>
  <c r="D16" i="19"/>
  <c r="B16" i="19"/>
  <c r="J15" i="19"/>
  <c r="H15" i="19"/>
  <c r="F15" i="19"/>
  <c r="E15" i="19"/>
  <c r="I15" i="19" s="1"/>
  <c r="D15" i="19"/>
  <c r="B15" i="19"/>
  <c r="J14" i="19"/>
  <c r="H14" i="19"/>
  <c r="D14" i="19"/>
  <c r="J13" i="19"/>
  <c r="B14" i="19" s="1"/>
  <c r="E14" i="19" s="1"/>
  <c r="I14" i="19" s="1"/>
  <c r="F14" i="19" s="1"/>
  <c r="I13" i="19"/>
  <c r="F13" i="19" s="1"/>
  <c r="H13" i="19"/>
  <c r="D13" i="19"/>
  <c r="B13" i="19"/>
  <c r="E13" i="19" s="1"/>
  <c r="J12" i="19"/>
  <c r="I12" i="19"/>
  <c r="F12" i="19" s="1"/>
  <c r="H12" i="19"/>
  <c r="D12" i="19"/>
  <c r="B12" i="19"/>
  <c r="E12" i="19" s="1"/>
  <c r="J11" i="19"/>
  <c r="H11" i="19"/>
  <c r="D11" i="19"/>
  <c r="B11" i="19"/>
  <c r="E11" i="19" s="1"/>
  <c r="I11" i="19" s="1"/>
  <c r="F11" i="19" s="1"/>
  <c r="J10" i="19"/>
  <c r="H10" i="19"/>
  <c r="D10" i="19"/>
  <c r="J9" i="19"/>
  <c r="B10" i="19" s="1"/>
  <c r="E10" i="19" s="1"/>
  <c r="I10" i="19" s="1"/>
  <c r="F10" i="19" s="1"/>
  <c r="H9" i="19"/>
  <c r="E9" i="19"/>
  <c r="I9" i="19" s="1"/>
  <c r="D9" i="19"/>
  <c r="B9" i="19"/>
  <c r="J8" i="19"/>
  <c r="H8" i="19"/>
  <c r="H20" i="19" s="1"/>
  <c r="D8" i="19"/>
  <c r="E8" i="19" s="1"/>
  <c r="I8" i="19" s="1"/>
  <c r="B8" i="19"/>
  <c r="G160" i="18"/>
  <c r="D160" i="18"/>
  <c r="I159" i="18"/>
  <c r="C159" i="18"/>
  <c r="I158" i="18"/>
  <c r="B159" i="18" s="1"/>
  <c r="E159" i="18" s="1"/>
  <c r="H159" i="18" s="1"/>
  <c r="F159" i="18" s="1"/>
  <c r="C158" i="18"/>
  <c r="I157" i="18"/>
  <c r="B158" i="18" s="1"/>
  <c r="E158" i="18" s="1"/>
  <c r="H157" i="18"/>
  <c r="F157" i="18" s="1"/>
  <c r="C157" i="18"/>
  <c r="I156" i="18"/>
  <c r="B157" i="18" s="1"/>
  <c r="E157" i="18" s="1"/>
  <c r="F156" i="18"/>
  <c r="C156" i="18"/>
  <c r="I155" i="18"/>
  <c r="B156" i="18" s="1"/>
  <c r="E156" i="18" s="1"/>
  <c r="H156" i="18" s="1"/>
  <c r="C155" i="18"/>
  <c r="I154" i="18"/>
  <c r="B155" i="18" s="1"/>
  <c r="E155" i="18" s="1"/>
  <c r="H155" i="18" s="1"/>
  <c r="F155" i="18" s="1"/>
  <c r="C154" i="18"/>
  <c r="I153" i="18"/>
  <c r="B154" i="18" s="1"/>
  <c r="E154" i="18" s="1"/>
  <c r="H153" i="18"/>
  <c r="F153" i="18" s="1"/>
  <c r="C153" i="18"/>
  <c r="I152" i="18"/>
  <c r="B153" i="18" s="1"/>
  <c r="E153" i="18" s="1"/>
  <c r="F152" i="18"/>
  <c r="C152" i="18"/>
  <c r="I151" i="18"/>
  <c r="B152" i="18" s="1"/>
  <c r="E152" i="18" s="1"/>
  <c r="H152" i="18" s="1"/>
  <c r="C151" i="18"/>
  <c r="I150" i="18"/>
  <c r="B151" i="18" s="1"/>
  <c r="E151" i="18" s="1"/>
  <c r="H151" i="18" s="1"/>
  <c r="F151" i="18" s="1"/>
  <c r="C150" i="18"/>
  <c r="I149" i="18"/>
  <c r="B150" i="18" s="1"/>
  <c r="E150" i="18" s="1"/>
  <c r="H149" i="18"/>
  <c r="F149" i="18" s="1"/>
  <c r="C149" i="18"/>
  <c r="I148" i="18"/>
  <c r="B149" i="18" s="1"/>
  <c r="E149" i="18" s="1"/>
  <c r="C148" i="18"/>
  <c r="C160" i="18" s="1"/>
  <c r="G146" i="18"/>
  <c r="D146" i="18"/>
  <c r="I145" i="18"/>
  <c r="B148" i="18" s="1"/>
  <c r="C145" i="18"/>
  <c r="I144" i="18"/>
  <c r="B145" i="18" s="1"/>
  <c r="E145" i="18" s="1"/>
  <c r="H145" i="18" s="1"/>
  <c r="F145" i="18" s="1"/>
  <c r="H144" i="18"/>
  <c r="F144" i="18" s="1"/>
  <c r="C144" i="18"/>
  <c r="I143" i="18"/>
  <c r="B144" i="18" s="1"/>
  <c r="E144" i="18" s="1"/>
  <c r="C143" i="18"/>
  <c r="I142" i="18"/>
  <c r="B143" i="18" s="1"/>
  <c r="E143" i="18" s="1"/>
  <c r="H143" i="18" s="1"/>
  <c r="F143" i="18" s="1"/>
  <c r="H142" i="18"/>
  <c r="F142" i="18" s="1"/>
  <c r="C142" i="18"/>
  <c r="I141" i="18"/>
  <c r="B142" i="18" s="1"/>
  <c r="E142" i="18" s="1"/>
  <c r="C141" i="18"/>
  <c r="I140" i="18"/>
  <c r="B141" i="18" s="1"/>
  <c r="E141" i="18" s="1"/>
  <c r="H141" i="18" s="1"/>
  <c r="F141" i="18" s="1"/>
  <c r="H140" i="18"/>
  <c r="F140" i="18" s="1"/>
  <c r="C140" i="18"/>
  <c r="I139" i="18"/>
  <c r="B140" i="18" s="1"/>
  <c r="E140" i="18" s="1"/>
  <c r="C139" i="18"/>
  <c r="I138" i="18"/>
  <c r="B139" i="18" s="1"/>
  <c r="E139" i="18" s="1"/>
  <c r="H139" i="18" s="1"/>
  <c r="F139" i="18" s="1"/>
  <c r="H138" i="18"/>
  <c r="F138" i="18" s="1"/>
  <c r="C138" i="18"/>
  <c r="I137" i="18"/>
  <c r="B138" i="18" s="1"/>
  <c r="E138" i="18" s="1"/>
  <c r="C137" i="18"/>
  <c r="I136" i="18"/>
  <c r="B137" i="18" s="1"/>
  <c r="E137" i="18" s="1"/>
  <c r="H137" i="18" s="1"/>
  <c r="F137" i="18" s="1"/>
  <c r="H136" i="18"/>
  <c r="F136" i="18" s="1"/>
  <c r="C136" i="18"/>
  <c r="I135" i="18"/>
  <c r="B136" i="18" s="1"/>
  <c r="E136" i="18" s="1"/>
  <c r="C135" i="18"/>
  <c r="I134" i="18"/>
  <c r="B135" i="18" s="1"/>
  <c r="E135" i="18" s="1"/>
  <c r="H135" i="18" s="1"/>
  <c r="F135" i="18" s="1"/>
  <c r="C134" i="18"/>
  <c r="C146" i="18" s="1"/>
  <c r="G132" i="18"/>
  <c r="I131" i="18"/>
  <c r="B134" i="18" s="1"/>
  <c r="E131" i="18"/>
  <c r="H131" i="18" s="1"/>
  <c r="F131" i="18" s="1"/>
  <c r="C131" i="18"/>
  <c r="B131" i="18"/>
  <c r="I130" i="18"/>
  <c r="E130" i="18"/>
  <c r="H130" i="18" s="1"/>
  <c r="F130" i="18" s="1"/>
  <c r="C130" i="18"/>
  <c r="B130" i="18"/>
  <c r="I129" i="18"/>
  <c r="E129" i="18"/>
  <c r="H129" i="18" s="1"/>
  <c r="F129" i="18" s="1"/>
  <c r="C129" i="18"/>
  <c r="B129" i="18"/>
  <c r="I128" i="18"/>
  <c r="E128" i="18"/>
  <c r="H128" i="18" s="1"/>
  <c r="F128" i="18" s="1"/>
  <c r="C128" i="18"/>
  <c r="B128" i="18"/>
  <c r="I127" i="18"/>
  <c r="E127" i="18"/>
  <c r="H127" i="18" s="1"/>
  <c r="F127" i="18" s="1"/>
  <c r="C127" i="18"/>
  <c r="B127" i="18"/>
  <c r="I126" i="18"/>
  <c r="H126" i="18"/>
  <c r="F126" i="18" s="1"/>
  <c r="E126" i="18"/>
  <c r="C126" i="18"/>
  <c r="B126" i="18"/>
  <c r="I125" i="18"/>
  <c r="F125" i="18"/>
  <c r="E125" i="18"/>
  <c r="H125" i="18" s="1"/>
  <c r="C125" i="18"/>
  <c r="B125" i="18"/>
  <c r="I124" i="18"/>
  <c r="H124" i="18"/>
  <c r="F124" i="18" s="1"/>
  <c r="E124" i="18"/>
  <c r="C124" i="18"/>
  <c r="B124" i="18"/>
  <c r="I123" i="18"/>
  <c r="F123" i="18"/>
  <c r="E123" i="18"/>
  <c r="H123" i="18" s="1"/>
  <c r="C123" i="18"/>
  <c r="B123" i="18"/>
  <c r="I122" i="18"/>
  <c r="H122" i="18"/>
  <c r="F122" i="18" s="1"/>
  <c r="E122" i="18"/>
  <c r="C122" i="18"/>
  <c r="B122" i="18"/>
  <c r="I121" i="18"/>
  <c r="E121" i="18"/>
  <c r="H121" i="18" s="1"/>
  <c r="F121" i="18" s="1"/>
  <c r="C121" i="18"/>
  <c r="B121" i="18"/>
  <c r="I120" i="18"/>
  <c r="E120" i="18"/>
  <c r="H120" i="18" s="1"/>
  <c r="C120" i="18"/>
  <c r="C132" i="18" s="1"/>
  <c r="B120" i="18"/>
  <c r="G118" i="18"/>
  <c r="D118" i="18"/>
  <c r="C118" i="18"/>
  <c r="I117" i="18"/>
  <c r="H117" i="18"/>
  <c r="F117" i="18" s="1"/>
  <c r="E117" i="18"/>
  <c r="C117" i="18"/>
  <c r="B117" i="18"/>
  <c r="I116" i="18"/>
  <c r="F116" i="18"/>
  <c r="E116" i="18"/>
  <c r="H116" i="18" s="1"/>
  <c r="C116" i="18"/>
  <c r="B116" i="18"/>
  <c r="I115" i="18"/>
  <c r="E115" i="18"/>
  <c r="H115" i="18" s="1"/>
  <c r="F115" i="18" s="1"/>
  <c r="C115" i="18"/>
  <c r="B115" i="18"/>
  <c r="I114" i="18"/>
  <c r="E114" i="18"/>
  <c r="H114" i="18" s="1"/>
  <c r="F114" i="18" s="1"/>
  <c r="C114" i="18"/>
  <c r="B114" i="18"/>
  <c r="I113" i="18"/>
  <c r="E113" i="18"/>
  <c r="H113" i="18" s="1"/>
  <c r="F113" i="18" s="1"/>
  <c r="C113" i="18"/>
  <c r="B113" i="18"/>
  <c r="I112" i="18"/>
  <c r="E112" i="18"/>
  <c r="H112" i="18" s="1"/>
  <c r="F112" i="18" s="1"/>
  <c r="C112" i="18"/>
  <c r="B112" i="18"/>
  <c r="I111" i="18"/>
  <c r="E111" i="18"/>
  <c r="H111" i="18" s="1"/>
  <c r="F111" i="18" s="1"/>
  <c r="C111" i="18"/>
  <c r="B111" i="18"/>
  <c r="I110" i="18"/>
  <c r="E110" i="18"/>
  <c r="H110" i="18" s="1"/>
  <c r="F110" i="18" s="1"/>
  <c r="C110" i="18"/>
  <c r="B110" i="18"/>
  <c r="I109" i="18"/>
  <c r="E109" i="18"/>
  <c r="H109" i="18" s="1"/>
  <c r="F109" i="18" s="1"/>
  <c r="C109" i="18"/>
  <c r="B109" i="18"/>
  <c r="I108" i="18"/>
  <c r="F108" i="18"/>
  <c r="E108" i="18"/>
  <c r="H108" i="18" s="1"/>
  <c r="C108" i="18"/>
  <c r="B108" i="18"/>
  <c r="I107" i="18"/>
  <c r="H107" i="18"/>
  <c r="F107" i="18" s="1"/>
  <c r="E107" i="18"/>
  <c r="C107" i="18"/>
  <c r="B107" i="18"/>
  <c r="I106" i="18"/>
  <c r="F106" i="18"/>
  <c r="F118" i="18" s="1"/>
  <c r="E106" i="18"/>
  <c r="H106" i="18" s="1"/>
  <c r="C106" i="18"/>
  <c r="B106" i="18"/>
  <c r="E118" i="18" s="1"/>
  <c r="G104" i="18"/>
  <c r="D104" i="18"/>
  <c r="I103" i="18"/>
  <c r="E103" i="18"/>
  <c r="H103" i="18" s="1"/>
  <c r="F103" i="18" s="1"/>
  <c r="C103" i="18"/>
  <c r="B103" i="18"/>
  <c r="I102" i="18"/>
  <c r="E102" i="18"/>
  <c r="H102" i="18" s="1"/>
  <c r="F102" i="18" s="1"/>
  <c r="C102" i="18"/>
  <c r="B102" i="18"/>
  <c r="I101" i="18"/>
  <c r="E101" i="18"/>
  <c r="H101" i="18" s="1"/>
  <c r="F101" i="18" s="1"/>
  <c r="C101" i="18"/>
  <c r="B101" i="18"/>
  <c r="I100" i="18"/>
  <c r="E100" i="18"/>
  <c r="H100" i="18" s="1"/>
  <c r="F100" i="18" s="1"/>
  <c r="C100" i="18"/>
  <c r="B100" i="18"/>
  <c r="I99" i="18"/>
  <c r="E99" i="18"/>
  <c r="H99" i="18" s="1"/>
  <c r="F99" i="18" s="1"/>
  <c r="C99" i="18"/>
  <c r="B99" i="18"/>
  <c r="I98" i="18"/>
  <c r="E98" i="18"/>
  <c r="H98" i="18" s="1"/>
  <c r="F98" i="18" s="1"/>
  <c r="C98" i="18"/>
  <c r="B98" i="18"/>
  <c r="I97" i="18"/>
  <c r="F97" i="18"/>
  <c r="E97" i="18"/>
  <c r="H97" i="18" s="1"/>
  <c r="C97" i="18"/>
  <c r="B97" i="18"/>
  <c r="I96" i="18"/>
  <c r="H96" i="18"/>
  <c r="F96" i="18" s="1"/>
  <c r="E96" i="18"/>
  <c r="C96" i="18"/>
  <c r="B96" i="18"/>
  <c r="I95" i="18"/>
  <c r="F95" i="18"/>
  <c r="E95" i="18"/>
  <c r="H95" i="18" s="1"/>
  <c r="C95" i="18"/>
  <c r="B95" i="18"/>
  <c r="I94" i="18"/>
  <c r="H94" i="18"/>
  <c r="F94" i="18" s="1"/>
  <c r="E94" i="18"/>
  <c r="C94" i="18"/>
  <c r="B94" i="18"/>
  <c r="I93" i="18"/>
  <c r="F93" i="18"/>
  <c r="E93" i="18"/>
  <c r="H93" i="18" s="1"/>
  <c r="C93" i="18"/>
  <c r="B93" i="18"/>
  <c r="I92" i="18"/>
  <c r="E92" i="18"/>
  <c r="H92" i="18" s="1"/>
  <c r="C92" i="18"/>
  <c r="C104" i="18" s="1"/>
  <c r="E104" i="18" s="1"/>
  <c r="B92" i="18"/>
  <c r="G90" i="18"/>
  <c r="D90" i="18"/>
  <c r="C90" i="18"/>
  <c r="I89" i="18"/>
  <c r="E89" i="18"/>
  <c r="H89" i="18" s="1"/>
  <c r="F89" i="18" s="1"/>
  <c r="C89" i="18"/>
  <c r="B89" i="18"/>
  <c r="I88" i="18"/>
  <c r="E88" i="18"/>
  <c r="H88" i="18" s="1"/>
  <c r="F88" i="18" s="1"/>
  <c r="C88" i="18"/>
  <c r="B88" i="18"/>
  <c r="I87" i="18"/>
  <c r="E87" i="18"/>
  <c r="H87" i="18" s="1"/>
  <c r="F87" i="18" s="1"/>
  <c r="C87" i="18"/>
  <c r="B87" i="18"/>
  <c r="I86" i="18"/>
  <c r="E86" i="18"/>
  <c r="H86" i="18" s="1"/>
  <c r="F86" i="18" s="1"/>
  <c r="C86" i="18"/>
  <c r="B86" i="18"/>
  <c r="I85" i="18"/>
  <c r="E85" i="18"/>
  <c r="H85" i="18" s="1"/>
  <c r="F85" i="18" s="1"/>
  <c r="C85" i="18"/>
  <c r="B85" i="18"/>
  <c r="I84" i="18"/>
  <c r="C84" i="18"/>
  <c r="B84" i="18"/>
  <c r="E84" i="18" s="1"/>
  <c r="H84" i="18" s="1"/>
  <c r="F84" i="18" s="1"/>
  <c r="I83" i="18"/>
  <c r="H83" i="18"/>
  <c r="F83" i="18" s="1"/>
  <c r="E83" i="18"/>
  <c r="C83" i="18"/>
  <c r="B83" i="18"/>
  <c r="I82" i="18"/>
  <c r="F82" i="18"/>
  <c r="E82" i="18"/>
  <c r="H82" i="18" s="1"/>
  <c r="C82" i="18"/>
  <c r="B82" i="18"/>
  <c r="I81" i="18"/>
  <c r="H81" i="18"/>
  <c r="F81" i="18" s="1"/>
  <c r="E81" i="18"/>
  <c r="C81" i="18"/>
  <c r="B81" i="18"/>
  <c r="I80" i="18"/>
  <c r="C80" i="18"/>
  <c r="B80" i="18"/>
  <c r="E80" i="18" s="1"/>
  <c r="H80" i="18" s="1"/>
  <c r="F80" i="18" s="1"/>
  <c r="I79" i="18"/>
  <c r="E79" i="18"/>
  <c r="H79" i="18" s="1"/>
  <c r="F79" i="18" s="1"/>
  <c r="C79" i="18"/>
  <c r="B79" i="18"/>
  <c r="I78" i="18"/>
  <c r="C78" i="18"/>
  <c r="B78" i="18"/>
  <c r="E90" i="18" s="1"/>
  <c r="G76" i="18"/>
  <c r="G43" i="15" s="1"/>
  <c r="D76" i="18"/>
  <c r="I75" i="18"/>
  <c r="G75" i="18"/>
  <c r="F75" i="18"/>
  <c r="C75" i="18"/>
  <c r="I74" i="18"/>
  <c r="B75" i="18" s="1"/>
  <c r="E75" i="18" s="1"/>
  <c r="H75" i="18" s="1"/>
  <c r="G74" i="18"/>
  <c r="C74" i="18"/>
  <c r="I73" i="18"/>
  <c r="B74" i="18" s="1"/>
  <c r="E74" i="18" s="1"/>
  <c r="H74" i="18" s="1"/>
  <c r="F74" i="18" s="1"/>
  <c r="G73" i="18"/>
  <c r="C73" i="18"/>
  <c r="I72" i="18"/>
  <c r="B73" i="18" s="1"/>
  <c r="G72" i="18"/>
  <c r="C72" i="18"/>
  <c r="I71" i="18"/>
  <c r="B72" i="18" s="1"/>
  <c r="E72" i="18" s="1"/>
  <c r="H72" i="18" s="1"/>
  <c r="F72" i="18" s="1"/>
  <c r="G71" i="18"/>
  <c r="C71" i="18"/>
  <c r="I70" i="18"/>
  <c r="B71" i="18" s="1"/>
  <c r="E71" i="18" s="1"/>
  <c r="H71" i="18" s="1"/>
  <c r="F71" i="18" s="1"/>
  <c r="G70" i="18"/>
  <c r="C70" i="18"/>
  <c r="B70" i="18"/>
  <c r="E70" i="18" s="1"/>
  <c r="H70" i="18" s="1"/>
  <c r="F70" i="18" s="1"/>
  <c r="I69" i="18"/>
  <c r="H69" i="18"/>
  <c r="F69" i="18" s="1"/>
  <c r="G69" i="18"/>
  <c r="C69" i="18"/>
  <c r="I68" i="18"/>
  <c r="B69" i="18" s="1"/>
  <c r="E69" i="18" s="1"/>
  <c r="H68" i="18"/>
  <c r="F68" i="18" s="1"/>
  <c r="G68" i="18"/>
  <c r="C68" i="18"/>
  <c r="B68" i="18"/>
  <c r="E68" i="18" s="1"/>
  <c r="I67" i="18"/>
  <c r="G67" i="18"/>
  <c r="C67" i="18"/>
  <c r="I66" i="18"/>
  <c r="B67" i="18" s="1"/>
  <c r="E67" i="18" s="1"/>
  <c r="H67" i="18" s="1"/>
  <c r="F67" i="18" s="1"/>
  <c r="G66" i="18"/>
  <c r="C66" i="18"/>
  <c r="B66" i="18"/>
  <c r="E66" i="18" s="1"/>
  <c r="I65" i="18"/>
  <c r="G65" i="18"/>
  <c r="C65" i="18"/>
  <c r="I64" i="18"/>
  <c r="B65" i="18" s="1"/>
  <c r="E65" i="18" s="1"/>
  <c r="H65" i="18" s="1"/>
  <c r="F65" i="18" s="1"/>
  <c r="G64" i="18"/>
  <c r="E64" i="18"/>
  <c r="C64" i="18"/>
  <c r="B64" i="18"/>
  <c r="G61" i="18"/>
  <c r="D61" i="18"/>
  <c r="B61" i="18"/>
  <c r="E61" i="18" s="1"/>
  <c r="H61" i="18" s="1"/>
  <c r="F61" i="18" s="1"/>
  <c r="G60" i="18"/>
  <c r="D60" i="18"/>
  <c r="B60" i="18"/>
  <c r="E60" i="18" s="1"/>
  <c r="H60" i="18" s="1"/>
  <c r="F60" i="18" s="1"/>
  <c r="I59" i="18"/>
  <c r="G59" i="18"/>
  <c r="D59" i="18"/>
  <c r="C59" i="18"/>
  <c r="I58" i="18"/>
  <c r="G58" i="18"/>
  <c r="D58" i="18"/>
  <c r="C58" i="18"/>
  <c r="B58" i="18"/>
  <c r="E58" i="18" s="1"/>
  <c r="I57" i="18"/>
  <c r="G57" i="18"/>
  <c r="D57" i="18"/>
  <c r="C57" i="18"/>
  <c r="E57" i="18" s="1"/>
  <c r="H57" i="18" s="1"/>
  <c r="F57" i="18" s="1"/>
  <c r="B57" i="18"/>
  <c r="I56" i="18"/>
  <c r="G56" i="18"/>
  <c r="D56" i="18"/>
  <c r="C56" i="18"/>
  <c r="I55" i="18"/>
  <c r="B56" i="18" s="1"/>
  <c r="G55" i="18"/>
  <c r="D55" i="18"/>
  <c r="C55" i="18"/>
  <c r="B55" i="18"/>
  <c r="I54" i="18"/>
  <c r="G54" i="18"/>
  <c r="D54" i="18"/>
  <c r="E54" i="18" s="1"/>
  <c r="H54" i="18" s="1"/>
  <c r="F54" i="18" s="1"/>
  <c r="C54" i="18"/>
  <c r="B54" i="18"/>
  <c r="I53" i="18"/>
  <c r="G53" i="18"/>
  <c r="D53" i="18"/>
  <c r="C53" i="18"/>
  <c r="I52" i="18"/>
  <c r="B53" i="18" s="1"/>
  <c r="E53" i="18" s="1"/>
  <c r="H53" i="18" s="1"/>
  <c r="F53" i="18" s="1"/>
  <c r="G52" i="18"/>
  <c r="D52" i="18"/>
  <c r="C52" i="18"/>
  <c r="I51" i="18"/>
  <c r="B52" i="18" s="1"/>
  <c r="E52" i="18" s="1"/>
  <c r="H52" i="18" s="1"/>
  <c r="F52" i="18" s="1"/>
  <c r="G51" i="18"/>
  <c r="D51" i="18"/>
  <c r="C51" i="18"/>
  <c r="B51" i="18"/>
  <c r="E51" i="18" s="1"/>
  <c r="I50" i="18"/>
  <c r="G50" i="18"/>
  <c r="D50" i="18"/>
  <c r="D62" i="18" s="1"/>
  <c r="D38" i="15" s="1"/>
  <c r="C50" i="18"/>
  <c r="I47" i="18"/>
  <c r="B50" i="18" s="1"/>
  <c r="G47" i="18"/>
  <c r="D47" i="18"/>
  <c r="C47" i="18"/>
  <c r="I46" i="18"/>
  <c r="B47" i="18" s="1"/>
  <c r="G46" i="18"/>
  <c r="D46" i="18"/>
  <c r="C46" i="18"/>
  <c r="B46" i="18"/>
  <c r="I45" i="18"/>
  <c r="G45" i="18"/>
  <c r="E45" i="18"/>
  <c r="H45" i="18" s="1"/>
  <c r="F45" i="18" s="1"/>
  <c r="D45" i="18"/>
  <c r="C45" i="18"/>
  <c r="B45" i="18"/>
  <c r="I44" i="18"/>
  <c r="H44" i="18"/>
  <c r="F44" i="18" s="1"/>
  <c r="G44" i="18"/>
  <c r="D44" i="18"/>
  <c r="C44" i="18"/>
  <c r="B44" i="18"/>
  <c r="E44" i="18" s="1"/>
  <c r="I43" i="18"/>
  <c r="H43" i="18"/>
  <c r="F43" i="18" s="1"/>
  <c r="G43" i="18"/>
  <c r="D43" i="18"/>
  <c r="C43" i="18"/>
  <c r="B43" i="18"/>
  <c r="E43" i="18" s="1"/>
  <c r="I42" i="18"/>
  <c r="G42" i="18"/>
  <c r="D42" i="18"/>
  <c r="C42" i="18"/>
  <c r="B42" i="18"/>
  <c r="E42" i="18" s="1"/>
  <c r="H42" i="18" s="1"/>
  <c r="F42" i="18" s="1"/>
  <c r="I41" i="18"/>
  <c r="H41" i="18"/>
  <c r="F41" i="18" s="1"/>
  <c r="G41" i="18"/>
  <c r="D41" i="18"/>
  <c r="C41" i="18"/>
  <c r="B41" i="18"/>
  <c r="E41" i="18" s="1"/>
  <c r="I40" i="18"/>
  <c r="G40" i="18"/>
  <c r="E40" i="18"/>
  <c r="H40" i="18" s="1"/>
  <c r="F40" i="18" s="1"/>
  <c r="D40" i="18"/>
  <c r="C40" i="18"/>
  <c r="B40" i="18"/>
  <c r="I39" i="18"/>
  <c r="G39" i="18"/>
  <c r="D39" i="18"/>
  <c r="C39" i="18"/>
  <c r="I38" i="18"/>
  <c r="B39" i="18" s="1"/>
  <c r="E39" i="18" s="1"/>
  <c r="H39" i="18" s="1"/>
  <c r="F39" i="18" s="1"/>
  <c r="G38" i="18"/>
  <c r="D38" i="18"/>
  <c r="C38" i="18"/>
  <c r="I37" i="18"/>
  <c r="B38" i="18" s="1"/>
  <c r="E38" i="18" s="1"/>
  <c r="G37" i="18"/>
  <c r="D37" i="18"/>
  <c r="C37" i="18"/>
  <c r="B37" i="18"/>
  <c r="E37" i="18" s="1"/>
  <c r="H37" i="18" s="1"/>
  <c r="F37" i="18" s="1"/>
  <c r="I36" i="18"/>
  <c r="G36" i="18"/>
  <c r="G48" i="18" s="1"/>
  <c r="G37" i="15" s="1"/>
  <c r="D36" i="18"/>
  <c r="C36" i="18"/>
  <c r="C48" i="18" s="1"/>
  <c r="G34" i="18"/>
  <c r="I33" i="18"/>
  <c r="B36" i="18" s="1"/>
  <c r="G33" i="18"/>
  <c r="D33" i="18"/>
  <c r="C33" i="18"/>
  <c r="B33" i="18"/>
  <c r="E33" i="18" s="1"/>
  <c r="H33" i="18" s="1"/>
  <c r="F33" i="18" s="1"/>
  <c r="I32" i="18"/>
  <c r="G32" i="18"/>
  <c r="D32" i="18"/>
  <c r="C32" i="18"/>
  <c r="I31" i="18"/>
  <c r="B32" i="18" s="1"/>
  <c r="E32" i="18" s="1"/>
  <c r="H32" i="18" s="1"/>
  <c r="F32" i="18" s="1"/>
  <c r="G31" i="18"/>
  <c r="D31" i="18"/>
  <c r="C31" i="18"/>
  <c r="I30" i="18"/>
  <c r="B31" i="18" s="1"/>
  <c r="E31" i="18" s="1"/>
  <c r="H31" i="18" s="1"/>
  <c r="F31" i="18" s="1"/>
  <c r="G30" i="18"/>
  <c r="D30" i="18"/>
  <c r="C30" i="18"/>
  <c r="B30" i="18"/>
  <c r="E30" i="18" s="1"/>
  <c r="H30" i="18" s="1"/>
  <c r="F30" i="18" s="1"/>
  <c r="I29" i="18"/>
  <c r="G29" i="18"/>
  <c r="D29" i="18"/>
  <c r="C29" i="18"/>
  <c r="I28" i="18"/>
  <c r="B29" i="18" s="1"/>
  <c r="E29" i="18" s="1"/>
  <c r="H29" i="18" s="1"/>
  <c r="F29" i="18" s="1"/>
  <c r="G28" i="18"/>
  <c r="F28" i="18"/>
  <c r="D28" i="18"/>
  <c r="C28" i="18"/>
  <c r="I27" i="18"/>
  <c r="B28" i="18" s="1"/>
  <c r="E28" i="18" s="1"/>
  <c r="H28" i="18" s="1"/>
  <c r="G27" i="18"/>
  <c r="D27" i="18"/>
  <c r="C27" i="18"/>
  <c r="B27" i="18"/>
  <c r="E27" i="18" s="1"/>
  <c r="H27" i="18" s="1"/>
  <c r="F27" i="18" s="1"/>
  <c r="I26" i="18"/>
  <c r="G26" i="18"/>
  <c r="D26" i="18"/>
  <c r="C26" i="18"/>
  <c r="I25" i="18"/>
  <c r="B26" i="18" s="1"/>
  <c r="E26" i="18" s="1"/>
  <c r="H26" i="18" s="1"/>
  <c r="F26" i="18" s="1"/>
  <c r="G25" i="18"/>
  <c r="D25" i="18"/>
  <c r="C25" i="18"/>
  <c r="I24" i="18"/>
  <c r="B25" i="18" s="1"/>
  <c r="E25" i="18" s="1"/>
  <c r="H25" i="18" s="1"/>
  <c r="F25" i="18" s="1"/>
  <c r="G24" i="18"/>
  <c r="D24" i="18"/>
  <c r="C24" i="18"/>
  <c r="B24" i="18"/>
  <c r="E24" i="18" s="1"/>
  <c r="H24" i="18" s="1"/>
  <c r="F24" i="18" s="1"/>
  <c r="I23" i="18"/>
  <c r="G23" i="18"/>
  <c r="D23" i="18"/>
  <c r="C23" i="18"/>
  <c r="I22" i="18"/>
  <c r="B23" i="18" s="1"/>
  <c r="E23" i="18" s="1"/>
  <c r="H23" i="18" s="1"/>
  <c r="F23" i="18" s="1"/>
  <c r="G22" i="18"/>
  <c r="D22" i="18"/>
  <c r="D34" i="18" s="1"/>
  <c r="C22" i="18"/>
  <c r="C34" i="18" s="1"/>
  <c r="C36" i="15" s="1"/>
  <c r="I19" i="18"/>
  <c r="B22" i="18" s="1"/>
  <c r="H19" i="18"/>
  <c r="F19" i="18" s="1"/>
  <c r="G19" i="18"/>
  <c r="D19" i="18"/>
  <c r="C19" i="18"/>
  <c r="I18" i="18"/>
  <c r="B19" i="18" s="1"/>
  <c r="E19" i="18" s="1"/>
  <c r="G18" i="18"/>
  <c r="D18" i="18"/>
  <c r="C18" i="18"/>
  <c r="B18" i="18"/>
  <c r="I17" i="18"/>
  <c r="G17" i="18"/>
  <c r="D17" i="18"/>
  <c r="C17" i="18"/>
  <c r="B17" i="18"/>
  <c r="E17" i="18" s="1"/>
  <c r="H17" i="18" s="1"/>
  <c r="F17" i="18" s="1"/>
  <c r="I16" i="18"/>
  <c r="H16" i="18"/>
  <c r="F16" i="18" s="1"/>
  <c r="G16" i="18"/>
  <c r="D16" i="18"/>
  <c r="C16" i="18"/>
  <c r="I15" i="18"/>
  <c r="B16" i="18" s="1"/>
  <c r="E16" i="18" s="1"/>
  <c r="G15" i="18"/>
  <c r="D15" i="18"/>
  <c r="C15" i="18"/>
  <c r="B15" i="18"/>
  <c r="E15" i="18" s="1"/>
  <c r="H15" i="18" s="1"/>
  <c r="F15" i="18" s="1"/>
  <c r="I14" i="18"/>
  <c r="G14" i="18"/>
  <c r="D14" i="18"/>
  <c r="C14" i="18"/>
  <c r="B14" i="18"/>
  <c r="E14" i="18" s="1"/>
  <c r="H14" i="18" s="1"/>
  <c r="F14" i="18" s="1"/>
  <c r="I13" i="18"/>
  <c r="G13" i="18"/>
  <c r="D13" i="18"/>
  <c r="C13" i="18"/>
  <c r="I12" i="18"/>
  <c r="B13" i="18" s="1"/>
  <c r="E13" i="18" s="1"/>
  <c r="H13" i="18" s="1"/>
  <c r="F13" i="18" s="1"/>
  <c r="G12" i="18"/>
  <c r="D12" i="18"/>
  <c r="C12" i="18"/>
  <c r="B12" i="18"/>
  <c r="I11" i="18"/>
  <c r="G11" i="18"/>
  <c r="D11" i="18"/>
  <c r="C11" i="18"/>
  <c r="B11" i="18"/>
  <c r="E11" i="18" s="1"/>
  <c r="H11" i="18" s="1"/>
  <c r="F11" i="18" s="1"/>
  <c r="I10" i="18"/>
  <c r="G10" i="18"/>
  <c r="D10" i="18"/>
  <c r="C10" i="18"/>
  <c r="C20" i="18" s="1"/>
  <c r="I9" i="18"/>
  <c r="B10" i="18" s="1"/>
  <c r="E10" i="18" s="1"/>
  <c r="H10" i="18" s="1"/>
  <c r="F10" i="18" s="1"/>
  <c r="G9" i="18"/>
  <c r="D9" i="18"/>
  <c r="C9" i="18"/>
  <c r="B9" i="18"/>
  <c r="I8" i="18"/>
  <c r="G8" i="18"/>
  <c r="G20" i="18" s="1"/>
  <c r="D8" i="18"/>
  <c r="C8" i="18"/>
  <c r="B8" i="18"/>
  <c r="E8" i="18" s="1"/>
  <c r="H8" i="18" s="1"/>
  <c r="G249" i="17"/>
  <c r="F249" i="17"/>
  <c r="D249" i="17"/>
  <c r="C249" i="17"/>
  <c r="C243" i="17"/>
  <c r="G242" i="17"/>
  <c r="F242" i="17"/>
  <c r="D242" i="17"/>
  <c r="G238" i="17"/>
  <c r="G243" i="17" s="1"/>
  <c r="G49" i="14" s="1"/>
  <c r="F238" i="17"/>
  <c r="D238" i="17"/>
  <c r="D243" i="17" s="1"/>
  <c r="G234" i="17"/>
  <c r="F234" i="17"/>
  <c r="D234" i="17"/>
  <c r="G230" i="17"/>
  <c r="F230" i="17"/>
  <c r="F243" i="17" s="1"/>
  <c r="D230" i="17"/>
  <c r="C230" i="17"/>
  <c r="G223" i="17"/>
  <c r="F223" i="17"/>
  <c r="F224" i="17" s="1"/>
  <c r="F48" i="14" s="1"/>
  <c r="D223" i="17"/>
  <c r="G219" i="17"/>
  <c r="F219" i="17"/>
  <c r="D219" i="17"/>
  <c r="G215" i="17"/>
  <c r="G224" i="17" s="1"/>
  <c r="F215" i="17"/>
  <c r="D215" i="17"/>
  <c r="D224" i="17" s="1"/>
  <c r="G211" i="17"/>
  <c r="F211" i="17"/>
  <c r="E211" i="17"/>
  <c r="I211" i="17" s="1"/>
  <c r="H211" i="17" s="1"/>
  <c r="D211" i="17"/>
  <c r="C211" i="17"/>
  <c r="C224" i="17" s="1"/>
  <c r="C205" i="17"/>
  <c r="G204" i="17"/>
  <c r="F204" i="17"/>
  <c r="D204" i="17"/>
  <c r="G200" i="17"/>
  <c r="F200" i="17"/>
  <c r="D200" i="17"/>
  <c r="G196" i="17"/>
  <c r="F196" i="17"/>
  <c r="F205" i="17" s="1"/>
  <c r="D196" i="17"/>
  <c r="G192" i="17"/>
  <c r="G205" i="17" s="1"/>
  <c r="G47" i="14" s="1"/>
  <c r="F192" i="17"/>
  <c r="D192" i="17"/>
  <c r="D205" i="17" s="1"/>
  <c r="C192" i="17"/>
  <c r="C186" i="17"/>
  <c r="G185" i="17"/>
  <c r="F185" i="17"/>
  <c r="D185" i="17"/>
  <c r="G181" i="17"/>
  <c r="F181" i="17"/>
  <c r="D181" i="17"/>
  <c r="G177" i="17"/>
  <c r="G186" i="17" s="1"/>
  <c r="F177" i="17"/>
  <c r="D177" i="17"/>
  <c r="D186" i="17" s="1"/>
  <c r="G173" i="17"/>
  <c r="F173" i="17"/>
  <c r="F186" i="17" s="1"/>
  <c r="D173" i="17"/>
  <c r="C173" i="17"/>
  <c r="G166" i="17"/>
  <c r="F166" i="17"/>
  <c r="D166" i="17"/>
  <c r="G162" i="17"/>
  <c r="F162" i="17"/>
  <c r="D162" i="17"/>
  <c r="G158" i="17"/>
  <c r="G167" i="17" s="1"/>
  <c r="F158" i="17"/>
  <c r="D158" i="17"/>
  <c r="D167" i="17" s="1"/>
  <c r="G154" i="17"/>
  <c r="F154" i="17"/>
  <c r="F167" i="17" s="1"/>
  <c r="D154" i="17"/>
  <c r="C154" i="17"/>
  <c r="C167" i="17" s="1"/>
  <c r="C148" i="17"/>
  <c r="G147" i="17"/>
  <c r="D147" i="17"/>
  <c r="F146" i="17"/>
  <c r="F147" i="17" s="1"/>
  <c r="F145" i="17"/>
  <c r="F144" i="17"/>
  <c r="G143" i="17"/>
  <c r="F143" i="17"/>
  <c r="D143" i="17"/>
  <c r="F142" i="17"/>
  <c r="F141" i="17"/>
  <c r="F140" i="17"/>
  <c r="G139" i="17"/>
  <c r="G148" i="17" s="1"/>
  <c r="D139" i="17"/>
  <c r="F138" i="17"/>
  <c r="F139" i="17" s="1"/>
  <c r="F137" i="17"/>
  <c r="F136" i="17"/>
  <c r="G135" i="17"/>
  <c r="F135" i="17"/>
  <c r="F148" i="17" s="1"/>
  <c r="D135" i="17"/>
  <c r="D148" i="17" s="1"/>
  <c r="C135" i="17"/>
  <c r="F134" i="17"/>
  <c r="F133" i="17"/>
  <c r="F132" i="17"/>
  <c r="C129" i="17"/>
  <c r="G128" i="17"/>
  <c r="D128" i="17"/>
  <c r="F127" i="17"/>
  <c r="F126" i="17"/>
  <c r="F125" i="17"/>
  <c r="G124" i="17"/>
  <c r="G129" i="17" s="1"/>
  <c r="D124" i="17"/>
  <c r="F123" i="17"/>
  <c r="F122" i="17"/>
  <c r="F121" i="17"/>
  <c r="F124" i="17" s="1"/>
  <c r="G120" i="17"/>
  <c r="F120" i="17"/>
  <c r="D120" i="17"/>
  <c r="F119" i="17"/>
  <c r="F118" i="17"/>
  <c r="F117" i="17"/>
  <c r="G116" i="17"/>
  <c r="D116" i="17"/>
  <c r="D129" i="17" s="1"/>
  <c r="C116" i="17"/>
  <c r="F115" i="17"/>
  <c r="F114" i="17"/>
  <c r="F113" i="17"/>
  <c r="F116" i="17" s="1"/>
  <c r="G110" i="17"/>
  <c r="D110" i="17"/>
  <c r="C110" i="17"/>
  <c r="C106" i="17"/>
  <c r="G103" i="17"/>
  <c r="G41" i="14" s="1"/>
  <c r="D103" i="17"/>
  <c r="C103" i="17"/>
  <c r="C99" i="17"/>
  <c r="G96" i="17"/>
  <c r="D96" i="17"/>
  <c r="B94" i="17"/>
  <c r="E94" i="17" s="1"/>
  <c r="I94" i="17" s="1"/>
  <c r="C92" i="17"/>
  <c r="C96" i="17" s="1"/>
  <c r="G89" i="17"/>
  <c r="D89" i="17"/>
  <c r="D39" i="14" s="1"/>
  <c r="C85" i="17"/>
  <c r="C89" i="17" s="1"/>
  <c r="G82" i="17"/>
  <c r="F82" i="17"/>
  <c r="F38" i="14" s="1"/>
  <c r="D82" i="17"/>
  <c r="D38" i="14" s="1"/>
  <c r="C78" i="17"/>
  <c r="C82" i="17" s="1"/>
  <c r="G75" i="17"/>
  <c r="F75" i="17"/>
  <c r="D75" i="17"/>
  <c r="C75" i="17"/>
  <c r="C71" i="17"/>
  <c r="G68" i="17"/>
  <c r="F68" i="17"/>
  <c r="D68" i="17"/>
  <c r="J67" i="17"/>
  <c r="B71" i="17" s="1"/>
  <c r="E71" i="17" s="1"/>
  <c r="I71" i="17" s="1"/>
  <c r="C64" i="17"/>
  <c r="C68" i="17" s="1"/>
  <c r="G61" i="17"/>
  <c r="F61" i="17"/>
  <c r="D61" i="17"/>
  <c r="C57" i="17"/>
  <c r="C61" i="17" s="1"/>
  <c r="G54" i="17"/>
  <c r="F54" i="17"/>
  <c r="D54" i="17"/>
  <c r="C54" i="17"/>
  <c r="G47" i="17"/>
  <c r="F47" i="17"/>
  <c r="D47" i="17"/>
  <c r="C47" i="17"/>
  <c r="G40" i="17"/>
  <c r="F40" i="17"/>
  <c r="D40" i="17"/>
  <c r="C40" i="17"/>
  <c r="J39" i="17"/>
  <c r="B43" i="17" s="1"/>
  <c r="E47" i="17" s="1"/>
  <c r="E39" i="17"/>
  <c r="I39" i="17" s="1"/>
  <c r="H39" i="17" s="1"/>
  <c r="G33" i="17"/>
  <c r="F33" i="17"/>
  <c r="D33" i="17"/>
  <c r="C33" i="17"/>
  <c r="J31" i="17"/>
  <c r="B32" i="17" s="1"/>
  <c r="E32" i="17" s="1"/>
  <c r="G26" i="17"/>
  <c r="F26" i="17"/>
  <c r="D26" i="17"/>
  <c r="D30" i="14" s="1"/>
  <c r="C26" i="17"/>
  <c r="G19" i="17"/>
  <c r="F19" i="17"/>
  <c r="D19" i="17"/>
  <c r="C19" i="17"/>
  <c r="J17" i="17"/>
  <c r="B18" i="17" s="1"/>
  <c r="E18" i="17" s="1"/>
  <c r="G12" i="17"/>
  <c r="F12" i="17"/>
  <c r="E12" i="17"/>
  <c r="D12" i="17"/>
  <c r="C12" i="17"/>
  <c r="E8" i="17"/>
  <c r="I49" i="16"/>
  <c r="F49" i="16" s="1"/>
  <c r="E49" i="16"/>
  <c r="B49" i="16"/>
  <c r="J48" i="16"/>
  <c r="H48" i="16"/>
  <c r="G48" i="16"/>
  <c r="D48" i="16"/>
  <c r="C48" i="16"/>
  <c r="B48" i="16"/>
  <c r="E48" i="16" s="1"/>
  <c r="I48" i="16" s="1"/>
  <c r="F48" i="16" s="1"/>
  <c r="J47" i="16"/>
  <c r="H47" i="16"/>
  <c r="G47" i="16"/>
  <c r="D47" i="16"/>
  <c r="E47" i="16" s="1"/>
  <c r="I47" i="16" s="1"/>
  <c r="F47" i="16" s="1"/>
  <c r="C47" i="16"/>
  <c r="B47" i="16"/>
  <c r="J46" i="16"/>
  <c r="H46" i="16"/>
  <c r="G46" i="16"/>
  <c r="D46" i="16"/>
  <c r="C46" i="16"/>
  <c r="J45" i="16"/>
  <c r="H45" i="16"/>
  <c r="G45" i="16"/>
  <c r="E45" i="16"/>
  <c r="D45" i="16"/>
  <c r="C45" i="16"/>
  <c r="B45" i="16"/>
  <c r="J44" i="16"/>
  <c r="G44" i="16"/>
  <c r="D44" i="16"/>
  <c r="C44" i="16"/>
  <c r="B44" i="16"/>
  <c r="E44" i="16" s="1"/>
  <c r="I44" i="16" s="1"/>
  <c r="J43" i="16"/>
  <c r="G43" i="16"/>
  <c r="D43" i="16"/>
  <c r="E43" i="16" s="1"/>
  <c r="I43" i="16" s="1"/>
  <c r="C43" i="16"/>
  <c r="B43" i="16"/>
  <c r="J42" i="16"/>
  <c r="G42" i="16"/>
  <c r="C42" i="16"/>
  <c r="B42" i="16"/>
  <c r="E41" i="16"/>
  <c r="I41" i="16" s="1"/>
  <c r="F41" i="16" s="1"/>
  <c r="B41" i="16"/>
  <c r="B40" i="16"/>
  <c r="E40" i="16" s="1"/>
  <c r="I40" i="16" s="1"/>
  <c r="F40" i="16" s="1"/>
  <c r="B39" i="16"/>
  <c r="E39" i="16" s="1"/>
  <c r="I39" i="16" s="1"/>
  <c r="F39" i="16" s="1"/>
  <c r="E38" i="16"/>
  <c r="I38" i="16" s="1"/>
  <c r="F38" i="16" s="1"/>
  <c r="B38" i="16"/>
  <c r="G37" i="16"/>
  <c r="C37" i="16"/>
  <c r="J36" i="16"/>
  <c r="B37" i="16" s="1"/>
  <c r="H36" i="16"/>
  <c r="G36" i="16"/>
  <c r="D36" i="16"/>
  <c r="C36" i="16"/>
  <c r="J35" i="16"/>
  <c r="B36" i="16" s="1"/>
  <c r="E36" i="16" s="1"/>
  <c r="I36" i="16" s="1"/>
  <c r="F36" i="16" s="1"/>
  <c r="G35" i="16"/>
  <c r="C35" i="16"/>
  <c r="B35" i="16"/>
  <c r="J34" i="16"/>
  <c r="H34" i="16"/>
  <c r="G34" i="16"/>
  <c r="C34" i="16"/>
  <c r="B34" i="16"/>
  <c r="E33" i="16"/>
  <c r="I33" i="16" s="1"/>
  <c r="F33" i="16" s="1"/>
  <c r="B33" i="16"/>
  <c r="B32" i="16"/>
  <c r="E32" i="16" s="1"/>
  <c r="I32" i="16" s="1"/>
  <c r="F32" i="16" s="1"/>
  <c r="E31" i="16"/>
  <c r="I31" i="16" s="1"/>
  <c r="F31" i="16" s="1"/>
  <c r="B31" i="16"/>
  <c r="E30" i="16"/>
  <c r="I30" i="16" s="1"/>
  <c r="F30" i="16" s="1"/>
  <c r="B30" i="16"/>
  <c r="B29" i="16"/>
  <c r="E29" i="16" s="1"/>
  <c r="I29" i="16" s="1"/>
  <c r="F29" i="16" s="1"/>
  <c r="B28" i="16"/>
  <c r="E28" i="16" s="1"/>
  <c r="I28" i="16" s="1"/>
  <c r="F28" i="16" s="1"/>
  <c r="B27" i="16"/>
  <c r="E27" i="16" s="1"/>
  <c r="I27" i="16" s="1"/>
  <c r="F27" i="16" s="1"/>
  <c r="B26" i="16"/>
  <c r="E26" i="16" s="1"/>
  <c r="I26" i="16" s="1"/>
  <c r="F26" i="16" s="1"/>
  <c r="E25" i="16"/>
  <c r="I25" i="16" s="1"/>
  <c r="F25" i="16" s="1"/>
  <c r="B25" i="16"/>
  <c r="E24" i="16"/>
  <c r="I24" i="16" s="1"/>
  <c r="F24" i="16" s="1"/>
  <c r="B24" i="16"/>
  <c r="B23" i="16"/>
  <c r="E23" i="16" s="1"/>
  <c r="I23" i="16" s="1"/>
  <c r="F23" i="16" s="1"/>
  <c r="B22" i="16"/>
  <c r="E22" i="16" s="1"/>
  <c r="I22" i="16" s="1"/>
  <c r="F22" i="16" s="1"/>
  <c r="B21" i="16"/>
  <c r="E21" i="16" s="1"/>
  <c r="I21" i="16" s="1"/>
  <c r="F21" i="16" s="1"/>
  <c r="B20" i="16"/>
  <c r="E20" i="16" s="1"/>
  <c r="I20" i="16" s="1"/>
  <c r="F20" i="16" s="1"/>
  <c r="E19" i="16"/>
  <c r="I19" i="16" s="1"/>
  <c r="F19" i="16" s="1"/>
  <c r="B19" i="16"/>
  <c r="E18" i="16"/>
  <c r="I18" i="16" s="1"/>
  <c r="F18" i="16" s="1"/>
  <c r="B18" i="16"/>
  <c r="B17" i="16"/>
  <c r="E17" i="16" s="1"/>
  <c r="I17" i="16" s="1"/>
  <c r="F17" i="16" s="1"/>
  <c r="B16" i="16"/>
  <c r="E16" i="16" s="1"/>
  <c r="I16" i="16" s="1"/>
  <c r="F16" i="16" s="1"/>
  <c r="B15" i="16"/>
  <c r="E15" i="16" s="1"/>
  <c r="I15" i="16" s="1"/>
  <c r="F15" i="16" s="1"/>
  <c r="B14" i="16"/>
  <c r="E14" i="16" s="1"/>
  <c r="I14" i="16" s="1"/>
  <c r="F14" i="16" s="1"/>
  <c r="I13" i="16"/>
  <c r="F13" i="16" s="1"/>
  <c r="E13" i="16"/>
  <c r="B13" i="16"/>
  <c r="E12" i="16"/>
  <c r="I12" i="16" s="1"/>
  <c r="F12" i="16" s="1"/>
  <c r="B12" i="16"/>
  <c r="B11" i="16"/>
  <c r="E11" i="16" s="1"/>
  <c r="I11" i="16" s="1"/>
  <c r="F11" i="16" s="1"/>
  <c r="B10" i="16"/>
  <c r="E10" i="16" s="1"/>
  <c r="I10" i="16" s="1"/>
  <c r="F10" i="16" s="1"/>
  <c r="B9" i="16"/>
  <c r="E9" i="16" s="1"/>
  <c r="I9" i="16" s="1"/>
  <c r="F9" i="16" s="1"/>
  <c r="B8" i="16"/>
  <c r="E8" i="16" s="1"/>
  <c r="I8" i="16" s="1"/>
  <c r="F8" i="16" s="1"/>
  <c r="I7" i="16"/>
  <c r="F7" i="16" s="1"/>
  <c r="E7" i="16"/>
  <c r="H50" i="15"/>
  <c r="E50" i="15"/>
  <c r="I50" i="15" s="1"/>
  <c r="B50" i="15"/>
  <c r="I49" i="15"/>
  <c r="G49" i="15"/>
  <c r="D49" i="15"/>
  <c r="C49" i="15"/>
  <c r="B49" i="15"/>
  <c r="E49" i="15" s="1"/>
  <c r="H49" i="15" s="1"/>
  <c r="F49" i="15" s="1"/>
  <c r="I48" i="15"/>
  <c r="G48" i="15"/>
  <c r="D48" i="15"/>
  <c r="C48" i="15"/>
  <c r="I47" i="15"/>
  <c r="B48" i="15" s="1"/>
  <c r="E48" i="15" s="1"/>
  <c r="H48" i="15" s="1"/>
  <c r="F48" i="15" s="1"/>
  <c r="G47" i="15"/>
  <c r="D47" i="15"/>
  <c r="C47" i="15"/>
  <c r="B47" i="15"/>
  <c r="E47" i="15" s="1"/>
  <c r="H47" i="15" s="1"/>
  <c r="F47" i="15" s="1"/>
  <c r="I46" i="15"/>
  <c r="G46" i="15"/>
  <c r="D46" i="15"/>
  <c r="C46" i="15"/>
  <c r="B46" i="15"/>
  <c r="E46" i="15" s="1"/>
  <c r="H46" i="15" s="1"/>
  <c r="F46" i="15" s="1"/>
  <c r="I45" i="15"/>
  <c r="G45" i="15"/>
  <c r="D45" i="15"/>
  <c r="C45" i="15"/>
  <c r="I44" i="15"/>
  <c r="B45" i="15" s="1"/>
  <c r="E45" i="15" s="1"/>
  <c r="H45" i="15" s="1"/>
  <c r="F45" i="15" s="1"/>
  <c r="G44" i="15"/>
  <c r="D44" i="15"/>
  <c r="C44" i="15"/>
  <c r="B44" i="15"/>
  <c r="E44" i="15" s="1"/>
  <c r="H44" i="15" s="1"/>
  <c r="F44" i="15" s="1"/>
  <c r="I43" i="15"/>
  <c r="D43" i="15"/>
  <c r="B43" i="15"/>
  <c r="E42" i="15"/>
  <c r="H42" i="15" s="1"/>
  <c r="F42" i="15" s="1"/>
  <c r="B42" i="15"/>
  <c r="B41" i="15"/>
  <c r="E41" i="15" s="1"/>
  <c r="H41" i="15" s="1"/>
  <c r="F41" i="15" s="1"/>
  <c r="E40" i="15"/>
  <c r="H40" i="15" s="1"/>
  <c r="F40" i="15" s="1"/>
  <c r="B40" i="15"/>
  <c r="E39" i="15"/>
  <c r="H39" i="15" s="1"/>
  <c r="F39" i="15" s="1"/>
  <c r="B39" i="15"/>
  <c r="I38" i="15"/>
  <c r="B38" i="15"/>
  <c r="I37" i="15"/>
  <c r="C37" i="15"/>
  <c r="I36" i="15"/>
  <c r="B37" i="15" s="1"/>
  <c r="G36" i="15"/>
  <c r="D36" i="15"/>
  <c r="B36" i="15"/>
  <c r="E36" i="15" s="1"/>
  <c r="H36" i="15" s="1"/>
  <c r="F36" i="15" s="1"/>
  <c r="I35" i="15"/>
  <c r="G35" i="15"/>
  <c r="C35" i="15"/>
  <c r="B35" i="15"/>
  <c r="E34" i="15"/>
  <c r="H34" i="15" s="1"/>
  <c r="F34" i="15" s="1"/>
  <c r="B34" i="15"/>
  <c r="B33" i="15"/>
  <c r="E33" i="15" s="1"/>
  <c r="H33" i="15" s="1"/>
  <c r="F33" i="15" s="1"/>
  <c r="E32" i="15"/>
  <c r="H32" i="15" s="1"/>
  <c r="F32" i="15" s="1"/>
  <c r="B32" i="15"/>
  <c r="E31" i="15"/>
  <c r="H31" i="15" s="1"/>
  <c r="F31" i="15" s="1"/>
  <c r="B31" i="15"/>
  <c r="B30" i="15"/>
  <c r="E30" i="15" s="1"/>
  <c r="H30" i="15" s="1"/>
  <c r="F30" i="15" s="1"/>
  <c r="E29" i="15"/>
  <c r="H29" i="15" s="1"/>
  <c r="F29" i="15" s="1"/>
  <c r="B29" i="15"/>
  <c r="E28" i="15"/>
  <c r="H28" i="15" s="1"/>
  <c r="F28" i="15" s="1"/>
  <c r="B28" i="15"/>
  <c r="B27" i="15"/>
  <c r="E27" i="15" s="1"/>
  <c r="H27" i="15" s="1"/>
  <c r="F27" i="15" s="1"/>
  <c r="E26" i="15"/>
  <c r="H26" i="15" s="1"/>
  <c r="F26" i="15" s="1"/>
  <c r="B26" i="15"/>
  <c r="E25" i="15"/>
  <c r="H25" i="15" s="1"/>
  <c r="F25" i="15" s="1"/>
  <c r="B25" i="15"/>
  <c r="B24" i="15"/>
  <c r="E24" i="15" s="1"/>
  <c r="H24" i="15" s="1"/>
  <c r="F24" i="15" s="1"/>
  <c r="E23" i="15"/>
  <c r="H23" i="15" s="1"/>
  <c r="F23" i="15" s="1"/>
  <c r="B23" i="15"/>
  <c r="E22" i="15"/>
  <c r="H22" i="15" s="1"/>
  <c r="F22" i="15" s="1"/>
  <c r="B22" i="15"/>
  <c r="H21" i="15"/>
  <c r="F21" i="15" s="1"/>
  <c r="E21" i="15"/>
  <c r="B21" i="15"/>
  <c r="E20" i="15"/>
  <c r="H20" i="15" s="1"/>
  <c r="F20" i="15" s="1"/>
  <c r="B20" i="15"/>
  <c r="E19" i="15"/>
  <c r="H19" i="15" s="1"/>
  <c r="F19" i="15" s="1"/>
  <c r="B19" i="15"/>
  <c r="H18" i="15"/>
  <c r="F18" i="15" s="1"/>
  <c r="E18" i="15"/>
  <c r="B18" i="15"/>
  <c r="E17" i="15"/>
  <c r="H17" i="15" s="1"/>
  <c r="F17" i="15" s="1"/>
  <c r="B17" i="15"/>
  <c r="E16" i="15"/>
  <c r="H16" i="15" s="1"/>
  <c r="F16" i="15" s="1"/>
  <c r="B16" i="15"/>
  <c r="H15" i="15"/>
  <c r="F15" i="15" s="1"/>
  <c r="E15" i="15"/>
  <c r="B15" i="15"/>
  <c r="E14" i="15"/>
  <c r="H14" i="15" s="1"/>
  <c r="F14" i="15" s="1"/>
  <c r="B14" i="15"/>
  <c r="E13" i="15"/>
  <c r="H13" i="15" s="1"/>
  <c r="F13" i="15" s="1"/>
  <c r="B13" i="15"/>
  <c r="H12" i="15"/>
  <c r="F12" i="15" s="1"/>
  <c r="E12" i="15"/>
  <c r="B12" i="15"/>
  <c r="E11" i="15"/>
  <c r="H11" i="15" s="1"/>
  <c r="F11" i="15" s="1"/>
  <c r="B11" i="15"/>
  <c r="E10" i="15"/>
  <c r="H10" i="15" s="1"/>
  <c r="F10" i="15" s="1"/>
  <c r="B10" i="15"/>
  <c r="H9" i="15"/>
  <c r="F9" i="15" s="1"/>
  <c r="E9" i="15"/>
  <c r="B9" i="15"/>
  <c r="E8" i="15"/>
  <c r="H8" i="15" s="1"/>
  <c r="F8" i="15" s="1"/>
  <c r="I50" i="14"/>
  <c r="C50" i="14"/>
  <c r="F49" i="14"/>
  <c r="D49" i="14"/>
  <c r="C49" i="14"/>
  <c r="G48" i="14"/>
  <c r="D48" i="14"/>
  <c r="C48" i="14"/>
  <c r="J47" i="14"/>
  <c r="B48" i="14" s="1"/>
  <c r="E48" i="14" s="1"/>
  <c r="F47" i="14"/>
  <c r="D47" i="14"/>
  <c r="C47" i="14"/>
  <c r="G46" i="14"/>
  <c r="F46" i="14"/>
  <c r="D46" i="14"/>
  <c r="C46" i="14"/>
  <c r="G45" i="14"/>
  <c r="F45" i="14"/>
  <c r="D45" i="14"/>
  <c r="C45" i="14"/>
  <c r="G44" i="14"/>
  <c r="F44" i="14"/>
  <c r="D44" i="14"/>
  <c r="C44" i="14"/>
  <c r="G43" i="14"/>
  <c r="D43" i="14"/>
  <c r="C43" i="14"/>
  <c r="G42" i="14"/>
  <c r="F42" i="14"/>
  <c r="D42" i="14"/>
  <c r="C42" i="14"/>
  <c r="F41" i="14"/>
  <c r="D41" i="14"/>
  <c r="C41" i="14"/>
  <c r="G40" i="14"/>
  <c r="F40" i="14"/>
  <c r="D40" i="14"/>
  <c r="C40" i="14"/>
  <c r="J39" i="14"/>
  <c r="B40" i="14" s="1"/>
  <c r="E40" i="14" s="1"/>
  <c r="G39" i="14"/>
  <c r="F39" i="14"/>
  <c r="C39" i="14"/>
  <c r="G38" i="14"/>
  <c r="C38" i="14"/>
  <c r="G37" i="14"/>
  <c r="F37" i="14"/>
  <c r="D37" i="14"/>
  <c r="C37" i="14"/>
  <c r="G36" i="14"/>
  <c r="F36" i="14"/>
  <c r="D36" i="14"/>
  <c r="C36" i="14"/>
  <c r="J35" i="14"/>
  <c r="B36" i="14" s="1"/>
  <c r="E36" i="14" s="1"/>
  <c r="I36" i="14" s="1"/>
  <c r="H36" i="14" s="1"/>
  <c r="G35" i="14"/>
  <c r="F35" i="14"/>
  <c r="D35" i="14"/>
  <c r="C35" i="14"/>
  <c r="G34" i="14"/>
  <c r="F34" i="14"/>
  <c r="D34" i="14"/>
  <c r="C34" i="14"/>
  <c r="G33" i="14"/>
  <c r="F33" i="14"/>
  <c r="D33" i="14"/>
  <c r="C33" i="14"/>
  <c r="G32" i="14"/>
  <c r="F32" i="14"/>
  <c r="D32" i="14"/>
  <c r="C32" i="14"/>
  <c r="G31" i="14"/>
  <c r="F31" i="14"/>
  <c r="D31" i="14"/>
  <c r="C31" i="14"/>
  <c r="G30" i="14"/>
  <c r="F30" i="14"/>
  <c r="C30" i="14"/>
  <c r="G29" i="14"/>
  <c r="F29" i="14"/>
  <c r="D29" i="14"/>
  <c r="C29" i="14"/>
  <c r="G28" i="14"/>
  <c r="F28" i="14"/>
  <c r="D28" i="14"/>
  <c r="C28" i="14"/>
  <c r="J27" i="14"/>
  <c r="B28" i="14" s="1"/>
  <c r="E28" i="14" s="1"/>
  <c r="C27" i="14"/>
  <c r="B27" i="14"/>
  <c r="E27" i="14" s="1"/>
  <c r="I27" i="14" s="1"/>
  <c r="H27" i="14" s="1"/>
  <c r="C26" i="14"/>
  <c r="B26" i="14"/>
  <c r="E26" i="14" s="1"/>
  <c r="I26" i="14" s="1"/>
  <c r="H26" i="14" s="1"/>
  <c r="I25" i="14"/>
  <c r="H25" i="14"/>
  <c r="E25" i="14"/>
  <c r="C25" i="14"/>
  <c r="B25" i="14"/>
  <c r="C24" i="14"/>
  <c r="E24" i="14" s="1"/>
  <c r="I24" i="14" s="1"/>
  <c r="H24" i="14" s="1"/>
  <c r="B24" i="14"/>
  <c r="C23" i="14"/>
  <c r="E23" i="14" s="1"/>
  <c r="I23" i="14" s="1"/>
  <c r="H23" i="14" s="1"/>
  <c r="B23" i="14"/>
  <c r="E22" i="14"/>
  <c r="I22" i="14" s="1"/>
  <c r="H22" i="14" s="1"/>
  <c r="C22" i="14"/>
  <c r="B22" i="14"/>
  <c r="C21" i="14"/>
  <c r="B21" i="14"/>
  <c r="E21" i="14" s="1"/>
  <c r="I21" i="14" s="1"/>
  <c r="H21" i="14" s="1"/>
  <c r="C20" i="14"/>
  <c r="B20" i="14"/>
  <c r="E20" i="14" s="1"/>
  <c r="I20" i="14" s="1"/>
  <c r="H20" i="14" s="1"/>
  <c r="I19" i="14"/>
  <c r="H19" i="14" s="1"/>
  <c r="E19" i="14"/>
  <c r="C19" i="14"/>
  <c r="B19" i="14"/>
  <c r="E18" i="14"/>
  <c r="I18" i="14" s="1"/>
  <c r="H18" i="14" s="1"/>
  <c r="C18" i="14"/>
  <c r="B18" i="14"/>
  <c r="E17" i="14"/>
  <c r="I17" i="14" s="1"/>
  <c r="H17" i="14" s="1"/>
  <c r="C17" i="14"/>
  <c r="B17" i="14"/>
  <c r="C16" i="14"/>
  <c r="B16" i="14"/>
  <c r="E16" i="14" s="1"/>
  <c r="I16" i="14" s="1"/>
  <c r="H16" i="14" s="1"/>
  <c r="C15" i="14"/>
  <c r="B15" i="14"/>
  <c r="E15" i="14" s="1"/>
  <c r="I15" i="14" s="1"/>
  <c r="H15" i="14" s="1"/>
  <c r="C14" i="14"/>
  <c r="B14" i="14"/>
  <c r="E14" i="14" s="1"/>
  <c r="I14" i="14" s="1"/>
  <c r="H14" i="14" s="1"/>
  <c r="I13" i="14"/>
  <c r="H13" i="14"/>
  <c r="E13" i="14"/>
  <c r="C13" i="14"/>
  <c r="B13" i="14"/>
  <c r="I12" i="14"/>
  <c r="H12" i="14" s="1"/>
  <c r="E12" i="14"/>
  <c r="C12" i="14"/>
  <c r="B12" i="14"/>
  <c r="C11" i="14"/>
  <c r="E11" i="14" s="1"/>
  <c r="I11" i="14" s="1"/>
  <c r="H11" i="14" s="1"/>
  <c r="B11" i="14"/>
  <c r="E10" i="14"/>
  <c r="I10" i="14" s="1"/>
  <c r="H10" i="14" s="1"/>
  <c r="C10" i="14"/>
  <c r="B10" i="14"/>
  <c r="C9" i="14"/>
  <c r="B9" i="14"/>
  <c r="E9" i="14" s="1"/>
  <c r="I9" i="14" s="1"/>
  <c r="H9" i="14" s="1"/>
  <c r="I8" i="14"/>
  <c r="H8" i="14" s="1"/>
  <c r="E8" i="14"/>
  <c r="C8" i="14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143" i="12"/>
  <c r="J249" i="17" s="1"/>
  <c r="D140" i="12"/>
  <c r="J242" i="17" s="1"/>
  <c r="B249" i="17" s="1"/>
  <c r="E249" i="17" s="1"/>
  <c r="I249" i="17" s="1"/>
  <c r="H249" i="17" s="1"/>
  <c r="D139" i="12"/>
  <c r="J238" i="17" s="1"/>
  <c r="B242" i="17" s="1"/>
  <c r="E242" i="17" s="1"/>
  <c r="D138" i="12"/>
  <c r="J234" i="17" s="1"/>
  <c r="B238" i="17" s="1"/>
  <c r="E238" i="17" s="1"/>
  <c r="I238" i="17" s="1"/>
  <c r="H238" i="17" s="1"/>
  <c r="D137" i="12"/>
  <c r="J230" i="17" s="1"/>
  <c r="B234" i="17" s="1"/>
  <c r="E234" i="17" s="1"/>
  <c r="I234" i="17" s="1"/>
  <c r="H234" i="17" s="1"/>
  <c r="D134" i="12"/>
  <c r="J223" i="17" s="1"/>
  <c r="B230" i="17" s="1"/>
  <c r="E230" i="17" s="1"/>
  <c r="I230" i="17" s="1"/>
  <c r="D133" i="12"/>
  <c r="J219" i="17" s="1"/>
  <c r="B223" i="17" s="1"/>
  <c r="E223" i="17" s="1"/>
  <c r="I223" i="17" s="1"/>
  <c r="H223" i="17" s="1"/>
  <c r="D132" i="12"/>
  <c r="J215" i="17" s="1"/>
  <c r="B219" i="17" s="1"/>
  <c r="E219" i="17" s="1"/>
  <c r="D131" i="12"/>
  <c r="J211" i="17" s="1"/>
  <c r="B215" i="17" s="1"/>
  <c r="E215" i="17" s="1"/>
  <c r="I215" i="17" s="1"/>
  <c r="H215" i="17" s="1"/>
  <c r="D128" i="12"/>
  <c r="J204" i="17" s="1"/>
  <c r="B211" i="17" s="1"/>
  <c r="E224" i="17" s="1"/>
  <c r="D127" i="12"/>
  <c r="J200" i="17" s="1"/>
  <c r="B204" i="17" s="1"/>
  <c r="E204" i="17" s="1"/>
  <c r="I204" i="17" s="1"/>
  <c r="H204" i="17" s="1"/>
  <c r="D126" i="12"/>
  <c r="J196" i="17" s="1"/>
  <c r="B200" i="17" s="1"/>
  <c r="E200" i="17" s="1"/>
  <c r="I200" i="17" s="1"/>
  <c r="H200" i="17" s="1"/>
  <c r="D125" i="12"/>
  <c r="J192" i="17" s="1"/>
  <c r="B196" i="17" s="1"/>
  <c r="E196" i="17" s="1"/>
  <c r="I196" i="17" s="1"/>
  <c r="H196" i="17" s="1"/>
  <c r="D122" i="12"/>
  <c r="J185" i="17" s="1"/>
  <c r="B192" i="17" s="1"/>
  <c r="D121" i="12"/>
  <c r="J181" i="17" s="1"/>
  <c r="B185" i="17" s="1"/>
  <c r="E185" i="17" s="1"/>
  <c r="D120" i="12"/>
  <c r="J177" i="17" s="1"/>
  <c r="B181" i="17" s="1"/>
  <c r="E181" i="17" s="1"/>
  <c r="I181" i="17" s="1"/>
  <c r="H181" i="17" s="1"/>
  <c r="D119" i="12"/>
  <c r="J173" i="17" s="1"/>
  <c r="B177" i="17" s="1"/>
  <c r="E177" i="17" s="1"/>
  <c r="I177" i="17" s="1"/>
  <c r="H177" i="17" s="1"/>
  <c r="D116" i="12"/>
  <c r="J166" i="17" s="1"/>
  <c r="B173" i="17" s="1"/>
  <c r="E173" i="17" s="1"/>
  <c r="I173" i="17" s="1"/>
  <c r="D115" i="12"/>
  <c r="J162" i="17" s="1"/>
  <c r="B166" i="17" s="1"/>
  <c r="E166" i="17" s="1"/>
  <c r="I166" i="17" s="1"/>
  <c r="H166" i="17" s="1"/>
  <c r="D114" i="12"/>
  <c r="J158" i="17" s="1"/>
  <c r="B162" i="17" s="1"/>
  <c r="E162" i="17" s="1"/>
  <c r="D113" i="12"/>
  <c r="J154" i="17" s="1"/>
  <c r="B158" i="17" s="1"/>
  <c r="E158" i="17" s="1"/>
  <c r="I158" i="17" s="1"/>
  <c r="H158" i="17" s="1"/>
  <c r="D110" i="12"/>
  <c r="J147" i="17" s="1"/>
  <c r="B154" i="17" s="1"/>
  <c r="D109" i="12"/>
  <c r="J143" i="17" s="1"/>
  <c r="B147" i="17" s="1"/>
  <c r="E147" i="17" s="1"/>
  <c r="I147" i="17" s="1"/>
  <c r="H147" i="17" s="1"/>
  <c r="D108" i="12"/>
  <c r="J139" i="17" s="1"/>
  <c r="B143" i="17" s="1"/>
  <c r="E143" i="17" s="1"/>
  <c r="I143" i="17" s="1"/>
  <c r="H143" i="17" s="1"/>
  <c r="D107" i="12"/>
  <c r="J135" i="17" s="1"/>
  <c r="B139" i="17" s="1"/>
  <c r="E139" i="17" s="1"/>
  <c r="I139" i="17" s="1"/>
  <c r="H139" i="17" s="1"/>
  <c r="D104" i="12"/>
  <c r="J128" i="17" s="1"/>
  <c r="B135" i="17" s="1"/>
  <c r="D103" i="12"/>
  <c r="J124" i="17" s="1"/>
  <c r="B128" i="17" s="1"/>
  <c r="E128" i="17" s="1"/>
  <c r="I128" i="17" s="1"/>
  <c r="D102" i="12"/>
  <c r="J120" i="17" s="1"/>
  <c r="B124" i="17" s="1"/>
  <c r="E124" i="17" s="1"/>
  <c r="D101" i="12"/>
  <c r="J116" i="17" s="1"/>
  <c r="B120" i="17" s="1"/>
  <c r="E120" i="17" s="1"/>
  <c r="I120" i="17" s="1"/>
  <c r="H120" i="17" s="1"/>
  <c r="D98" i="12"/>
  <c r="J109" i="17" s="1"/>
  <c r="B116" i="17" s="1"/>
  <c r="E129" i="17" s="1"/>
  <c r="D97" i="12"/>
  <c r="J108" i="17" s="1"/>
  <c r="B109" i="17" s="1"/>
  <c r="E109" i="17" s="1"/>
  <c r="D96" i="12"/>
  <c r="J107" i="17" s="1"/>
  <c r="B108" i="17" s="1"/>
  <c r="E108" i="17" s="1"/>
  <c r="I108" i="17" s="1"/>
  <c r="D95" i="12"/>
  <c r="J106" i="17" s="1"/>
  <c r="B107" i="17" s="1"/>
  <c r="E107" i="17" s="1"/>
  <c r="I107" i="17" s="1"/>
  <c r="D92" i="12"/>
  <c r="J102" i="17" s="1"/>
  <c r="B106" i="17" s="1"/>
  <c r="D91" i="12"/>
  <c r="J101" i="17" s="1"/>
  <c r="B102" i="17" s="1"/>
  <c r="E102" i="17" s="1"/>
  <c r="I102" i="17" s="1"/>
  <c r="D90" i="12"/>
  <c r="J100" i="17" s="1"/>
  <c r="B101" i="17" s="1"/>
  <c r="E101" i="17" s="1"/>
  <c r="I101" i="17" s="1"/>
  <c r="D89" i="12"/>
  <c r="J99" i="17" s="1"/>
  <c r="B100" i="17" s="1"/>
  <c r="E100" i="17" s="1"/>
  <c r="D86" i="12"/>
  <c r="J40" i="14" s="1"/>
  <c r="B41" i="14" s="1"/>
  <c r="E41" i="14" s="1"/>
  <c r="D85" i="12"/>
  <c r="J94" i="17" s="1"/>
  <c r="B95" i="17" s="1"/>
  <c r="E95" i="17" s="1"/>
  <c r="D84" i="12"/>
  <c r="J93" i="17" s="1"/>
  <c r="D83" i="12"/>
  <c r="J92" i="17" s="1"/>
  <c r="B93" i="17" s="1"/>
  <c r="E93" i="17" s="1"/>
  <c r="I93" i="17" s="1"/>
  <c r="D80" i="12"/>
  <c r="J88" i="17" s="1"/>
  <c r="B92" i="17" s="1"/>
  <c r="E92" i="17" s="1"/>
  <c r="D79" i="12"/>
  <c r="J87" i="17" s="1"/>
  <c r="B88" i="17" s="1"/>
  <c r="E88" i="17" s="1"/>
  <c r="I88" i="17" s="1"/>
  <c r="D78" i="12"/>
  <c r="J86" i="17" s="1"/>
  <c r="B87" i="17" s="1"/>
  <c r="E87" i="17" s="1"/>
  <c r="I87" i="17" s="1"/>
  <c r="D77" i="12"/>
  <c r="J85" i="17" s="1"/>
  <c r="B86" i="17" s="1"/>
  <c r="E86" i="17" s="1"/>
  <c r="I86" i="17" s="1"/>
  <c r="D74" i="12"/>
  <c r="J81" i="17" s="1"/>
  <c r="B85" i="17" s="1"/>
  <c r="D73" i="12"/>
  <c r="J80" i="17" s="1"/>
  <c r="B81" i="17" s="1"/>
  <c r="E81" i="17" s="1"/>
  <c r="I81" i="17" s="1"/>
  <c r="H81" i="17" s="1"/>
  <c r="D72" i="12"/>
  <c r="J79" i="17" s="1"/>
  <c r="B80" i="17" s="1"/>
  <c r="E80" i="17" s="1"/>
  <c r="I80" i="17" s="1"/>
  <c r="H80" i="17" s="1"/>
  <c r="D71" i="12"/>
  <c r="J78" i="17" s="1"/>
  <c r="B79" i="17" s="1"/>
  <c r="E79" i="17" s="1"/>
  <c r="D68" i="12"/>
  <c r="J74" i="17" s="1"/>
  <c r="B78" i="17" s="1"/>
  <c r="D67" i="12"/>
  <c r="J73" i="17" s="1"/>
  <c r="B74" i="17" s="1"/>
  <c r="E74" i="17" s="1"/>
  <c r="I74" i="17" s="1"/>
  <c r="H74" i="17" s="1"/>
  <c r="D66" i="12"/>
  <c r="J72" i="17" s="1"/>
  <c r="B73" i="17" s="1"/>
  <c r="E73" i="17" s="1"/>
  <c r="I73" i="17" s="1"/>
  <c r="H73" i="17" s="1"/>
  <c r="D65" i="12"/>
  <c r="J71" i="17" s="1"/>
  <c r="B72" i="17" s="1"/>
  <c r="E72" i="17" s="1"/>
  <c r="D62" i="12"/>
  <c r="J36" i="14" s="1"/>
  <c r="B37" i="14" s="1"/>
  <c r="E37" i="14" s="1"/>
  <c r="D61" i="12"/>
  <c r="J66" i="17" s="1"/>
  <c r="B67" i="17" s="1"/>
  <c r="E67" i="17" s="1"/>
  <c r="I67" i="17" s="1"/>
  <c r="H67" i="17" s="1"/>
  <c r="D60" i="12"/>
  <c r="J65" i="17" s="1"/>
  <c r="B66" i="17" s="1"/>
  <c r="E66" i="17" s="1"/>
  <c r="D59" i="12"/>
  <c r="J64" i="17" s="1"/>
  <c r="B65" i="17" s="1"/>
  <c r="E65" i="17" s="1"/>
  <c r="I65" i="17" s="1"/>
  <c r="H65" i="17" s="1"/>
  <c r="D56" i="12"/>
  <c r="J60" i="17" s="1"/>
  <c r="B64" i="17" s="1"/>
  <c r="D55" i="12"/>
  <c r="J59" i="17" s="1"/>
  <c r="B60" i="17" s="1"/>
  <c r="E60" i="17" s="1"/>
  <c r="I60" i="17" s="1"/>
  <c r="H60" i="17" s="1"/>
  <c r="D54" i="12"/>
  <c r="J58" i="17" s="1"/>
  <c r="B59" i="17" s="1"/>
  <c r="E59" i="17" s="1"/>
  <c r="I59" i="17" s="1"/>
  <c r="H59" i="17" s="1"/>
  <c r="D53" i="12"/>
  <c r="J57" i="17" s="1"/>
  <c r="B58" i="17" s="1"/>
  <c r="E58" i="17" s="1"/>
  <c r="D50" i="12"/>
  <c r="J53" i="17" s="1"/>
  <c r="B57" i="17" s="1"/>
  <c r="D49" i="12"/>
  <c r="J52" i="17" s="1"/>
  <c r="B53" i="17" s="1"/>
  <c r="E53" i="17" s="1"/>
  <c r="I53" i="17" s="1"/>
  <c r="H53" i="17" s="1"/>
  <c r="D48" i="12"/>
  <c r="J51" i="17" s="1"/>
  <c r="B52" i="17" s="1"/>
  <c r="E52" i="17" s="1"/>
  <c r="I52" i="17" s="1"/>
  <c r="H52" i="17" s="1"/>
  <c r="D47" i="12"/>
  <c r="J50" i="17" s="1"/>
  <c r="B51" i="17" s="1"/>
  <c r="E51" i="17" s="1"/>
  <c r="I51" i="17" s="1"/>
  <c r="H51" i="17" s="1"/>
  <c r="D44" i="12"/>
  <c r="J46" i="17" s="1"/>
  <c r="B50" i="17" s="1"/>
  <c r="E50" i="17" s="1"/>
  <c r="I50" i="17" s="1"/>
  <c r="D43" i="12"/>
  <c r="J45" i="17" s="1"/>
  <c r="B46" i="17" s="1"/>
  <c r="E46" i="17" s="1"/>
  <c r="I46" i="17" s="1"/>
  <c r="H46" i="17" s="1"/>
  <c r="D42" i="12"/>
  <c r="J44" i="17" s="1"/>
  <c r="B45" i="17" s="1"/>
  <c r="E45" i="17" s="1"/>
  <c r="I45" i="17" s="1"/>
  <c r="H45" i="17" s="1"/>
  <c r="D41" i="12"/>
  <c r="J43" i="17" s="1"/>
  <c r="B44" i="17" s="1"/>
  <c r="E44" i="17" s="1"/>
  <c r="I44" i="17" s="1"/>
  <c r="H44" i="17" s="1"/>
  <c r="D38" i="12"/>
  <c r="J32" i="14" s="1"/>
  <c r="B33" i="14" s="1"/>
  <c r="E33" i="14" s="1"/>
  <c r="D37" i="12"/>
  <c r="J38" i="17" s="1"/>
  <c r="B39" i="17" s="1"/>
  <c r="D36" i="12"/>
  <c r="J37" i="17" s="1"/>
  <c r="B38" i="17" s="1"/>
  <c r="E38" i="17" s="1"/>
  <c r="I38" i="17" s="1"/>
  <c r="H38" i="17" s="1"/>
  <c r="D35" i="12"/>
  <c r="J36" i="17" s="1"/>
  <c r="B37" i="17" s="1"/>
  <c r="E37" i="17" s="1"/>
  <c r="D32" i="12"/>
  <c r="J31" i="14" s="1"/>
  <c r="B32" i="14" s="1"/>
  <c r="E32" i="14" s="1"/>
  <c r="I32" i="14" s="1"/>
  <c r="H32" i="14" s="1"/>
  <c r="D31" i="12"/>
  <c r="D30" i="12"/>
  <c r="J30" i="17" s="1"/>
  <c r="B31" i="17" s="1"/>
  <c r="E31" i="17" s="1"/>
  <c r="I31" i="17" s="1"/>
  <c r="H31" i="17" s="1"/>
  <c r="D29" i="12"/>
  <c r="J29" i="17" s="1"/>
  <c r="B30" i="17" s="1"/>
  <c r="E30" i="17" s="1"/>
  <c r="D26" i="12"/>
  <c r="J25" i="17" s="1"/>
  <c r="B29" i="17" s="1"/>
  <c r="D25" i="12"/>
  <c r="J24" i="17" s="1"/>
  <c r="B25" i="17" s="1"/>
  <c r="E25" i="17" s="1"/>
  <c r="I25" i="17" s="1"/>
  <c r="H25" i="17" s="1"/>
  <c r="D24" i="12"/>
  <c r="J23" i="17" s="1"/>
  <c r="B24" i="17" s="1"/>
  <c r="E24" i="17" s="1"/>
  <c r="D23" i="12"/>
  <c r="J22" i="17" s="1"/>
  <c r="B23" i="17" s="1"/>
  <c r="E23" i="17" s="1"/>
  <c r="I23" i="17" s="1"/>
  <c r="H23" i="17" s="1"/>
  <c r="D20" i="12"/>
  <c r="J29" i="14" s="1"/>
  <c r="B30" i="14" s="1"/>
  <c r="E30" i="14" s="1"/>
  <c r="D19" i="12"/>
  <c r="D18" i="12"/>
  <c r="J16" i="17" s="1"/>
  <c r="B17" i="17" s="1"/>
  <c r="E17" i="17" s="1"/>
  <c r="I17" i="17" s="1"/>
  <c r="H17" i="17" s="1"/>
  <c r="D17" i="12"/>
  <c r="J15" i="17" s="1"/>
  <c r="B16" i="17" s="1"/>
  <c r="E16" i="17" s="1"/>
  <c r="D14" i="12"/>
  <c r="J28" i="14" s="1"/>
  <c r="B29" i="14" s="1"/>
  <c r="E29" i="14" s="1"/>
  <c r="I29" i="14" s="1"/>
  <c r="H29" i="14" s="1"/>
  <c r="D13" i="12"/>
  <c r="J10" i="17" s="1"/>
  <c r="B11" i="17" s="1"/>
  <c r="E11" i="17" s="1"/>
  <c r="D12" i="12"/>
  <c r="J9" i="17" s="1"/>
  <c r="B10" i="17" s="1"/>
  <c r="E10" i="17" s="1"/>
  <c r="I10" i="17" s="1"/>
  <c r="H10" i="17" s="1"/>
  <c r="D11" i="12"/>
  <c r="J8" i="17" s="1"/>
  <c r="B9" i="17" s="1"/>
  <c r="E9" i="17" s="1"/>
  <c r="I9" i="17" s="1"/>
  <c r="H9" i="17" s="1"/>
  <c r="D8" i="12"/>
  <c r="D7" i="12"/>
  <c r="D6" i="12"/>
  <c r="D5" i="12"/>
  <c r="I45" i="16" l="1"/>
  <c r="F45" i="16" s="1"/>
  <c r="E61" i="17"/>
  <c r="E57" i="17"/>
  <c r="I57" i="17" s="1"/>
  <c r="I16" i="17"/>
  <c r="H16" i="17" s="1"/>
  <c r="I37" i="17"/>
  <c r="H37" i="17" s="1"/>
  <c r="I58" i="17"/>
  <c r="H58" i="17" s="1"/>
  <c r="I79" i="17"/>
  <c r="H79" i="17" s="1"/>
  <c r="I100" i="17"/>
  <c r="I40" i="14"/>
  <c r="H40" i="14" s="1"/>
  <c r="H71" i="17"/>
  <c r="H75" i="17" s="1"/>
  <c r="I41" i="14"/>
  <c r="H41" i="14" s="1"/>
  <c r="E78" i="17"/>
  <c r="I78" i="17" s="1"/>
  <c r="E82" i="17"/>
  <c r="I28" i="14"/>
  <c r="H28" i="14" s="1"/>
  <c r="I24" i="17"/>
  <c r="H24" i="17" s="1"/>
  <c r="E37" i="16"/>
  <c r="I37" i="16" s="1"/>
  <c r="F37" i="16" s="1"/>
  <c r="E29" i="17"/>
  <c r="I29" i="17" s="1"/>
  <c r="E33" i="17"/>
  <c r="I54" i="17"/>
  <c r="H50" i="17"/>
  <c r="H54" i="17" s="1"/>
  <c r="E38" i="15"/>
  <c r="H38" i="15" s="1"/>
  <c r="F38" i="15" s="1"/>
  <c r="I18" i="17"/>
  <c r="H18" i="17" s="1"/>
  <c r="I11" i="17"/>
  <c r="H11" i="17" s="1"/>
  <c r="E35" i="15"/>
  <c r="H35" i="15" s="1"/>
  <c r="F35" i="15" s="1"/>
  <c r="I8" i="17"/>
  <c r="J11" i="17"/>
  <c r="B15" i="17" s="1"/>
  <c r="E75" i="17"/>
  <c r="J95" i="17"/>
  <c r="B99" i="17" s="1"/>
  <c r="H20" i="18"/>
  <c r="F8" i="18"/>
  <c r="J30" i="14"/>
  <c r="B31" i="14" s="1"/>
  <c r="E31" i="14" s="1"/>
  <c r="I31" i="14" s="1"/>
  <c r="H31" i="14" s="1"/>
  <c r="J34" i="14"/>
  <c r="B35" i="14" s="1"/>
  <c r="E35" i="14" s="1"/>
  <c r="I35" i="14" s="1"/>
  <c r="H35" i="14" s="1"/>
  <c r="J38" i="14"/>
  <c r="B39" i="14" s="1"/>
  <c r="E39" i="14" s="1"/>
  <c r="I39" i="14" s="1"/>
  <c r="H39" i="14" s="1"/>
  <c r="J42" i="14"/>
  <c r="B43" i="14" s="1"/>
  <c r="E43" i="14" s="1"/>
  <c r="I43" i="14" s="1"/>
  <c r="J46" i="14"/>
  <c r="B47" i="14" s="1"/>
  <c r="E47" i="14" s="1"/>
  <c r="I47" i="14" s="1"/>
  <c r="H47" i="14" s="1"/>
  <c r="E54" i="17"/>
  <c r="D20" i="18"/>
  <c r="D35" i="15" s="1"/>
  <c r="E18" i="18"/>
  <c r="H18" i="18" s="1"/>
  <c r="F18" i="18" s="1"/>
  <c r="H51" i="18"/>
  <c r="F51" i="18" s="1"/>
  <c r="B59" i="18"/>
  <c r="E59" i="18" s="1"/>
  <c r="H59" i="18" s="1"/>
  <c r="F59" i="18" s="1"/>
  <c r="H58" i="18"/>
  <c r="F58" i="18" s="1"/>
  <c r="E148" i="17"/>
  <c r="E135" i="17"/>
  <c r="I135" i="17" s="1"/>
  <c r="B46" i="16"/>
  <c r="E46" i="16" s="1"/>
  <c r="I46" i="16" s="1"/>
  <c r="F46" i="16" s="1"/>
  <c r="J32" i="17"/>
  <c r="B36" i="17" s="1"/>
  <c r="E64" i="17"/>
  <c r="I64" i="17" s="1"/>
  <c r="E68" i="17"/>
  <c r="E85" i="17"/>
  <c r="I85" i="17" s="1"/>
  <c r="I89" i="17" s="1"/>
  <c r="H89" i="17" s="1"/>
  <c r="E89" i="17"/>
  <c r="E110" i="17"/>
  <c r="E106" i="17"/>
  <c r="I106" i="17" s="1"/>
  <c r="E167" i="17"/>
  <c r="E96" i="17"/>
  <c r="E116" i="17"/>
  <c r="I116" i="17" s="1"/>
  <c r="E186" i="17"/>
  <c r="C62" i="18"/>
  <c r="C38" i="15" s="1"/>
  <c r="E34" i="18"/>
  <c r="E22" i="18"/>
  <c r="H22" i="18" s="1"/>
  <c r="J18" i="17"/>
  <c r="B22" i="17" s="1"/>
  <c r="H104" i="18"/>
  <c r="F92" i="18"/>
  <c r="F104" i="18" s="1"/>
  <c r="I66" i="17"/>
  <c r="H66" i="17" s="1"/>
  <c r="I162" i="17"/>
  <c r="H162" i="17" s="1"/>
  <c r="I219" i="17"/>
  <c r="H219" i="17" s="1"/>
  <c r="H224" i="17" s="1"/>
  <c r="J33" i="14"/>
  <c r="B34" i="14" s="1"/>
  <c r="E34" i="14" s="1"/>
  <c r="I34" i="14" s="1"/>
  <c r="H34" i="14" s="1"/>
  <c r="J37" i="14"/>
  <c r="B38" i="14" s="1"/>
  <c r="E38" i="14" s="1"/>
  <c r="J41" i="14"/>
  <c r="B42" i="14" s="1"/>
  <c r="E42" i="14" s="1"/>
  <c r="J45" i="14"/>
  <c r="B46" i="14" s="1"/>
  <c r="E46" i="14" s="1"/>
  <c r="I46" i="14" s="1"/>
  <c r="H46" i="14" s="1"/>
  <c r="J49" i="14"/>
  <c r="B50" i="14" s="1"/>
  <c r="E50" i="14" s="1"/>
  <c r="J50" i="14" s="1"/>
  <c r="E43" i="17"/>
  <c r="I43" i="17" s="1"/>
  <c r="E9" i="18"/>
  <c r="H9" i="18" s="1"/>
  <c r="F9" i="18" s="1"/>
  <c r="H38" i="18"/>
  <c r="F38" i="18" s="1"/>
  <c r="E47" i="18"/>
  <c r="H47" i="18" s="1"/>
  <c r="F47" i="18" s="1"/>
  <c r="I109" i="17"/>
  <c r="H109" i="17" s="1"/>
  <c r="E243" i="17"/>
  <c r="H230" i="17"/>
  <c r="I243" i="17"/>
  <c r="E48" i="18"/>
  <c r="E36" i="18"/>
  <c r="H36" i="18" s="1"/>
  <c r="F120" i="18"/>
  <c r="F132" i="18" s="1"/>
  <c r="H132" i="18"/>
  <c r="I92" i="17"/>
  <c r="I96" i="17" s="1"/>
  <c r="H96" i="17" s="1"/>
  <c r="H173" i="17"/>
  <c r="I30" i="17"/>
  <c r="H30" i="17" s="1"/>
  <c r="I72" i="17"/>
  <c r="H72" i="17" s="1"/>
  <c r="J44" i="14"/>
  <c r="B45" i="14" s="1"/>
  <c r="E45" i="14" s="1"/>
  <c r="J48" i="14"/>
  <c r="B49" i="14" s="1"/>
  <c r="E49" i="14" s="1"/>
  <c r="F128" i="17"/>
  <c r="F129" i="17" s="1"/>
  <c r="F43" i="14" s="1"/>
  <c r="E154" i="17"/>
  <c r="I154" i="17" s="1"/>
  <c r="E12" i="18"/>
  <c r="H12" i="18" s="1"/>
  <c r="F12" i="18" s="1"/>
  <c r="E192" i="17"/>
  <c r="I192" i="17" s="1"/>
  <c r="E205" i="17"/>
  <c r="I124" i="17"/>
  <c r="H124" i="17" s="1"/>
  <c r="H66" i="18"/>
  <c r="F66" i="18" s="1"/>
  <c r="E146" i="18"/>
  <c r="E134" i="18"/>
  <c r="H134" i="18" s="1"/>
  <c r="J43" i="14"/>
  <c r="B44" i="14" s="1"/>
  <c r="E44" i="14" s="1"/>
  <c r="I44" i="14" s="1"/>
  <c r="H44" i="14" s="1"/>
  <c r="I95" i="17"/>
  <c r="I185" i="17"/>
  <c r="H185" i="17" s="1"/>
  <c r="I242" i="17"/>
  <c r="H242" i="17" s="1"/>
  <c r="H118" i="18"/>
  <c r="H150" i="18"/>
  <c r="F150" i="18" s="1"/>
  <c r="H154" i="18"/>
  <c r="F154" i="18" s="1"/>
  <c r="H158" i="18"/>
  <c r="F158" i="18" s="1"/>
  <c r="F8" i="19"/>
  <c r="F36" i="19"/>
  <c r="E50" i="18"/>
  <c r="H50" i="18" s="1"/>
  <c r="E132" i="18"/>
  <c r="E16" i="19"/>
  <c r="I16" i="19" s="1"/>
  <c r="F16" i="19" s="1"/>
  <c r="F50" i="19"/>
  <c r="K34" i="20"/>
  <c r="O34" i="20" s="1"/>
  <c r="K37" i="20"/>
  <c r="O37" i="20" s="1"/>
  <c r="G62" i="18"/>
  <c r="G38" i="15" s="1"/>
  <c r="E78" i="18"/>
  <c r="H78" i="18" s="1"/>
  <c r="E160" i="18"/>
  <c r="E148" i="18"/>
  <c r="H148" i="18" s="1"/>
  <c r="E34" i="19"/>
  <c r="F33" i="19"/>
  <c r="H62" i="19"/>
  <c r="H37" i="16" s="1"/>
  <c r="E56" i="19"/>
  <c r="I56" i="19" s="1"/>
  <c r="F56" i="19" s="1"/>
  <c r="M31" i="20"/>
  <c r="E20" i="18"/>
  <c r="D48" i="18"/>
  <c r="D37" i="15" s="1"/>
  <c r="E37" i="15" s="1"/>
  <c r="H37" i="15" s="1"/>
  <c r="F37" i="15" s="1"/>
  <c r="E46" i="18"/>
  <c r="H46" i="18" s="1"/>
  <c r="F46" i="18" s="1"/>
  <c r="E56" i="18"/>
  <c r="H56" i="18" s="1"/>
  <c r="F56" i="18" s="1"/>
  <c r="F9" i="19"/>
  <c r="E43" i="19"/>
  <c r="I43" i="19" s="1"/>
  <c r="F43" i="19" s="1"/>
  <c r="I76" i="19"/>
  <c r="K21" i="20"/>
  <c r="O21" i="20" s="1"/>
  <c r="F64" i="19"/>
  <c r="M17" i="20"/>
  <c r="K59" i="20"/>
  <c r="O59" i="20" s="1"/>
  <c r="E17" i="19"/>
  <c r="I17" i="19" s="1"/>
  <c r="F17" i="19" s="1"/>
  <c r="D34" i="19"/>
  <c r="D35" i="16" s="1"/>
  <c r="E35" i="16" s="1"/>
  <c r="I35" i="16" s="1"/>
  <c r="F35" i="16" s="1"/>
  <c r="E30" i="19"/>
  <c r="I30" i="19" s="1"/>
  <c r="F30" i="19" s="1"/>
  <c r="D62" i="19"/>
  <c r="D37" i="16" s="1"/>
  <c r="K56" i="20"/>
  <c r="O56" i="20" s="1"/>
  <c r="F22" i="19"/>
  <c r="I34" i="19"/>
  <c r="L9" i="20"/>
  <c r="H34" i="19"/>
  <c r="H35" i="16" s="1"/>
  <c r="I90" i="19"/>
  <c r="F78" i="19"/>
  <c r="C76" i="18"/>
  <c r="E73" i="18"/>
  <c r="H73" i="18" s="1"/>
  <c r="F73" i="18" s="1"/>
  <c r="E18" i="19"/>
  <c r="I18" i="19" s="1"/>
  <c r="F18" i="19" s="1"/>
  <c r="I31" i="19"/>
  <c r="F31" i="19" s="1"/>
  <c r="F69" i="19"/>
  <c r="L45" i="20"/>
  <c r="E55" i="18"/>
  <c r="H55" i="18" s="1"/>
  <c r="F55" i="18" s="1"/>
  <c r="H64" i="18"/>
  <c r="K42" i="20"/>
  <c r="O42" i="20" s="1"/>
  <c r="D20" i="19"/>
  <c r="F100" i="19"/>
  <c r="I108" i="19"/>
  <c r="F108" i="19" s="1"/>
  <c r="F118" i="19" s="1"/>
  <c r="L38" i="20"/>
  <c r="M88" i="20"/>
  <c r="D76" i="19"/>
  <c r="H104" i="19"/>
  <c r="H44" i="16" s="1"/>
  <c r="F44" i="16" s="1"/>
  <c r="K28" i="20"/>
  <c r="O28" i="20" s="1"/>
  <c r="L31" i="20"/>
  <c r="K31" i="20"/>
  <c r="O31" i="20" s="1"/>
  <c r="K39" i="20"/>
  <c r="O39" i="20" s="1"/>
  <c r="M40" i="20"/>
  <c r="M47" i="20"/>
  <c r="L50" i="20"/>
  <c r="K50" i="20"/>
  <c r="O50" i="20" s="1"/>
  <c r="M146" i="20"/>
  <c r="F79" i="19"/>
  <c r="L13" i="20"/>
  <c r="K13" i="20"/>
  <c r="O13" i="20" s="1"/>
  <c r="L17" i="20"/>
  <c r="K17" i="20"/>
  <c r="O17" i="20" s="1"/>
  <c r="M39" i="20"/>
  <c r="M50" i="20"/>
  <c r="K53" i="20"/>
  <c r="O53" i="20" s="1"/>
  <c r="K62" i="20"/>
  <c r="O62" i="20" s="1"/>
  <c r="K82" i="20"/>
  <c r="O82" i="20" s="1"/>
  <c r="L160" i="20"/>
  <c r="K160" i="20"/>
  <c r="O160" i="20" s="1"/>
  <c r="H76" i="19"/>
  <c r="H42" i="16" s="1"/>
  <c r="I98" i="19"/>
  <c r="F98" i="19" s="1"/>
  <c r="M21" i="20"/>
  <c r="M42" i="20"/>
  <c r="L47" i="20"/>
  <c r="M79" i="20"/>
  <c r="L134" i="20"/>
  <c r="K134" i="20"/>
  <c r="O134" i="20" s="1"/>
  <c r="M137" i="20"/>
  <c r="K137" i="20"/>
  <c r="O137" i="20" s="1"/>
  <c r="K14" i="20"/>
  <c r="O14" i="20" s="1"/>
  <c r="M24" i="20"/>
  <c r="K29" i="20"/>
  <c r="O29" i="20" s="1"/>
  <c r="M37" i="20"/>
  <c r="M45" i="20"/>
  <c r="K48" i="20"/>
  <c r="O48" i="20" s="1"/>
  <c r="K60" i="20"/>
  <c r="O60" i="20" s="1"/>
  <c r="M107" i="20"/>
  <c r="E146" i="19"/>
  <c r="E134" i="19"/>
  <c r="I134" i="19" s="1"/>
  <c r="M14" i="20"/>
  <c r="M29" i="20"/>
  <c r="K32" i="20"/>
  <c r="M32" i="20" s="1"/>
  <c r="M131" i="20"/>
  <c r="I111" i="19"/>
  <c r="F111" i="19" s="1"/>
  <c r="I145" i="19"/>
  <c r="F145" i="19" s="1"/>
  <c r="L35" i="20"/>
  <c r="K35" i="20"/>
  <c r="O35" i="20" s="1"/>
  <c r="L40" i="20"/>
  <c r="K43" i="20"/>
  <c r="O43" i="20" s="1"/>
  <c r="K46" i="20"/>
  <c r="O46" i="20" s="1"/>
  <c r="M51" i="20"/>
  <c r="L54" i="20"/>
  <c r="K101" i="20"/>
  <c r="L101" i="20" s="1"/>
  <c r="M151" i="20"/>
  <c r="O161" i="20"/>
  <c r="M161" i="20"/>
  <c r="E160" i="19"/>
  <c r="E148" i="19"/>
  <c r="I148" i="19" s="1"/>
  <c r="K19" i="20"/>
  <c r="O19" i="20" s="1"/>
  <c r="M35" i="20"/>
  <c r="K25" i="20"/>
  <c r="O25" i="20" s="1"/>
  <c r="L30" i="20"/>
  <c r="M38" i="20"/>
  <c r="M46" i="20"/>
  <c r="K49" i="20"/>
  <c r="O49" i="20" s="1"/>
  <c r="K52" i="20"/>
  <c r="O52" i="20" s="1"/>
  <c r="M54" i="20"/>
  <c r="M67" i="20"/>
  <c r="M141" i="20"/>
  <c r="H90" i="19"/>
  <c r="H43" i="16" s="1"/>
  <c r="F43" i="16" s="1"/>
  <c r="M15" i="20"/>
  <c r="M25" i="20"/>
  <c r="K123" i="20"/>
  <c r="O123" i="20" s="1"/>
  <c r="K142" i="20"/>
  <c r="O142" i="20" s="1"/>
  <c r="E104" i="19"/>
  <c r="E92" i="19"/>
  <c r="I92" i="19" s="1"/>
  <c r="E132" i="19"/>
  <c r="E120" i="19"/>
  <c r="I120" i="19" s="1"/>
  <c r="I135" i="19"/>
  <c r="F135" i="19" s="1"/>
  <c r="L12" i="20"/>
  <c r="K16" i="20"/>
  <c r="O16" i="20" s="1"/>
  <c r="K20" i="20"/>
  <c r="O20" i="20" s="1"/>
  <c r="K23" i="20"/>
  <c r="O23" i="20" s="1"/>
  <c r="M30" i="20"/>
  <c r="K33" i="20"/>
  <c r="O33" i="20" s="1"/>
  <c r="L36" i="20"/>
  <c r="K44" i="20"/>
  <c r="O44" i="20" s="1"/>
  <c r="L58" i="20"/>
  <c r="K58" i="20"/>
  <c r="O58" i="20" s="1"/>
  <c r="K64" i="20"/>
  <c r="M92" i="20"/>
  <c r="M132" i="20"/>
  <c r="L73" i="20"/>
  <c r="K110" i="20"/>
  <c r="L110" i="20"/>
  <c r="M119" i="20"/>
  <c r="K156" i="20"/>
  <c r="O156" i="20" s="1"/>
  <c r="K159" i="20"/>
  <c r="O159" i="20" s="1"/>
  <c r="K68" i="20"/>
  <c r="O68" i="20" s="1"/>
  <c r="K76" i="20"/>
  <c r="O76" i="20" s="1"/>
  <c r="L85" i="20"/>
  <c r="K85" i="20"/>
  <c r="O85" i="20" s="1"/>
  <c r="L107" i="20"/>
  <c r="K107" i="20"/>
  <c r="O107" i="20" s="1"/>
  <c r="K114" i="20"/>
  <c r="O114" i="20" s="1"/>
  <c r="L131" i="20"/>
  <c r="K162" i="20"/>
  <c r="O162" i="20" s="1"/>
  <c r="L162" i="20"/>
  <c r="K165" i="20"/>
  <c r="O165" i="20" s="1"/>
  <c r="K173" i="20"/>
  <c r="O173" i="20" s="1"/>
  <c r="L177" i="20"/>
  <c r="M61" i="20"/>
  <c r="G68" i="20"/>
  <c r="L71" i="20"/>
  <c r="M85" i="20"/>
  <c r="L92" i="20"/>
  <c r="K92" i="20"/>
  <c r="O92" i="20" s="1"/>
  <c r="K95" i="20"/>
  <c r="L95" i="20" s="1"/>
  <c r="M100" i="20"/>
  <c r="K104" i="20"/>
  <c r="M114" i="20"/>
  <c r="K117" i="20"/>
  <c r="L117" i="20" s="1"/>
  <c r="K120" i="20"/>
  <c r="O120" i="20" s="1"/>
  <c r="L128" i="20"/>
  <c r="K128" i="20"/>
  <c r="O128" i="20" s="1"/>
  <c r="L137" i="20"/>
  <c r="M165" i="20"/>
  <c r="M175" i="20"/>
  <c r="M177" i="20"/>
  <c r="K12" i="20"/>
  <c r="O12" i="20" s="1"/>
  <c r="K15" i="20"/>
  <c r="O15" i="20" s="1"/>
  <c r="K18" i="20"/>
  <c r="O18" i="20" s="1"/>
  <c r="K66" i="20"/>
  <c r="O66" i="20" s="1"/>
  <c r="K79" i="20"/>
  <c r="O79" i="20" s="1"/>
  <c r="L86" i="20"/>
  <c r="K86" i="20"/>
  <c r="O86" i="20" s="1"/>
  <c r="K89" i="20"/>
  <c r="O89" i="20" s="1"/>
  <c r="L89" i="20"/>
  <c r="K98" i="20"/>
  <c r="K108" i="20"/>
  <c r="O108" i="20" s="1"/>
  <c r="L115" i="20"/>
  <c r="K131" i="20"/>
  <c r="O131" i="20" s="1"/>
  <c r="M134" i="20"/>
  <c r="K145" i="20"/>
  <c r="O145" i="20" s="1"/>
  <c r="K148" i="20"/>
  <c r="O148" i="20" s="1"/>
  <c r="M160" i="20"/>
  <c r="K166" i="20"/>
  <c r="O166" i="20" s="1"/>
  <c r="M169" i="20"/>
  <c r="M171" i="20"/>
  <c r="L180" i="20"/>
  <c r="K180" i="20"/>
  <c r="O180" i="20" s="1"/>
  <c r="K71" i="20"/>
  <c r="O71" i="20" s="1"/>
  <c r="K74" i="20"/>
  <c r="O74" i="20" s="1"/>
  <c r="L74" i="20"/>
  <c r="M86" i="20"/>
  <c r="K105" i="20"/>
  <c r="O105" i="20" s="1"/>
  <c r="M115" i="20"/>
  <c r="L121" i="20"/>
  <c r="K126" i="20"/>
  <c r="O126" i="20" s="1"/>
  <c r="L126" i="20"/>
  <c r="K129" i="20"/>
  <c r="O129" i="20" s="1"/>
  <c r="M148" i="20"/>
  <c r="K151" i="20"/>
  <c r="O151" i="20" s="1"/>
  <c r="K154" i="20"/>
  <c r="O154" i="20" s="1"/>
  <c r="K157" i="20"/>
  <c r="O157" i="20" s="1"/>
  <c r="L175" i="20"/>
  <c r="K22" i="20"/>
  <c r="O22" i="20" s="1"/>
  <c r="K30" i="20"/>
  <c r="O30" i="20" s="1"/>
  <c r="K36" i="20"/>
  <c r="O36" i="20" s="1"/>
  <c r="K45" i="20"/>
  <c r="O45" i="20" s="1"/>
  <c r="K51" i="20"/>
  <c r="O51" i="20" s="1"/>
  <c r="L67" i="20"/>
  <c r="K80" i="20"/>
  <c r="O80" i="20" s="1"/>
  <c r="K102" i="20"/>
  <c r="O102" i="20" s="1"/>
  <c r="M105" i="20"/>
  <c r="K112" i="20"/>
  <c r="O112" i="20" s="1"/>
  <c r="M129" i="20"/>
  <c r="K132" i="20"/>
  <c r="O132" i="20" s="1"/>
  <c r="L132" i="20"/>
  <c r="L135" i="20"/>
  <c r="K135" i="20"/>
  <c r="O135" i="20" s="1"/>
  <c r="L146" i="20"/>
  <c r="M157" i="20"/>
  <c r="K163" i="20"/>
  <c r="O163" i="20" s="1"/>
  <c r="L178" i="20"/>
  <c r="K178" i="20"/>
  <c r="O178" i="20" s="1"/>
  <c r="L68" i="20"/>
  <c r="K77" i="20"/>
  <c r="O77" i="20" s="1"/>
  <c r="L87" i="20"/>
  <c r="K96" i="20"/>
  <c r="K99" i="20"/>
  <c r="O99" i="20" s="1"/>
  <c r="M102" i="20"/>
  <c r="L109" i="20"/>
  <c r="K115" i="20"/>
  <c r="O115" i="20" s="1"/>
  <c r="K118" i="20"/>
  <c r="O118" i="20" s="1"/>
  <c r="M135" i="20"/>
  <c r="K138" i="20"/>
  <c r="L143" i="20"/>
  <c r="K143" i="20"/>
  <c r="O143" i="20" s="1"/>
  <c r="K152" i="20"/>
  <c r="O152" i="20" s="1"/>
  <c r="L155" i="20"/>
  <c r="L169" i="20"/>
  <c r="L174" i="20"/>
  <c r="M176" i="20"/>
  <c r="K9" i="20"/>
  <c r="O9" i="20" s="1"/>
  <c r="K11" i="20"/>
  <c r="O11" i="20" s="1"/>
  <c r="L59" i="20"/>
  <c r="K90" i="20"/>
  <c r="O90" i="20" s="1"/>
  <c r="K93" i="20"/>
  <c r="O93" i="20" s="1"/>
  <c r="K121" i="20"/>
  <c r="O121" i="20" s="1"/>
  <c r="K124" i="20"/>
  <c r="K140" i="20"/>
  <c r="O140" i="20" s="1"/>
  <c r="M143" i="20"/>
  <c r="K149" i="20"/>
  <c r="O149" i="20" s="1"/>
  <c r="M152" i="20"/>
  <c r="L161" i="20"/>
  <c r="K172" i="20"/>
  <c r="O172" i="20" s="1"/>
  <c r="M178" i="20"/>
  <c r="L63" i="20"/>
  <c r="K67" i="20"/>
  <c r="O67" i="20" s="1"/>
  <c r="L70" i="20"/>
  <c r="L75" i="20"/>
  <c r="L94" i="20"/>
  <c r="L103" i="20"/>
  <c r="L116" i="20"/>
  <c r="L136" i="20"/>
  <c r="K146" i="20"/>
  <c r="O146" i="20" s="1"/>
  <c r="K158" i="20"/>
  <c r="O158" i="20" s="1"/>
  <c r="M170" i="20"/>
  <c r="M174" i="20"/>
  <c r="K57" i="20"/>
  <c r="O57" i="20" s="1"/>
  <c r="K72" i="20"/>
  <c r="O72" i="20" s="1"/>
  <c r="M75" i="20"/>
  <c r="L81" i="20"/>
  <c r="K81" i="20"/>
  <c r="O81" i="20" s="1"/>
  <c r="L84" i="20"/>
  <c r="K84" i="20"/>
  <c r="O84" i="20" s="1"/>
  <c r="K87" i="20"/>
  <c r="O87" i="20" s="1"/>
  <c r="L100" i="20"/>
  <c r="K109" i="20"/>
  <c r="L113" i="20"/>
  <c r="K113" i="20"/>
  <c r="O113" i="20" s="1"/>
  <c r="L122" i="20"/>
  <c r="K127" i="20"/>
  <c r="O127" i="20" s="1"/>
  <c r="M136" i="20"/>
  <c r="K141" i="20"/>
  <c r="O141" i="20" s="1"/>
  <c r="L141" i="20"/>
  <c r="K144" i="20"/>
  <c r="O144" i="20" s="1"/>
  <c r="K155" i="20"/>
  <c r="O155" i="20" s="1"/>
  <c r="M158" i="20"/>
  <c r="L164" i="20"/>
  <c r="K164" i="20"/>
  <c r="O164" i="20" s="1"/>
  <c r="M172" i="20"/>
  <c r="L176" i="20"/>
  <c r="K65" i="20"/>
  <c r="K78" i="20"/>
  <c r="L78" i="20" s="1"/>
  <c r="M81" i="20"/>
  <c r="M84" i="20"/>
  <c r="L88" i="20"/>
  <c r="K91" i="20"/>
  <c r="O91" i="20" s="1"/>
  <c r="M96" i="20"/>
  <c r="K106" i="20"/>
  <c r="M113" i="20"/>
  <c r="K119" i="20"/>
  <c r="O119" i="20" s="1"/>
  <c r="M127" i="20"/>
  <c r="K130" i="20"/>
  <c r="O130" i="20" s="1"/>
  <c r="K133" i="20"/>
  <c r="O133" i="20" s="1"/>
  <c r="K147" i="20"/>
  <c r="L147" i="20"/>
  <c r="K150" i="20"/>
  <c r="O150" i="20" s="1"/>
  <c r="M164" i="20"/>
  <c r="K168" i="20"/>
  <c r="O168" i="20" s="1"/>
  <c r="K179" i="20"/>
  <c r="O179" i="20" s="1"/>
  <c r="K174" i="20"/>
  <c r="O174" i="20" s="1"/>
  <c r="K171" i="20"/>
  <c r="O171" i="20" s="1"/>
  <c r="K177" i="20"/>
  <c r="O177" i="20" s="1"/>
  <c r="M44" i="20" l="1"/>
  <c r="H34" i="18"/>
  <c r="F22" i="18"/>
  <c r="F34" i="18" s="1"/>
  <c r="O65" i="20"/>
  <c r="M65" i="20"/>
  <c r="L127" i="20"/>
  <c r="L90" i="20"/>
  <c r="L102" i="20"/>
  <c r="M108" i="20"/>
  <c r="L108" i="20"/>
  <c r="L120" i="20"/>
  <c r="M76" i="20"/>
  <c r="M159" i="20"/>
  <c r="O110" i="20"/>
  <c r="M110" i="20"/>
  <c r="F120" i="19"/>
  <c r="F132" i="19" s="1"/>
  <c r="I132" i="19"/>
  <c r="L19" i="20"/>
  <c r="L22" i="20"/>
  <c r="M71" i="20"/>
  <c r="L28" i="20"/>
  <c r="M33" i="20"/>
  <c r="F34" i="19"/>
  <c r="M89" i="20"/>
  <c r="I62" i="19"/>
  <c r="I205" i="17"/>
  <c r="H192" i="17"/>
  <c r="H205" i="17" s="1"/>
  <c r="H128" i="17"/>
  <c r="I75" i="17"/>
  <c r="L163" i="20"/>
  <c r="L76" i="20"/>
  <c r="L44" i="20"/>
  <c r="M101" i="20"/>
  <c r="O101" i="20"/>
  <c r="L82" i="20"/>
  <c r="L34" i="20"/>
  <c r="E36" i="17"/>
  <c r="I36" i="17" s="1"/>
  <c r="E40" i="17"/>
  <c r="L168" i="20"/>
  <c r="L119" i="20"/>
  <c r="L149" i="20"/>
  <c r="M87" i="20"/>
  <c r="L152" i="20"/>
  <c r="L99" i="20"/>
  <c r="M93" i="20"/>
  <c r="L157" i="20"/>
  <c r="M98" i="20"/>
  <c r="O98" i="20"/>
  <c r="L145" i="20"/>
  <c r="L66" i="20"/>
  <c r="M91" i="20"/>
  <c r="L171" i="20"/>
  <c r="L15" i="20"/>
  <c r="M80" i="20"/>
  <c r="L18" i="20"/>
  <c r="I146" i="19"/>
  <c r="F134" i="19"/>
  <c r="F146" i="19" s="1"/>
  <c r="L29" i="20"/>
  <c r="M123" i="20"/>
  <c r="M23" i="20"/>
  <c r="M20" i="20"/>
  <c r="F62" i="19"/>
  <c r="H48" i="18"/>
  <c r="F36" i="18"/>
  <c r="F48" i="18" s="1"/>
  <c r="I42" i="14"/>
  <c r="H42" i="14" s="1"/>
  <c r="I148" i="17"/>
  <c r="H135" i="17"/>
  <c r="H148" i="17" s="1"/>
  <c r="M163" i="20"/>
  <c r="F76" i="19"/>
  <c r="M90" i="20"/>
  <c r="O96" i="20"/>
  <c r="L96" i="20"/>
  <c r="L80" i="20"/>
  <c r="L105" i="20"/>
  <c r="L166" i="20"/>
  <c r="L98" i="20"/>
  <c r="O117" i="20"/>
  <c r="M117" i="20"/>
  <c r="M68" i="20"/>
  <c r="M168" i="20"/>
  <c r="L33" i="20"/>
  <c r="F92" i="19"/>
  <c r="F104" i="19" s="1"/>
  <c r="I104" i="19"/>
  <c r="L25" i="20"/>
  <c r="L11" i="20"/>
  <c r="M34" i="20"/>
  <c r="L62" i="20"/>
  <c r="M12" i="20"/>
  <c r="M16" i="20"/>
  <c r="L56" i="20"/>
  <c r="L21" i="20"/>
  <c r="H154" i="17"/>
  <c r="H167" i="17" s="1"/>
  <c r="I167" i="17"/>
  <c r="I38" i="14"/>
  <c r="H38" i="14" s="1"/>
  <c r="I129" i="17"/>
  <c r="H116" i="17"/>
  <c r="H129" i="17" s="1"/>
  <c r="F20" i="18"/>
  <c r="M22" i="20"/>
  <c r="O109" i="20"/>
  <c r="M109" i="20"/>
  <c r="L130" i="20"/>
  <c r="O138" i="20"/>
  <c r="L138" i="20"/>
  <c r="M104" i="20"/>
  <c r="O104" i="20"/>
  <c r="M179" i="20"/>
  <c r="L114" i="20"/>
  <c r="L159" i="20"/>
  <c r="M155" i="20"/>
  <c r="M57" i="20"/>
  <c r="M19" i="20"/>
  <c r="I118" i="19"/>
  <c r="M72" i="20"/>
  <c r="M9" i="20"/>
  <c r="E76" i="19"/>
  <c r="D42" i="16"/>
  <c r="E42" i="16" s="1"/>
  <c r="I42" i="16" s="1"/>
  <c r="F42" i="16" s="1"/>
  <c r="F90" i="19"/>
  <c r="H62" i="18"/>
  <c r="F50" i="18"/>
  <c r="F62" i="18" s="1"/>
  <c r="I49" i="14"/>
  <c r="H49" i="14" s="1"/>
  <c r="H243" i="17"/>
  <c r="I32" i="17"/>
  <c r="H32" i="17" s="1"/>
  <c r="I48" i="14"/>
  <c r="H48" i="14" s="1"/>
  <c r="I33" i="14"/>
  <c r="H33" i="14" s="1"/>
  <c r="M18" i="20"/>
  <c r="L158" i="20"/>
  <c r="O124" i="20"/>
  <c r="L124" i="20"/>
  <c r="L72" i="20"/>
  <c r="L57" i="20"/>
  <c r="L140" i="20"/>
  <c r="M77" i="20"/>
  <c r="L148" i="20"/>
  <c r="L154" i="20"/>
  <c r="L104" i="20"/>
  <c r="L156" i="20"/>
  <c r="O64" i="20"/>
  <c r="M64" i="20"/>
  <c r="L23" i="20"/>
  <c r="M11" i="20"/>
  <c r="L46" i="20"/>
  <c r="M154" i="20"/>
  <c r="L14" i="20"/>
  <c r="M162" i="20"/>
  <c r="E20" i="19"/>
  <c r="D34" i="16"/>
  <c r="E34" i="16" s="1"/>
  <c r="I34" i="16" s="1"/>
  <c r="F34" i="16" s="1"/>
  <c r="H90" i="18"/>
  <c r="F78" i="18"/>
  <c r="F90" i="18" s="1"/>
  <c r="F48" i="19"/>
  <c r="I45" i="14"/>
  <c r="H45" i="14" s="1"/>
  <c r="I110" i="17"/>
  <c r="H110" i="17" s="1"/>
  <c r="I224" i="17"/>
  <c r="I37" i="14"/>
  <c r="H37" i="14" s="1"/>
  <c r="I30" i="14"/>
  <c r="H30" i="14" s="1"/>
  <c r="O78" i="20"/>
  <c r="M78" i="20"/>
  <c r="H43" i="14"/>
  <c r="L91" i="20"/>
  <c r="M149" i="20"/>
  <c r="L151" i="20"/>
  <c r="L64" i="20"/>
  <c r="L142" i="20"/>
  <c r="M173" i="20"/>
  <c r="E62" i="19"/>
  <c r="L60" i="20"/>
  <c r="M140" i="20"/>
  <c r="M28" i="20"/>
  <c r="M120" i="20"/>
  <c r="I48" i="19"/>
  <c r="H146" i="18"/>
  <c r="F134" i="18"/>
  <c r="F146" i="18" s="1"/>
  <c r="E103" i="17"/>
  <c r="E99" i="17"/>
  <c r="I99" i="17" s="1"/>
  <c r="I103" i="17" s="1"/>
  <c r="H103" i="17" s="1"/>
  <c r="M130" i="20"/>
  <c r="H64" i="17"/>
  <c r="H68" i="17" s="1"/>
  <c r="I68" i="17"/>
  <c r="O106" i="20"/>
  <c r="M106" i="20"/>
  <c r="L65" i="20"/>
  <c r="L93" i="20"/>
  <c r="H160" i="18"/>
  <c r="F148" i="18"/>
  <c r="F160" i="18" s="1"/>
  <c r="L150" i="20"/>
  <c r="O147" i="20"/>
  <c r="M147" i="20"/>
  <c r="M144" i="20"/>
  <c r="L144" i="20"/>
  <c r="M118" i="20"/>
  <c r="L118" i="20"/>
  <c r="M121" i="20"/>
  <c r="L129" i="20"/>
  <c r="M142" i="20"/>
  <c r="M82" i="20"/>
  <c r="M145" i="20"/>
  <c r="L173" i="20"/>
  <c r="M150" i="20"/>
  <c r="L20" i="20"/>
  <c r="L123" i="20"/>
  <c r="L52" i="20"/>
  <c r="M128" i="20"/>
  <c r="M180" i="20"/>
  <c r="L43" i="20"/>
  <c r="M66" i="20"/>
  <c r="L51" i="20"/>
  <c r="L39" i="20"/>
  <c r="L42" i="20"/>
  <c r="M56" i="20"/>
  <c r="M62" i="20"/>
  <c r="M156" i="20"/>
  <c r="F20" i="19"/>
  <c r="I82" i="17"/>
  <c r="H78" i="17"/>
  <c r="H82" i="17" s="1"/>
  <c r="O32" i="20"/>
  <c r="L32" i="20"/>
  <c r="I12" i="17"/>
  <c r="H8" i="17"/>
  <c r="H12" i="17" s="1"/>
  <c r="E76" i="18"/>
  <c r="C43" i="15"/>
  <c r="E43" i="15" s="1"/>
  <c r="H43" i="15" s="1"/>
  <c r="F43" i="15" s="1"/>
  <c r="O95" i="20"/>
  <c r="M95" i="20"/>
  <c r="M133" i="20"/>
  <c r="M60" i="20"/>
  <c r="L53" i="20"/>
  <c r="M36" i="20"/>
  <c r="M74" i="20"/>
  <c r="H76" i="18"/>
  <c r="F64" i="18"/>
  <c r="F76" i="18" s="1"/>
  <c r="M53" i="20"/>
  <c r="I20" i="19"/>
  <c r="I186" i="17"/>
  <c r="E15" i="17"/>
  <c r="I15" i="17" s="1"/>
  <c r="E19" i="17"/>
  <c r="I61" i="17"/>
  <c r="H57" i="17"/>
  <c r="H61" i="17" s="1"/>
  <c r="I47" i="17"/>
  <c r="H43" i="17"/>
  <c r="H47" i="17" s="1"/>
  <c r="L179" i="20"/>
  <c r="I160" i="19"/>
  <c r="F148" i="19"/>
  <c r="F160" i="19" s="1"/>
  <c r="M138" i="20"/>
  <c r="L106" i="20"/>
  <c r="L133" i="20"/>
  <c r="L172" i="20"/>
  <c r="M99" i="20"/>
  <c r="M112" i="20"/>
  <c r="M166" i="20"/>
  <c r="L112" i="20"/>
  <c r="L77" i="20"/>
  <c r="L165" i="20"/>
  <c r="L79" i="20"/>
  <c r="M124" i="20"/>
  <c r="M52" i="20"/>
  <c r="L16" i="20"/>
  <c r="M49" i="20"/>
  <c r="L49" i="20"/>
  <c r="M43" i="20"/>
  <c r="M48" i="20"/>
  <c r="L48" i="20"/>
  <c r="M126" i="20"/>
  <c r="M58" i="20"/>
  <c r="M13" i="20"/>
  <c r="M59" i="20"/>
  <c r="L37" i="20"/>
  <c r="E62" i="18"/>
  <c r="H186" i="17"/>
  <c r="E22" i="17"/>
  <c r="I22" i="17" s="1"/>
  <c r="E26" i="17"/>
  <c r="H29" i="17"/>
  <c r="I40" i="17" l="1"/>
  <c r="H36" i="17"/>
  <c r="H40" i="17" s="1"/>
  <c r="I26" i="17"/>
  <c r="H22" i="17"/>
  <c r="H26" i="17" s="1"/>
  <c r="I33" i="17"/>
  <c r="H33" i="17"/>
  <c r="I19" i="17"/>
  <c r="H15" i="17"/>
  <c r="H1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9" authorId="0" shapeId="0" xr:uid="{AD922A55-678B-4F3A-B43B-B6348F23AF57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3D290CB1-BF07-4A8E-9E6C-68794A52E95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87F48EB5-C595-4E39-A6D1-9725020A5E06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19A1E853-FA93-43AB-9B3D-7E039D2FCCD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AF7C0BA7-685D-40A6-88E3-1D0C80CFB4DC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38" authorId="0" shapeId="0" xr:uid="{1A7AB789-E70A-484E-8164-94D22E060B46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1ED0EB90-8993-4A73-8EA1-C756874AEEF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3DBA0399-DFFB-4E0B-9E21-8346388AEB72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39" authorId="0" shapeId="0" xr:uid="{B87331A3-C416-4604-8995-AAB910BABA82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678BCFD4-974D-4611-9164-409C38C2C991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C513B364-359E-4A55-AE5D-C34EF59C1A42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40" authorId="0" shapeId="0" xr:uid="{C8749262-B1E4-4222-9EDF-AC44129EA618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FB57F33A-6E3E-4DED-A026-5CB5445AC2A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3170F9B6-B136-4B4F-BC36-E539BA56F6BA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41" authorId="0" shapeId="0" xr:uid="{0416B805-9857-4B84-B9AD-806A8124E237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9" authorId="0" shapeId="0" xr:uid="{AA6070D5-7AE0-4E2F-8494-A3278A8B290A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148E19A-F21C-4D5A-9C10-F6B793BC2DDC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34B3399C-B294-46B7-807C-DAD03AB0FBC6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70610732-699D-403B-BEDF-1EC75E2DD763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0" authorId="0" shapeId="0" xr:uid="{EF023625-ADCA-4595-9708-42FC577E713E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 xr:uid="{FFC152D1-A216-4DAE-83BA-F5BBFBC9FCC1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0" authorId="0" shapeId="0" xr:uid="{EC67276C-E851-4636-B76C-7423F50BA22B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6515522B-DF2A-4316-8C66-5DDA4E2700FF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82DECF62-EC46-4521-A559-B9819DD7EB26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1" authorId="0" shapeId="0" xr:uid="{318F0073-5EC0-4472-B448-1CF5D85663DE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Mark Ash</author>
  </authors>
  <commentList>
    <comment ref="C60" authorId="0" shapeId="0" xr:uid="{163D9D7B-6D8F-4198-B089-2C070A747884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0" authorId="0" shapeId="0" xr:uid="{32D1B6B2-4B81-4083-A6D6-751A881A9906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1" shapeId="0" xr:uid="{C07ADA95-559E-446A-B9F4-5B0C282F7D7B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0" authorId="0" shapeId="0" xr:uid="{21331CEC-F543-44FE-A476-B6C0B8BD452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A786CF28-F45B-419E-A703-3F359924AD01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1" authorId="0" shapeId="0" xr:uid="{9F9EC9C2-EA2A-414A-BE7C-3D501F1A2248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61" authorId="1" shapeId="0" xr:uid="{439D7058-5397-42F4-83B5-9949F78496AA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1" authorId="0" shapeId="0" xr:uid="{8E86F03E-7689-45D8-8D3F-E5B0FA3138A8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1" authorId="0" shapeId="0" xr:uid="{79F00F81-AE4D-4883-9749-34D12732563D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81" authorId="0" shapeId="0" xr:uid="{35923368-D796-498A-9579-2C6CD701EC0D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1" authorId="0" shapeId="0" xr:uid="{78C22A51-DF19-4C5C-A78A-8B4D45448D57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<sst xmlns="http://schemas.openxmlformats.org/spreadsheetml/2006/main" count="1374" uniqueCount="235">
  <si>
    <t>Oil Crops Data: Yearbook Tables</t>
  </si>
  <si>
    <t>U.S. soybean stocks—quarterly</t>
  </si>
  <si>
    <t>U.S. soybeans and soybean products supply and disappearance—annual</t>
  </si>
  <si>
    <t>U.S. soybeans and soybean products supply and disappearance—crop year quarter and month</t>
  </si>
  <si>
    <t>U.S. soybeans and soybean products price spreads—monthly</t>
  </si>
  <si>
    <t>Contact: Maria Bukowski and Aaron M. Ates, USDA, Economic Research Service, Market and Trade Economics Division.</t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</si>
  <si>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</si>
  <si>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Date</t>
  </si>
  <si>
    <t>Onfarm</t>
  </si>
  <si>
    <t>Off-farm</t>
  </si>
  <si>
    <t>Total</t>
  </si>
  <si>
    <t>1,000 bushels</t>
  </si>
  <si>
    <t>1999/00</t>
  </si>
  <si>
    <t xml:space="preserve"> December 1</t>
  </si>
  <si>
    <t xml:space="preserve"> March 1</t>
  </si>
  <si>
    <t xml:space="preserve"> June 1</t>
  </si>
  <si>
    <t xml:space="preserve"> September 1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</si>
  <si>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</si>
  <si>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</si>
  <si>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</si>
  <si>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</si>
  <si>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</si>
  <si>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</si>
  <si>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</si>
  <si>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</si>
  <si>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</si>
  <si>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</si>
  <si>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</si>
  <si>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</si>
  <si>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</si>
  <si>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</si>
  <si>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</si>
  <si>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</si>
  <si>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</si>
  <si>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</si>
  <si>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</si>
  <si>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</si>
  <si>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</si>
  <si>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</si>
  <si>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Year</t>
  </si>
  <si>
    <t>Planted</t>
  </si>
  <si>
    <t>Harvested</t>
  </si>
  <si>
    <t>Yield</t>
  </si>
  <si>
    <t>Production</t>
  </si>
  <si>
    <t>Value</t>
  </si>
  <si>
    <t>Loan</t>
  </si>
  <si>
    <t>per acre</t>
  </si>
  <si>
    <t>rate 1/</t>
  </si>
  <si>
    <t>----------------1,000 acres---------------------</t>
  </si>
  <si>
    <t>Bushels</t>
  </si>
  <si>
    <t>Thousand dollars</t>
  </si>
  <si>
    <t>Dollars/bushel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</si>
  <si>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</si>
  <si>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</si>
  <si>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</si>
  <si>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</si>
  <si>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</si>
  <si>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</si>
  <si>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</si>
  <si>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</si>
  <si>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</si>
  <si>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</si>
  <si>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</si>
  <si>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</si>
  <si>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</si>
  <si>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</si>
  <si>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</si>
  <si>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</si>
  <si>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</si>
  <si>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</si>
  <si>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1998 </t>
  </si>
  <si>
    <t>1999</t>
  </si>
  <si>
    <t xml:space="preserve">1/ Beginning with the 1991 crop, a marketing loan program replaced the nonrecourse loan of previous years. Effective marketing loan value is $4.92 </t>
  </si>
  <si>
    <t>($5.02 less 2-percent origination fee) for crop years 1991–1993. 2/ Forecast.</t>
  </si>
  <si>
    <t xml:space="preserve"> Year</t>
  </si>
  <si>
    <t>Supply</t>
  </si>
  <si>
    <t>Disappearance</t>
  </si>
  <si>
    <t>Price</t>
  </si>
  <si>
    <t>beginning</t>
  </si>
  <si>
    <t>Beginning</t>
  </si>
  <si>
    <t>Seed, feed,</t>
  </si>
  <si>
    <t>Ending</t>
  </si>
  <si>
    <t>Season-average</t>
  </si>
  <si>
    <t>September 1</t>
  </si>
  <si>
    <t>stocks</t>
  </si>
  <si>
    <t>Imports</t>
  </si>
  <si>
    <t>Total 1/</t>
  </si>
  <si>
    <t>Crush</t>
  </si>
  <si>
    <t>Exports</t>
  </si>
  <si>
    <t>and</t>
  </si>
  <si>
    <t>received</t>
  </si>
  <si>
    <t>residual</t>
  </si>
  <si>
    <t>by farmers</t>
  </si>
  <si>
    <t>Million bushels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</si>
  <si>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</si>
  <si>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</si>
  <si>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</si>
  <si>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</si>
  <si>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</si>
  <si>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</si>
  <si>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</si>
  <si>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</si>
  <si>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</si>
  <si>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</si>
  <si>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</si>
  <si>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</si>
  <si>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</si>
  <si>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</si>
  <si>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</si>
  <si>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</si>
  <si>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</si>
  <si>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</si>
  <si>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</si>
  <si>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1/ Total supply includes imports. 2/Estimate. 3/ Forecast.</t>
  </si>
  <si>
    <r>
      <rPr>
        <i/>
        <sz val="8"/>
        <rFont val="Helvetica"/>
      </rPr>
      <t xml:space="preserve">Oilseed Crushings, Production, Consumption and Stocks, </t>
    </r>
    <r>
      <rPr>
        <sz val="8"/>
        <rFont val="Helvetica"/>
      </rPr>
      <t>and</t>
    </r>
    <r>
      <rPr>
        <i/>
        <sz val="8"/>
        <rFont val="Helvetica"/>
      </rPr>
      <t xml:space="preserve"> Agricultural Prices</t>
    </r>
    <r>
      <rPr>
        <sz val="8"/>
        <rFont val="Helvetica"/>
      </rPr>
      <t>; and USDA, Foreign Agricultural Service, Global Agricultural Trade System.</t>
    </r>
  </si>
  <si>
    <t xml:space="preserve"> Year   </t>
  </si>
  <si>
    <t>Disappearance 1/</t>
  </si>
  <si>
    <t>48-percent protein,</t>
  </si>
  <si>
    <t>October 1</t>
  </si>
  <si>
    <t>stocks 1/</t>
  </si>
  <si>
    <t>Production 1/</t>
  </si>
  <si>
    <t>Domestic</t>
  </si>
  <si>
    <t>Decatur, IL</t>
  </si>
  <si>
    <t>(solvent)</t>
  </si>
  <si>
    <t>1,000 short tons</t>
  </si>
  <si>
    <t>Dollars/short ton</t>
  </si>
  <si>
    <t>Note: Monthly production data not available for 2011/12–2014/15.</t>
  </si>
  <si>
    <t>1/ Includes millfeed (hull meal). 2/ Estimate. 3/ Forecast.</t>
  </si>
  <si>
    <t>Crude,</t>
  </si>
  <si>
    <t>Biofuel 1/</t>
  </si>
  <si>
    <t>Million pounds</t>
  </si>
  <si>
    <t>Cents/pound</t>
  </si>
  <si>
    <t>NA</t>
  </si>
  <si>
    <t>NA = Not available.</t>
  </si>
  <si>
    <t>Note: Monthly production data not available for 2011/12–2014/15</t>
  </si>
  <si>
    <t>2/ Estimate. 3/ Forecast.</t>
  </si>
  <si>
    <t xml:space="preserve"> Year </t>
  </si>
  <si>
    <t xml:space="preserve">Total </t>
  </si>
  <si>
    <t xml:space="preserve">September 1 </t>
  </si>
  <si>
    <t>and residual</t>
  </si>
  <si>
    <t xml:space="preserve">Sep.–Nov. </t>
  </si>
  <si>
    <t xml:space="preserve">Dec.–Feb. </t>
  </si>
  <si>
    <t>---</t>
  </si>
  <si>
    <t>Mar.–May</t>
  </si>
  <si>
    <t>June–Aug.</t>
  </si>
  <si>
    <t xml:space="preserve">  Total</t>
  </si>
  <si>
    <t>Sep.–Nov.</t>
  </si>
  <si>
    <t>Dec.–Feb.</t>
  </si>
  <si>
    <t xml:space="preserve">  Total </t>
  </si>
  <si>
    <t>June-Aug.</t>
  </si>
  <si>
    <t xml:space="preserve"> Total </t>
  </si>
  <si>
    <t xml:space="preserve"> September</t>
  </si>
  <si>
    <t xml:space="preserve"> October</t>
  </si>
  <si>
    <t xml:space="preserve"> November</t>
  </si>
  <si>
    <t xml:space="preserve"> December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</si>
  <si>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</si>
  <si>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</si>
  <si>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</si>
  <si>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</si>
  <si>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</si>
  <si>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>use</t>
  </si>
  <si>
    <t xml:space="preserve">October 1 </t>
  </si>
  <si>
    <t xml:space="preserve"> May </t>
  </si>
  <si>
    <t xml:space="preserve"> June</t>
  </si>
  <si>
    <t xml:space="preserve"> July</t>
  </si>
  <si>
    <t xml:space="preserve"> August</t>
  </si>
  <si>
    <t>1/ Includes millfeed (hull meal) and soy flour.</t>
  </si>
  <si>
    <t>Production, Consumption and Stocks; and USDA, Foreign Agricultural Service, Global Agricultural Trade System.</t>
  </si>
  <si>
    <t>1,000 pounds</t>
  </si>
  <si>
    <t>No. 1</t>
  </si>
  <si>
    <t>Spread</t>
  </si>
  <si>
    <t xml:space="preserve"> Value of products per bushel</t>
  </si>
  <si>
    <t>Percent of value</t>
  </si>
  <si>
    <t>yellow</t>
  </si>
  <si>
    <t xml:space="preserve">between value </t>
  </si>
  <si>
    <t>Soybean oil</t>
  </si>
  <si>
    <t>Soybean meal</t>
  </si>
  <si>
    <t>Soybean hulls</t>
  </si>
  <si>
    <t>value</t>
  </si>
  <si>
    <t>Soybean</t>
  </si>
  <si>
    <t>Illinois</t>
  </si>
  <si>
    <t>of products and</t>
  </si>
  <si>
    <t>Price 1/</t>
  </si>
  <si>
    <t>Price 2/</t>
  </si>
  <si>
    <t>Price 3/</t>
  </si>
  <si>
    <t>oil</t>
  </si>
  <si>
    <t>meal and hulls</t>
  </si>
  <si>
    <t>processor</t>
  </si>
  <si>
    <t>soybean price</t>
  </si>
  <si>
    <t>Pounds</t>
  </si>
  <si>
    <t>Cents</t>
  </si>
  <si>
    <t>Dollars</t>
  </si>
  <si>
    <t>--------Dollars--------</t>
  </si>
  <si>
    <t>--------Percent---------</t>
  </si>
  <si>
    <t>-------------Dollars-------------</t>
  </si>
  <si>
    <t>1999/2000</t>
  </si>
  <si>
    <t xml:space="preserve">  Average</t>
  </si>
  <si>
    <t>1/ Crude, tanks, Free on Board, Central Illinois. 2/ 44-percent (solvent), Decatur, IL based on September–August year. Beginning 2001/02, 48 percent solvent.</t>
  </si>
  <si>
    <t>3/ Central Illinois, bulk.</t>
  </si>
  <si>
    <t>Table 1—Soybean stocks: U.S. onfarm, off-farm, and total, by quarter, 1999/2000–2022/23</t>
  </si>
  <si>
    <t>Table 2—Soybeans: U.S. acreage planted, harvested, yield, production, value, and loan rate, 1980–2022</t>
  </si>
  <si>
    <t>Table 3—Soybeans: U.S. supply, disappearance, and price, 1980/81–2022/23</t>
  </si>
  <si>
    <t>Table 4—Soybean meal: U.S. supply, disappearance, and price, 1980/81–2022/23</t>
  </si>
  <si>
    <t>Table 5—Soybean oil: U.S. supply, disappearance, and price, 1980/81–2022/23</t>
  </si>
  <si>
    <t>Table 6—Soybeans: U.S. supply and disappearance, by crop year quarter, 2000/01–2022/23</t>
  </si>
  <si>
    <t>Table 7—Soybean meal: U.S. supply and disappearance, by month, 2007/08–2021/22</t>
  </si>
  <si>
    <t>Table 8—Soybean oil: U.S. supply and disappearance, by month, 2007/08–2021/22</t>
  </si>
  <si>
    <t>Table 9—Soybeans: U.S. monthly value of products per bushel of soybeans processed and spot price spread, 1990/91–2021/22</t>
  </si>
  <si>
    <t>Last updated: March 27, 2023.</t>
  </si>
  <si>
    <t>2022/23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</si>
  <si>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Grain Stocks</t>
    </r>
    <r>
      <rPr>
        <sz val="8"/>
        <rFont val="Helvetica"/>
      </rPr>
      <t>.</t>
    </r>
  </si>
  <si>
    <t>Last updated: 03/27/2023.</t>
  </si>
  <si>
    <t>2022 2/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</si>
  <si>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, and </t>
    </r>
    <r>
      <rPr>
        <i/>
        <sz val="8"/>
        <rFont val="Helvetica"/>
      </rPr>
      <t>Crop Values</t>
    </r>
    <r>
      <rPr>
        <sz val="8"/>
        <rFont val="Helvetica"/>
        <family val="2"/>
      </rPr>
      <t xml:space="preserve">; and USDA, </t>
    </r>
  </si>
  <si>
    <r>
      <rPr>
        <sz val="8"/>
        <rFont val="Helvetica"/>
      </rPr>
      <t xml:space="preserve"> Farm Service Agency</t>
    </r>
    <r>
      <rPr>
        <i/>
        <sz val="8"/>
        <rFont val="Helvetica"/>
      </rPr>
      <t xml:space="preserve">, Nonrecourse Marketing Assistance Loans and Loan Deficiency Payments Fact Sheet. </t>
    </r>
  </si>
  <si>
    <t>2021/22 2/</t>
  </si>
  <si>
    <t>2022/23 3/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</si>
  <si>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</rPr>
      <t xml:space="preserve">Grain Stocks, Fats and Oils: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</si>
  <si>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</t>
    </r>
    <r>
      <rPr>
        <sz val="8"/>
        <rFont val="Helvetica"/>
        <family val="2"/>
      </rPr>
      <t>; USDA, Agricultural</t>
    </r>
  </si>
  <si>
    <r>
      <rPr>
        <sz val="8"/>
        <rFont val="Helvetica"/>
      </rPr>
      <t>Marketing Service</t>
    </r>
    <r>
      <rPr>
        <i/>
        <sz val="8"/>
        <rFont val="Helvetica"/>
      </rPr>
      <t xml:space="preserve">, National Monthly Feedstuff Prices; </t>
    </r>
    <r>
      <rPr>
        <sz val="8"/>
        <rFont val="Helvetica"/>
      </rPr>
      <t>and USDA, Foreign Agricultural</t>
    </r>
    <r>
      <rPr>
        <i/>
        <sz val="8"/>
        <rFont val="Helvetica"/>
      </rPr>
      <t xml:space="preserve"> </t>
    </r>
    <r>
      <rPr>
        <sz val="8"/>
        <rFont val="Helvetica"/>
      </rPr>
      <t>Service</t>
    </r>
    <r>
      <rPr>
        <i/>
        <sz val="8"/>
        <rFont val="Helvetica"/>
      </rPr>
      <t>,</t>
    </r>
    <r>
      <rPr>
        <sz val="8"/>
        <rFont val="Helvetica"/>
      </rPr>
      <t xml:space="preserve"> Global Agricultural Trade System.</t>
    </r>
  </si>
  <si>
    <t xml:space="preserve">1/ Prior to January 2006, methyl ester consumption based on quarterly data from the Commodity Credit Corporation Bioenergy Program. Estimates from 2017/2018 through 2020/21 include renewable diesel data reported by California Air Resource Board and Environmental Protection Agency (EPA). Starting January 2021, </t>
  </si>
  <si>
    <t>U.S. Energy Information Administration (EIA) started reporting use of soybean oil for biofuels, including biodiesel, renewable diesel, renewable heating oil, renewable jet fuel,</t>
  </si>
  <si>
    <t>renewable gasoline, biobutanol, and "other" biofuels and biointermediates.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</si>
  <si>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</t>
    </r>
    <r>
      <rPr>
        <sz val="8"/>
        <rFont val="Helvetica"/>
        <family val="2"/>
      </rPr>
      <t>;</t>
    </r>
  </si>
  <si>
    <r>
      <rPr>
        <sz val="8"/>
        <rFont val="Helvetica"/>
      </rPr>
      <t>USDA, Agricultural Marketing Service</t>
    </r>
    <r>
      <rPr>
        <i/>
        <sz val="8"/>
        <rFont val="Helvetica"/>
      </rPr>
      <t xml:space="preserve">, National Monthly Feedstuff Prices; </t>
    </r>
    <r>
      <rPr>
        <sz val="8"/>
        <rFont val="Helvetica"/>
      </rPr>
      <t>USDA, Foreign Agricultural</t>
    </r>
    <r>
      <rPr>
        <i/>
        <sz val="8"/>
        <rFont val="Helvetica"/>
      </rPr>
      <t xml:space="preserve"> </t>
    </r>
    <r>
      <rPr>
        <sz val="8"/>
        <rFont val="Helvetica"/>
      </rPr>
      <t>Service</t>
    </r>
    <r>
      <rPr>
        <i/>
        <sz val="8"/>
        <rFont val="Helvetica"/>
      </rPr>
      <t xml:space="preserve">, </t>
    </r>
    <r>
      <rPr>
        <sz val="8"/>
        <rFont val="Helvetica"/>
      </rPr>
      <t>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and</t>
    </r>
    <r>
      <rPr>
        <i/>
        <sz val="8"/>
        <rFont val="Helvetica"/>
      </rPr>
      <t xml:space="preserve"> </t>
    </r>
    <r>
      <rPr>
        <sz val="8"/>
        <rFont val="Helvetica"/>
      </rPr>
      <t>U.S.</t>
    </r>
  </si>
  <si>
    <r>
      <t xml:space="preserve">Energy Information Administration, </t>
    </r>
    <r>
      <rPr>
        <i/>
        <sz val="8"/>
        <rFont val="Helvetica"/>
      </rPr>
      <t>Monthly Biodiesel Production Report; Monthly Biofuels Capacity &amp; Feedstocks Update.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</si>
  <si>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</t>
    </r>
    <r>
      <rPr>
        <sz val="8"/>
        <rFont val="Helvetica"/>
      </rPr>
      <t xml:space="preserve">; </t>
    </r>
  </si>
  <si>
    <t>and USDA, Foreign Agricultural Service, Global Agricultural Trade System.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</si>
  <si>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</t>
    </r>
  </si>
  <si>
    <t xml:space="preserve">1/ Prior to January 2006, methyl ester consumption based on quarterly data from the Commodity Credit Corporation Bioenergy Program. Estimates from 2017/2018 through </t>
  </si>
  <si>
    <t xml:space="preserve">2020/21 include renewable diesel data reported by California Air Resource Board and Environmental Protection Agency (EPA). Starting January 2021, 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</si>
  <si>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Fats and Oils: Oilseed Crushings, Production, Consumption and </t>
    </r>
  </si>
  <si>
    <r>
      <rPr>
        <i/>
        <sz val="8"/>
        <rFont val="Helvetica"/>
      </rPr>
      <t>Stocks</t>
    </r>
    <r>
      <rPr>
        <sz val="8"/>
        <rFont val="Helvetica"/>
      </rPr>
      <t xml:space="preserve">; U.S. Department of Energy, Energy Information Administration, </t>
    </r>
    <r>
      <rPr>
        <i/>
        <sz val="8"/>
        <rFont val="Helvetica"/>
      </rPr>
      <t>Monthly Biodiesel Production Report; Monthly Biofuels Capacity &amp; Feedstocks Update,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</si>
  <si>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Stocks;</t>
    </r>
    <r>
      <rPr>
        <sz val="8"/>
        <rFont val="Helvetica"/>
        <family val="2"/>
      </rPr>
      <t xml:space="preserve"> </t>
    </r>
  </si>
  <si>
    <r>
      <rPr>
        <sz val="8"/>
        <rFont val="Helvetica"/>
      </rPr>
      <t>and USDA, Agricultural Marketing Service,</t>
    </r>
    <r>
      <rPr>
        <i/>
        <sz val="8"/>
        <rFont val="Helvetica"/>
      </rPr>
      <t xml:space="preserve"> National Grain and Oilseed Processors Feedstuff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</si>
</sst>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164" formatCode="#,##0___________________)"/>
    <numFmt numFmtId="165" formatCode="#,##0_________)"/>
    <numFmt numFmtId="166" formatCode="#,##0.0___________)"/>
    <numFmt numFmtId="167" formatCode="#,##0.00_____________)"/>
    <numFmt numFmtId="168" formatCode="#,##0_______)"/>
    <numFmt numFmtId="169" formatCode="#,##0.00_______)"/>
    <numFmt numFmtId="170" formatCode="#,##0___________)"/>
    <numFmt numFmtId="171" formatCode="#,##0.000___________)"/>
    <numFmt numFmtId="172" formatCode="#,##0.0_______)"/>
    <numFmt numFmtId="173" formatCode="0.00_)"/>
    <numFmt numFmtId="174" formatCode="#,##0___)"/>
    <numFmt numFmtId="175" formatCode="#,##0.00___)"/>
    <numFmt numFmtId="176" formatCode="#,##0.00___________)"/>
    <numFmt numFmtId="177" formatCode="#,##0.00000000000000000"/>
    <numFmt numFmtId="178" formatCode="#,##0.0"/>
    <numFmt numFmtId="179" formatCode="0.000"/>
  </numFmts>
  <fonts count="24" x14ac:knownFonts="1">
    <font>
      <sz val="8"/>
      <name val="Helvetic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etica"/>
    </font>
    <font>
      <b/>
      <sz val="14"/>
      <name val="Helvetica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u/>
      <sz val="8"/>
      <color indexed="12"/>
      <name val="Helvetica"/>
      <family val="2"/>
    </font>
    <font>
      <i/>
      <sz val="8"/>
      <name val="Helvetica"/>
    </font>
    <font>
      <sz val="8"/>
      <name val="Helvetica"/>
      <family val="2"/>
    </font>
    <font>
      <i/>
      <sz val="8"/>
      <color indexed="8"/>
      <name val="Arial"/>
      <family val="2"/>
    </font>
    <font>
      <sz val="8"/>
      <color theme="1"/>
      <name val="Helvetic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333333"/>
      <name val="Helvetic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Helvetica"/>
      <family val="2"/>
    </font>
    <font>
      <u/>
      <sz val="8"/>
      <name val="Helvetica"/>
      <family val="2"/>
    </font>
    <font>
      <b/>
      <sz val="10"/>
      <color theme="1"/>
      <name val="Helvetica"/>
    </font>
    <font>
      <sz val="8"/>
      <color rgb="FFFF0000"/>
      <name val="Helvetica"/>
    </font>
    <font>
      <u/>
      <sz val="8"/>
      <color rgb="FF0000E1"/>
      <name val="Helvetic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</cellStyleXfs>
  <cellXfs count="150">
    <xf numFmtId="0" fontId="0" fillId="0" borderId="0" xfId="0"/>
    <xf numFmtId="0" fontId="2" fillId="0" borderId="0" xfId="2" applyAlignment="1">
      <alignment vertical="top" wrapText="1"/>
    </xf>
    <xf numFmtId="0" fontId="2" fillId="0" borderId="0" xfId="2"/>
    <xf numFmtId="0" fontId="4" fillId="0" borderId="0" xfId="0" applyFont="1" applyAlignment="1">
      <alignment horizontal="left"/>
    </xf>
    <xf numFmtId="0" fontId="6" fillId="0" borderId="0" xfId="3" applyFont="1" applyAlignment="1" applyProtection="1"/>
    <xf numFmtId="0" fontId="7" fillId="0" borderId="0" xfId="2" applyFont="1"/>
    <xf numFmtId="0" fontId="8" fillId="0" borderId="0" xfId="0" applyFont="1" applyAlignment="1">
      <alignment horizontal="left"/>
    </xf>
    <xf numFmtId="0" fontId="2" fillId="0" borderId="0" xfId="2" applyAlignment="1">
      <alignment wrapText="1"/>
    </xf>
    <xf numFmtId="0" fontId="2" fillId="0" borderId="0" xfId="2" quotePrefix="1"/>
    <xf numFmtId="0" fontId="9" fillId="0" borderId="0" xfId="1" applyAlignment="1" applyProtection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quotePrefix="1"/>
    <xf numFmtId="0" fontId="11" fillId="0" borderId="0" xfId="0" quotePrefix="1" applyFont="1"/>
    <xf numFmtId="164" fontId="0" fillId="0" borderId="1" xfId="0" applyNumberFormat="1" applyBorder="1"/>
    <xf numFmtId="0" fontId="11" fillId="0" borderId="0" xfId="0" applyFont="1"/>
    <xf numFmtId="0" fontId="12" fillId="0" borderId="0" xfId="4" applyFont="1" applyAlignment="1" applyProtection="1">
      <alignment horizontal="right" vertical="top" wrapText="1" readingOrder="1"/>
      <protection locked="0"/>
    </xf>
    <xf numFmtId="0" fontId="11" fillId="0" borderId="0" xfId="4" applyAlignment="1">
      <alignment readingOrder="1"/>
    </xf>
    <xf numFmtId="0" fontId="11" fillId="0" borderId="1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3" xfId="0" applyFont="1" applyBorder="1" applyAlignment="1">
      <alignment horizontal="left" indent="1"/>
    </xf>
    <xf numFmtId="0" fontId="10" fillId="0" borderId="0" xfId="0" applyFont="1" applyAlignment="1">
      <alignment horizontal="center"/>
    </xf>
    <xf numFmtId="6" fontId="10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10" fillId="0" borderId="0" xfId="0" applyFont="1"/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 indent="6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right" indent="3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 indent="3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168" fontId="0" fillId="0" borderId="0" xfId="0" applyNumberFormat="1"/>
    <xf numFmtId="169" fontId="0" fillId="0" borderId="0" xfId="0" applyNumberFormat="1"/>
    <xf numFmtId="4" fontId="0" fillId="0" borderId="0" xfId="0" applyNumberFormat="1"/>
    <xf numFmtId="4" fontId="13" fillId="0" borderId="0" xfId="0" applyNumberFormat="1" applyFont="1"/>
    <xf numFmtId="168" fontId="0" fillId="0" borderId="1" xfId="0" applyNumberFormat="1" applyBorder="1"/>
    <xf numFmtId="169" fontId="13" fillId="0" borderId="1" xfId="0" applyNumberFormat="1" applyFont="1" applyBorder="1"/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0" fillId="0" borderId="2" xfId="0" applyBorder="1" applyAlignment="1">
      <alignment horizontal="right" indent="6"/>
    </xf>
    <xf numFmtId="0" fontId="0" fillId="0" borderId="5" xfId="0" applyBorder="1"/>
    <xf numFmtId="0" fontId="0" fillId="0" borderId="9" xfId="0" applyBorder="1" applyAlignment="1">
      <alignment horizontal="left" indent="2"/>
    </xf>
    <xf numFmtId="0" fontId="0" fillId="0" borderId="10" xfId="0" applyBorder="1"/>
    <xf numFmtId="0" fontId="0" fillId="0" borderId="3" xfId="0" quotePrefix="1" applyBorder="1" applyAlignment="1">
      <alignment horizontal="center"/>
    </xf>
    <xf numFmtId="0" fontId="10" fillId="0" borderId="3" xfId="0" quotePrefix="1" applyFont="1" applyBorder="1" applyAlignment="1">
      <alignment horizontal="left" indent="5"/>
    </xf>
    <xf numFmtId="2" fontId="0" fillId="0" borderId="0" xfId="0" applyNumberFormat="1"/>
    <xf numFmtId="169" fontId="0" fillId="0" borderId="1" xfId="0" applyNumberFormat="1" applyBorder="1"/>
    <xf numFmtId="0" fontId="0" fillId="0" borderId="2" xfId="0" applyBorder="1" applyAlignment="1">
      <alignment horizontal="left" indent="4"/>
    </xf>
    <xf numFmtId="0" fontId="0" fillId="0" borderId="4" xfId="0" applyBorder="1" applyAlignment="1">
      <alignment horizontal="left" indent="6"/>
    </xf>
    <xf numFmtId="0" fontId="0" fillId="0" borderId="1" xfId="0" applyBorder="1" applyAlignment="1">
      <alignment horizontal="left" indent="2"/>
    </xf>
    <xf numFmtId="0" fontId="0" fillId="0" borderId="11" xfId="0" applyBorder="1" applyAlignment="1">
      <alignment horizontal="right" indent="3"/>
    </xf>
    <xf numFmtId="0" fontId="10" fillId="0" borderId="0" xfId="0" quotePrefix="1" applyFont="1" applyAlignment="1">
      <alignment horizontal="center"/>
    </xf>
    <xf numFmtId="170" fontId="0" fillId="0" borderId="0" xfId="0" applyNumberFormat="1" applyAlignment="1">
      <alignment horizontal="center"/>
    </xf>
    <xf numFmtId="0" fontId="16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170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 indent="2"/>
    </xf>
    <xf numFmtId="0" fontId="10" fillId="0" borderId="3" xfId="0" applyFont="1" applyBorder="1" applyAlignment="1">
      <alignment horizontal="left" indent="4"/>
    </xf>
    <xf numFmtId="172" fontId="0" fillId="0" borderId="0" xfId="0" applyNumberFormat="1"/>
    <xf numFmtId="172" fontId="0" fillId="0" borderId="1" xfId="0" applyNumberFormat="1" applyBorder="1"/>
    <xf numFmtId="0" fontId="0" fillId="0" borderId="1" xfId="0" applyBorder="1" applyAlignment="1">
      <alignment horizontal="right" indent="5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1"/>
    </xf>
    <xf numFmtId="174" fontId="0" fillId="0" borderId="0" xfId="0" applyNumberFormat="1"/>
    <xf numFmtId="174" fontId="0" fillId="0" borderId="0" xfId="0" applyNumberFormat="1" applyAlignment="1">
      <alignment horizontal="right" indent="1"/>
    </xf>
    <xf numFmtId="174" fontId="0" fillId="0" borderId="0" xfId="0" applyNumberFormat="1" applyAlignment="1">
      <alignment horizontal="center"/>
    </xf>
    <xf numFmtId="17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0" fillId="0" borderId="3" xfId="0" quotePrefix="1" applyFont="1" applyBorder="1" applyAlignment="1">
      <alignment horizontal="left" indent="1"/>
    </xf>
    <xf numFmtId="0" fontId="10" fillId="0" borderId="3" xfId="0" quotePrefix="1" applyFont="1" applyBorder="1" applyAlignment="1">
      <alignment horizontal="center"/>
    </xf>
    <xf numFmtId="0" fontId="10" fillId="0" borderId="0" xfId="0" applyFont="1" applyAlignment="1">
      <alignment horizontal="right" indent="1"/>
    </xf>
    <xf numFmtId="0" fontId="10" fillId="0" borderId="0" xfId="0" quotePrefix="1" applyFont="1" applyAlignment="1">
      <alignment horizontal="left"/>
    </xf>
    <xf numFmtId="175" fontId="0" fillId="0" borderId="0" xfId="0" applyNumberFormat="1" applyAlignment="1">
      <alignment horizontal="right"/>
    </xf>
    <xf numFmtId="175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75" fontId="0" fillId="0" borderId="0" xfId="0" applyNumberFormat="1"/>
    <xf numFmtId="0" fontId="0" fillId="0" borderId="0" xfId="0" applyAlignment="1">
      <alignment horizontal="left" wrapText="1"/>
    </xf>
    <xf numFmtId="0" fontId="20" fillId="0" borderId="0" xfId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left"/>
    </xf>
    <xf numFmtId="168" fontId="13" fillId="0" borderId="1" xfId="0" applyNumberFormat="1" applyFont="1" applyBorder="1"/>
    <xf numFmtId="177" fontId="0" fillId="0" borderId="0" xfId="0" applyNumberFormat="1"/>
    <xf numFmtId="170" fontId="22" fillId="0" borderId="0" xfId="0" applyNumberFormat="1" applyFont="1"/>
    <xf numFmtId="0" fontId="1" fillId="0" borderId="0" xfId="5"/>
    <xf numFmtId="178" fontId="0" fillId="0" borderId="0" xfId="0" applyNumberFormat="1"/>
    <xf numFmtId="0" fontId="22" fillId="0" borderId="0" xfId="0" applyFont="1"/>
    <xf numFmtId="172" fontId="13" fillId="0" borderId="0" xfId="0" applyNumberFormat="1" applyFont="1"/>
    <xf numFmtId="0" fontId="13" fillId="0" borderId="0" xfId="0" applyFont="1"/>
    <xf numFmtId="164" fontId="13" fillId="0" borderId="0" xfId="0" applyNumberFormat="1" applyFont="1" applyAlignment="1">
      <alignment horizontal="right"/>
    </xf>
    <xf numFmtId="0" fontId="19" fillId="0" borderId="1" xfId="0" applyFont="1" applyBorder="1"/>
    <xf numFmtId="174" fontId="13" fillId="0" borderId="0" xfId="0" applyNumberFormat="1" applyFont="1"/>
    <xf numFmtId="3" fontId="0" fillId="0" borderId="0" xfId="0" applyNumberFormat="1"/>
    <xf numFmtId="174" fontId="22" fillId="0" borderId="0" xfId="0" applyNumberFormat="1" applyFont="1"/>
    <xf numFmtId="1" fontId="0" fillId="0" borderId="0" xfId="0" applyNumberFormat="1"/>
    <xf numFmtId="174" fontId="13" fillId="0" borderId="0" xfId="0" applyNumberFormat="1" applyFont="1" applyAlignment="1">
      <alignment horizontal="right" indent="1"/>
    </xf>
    <xf numFmtId="0" fontId="13" fillId="0" borderId="1" xfId="0" applyFont="1" applyBorder="1"/>
    <xf numFmtId="174" fontId="13" fillId="0" borderId="1" xfId="0" applyNumberFormat="1" applyFont="1" applyBorder="1"/>
    <xf numFmtId="174" fontId="13" fillId="0" borderId="1" xfId="0" applyNumberFormat="1" applyFont="1" applyBorder="1" applyAlignment="1">
      <alignment horizontal="right" indent="1"/>
    </xf>
    <xf numFmtId="174" fontId="22" fillId="0" borderId="0" xfId="0" applyNumberFormat="1" applyFont="1" applyAlignment="1">
      <alignment horizontal="right" indent="1"/>
    </xf>
    <xf numFmtId="175" fontId="3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79" fontId="0" fillId="0" borderId="0" xfId="0" applyNumberFormat="1"/>
    <xf numFmtId="2" fontId="2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175" fontId="13" fillId="0" borderId="0" xfId="0" applyNumberFormat="1" applyFont="1" applyAlignment="1">
      <alignment horizontal="right"/>
    </xf>
    <xf numFmtId="173" fontId="13" fillId="0" borderId="0" xfId="0" applyNumberFormat="1" applyFont="1" applyAlignment="1">
      <alignment horizontal="right"/>
    </xf>
    <xf numFmtId="176" fontId="13" fillId="0" borderId="0" xfId="0" applyNumberFormat="1" applyFont="1" applyAlignment="1">
      <alignment horizontal="right"/>
    </xf>
    <xf numFmtId="2" fontId="13" fillId="0" borderId="1" xfId="0" applyNumberFormat="1" applyFont="1" applyBorder="1" applyAlignment="1">
      <alignment horizontal="right"/>
    </xf>
    <xf numFmtId="175" fontId="13" fillId="0" borderId="1" xfId="0" applyNumberFormat="1" applyFont="1" applyBorder="1" applyAlignment="1">
      <alignment horizontal="right"/>
    </xf>
    <xf numFmtId="173" fontId="13" fillId="0" borderId="1" xfId="0" applyNumberFormat="1" applyFont="1" applyBorder="1" applyAlignment="1">
      <alignment horizontal="right"/>
    </xf>
    <xf numFmtId="176" fontId="13" fillId="0" borderId="1" xfId="0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23" fillId="0" borderId="0" xfId="1" applyFont="1" applyFill="1" applyAlignment="1" applyProtection="1">
      <alignment horizontal="left"/>
    </xf>
    <xf numFmtId="0" fontId="23" fillId="0" borderId="0" xfId="1" quotePrefix="1" applyFont="1" applyFill="1" applyAlignment="1" applyProtection="1">
      <alignment horizontal="left"/>
    </xf>
  </cellXfs>
  <cellStyles count="6">
    <cellStyle name="Hyperlink" xfId="1" builtinId="8"/>
    <cellStyle name="Hyperlink 2" xfId="3" xr:uid="{7B7D2F58-4ED7-4DA0-8CAD-41BB69DFDE5A}"/>
    <cellStyle name="Normal" xfId="0" builtinId="0"/>
    <cellStyle name="Normal 2" xfId="4" xr:uid="{D82EEB11-0D2B-4AB3-8C31-7C80BDA673F0}"/>
    <cellStyle name="Normal 2 2" xfId="2" xr:uid="{CA08A29E-1EB3-4168-96FF-6CF8BE95A0E3}"/>
    <cellStyle name="Normal 8" xfId="5" xr:uid="{4E4634F0-84E2-4E1C-81B8-1DC71E1AD2AB}"/>
  </cellStyles>
  <dxfs count="0"/>
  <tableStyles count="0" defaultTableStyle="TableStyleMedium2" defaultPivotStyle="PivotStyleLight16"/>
  <colors>
    <mruColors>
      <color rgb="FF0000E1"/>
      <color rgb="FF8DB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D98BA1CC-325E-42A0-B642-D7988238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6B0BCEF0-9B3F-401A-9F2E-B55294E3E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63DDE3EC-0143-46AA-A34A-931404AB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8E4CD3BD-9923-48C8-B0FC-D2558AB9B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36287A98-8A7E-47FA-AB77-7E3BD86E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2DE5177B-9630-4255-82AB-13383F52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35B2348C-6E0E-4815-8C65-A302218A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458E9907-33D0-433E-9F29-DF630DD64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016EA891-3B57-4EB2-9919-CED599C2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D375E300-069C-42BC-9843-9D713FC12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B8F52EF6-DA3F-48B8-A6EF-9767818D9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A7ACE800-E0E2-460E-9DB1-8DBB1A040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76F6C585-8ED7-489C-93EF-92E54A997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070AB376-0829-44F1-B893-0990F127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1C347DE7-31BC-40D1-BF4D-F9AE226BB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6CA2D083-3AE2-4084-995D-687024C6D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46E7A3A1-B446-4BA7-B1B0-E3DC0149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CA2F56F0-5B77-40C0-B1A7-FC359C94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4E8749A8-60FA-420B-9D04-90EE0D14D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92260746-1FFC-45F3-BB7E-0B34175B2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2266C032-D81C-4303-838C-49750C114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519F34DF-E40F-4C93-8508-9FCC8A53E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2A50B1CE-B670-46DA-80A0-8E16143D2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637A048F-43B9-482F-B50F-81A62A3AE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DDCB7748-A990-4980-AFCB-980F46190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A0081E34-BFF2-4572-8925-3E31772E9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D7CF53A3-2048-49A9-BC45-7F656C6F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7C85E378-958A-482F-9863-16917C03D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0C0DDED1-ADAB-4A7C-A5BB-7B753FCA1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65E0A1CF-6DE4-486D-823E-F9DD22C9A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FF738805-EA16-4B42-B456-5BF2A6DB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D49E7D69-9403-4ED2-8A10-1DE3B86E4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67A6DB2E-0556-441D-B7C2-4AACACBD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548BB421-6C2C-4253-B4D0-65E31C84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C2F3E6FA-37AC-4E0B-B26D-E90B997E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0BCA1D8B-0C90-4271-AC6D-CAFA1D050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11566ED4-05B4-4A0E-A97A-5432C3BC1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75B2F6FE-8B1C-4311-A563-8D41DC70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491A2341-ED8D-4DE5-B4CB-19984A7C8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CB2F197B-4DE8-4B11-A76D-D57E7E19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727DB1F3-9F88-433E-9D85-A0E49FC3F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AF975004-8A01-4E5D-8758-E37444D24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7B2E2183-B95E-497D-B381-EB3105E49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50BF0193-25B4-4F18-8717-05B22A2B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FFCCC906-2F24-4618-AA3A-B77D499DE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0AFEEF84-BD31-433A-96AE-5D8BFC76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BF7B87CF-42D8-497E-AA8E-F3087FE90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7811CAE3-E170-4AC0-AE2B-850C7C567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762E347A-D9C9-430D-AC0D-2FF935F98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5E2380B0-7013-46DE-B742-4DA59A69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4BC16F-89AF-48CB-96B7-E036E5481B1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B8C7E4-D273-4CB8-94BE-6862C67BE18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65B9F3-29C5-419A-AB4A-72B81BE879B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20F16-461A-49F9-A5FA-D4E43A7C1AD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E7F6F8-B865-49BA-A0BC-24E41D6B0D8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C2F69D-5CA2-4708-A089-98B826337E6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518FE-7893-44AB-9BFB-F7B25118C1C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8A39F3-F68C-48A6-9E2B-102A00CC657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7CAE-78E1-4ABC-85FC-25CFD454DA06}">
  <sheetPr>
    <pageSetUpPr fitToPage="1"/>
  </sheetPr>
  <dimension ref="A1:A26"/>
  <sheetViews>
    <sheetView tabSelected="1" workbookViewId="0">
      <selection activeCell="A4" sqref="A4"/>
    </sheetView>
  </sheetViews>
  <sheetFormatPr defaultColWidth="11.28515625" defaultRowHeight="13.2" x14ac:dyDescent="0.25"/>
  <cols>
    <col min="1" max="1" width="117.28515625" style="7" bestFit="1" customWidth="1"/>
    <col min="2" max="16384" width="11.28515625" style="2"/>
  </cols>
  <sheetData>
    <row r="1" spans="1:1" ht="44.25" customHeight="1" x14ac:dyDescent="0.25">
      <c r="A1" s="1"/>
    </row>
    <row r="2" spans="1:1" ht="17.399999999999999" x14ac:dyDescent="0.3">
      <c r="A2" s="3" t="s">
        <v>0</v>
      </c>
    </row>
    <row r="3" spans="1:1" s="5" customFormat="1" ht="10.199999999999999" x14ac:dyDescent="0.2">
      <c r="A3" s="4"/>
    </row>
    <row r="4" spans="1:1" ht="12.75" customHeight="1" x14ac:dyDescent="0.25">
      <c r="A4" s="6" t="s">
        <v>1</v>
      </c>
    </row>
    <row r="5" spans="1:1" x14ac:dyDescent="0.25">
      <c r="A5" s="148" t="s">
        <v>199</v>
      </c>
    </row>
    <row r="7" spans="1:1" x14ac:dyDescent="0.25">
      <c r="A7" s="6" t="s">
        <v>2</v>
      </c>
    </row>
    <row r="8" spans="1:1" x14ac:dyDescent="0.25">
      <c r="A8" s="149" t="s">
        <v>200</v>
      </c>
    </row>
    <row r="9" spans="1:1" x14ac:dyDescent="0.25">
      <c r="A9" s="149" t="s">
        <v>201</v>
      </c>
    </row>
    <row r="10" spans="1:1" x14ac:dyDescent="0.25">
      <c r="A10" s="149" t="s">
        <v>202</v>
      </c>
    </row>
    <row r="11" spans="1:1" x14ac:dyDescent="0.25">
      <c r="A11" s="149" t="s">
        <v>203</v>
      </c>
    </row>
    <row r="12" spans="1:1" x14ac:dyDescent="0.25">
      <c r="A12" s="8"/>
    </row>
    <row r="13" spans="1:1" x14ac:dyDescent="0.25">
      <c r="A13" s="6" t="s">
        <v>3</v>
      </c>
    </row>
    <row r="14" spans="1:1" x14ac:dyDescent="0.25">
      <c r="A14" s="149" t="s">
        <v>204</v>
      </c>
    </row>
    <row r="15" spans="1:1" x14ac:dyDescent="0.25">
      <c r="A15" s="149" t="s">
        <v>205</v>
      </c>
    </row>
    <row r="16" spans="1:1" x14ac:dyDescent="0.25">
      <c r="A16" s="148" t="s">
        <v>206</v>
      </c>
    </row>
    <row r="17" spans="1:1" x14ac:dyDescent="0.25">
      <c r="A17" s="111"/>
    </row>
    <row r="18" spans="1:1" x14ac:dyDescent="0.25">
      <c r="A18" s="6" t="s">
        <v>4</v>
      </c>
    </row>
    <row r="19" spans="1:1" x14ac:dyDescent="0.25">
      <c r="A19" s="148" t="s">
        <v>207</v>
      </c>
    </row>
    <row r="20" spans="1:1" x14ac:dyDescent="0.25">
      <c r="A20" s="2"/>
    </row>
    <row r="21" spans="1:1" x14ac:dyDescent="0.25">
      <c r="A21" s="9"/>
    </row>
    <row r="22" spans="1:1" x14ac:dyDescent="0.25">
      <c r="A22" s="10" t="s">
        <v>5</v>
      </c>
    </row>
    <row r="23" spans="1:1" x14ac:dyDescent="0.25">
      <c r="A23" s="10"/>
    </row>
    <row r="25" spans="1:1" x14ac:dyDescent="0.25">
      <c r="A25" s="112" t="s">
        <v>208</v>
      </c>
    </row>
    <row r="26" spans="1:1" x14ac:dyDescent="0.25">
      <c r="A26" s="11" t="s">
        <v>6</v>
      </c>
    </row>
  </sheetData>
  <hyperlinks>
    <hyperlink ref="A5" location="'tab01'!A1" display="Table 1—Soybean stocks: On-farm, off-farm, and total U.S., by quarter, 1999/00–2019/20" xr:uid="{E3CDCBE3-D82A-45FA-9909-ADA5C0A1CB67}"/>
    <hyperlink ref="A8" location="'tab02'!A1" display="Table 2—Soybeans: Acreage planted, harvested, yield, production, value, and loan rate, U.S., 1960–2020" xr:uid="{1A670F1F-1FA2-4C10-9651-FF7D92F9FE14}"/>
    <hyperlink ref="A9" location="'tab3'!A1" display="Table 3—Soybeans: Supply, disappearance, and price, U.S., 1980/81–2020/21" xr:uid="{1D114F1C-AFC3-45BE-A4CF-C61C58AC105D}"/>
    <hyperlink ref="A10" location="'tab4'!A1" display="Table 4—Soybean meal: Supply, disappearance, and price, U.S., 1980/81–2020/21" xr:uid="{8581B994-1EEE-4F3C-BBC3-DEC1659596A4}"/>
    <hyperlink ref="A14" location="'tab6'!A1" display="Table 6—Soybeans: U.S. supply and disappearance, by crop year quarter, 2000/01–2020/21" xr:uid="{275842FA-0B2C-4CFF-AC0F-4F8E9DE6C78D}"/>
    <hyperlink ref="A15" location="'tab7'!A1" display="Table 7—Soybean meal: Supply and disappearance, by month, U.S., 2007/08–2020/21" xr:uid="{87210634-F097-46F9-B25E-9E9921F0F55A}"/>
    <hyperlink ref="A16" location="'tab8'!A1" display="Table 8—Soybean oil: Supply and disappearance, by month, U.S., 2007/08–2020/21" xr:uid="{CA7124E5-4B65-434C-816B-3B8D0279829C}"/>
    <hyperlink ref="A19" location="'tab 9'!A1" display="Table 9—Soybeans: Monthly value of products per bushel of soybeans processed, and spot price spread, U.S., 1990/91–2019/20" xr:uid="{80799D25-518E-468F-AD39-A8C828C24A99}"/>
    <hyperlink ref="A11" location="'tab5'!A1" display="Table 5—Soybean oil: Supply, disappearance, and price, U.S., 1980/81–2020/21" xr:uid="{76CBBFFF-CD8B-4C57-AAC7-C8C2ABC2B9C0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36B7-DAE0-4994-823A-F77CE68EE33A}">
  <sheetPr>
    <pageSetUpPr fitToPage="1"/>
  </sheetPr>
  <dimension ref="A1:Q187"/>
  <sheetViews>
    <sheetView zoomScaleNormal="100" zoomScaleSheetLayoutView="100" workbookViewId="0">
      <pane xSplit="1" ySplit="7" topLeftCell="B142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3" customWidth="1"/>
    <col min="2" max="2" width="13.28515625" bestFit="1" customWidth="1"/>
    <col min="4" max="5" width="8.28515625" customWidth="1"/>
    <col min="7" max="7" width="8.28515625" customWidth="1"/>
    <col min="9" max="9" width="14.7109375" customWidth="1"/>
    <col min="11" max="11" width="10.85546875" customWidth="1"/>
    <col min="13" max="13" width="13.42578125" customWidth="1"/>
    <col min="14" max="14" width="11.7109375" customWidth="1"/>
    <col min="15" max="15" width="15.7109375" customWidth="1"/>
    <col min="17" max="17" width="12.7109375" bestFit="1" customWidth="1"/>
  </cols>
  <sheetData>
    <row r="1" spans="1:15" x14ac:dyDescent="0.2">
      <c r="A1" s="12" t="s">
        <v>207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N2" s="96"/>
      <c r="O2" s="97" t="s">
        <v>77</v>
      </c>
    </row>
    <row r="3" spans="1:15" x14ac:dyDescent="0.2">
      <c r="A3" t="s">
        <v>39</v>
      </c>
      <c r="N3" s="26" t="s">
        <v>169</v>
      </c>
      <c r="O3" s="26" t="s">
        <v>170</v>
      </c>
    </row>
    <row r="4" spans="1:15" x14ac:dyDescent="0.2">
      <c r="A4" t="s">
        <v>78</v>
      </c>
      <c r="C4" s="27"/>
      <c r="D4" s="75"/>
      <c r="F4" s="27" t="s">
        <v>171</v>
      </c>
      <c r="G4" s="27"/>
      <c r="H4" s="27"/>
      <c r="I4" s="27"/>
      <c r="J4" s="27"/>
      <c r="K4" s="26" t="s">
        <v>10</v>
      </c>
      <c r="L4" s="98" t="s">
        <v>172</v>
      </c>
      <c r="M4" s="27"/>
      <c r="N4" s="26" t="s">
        <v>173</v>
      </c>
      <c r="O4" s="26" t="s">
        <v>174</v>
      </c>
    </row>
    <row r="5" spans="1:15" x14ac:dyDescent="0.2">
      <c r="A5" t="s">
        <v>83</v>
      </c>
      <c r="B5" s="96"/>
      <c r="C5" s="14" t="s">
        <v>175</v>
      </c>
      <c r="D5" s="14"/>
      <c r="E5" s="96"/>
      <c r="F5" s="14" t="s">
        <v>176</v>
      </c>
      <c r="G5" s="14"/>
      <c r="H5" s="96"/>
      <c r="I5" s="14" t="s">
        <v>177</v>
      </c>
      <c r="J5" s="14"/>
      <c r="K5" s="26" t="s">
        <v>178</v>
      </c>
      <c r="L5" s="26" t="s">
        <v>179</v>
      </c>
      <c r="M5" s="26" t="s">
        <v>179</v>
      </c>
      <c r="N5" s="26" t="s">
        <v>180</v>
      </c>
      <c r="O5" s="26" t="s">
        <v>181</v>
      </c>
    </row>
    <row r="6" spans="1:15" x14ac:dyDescent="0.2">
      <c r="A6" s="13"/>
      <c r="B6" s="27" t="s">
        <v>42</v>
      </c>
      <c r="C6" s="27" t="s">
        <v>182</v>
      </c>
      <c r="D6" s="27" t="s">
        <v>44</v>
      </c>
      <c r="E6" s="27" t="s">
        <v>42</v>
      </c>
      <c r="F6" s="27" t="s">
        <v>183</v>
      </c>
      <c r="G6" s="27" t="s">
        <v>44</v>
      </c>
      <c r="H6" s="27" t="s">
        <v>42</v>
      </c>
      <c r="I6" s="27" t="s">
        <v>184</v>
      </c>
      <c r="J6" s="75" t="s">
        <v>44</v>
      </c>
      <c r="K6" s="13"/>
      <c r="L6" s="27" t="s">
        <v>185</v>
      </c>
      <c r="M6" s="27" t="s">
        <v>186</v>
      </c>
      <c r="N6" s="27" t="s">
        <v>187</v>
      </c>
      <c r="O6" s="26" t="s">
        <v>188</v>
      </c>
    </row>
    <row r="7" spans="1:15" ht="12" customHeight="1" x14ac:dyDescent="0.2">
      <c r="B7" s="29" t="s">
        <v>189</v>
      </c>
      <c r="C7" s="29" t="s">
        <v>190</v>
      </c>
      <c r="D7" s="29" t="s">
        <v>191</v>
      </c>
      <c r="E7" s="29" t="s">
        <v>189</v>
      </c>
      <c r="F7" s="99" t="s">
        <v>192</v>
      </c>
      <c r="G7" s="100"/>
      <c r="H7" s="29" t="s">
        <v>189</v>
      </c>
      <c r="I7" s="29" t="s">
        <v>125</v>
      </c>
      <c r="J7" s="101" t="s">
        <v>191</v>
      </c>
      <c r="K7" s="100" t="s">
        <v>191</v>
      </c>
      <c r="L7" s="99" t="s">
        <v>193</v>
      </c>
      <c r="M7" s="100"/>
      <c r="N7" s="102" t="s">
        <v>194</v>
      </c>
      <c r="O7" s="77"/>
    </row>
    <row r="8" spans="1:15" ht="12" customHeight="1" x14ac:dyDescent="0.2">
      <c r="B8" s="26"/>
      <c r="C8" s="26"/>
      <c r="D8" s="26"/>
      <c r="E8" s="26"/>
      <c r="F8" s="56"/>
      <c r="G8" s="56"/>
      <c r="H8" s="26"/>
      <c r="I8" s="26"/>
      <c r="J8" s="26"/>
      <c r="K8" s="56"/>
      <c r="L8" s="56"/>
      <c r="M8" s="56"/>
      <c r="N8" s="56"/>
      <c r="O8" s="56"/>
    </row>
    <row r="9" spans="1:15" x14ac:dyDescent="0.2">
      <c r="A9" t="s">
        <v>104</v>
      </c>
      <c r="B9" s="103">
        <v>11.226666666666665</v>
      </c>
      <c r="C9" s="103">
        <v>21.31</v>
      </c>
      <c r="D9" s="103">
        <f t="shared" ref="D9:D22" si="0">(B9*C9)/100</f>
        <v>2.392402666666666</v>
      </c>
      <c r="E9" s="103">
        <v>47.472499999999997</v>
      </c>
      <c r="F9" s="103">
        <v>168.49</v>
      </c>
      <c r="G9" s="104">
        <f t="shared" ref="G9:G19" si="1">E9*F9/2000</f>
        <v>3.9993207625</v>
      </c>
      <c r="H9" s="104" t="s">
        <v>132</v>
      </c>
      <c r="I9" s="135" t="s">
        <v>132</v>
      </c>
      <c r="J9" s="104" t="s">
        <v>132</v>
      </c>
      <c r="K9" s="103">
        <f t="shared" ref="K9:K14" si="2">+D9+G9</f>
        <v>6.3917234291666656</v>
      </c>
      <c r="L9" s="103">
        <f t="shared" ref="L9:L15" si="3">+D9/K9</f>
        <v>0.37429696281126179</v>
      </c>
      <c r="M9" s="103">
        <f t="shared" ref="M9:M15" si="4">+G9/K9</f>
        <v>0.62570303718873832</v>
      </c>
      <c r="N9" s="103">
        <v>5.9</v>
      </c>
      <c r="O9" s="105">
        <f t="shared" ref="O9:O18" si="5">+K9-N9</f>
        <v>0.49172342916666523</v>
      </c>
    </row>
    <row r="10" spans="1:15" x14ac:dyDescent="0.2">
      <c r="A10" t="s">
        <v>105</v>
      </c>
      <c r="B10" s="103">
        <v>11.415833333333333</v>
      </c>
      <c r="C10" s="103">
        <v>19.309999999999999</v>
      </c>
      <c r="D10" s="103">
        <f t="shared" si="0"/>
        <v>2.2043974166666667</v>
      </c>
      <c r="E10" s="103">
        <v>47.507170961244562</v>
      </c>
      <c r="F10" s="103">
        <v>177.7</v>
      </c>
      <c r="G10" s="104">
        <f t="shared" si="1"/>
        <v>4.2210121399065796</v>
      </c>
      <c r="H10" s="104" t="s">
        <v>132</v>
      </c>
      <c r="I10" s="135" t="s">
        <v>132</v>
      </c>
      <c r="J10" s="104" t="s">
        <v>132</v>
      </c>
      <c r="K10" s="103">
        <f t="shared" si="2"/>
        <v>6.4254095565732463</v>
      </c>
      <c r="L10" s="103">
        <f t="shared" si="3"/>
        <v>0.34307500514290956</v>
      </c>
      <c r="M10" s="103">
        <f t="shared" si="4"/>
        <v>0.65692499485709044</v>
      </c>
      <c r="N10" s="103">
        <v>5.84</v>
      </c>
      <c r="O10" s="105">
        <f t="shared" si="5"/>
        <v>0.58540955657324645</v>
      </c>
    </row>
    <row r="11" spans="1:15" ht="10.199999999999999" customHeight="1" x14ac:dyDescent="0.2">
      <c r="A11" t="s">
        <v>106</v>
      </c>
      <c r="B11" s="103">
        <v>10.845000000000001</v>
      </c>
      <c r="C11" s="103">
        <v>21.01</v>
      </c>
      <c r="D11" s="103">
        <f t="shared" si="0"/>
        <v>2.2785345000000006</v>
      </c>
      <c r="E11" s="104">
        <v>47.538416188866989</v>
      </c>
      <c r="F11" s="104">
        <v>180.8</v>
      </c>
      <c r="G11" s="104">
        <f t="shared" si="1"/>
        <v>4.2974728234735755</v>
      </c>
      <c r="H11" s="104" t="s">
        <v>132</v>
      </c>
      <c r="I11" s="135" t="s">
        <v>132</v>
      </c>
      <c r="J11" s="104" t="s">
        <v>132</v>
      </c>
      <c r="K11" s="103">
        <f t="shared" si="2"/>
        <v>6.5760073234735756</v>
      </c>
      <c r="L11" s="103">
        <f t="shared" si="3"/>
        <v>0.34649208675096699</v>
      </c>
      <c r="M11" s="103">
        <f t="shared" si="4"/>
        <v>0.65350791324903301</v>
      </c>
      <c r="N11" s="104">
        <v>5.95</v>
      </c>
      <c r="O11" s="105">
        <f t="shared" si="5"/>
        <v>0.62600732347357546</v>
      </c>
    </row>
    <row r="12" spans="1:15" ht="10.199999999999999" customHeight="1" x14ac:dyDescent="0.2">
      <c r="A12" t="s">
        <v>107</v>
      </c>
      <c r="B12" s="103">
        <f>13861008/1275648</f>
        <v>10.86585641180012</v>
      </c>
      <c r="C12" s="103">
        <v>26.74</v>
      </c>
      <c r="D12" s="103">
        <f t="shared" si="0"/>
        <v>2.9055300045153518</v>
      </c>
      <c r="E12" s="104">
        <f>(30370.2*2000)/1275648</f>
        <v>47.615329620710412</v>
      </c>
      <c r="F12" s="104">
        <v>182.65</v>
      </c>
      <c r="G12" s="104">
        <f t="shared" si="1"/>
        <v>4.3484699776113782</v>
      </c>
      <c r="H12" s="104" t="s">
        <v>132</v>
      </c>
      <c r="I12" s="135" t="s">
        <v>132</v>
      </c>
      <c r="J12" s="104" t="s">
        <v>132</v>
      </c>
      <c r="K12" s="103">
        <f t="shared" si="2"/>
        <v>7.2539999821267305</v>
      </c>
      <c r="L12" s="103">
        <f t="shared" si="3"/>
        <v>0.40054177166726534</v>
      </c>
      <c r="M12" s="103">
        <f t="shared" si="4"/>
        <v>0.59945822833273454</v>
      </c>
      <c r="N12" s="103">
        <v>6.59</v>
      </c>
      <c r="O12" s="105">
        <f t="shared" si="5"/>
        <v>0.66399998212673061</v>
      </c>
    </row>
    <row r="13" spans="1:15" x14ac:dyDescent="0.2">
      <c r="A13" t="s">
        <v>108</v>
      </c>
      <c r="B13" s="103">
        <f>15572418/1405156</f>
        <v>11.082341035443751</v>
      </c>
      <c r="C13" s="103">
        <v>27.5</v>
      </c>
      <c r="D13" s="103">
        <f t="shared" si="0"/>
        <v>3.0476437847470317</v>
      </c>
      <c r="E13" s="104">
        <f>(33250.7*2000)/1405156</f>
        <v>47.326702515592572</v>
      </c>
      <c r="F13" s="104">
        <v>151.77000000000001</v>
      </c>
      <c r="G13" s="104">
        <f t="shared" si="1"/>
        <v>3.5913868203957429</v>
      </c>
      <c r="H13" s="104" t="s">
        <v>132</v>
      </c>
      <c r="I13" s="135" t="s">
        <v>132</v>
      </c>
      <c r="J13" s="104" t="s">
        <v>132</v>
      </c>
      <c r="K13" s="103">
        <f t="shared" si="2"/>
        <v>6.639030605142775</v>
      </c>
      <c r="L13" s="103">
        <f t="shared" si="3"/>
        <v>0.45904951581127573</v>
      </c>
      <c r="M13" s="103">
        <f t="shared" si="4"/>
        <v>0.54095048418872427</v>
      </c>
      <c r="N13" s="103">
        <v>5.73</v>
      </c>
      <c r="O13" s="105">
        <f t="shared" si="5"/>
        <v>0.90903060514277456</v>
      </c>
    </row>
    <row r="14" spans="1:15" x14ac:dyDescent="0.2">
      <c r="A14" t="s">
        <v>109</v>
      </c>
      <c r="B14" s="103">
        <f>(15275787*60)/(41086.224*2000)</f>
        <v>11.153948097055597</v>
      </c>
      <c r="C14" s="103">
        <v>24.9</v>
      </c>
      <c r="D14" s="103">
        <f t="shared" si="0"/>
        <v>2.7773330761668431</v>
      </c>
      <c r="E14" s="104">
        <f>(30333276+2325473)*60/41086224</f>
        <v>47.692991694734467</v>
      </c>
      <c r="F14" s="104">
        <v>217.27</v>
      </c>
      <c r="G14" s="104">
        <f t="shared" si="1"/>
        <v>5.1811281527574788</v>
      </c>
      <c r="H14" s="104" t="s">
        <v>132</v>
      </c>
      <c r="I14" s="135" t="s">
        <v>132</v>
      </c>
      <c r="J14" s="104" t="s">
        <v>132</v>
      </c>
      <c r="K14" s="103">
        <f t="shared" si="2"/>
        <v>7.958461228924322</v>
      </c>
      <c r="L14" s="103">
        <f t="shared" si="3"/>
        <v>0.34897865256575883</v>
      </c>
      <c r="M14" s="103">
        <f t="shared" si="4"/>
        <v>0.65102134743424112</v>
      </c>
      <c r="N14" s="103">
        <v>7.39</v>
      </c>
      <c r="O14" s="105">
        <f t="shared" si="5"/>
        <v>0.56846122892432227</v>
      </c>
    </row>
    <row r="15" spans="1:15" x14ac:dyDescent="0.2">
      <c r="A15" t="s">
        <v>110</v>
      </c>
      <c r="B15" s="103">
        <f>(15664400*60)/(43078.871*2000)</f>
        <v>10.908642429371001</v>
      </c>
      <c r="C15" s="103">
        <v>22.6</v>
      </c>
      <c r="D15" s="103">
        <f t="shared" si="0"/>
        <v>2.4653531890378466</v>
      </c>
      <c r="E15" s="104">
        <f>(31680021+2326505)*60/43078871</f>
        <v>47.364090855584401</v>
      </c>
      <c r="F15" s="104">
        <v>260.38</v>
      </c>
      <c r="G15" s="104">
        <f t="shared" si="1"/>
        <v>6.1663309884885331</v>
      </c>
      <c r="H15" s="104" t="s">
        <v>132</v>
      </c>
      <c r="I15" s="135" t="s">
        <v>132</v>
      </c>
      <c r="J15" s="104" t="s">
        <v>132</v>
      </c>
      <c r="K15" s="103">
        <f>D15+G15</f>
        <v>8.6316841775263793</v>
      </c>
      <c r="L15" s="103">
        <f t="shared" si="3"/>
        <v>0.28561670449628918</v>
      </c>
      <c r="M15" s="103">
        <f t="shared" si="4"/>
        <v>0.71438329550371094</v>
      </c>
      <c r="N15" s="103">
        <v>7.8</v>
      </c>
      <c r="O15" s="105">
        <f t="shared" si="5"/>
        <v>0.83168417752637946</v>
      </c>
    </row>
    <row r="16" spans="1:15" x14ac:dyDescent="0.2">
      <c r="A16" t="s">
        <v>111</v>
      </c>
      <c r="B16" s="103">
        <f>(17963296*60)/(47909.41*2000)</f>
        <v>11.248288801719745</v>
      </c>
      <c r="C16" s="103">
        <v>25.65</v>
      </c>
      <c r="D16" s="103">
        <f t="shared" si="0"/>
        <v>2.8851860776411145</v>
      </c>
      <c r="E16" s="104">
        <f>(35243382+2613338)*60/47909410</f>
        <v>47.410377209821618</v>
      </c>
      <c r="F16" s="104">
        <v>186.55</v>
      </c>
      <c r="G16" s="104">
        <f t="shared" si="1"/>
        <v>4.422202934246112</v>
      </c>
      <c r="H16" s="104" t="s">
        <v>132</v>
      </c>
      <c r="I16" s="135" t="s">
        <v>132</v>
      </c>
      <c r="J16" s="104" t="s">
        <v>132</v>
      </c>
      <c r="K16" s="103">
        <f>D16+G16</f>
        <v>7.307389011887226</v>
      </c>
      <c r="L16" s="103">
        <f>D16/K16</f>
        <v>0.39483132387610204</v>
      </c>
      <c r="M16" s="103">
        <f>G16/K16</f>
        <v>0.60516867612389802</v>
      </c>
      <c r="N16" s="103">
        <v>6.64</v>
      </c>
      <c r="O16" s="105">
        <f t="shared" si="5"/>
        <v>0.66738901188722632</v>
      </c>
    </row>
    <row r="17" spans="1:15" x14ac:dyDescent="0.2">
      <c r="A17" t="s">
        <v>112</v>
      </c>
      <c r="B17" s="103">
        <f>(17960000*60)/(47693.6*2000)</f>
        <v>11.297113239512219</v>
      </c>
      <c r="C17" s="103">
        <v>20.49</v>
      </c>
      <c r="D17" s="103">
        <f t="shared" si="0"/>
        <v>2.3147785027760537</v>
      </c>
      <c r="E17" s="104">
        <f>(35050200+2509215)*60/47693600</f>
        <v>47.250886911451431</v>
      </c>
      <c r="F17" s="104">
        <v>130.56</v>
      </c>
      <c r="G17" s="104">
        <f t="shared" si="1"/>
        <v>3.0845378975795494</v>
      </c>
      <c r="H17" s="104" t="s">
        <v>132</v>
      </c>
      <c r="I17" s="135" t="s">
        <v>132</v>
      </c>
      <c r="J17" s="104" t="s">
        <v>132</v>
      </c>
      <c r="K17" s="103">
        <f>D17+G17</f>
        <v>5.3993164003556036</v>
      </c>
      <c r="L17" s="103">
        <f>D17/K17</f>
        <v>0.42871695806224663</v>
      </c>
      <c r="M17" s="103">
        <f>G17/K17</f>
        <v>0.57128304193775326</v>
      </c>
      <c r="N17" s="103">
        <v>5</v>
      </c>
      <c r="O17" s="105">
        <f t="shared" si="5"/>
        <v>0.39931640035560356</v>
      </c>
    </row>
    <row r="18" spans="1:15" x14ac:dyDescent="0.2">
      <c r="A18" t="s">
        <v>195</v>
      </c>
      <c r="B18" s="103">
        <f>(17887147*60)/(47319.5*2000)</f>
        <v>11.340238379526411</v>
      </c>
      <c r="C18" s="103">
        <v>15.81</v>
      </c>
      <c r="D18" s="103">
        <f t="shared" si="0"/>
        <v>1.7928916878031256</v>
      </c>
      <c r="E18" s="104">
        <f>(34950200+2719091)*60/47319500</f>
        <v>47.763764621350603</v>
      </c>
      <c r="F18" s="104">
        <v>158.04</v>
      </c>
      <c r="G18" s="104">
        <f t="shared" si="1"/>
        <v>3.7742926803791241</v>
      </c>
      <c r="H18" s="104" t="s">
        <v>132</v>
      </c>
      <c r="I18" s="135" t="s">
        <v>132</v>
      </c>
      <c r="J18" s="104" t="s">
        <v>132</v>
      </c>
      <c r="K18" s="103">
        <f>D18+G18</f>
        <v>5.5671843681822502</v>
      </c>
      <c r="L18" s="103">
        <f>G18/K18</f>
        <v>0.67795359930058763</v>
      </c>
      <c r="M18" s="103">
        <f>D18/K18</f>
        <v>0.32204640069941232</v>
      </c>
      <c r="N18" s="103">
        <v>4.9024999999999999</v>
      </c>
      <c r="O18" s="105">
        <f t="shared" si="5"/>
        <v>0.6646843681822503</v>
      </c>
    </row>
    <row r="19" spans="1:15" x14ac:dyDescent="0.2">
      <c r="A19" t="s">
        <v>17</v>
      </c>
      <c r="B19" s="103">
        <f>(18433200*60)/(49189.1*2000)</f>
        <v>11.242246757919945</v>
      </c>
      <c r="C19" s="103">
        <v>13.99</v>
      </c>
      <c r="D19" s="103">
        <f t="shared" si="0"/>
        <v>1.5727903214330003</v>
      </c>
      <c r="E19" s="104">
        <f>(36703167+2694848)*60/49189100</f>
        <v>48.057006531934924</v>
      </c>
      <c r="F19" s="104">
        <v>165.6</v>
      </c>
      <c r="G19" s="104">
        <f t="shared" si="1"/>
        <v>3.9791201408442118</v>
      </c>
      <c r="H19" s="104" t="s">
        <v>132</v>
      </c>
      <c r="I19" s="135" t="s">
        <v>132</v>
      </c>
      <c r="J19" s="104" t="s">
        <v>132</v>
      </c>
      <c r="K19" s="103">
        <f>D19+G19</f>
        <v>5.5519104622772124</v>
      </c>
      <c r="L19" s="103">
        <f>'tab 9'!D19/K19</f>
        <v>0.28328812795512792</v>
      </c>
      <c r="M19" s="103">
        <f>'tab 9'!G19/K19</f>
        <v>0.71671187204487208</v>
      </c>
      <c r="N19" s="103">
        <v>4.7708333333333339</v>
      </c>
      <c r="O19" s="105">
        <f t="shared" ref="O19:O25" si="6">K19-N19</f>
        <v>0.78107712894387848</v>
      </c>
    </row>
    <row r="20" spans="1:15" x14ac:dyDescent="0.2">
      <c r="A20" t="s">
        <v>18</v>
      </c>
      <c r="B20" s="103">
        <f>(18936905*60)/(50992.002*2000)</f>
        <v>11.141103069457834</v>
      </c>
      <c r="C20" s="103">
        <v>16.05</v>
      </c>
      <c r="D20" s="103">
        <f t="shared" si="0"/>
        <v>1.7881470426479824</v>
      </c>
      <c r="E20" s="104">
        <f>(37624201)*60/50992002</f>
        <v>44.270708571120622</v>
      </c>
      <c r="F20" s="104">
        <v>166.56</v>
      </c>
      <c r="G20" s="104">
        <f>E20*F20/2000</f>
        <v>3.6868646098029254</v>
      </c>
      <c r="H20" s="106">
        <f>(2833142*60)/50992002</f>
        <v>3.3336310270775407</v>
      </c>
      <c r="I20" s="136">
        <v>61.332500000000003</v>
      </c>
      <c r="J20" s="106">
        <f>H20*I20/2000</f>
        <v>0.10222996248411664</v>
      </c>
      <c r="K20" s="103">
        <f>D20+G20+J20</f>
        <v>5.5772416149350246</v>
      </c>
      <c r="L20" s="103">
        <f>D20/K20</f>
        <v>0.32061495020398439</v>
      </c>
      <c r="M20" s="103">
        <f>(+G20+J20)/K20</f>
        <v>0.67938504979601566</v>
      </c>
      <c r="N20" s="103">
        <v>4.7858333333333336</v>
      </c>
      <c r="O20" s="105">
        <f t="shared" si="6"/>
        <v>0.79140828160169097</v>
      </c>
    </row>
    <row r="21" spans="1:15" x14ac:dyDescent="0.2">
      <c r="A21" t="s">
        <v>19</v>
      </c>
      <c r="B21" s="103">
        <f>(18406694*60)/(48463.925*2000)</f>
        <v>11.394058983047699</v>
      </c>
      <c r="C21" s="103">
        <v>21.8</v>
      </c>
      <c r="D21" s="103">
        <f t="shared" si="0"/>
        <v>2.4839048583043986</v>
      </c>
      <c r="E21" s="104">
        <f>(35460773*60)/48463925</f>
        <v>43.901652208317834</v>
      </c>
      <c r="F21" s="104">
        <v>178.87</v>
      </c>
      <c r="G21" s="104">
        <f>E21*F21/2000</f>
        <v>3.9263442652509055</v>
      </c>
      <c r="H21" s="106">
        <f>(2639934*60)/48463925</f>
        <v>3.2683287620637413</v>
      </c>
      <c r="I21" s="136">
        <v>66.002499999999998</v>
      </c>
      <c r="J21" s="106">
        <f>H21*I21/2000</f>
        <v>0.10785893455905604</v>
      </c>
      <c r="K21" s="103">
        <f>D21+G21+J21</f>
        <v>6.5181080581143602</v>
      </c>
      <c r="L21" s="103">
        <f>D21/K21</f>
        <v>0.38107758204655684</v>
      </c>
      <c r="M21" s="103">
        <f>(+G21+J21)/K21</f>
        <v>0.61892241795344305</v>
      </c>
      <c r="N21" s="103">
        <v>5.8975</v>
      </c>
      <c r="O21" s="105">
        <f t="shared" si="6"/>
        <v>0.62060805811436026</v>
      </c>
    </row>
    <row r="22" spans="1:15" x14ac:dyDescent="0.2">
      <c r="A22" t="s">
        <v>20</v>
      </c>
      <c r="B22" s="103">
        <f>(17134534*60)/(45892.321*2000)</f>
        <v>11.200915726184343</v>
      </c>
      <c r="C22" s="103">
        <v>29.74</v>
      </c>
      <c r="D22" s="103">
        <f t="shared" si="0"/>
        <v>3.3311523369672233</v>
      </c>
      <c r="E22" s="104">
        <f>(33896303*60)/45892321</f>
        <v>44.316306861010581</v>
      </c>
      <c r="F22" s="104">
        <v>259.58999999999997</v>
      </c>
      <c r="G22" s="104">
        <f>E22*F22/2000</f>
        <v>5.7520350490248671</v>
      </c>
      <c r="H22" s="106">
        <f>(2578876*60)/45892321</f>
        <v>3.3716438094294685</v>
      </c>
      <c r="I22" s="136">
        <v>77.334999999999994</v>
      </c>
      <c r="J22" s="106">
        <f>H22*I22/2000</f>
        <v>0.13037303700111397</v>
      </c>
      <c r="K22" s="103">
        <f>D22+G22+J22</f>
        <v>9.2135604229932042</v>
      </c>
      <c r="L22" s="103">
        <f>D22/K22</f>
        <v>0.36154886754246018</v>
      </c>
      <c r="M22" s="103">
        <f>(+G22+J22)/K22</f>
        <v>0.63845113245753982</v>
      </c>
      <c r="N22" s="103">
        <v>8.2191666666666663</v>
      </c>
      <c r="O22" s="105">
        <f t="shared" si="6"/>
        <v>0.99439375632653793</v>
      </c>
    </row>
    <row r="23" spans="1:15" x14ac:dyDescent="0.2">
      <c r="A23" t="s">
        <v>21</v>
      </c>
      <c r="B23" s="103">
        <f>(19223995*60)/(50897.425*2000)</f>
        <v>11.331022148959402</v>
      </c>
      <c r="C23" s="103">
        <v>23.24</v>
      </c>
      <c r="D23" s="103">
        <f>(B23*C23)/100</f>
        <v>2.6333295474181648</v>
      </c>
      <c r="E23" s="104">
        <f>(37548458*60)/50897425</f>
        <v>44.263682887690294</v>
      </c>
      <c r="F23" s="104">
        <v>182.91333333333333</v>
      </c>
      <c r="G23" s="104">
        <f>E23*F23/2000</f>
        <v>4.048208891298529</v>
      </c>
      <c r="H23" s="106">
        <f>(2895378*60)/50897425</f>
        <v>3.4131919247388254</v>
      </c>
      <c r="I23" s="136">
        <v>56.531666666666666</v>
      </c>
      <c r="J23" s="106">
        <f>H23*I23/2000</f>
        <v>9.6476714079346854E-2</v>
      </c>
      <c r="K23" s="103">
        <f>D23+G23+J23</f>
        <v>6.7780151527960406</v>
      </c>
      <c r="L23" s="103">
        <f>D23/K23</f>
        <v>0.38851042496295896</v>
      </c>
      <c r="M23" s="103">
        <f>(+G23+J23)/K23</f>
        <v>0.61148957503704104</v>
      </c>
      <c r="N23" s="103">
        <v>5.9833333333333334</v>
      </c>
      <c r="O23" s="105">
        <f t="shared" si="6"/>
        <v>0.79468181946270722</v>
      </c>
    </row>
    <row r="24" spans="1:15" x14ac:dyDescent="0.2">
      <c r="A24" t="s">
        <v>22</v>
      </c>
      <c r="B24" s="103">
        <f>(20237322*60)/(52165.552*2000)</f>
        <v>11.63832523041259</v>
      </c>
      <c r="C24" s="103">
        <v>23.38</v>
      </c>
      <c r="D24" s="103">
        <f>(B24*C24)/100</f>
        <v>2.7210404388704639</v>
      </c>
      <c r="E24" s="104">
        <f>(38111108*60)/52165552</f>
        <v>43.834798872635339</v>
      </c>
      <c r="F24" s="104">
        <v>174.71</v>
      </c>
      <c r="G24" s="104">
        <f>E24*F24/2000</f>
        <v>3.8291888555190603</v>
      </c>
      <c r="H24" s="106">
        <f>(2935377*60)/52165552</f>
        <v>3.3762246012464319</v>
      </c>
      <c r="I24" s="136">
        <v>68.989999999999995</v>
      </c>
      <c r="J24" s="106">
        <f>H24*I24/2000</f>
        <v>0.11646286761999566</v>
      </c>
      <c r="K24" s="103">
        <f>D24+G24+J24</f>
        <v>6.6666921620095199</v>
      </c>
      <c r="L24" s="103">
        <f>D24/K24</f>
        <v>0.40815450492471356</v>
      </c>
      <c r="M24" s="103">
        <f>(+G24+J24)/K24</f>
        <v>0.59184549507528639</v>
      </c>
      <c r="N24" s="103">
        <v>5.7</v>
      </c>
      <c r="O24" s="105">
        <f t="shared" si="6"/>
        <v>0.96669216200951968</v>
      </c>
    </row>
    <row r="25" spans="1:15" x14ac:dyDescent="0.2">
      <c r="A25" t="s">
        <v>23</v>
      </c>
      <c r="B25" s="103">
        <f>(20487823*60)/(54184.483*2000)</f>
        <v>11.343370942563022</v>
      </c>
      <c r="C25" s="103">
        <v>29.905833333333337</v>
      </c>
      <c r="D25" s="103">
        <f t="shared" ref="D25" si="7">(B25*C25)/100</f>
        <v>3.3923296084646601</v>
      </c>
      <c r="E25" s="104">
        <f>(39758166*60)/54184483</f>
        <v>44.025333968767406</v>
      </c>
      <c r="F25" s="103">
        <v>198.31000000000003</v>
      </c>
      <c r="G25" s="104">
        <f t="shared" ref="G25" si="8">E25*F25/2000</f>
        <v>4.3653319896731331</v>
      </c>
      <c r="H25" s="106">
        <f>(3118614*60)/54184483</f>
        <v>3.4533288801519064</v>
      </c>
      <c r="I25" s="136">
        <v>96.722500000000011</v>
      </c>
      <c r="J25" s="106">
        <f t="shared" ref="J25" si="9">H25*I25/2000</f>
        <v>0.16700730130524641</v>
      </c>
      <c r="K25" s="103">
        <f t="shared" ref="K25" si="10">D25+G25+J25</f>
        <v>7.9246688994430396</v>
      </c>
      <c r="L25" s="103">
        <f t="shared" ref="L25" si="11">D25/K25</f>
        <v>0.42807209380105199</v>
      </c>
      <c r="M25" s="103">
        <f t="shared" ref="M25" si="12">(+G25+J25)/K25</f>
        <v>0.57192790619894807</v>
      </c>
      <c r="N25" s="103">
        <v>7.0374999999999988</v>
      </c>
      <c r="O25" s="105">
        <f t="shared" si="6"/>
        <v>0.88716889944304089</v>
      </c>
    </row>
    <row r="26" spans="1:15" x14ac:dyDescent="0.2">
      <c r="B26" s="103"/>
      <c r="C26" s="103"/>
      <c r="D26" s="103"/>
      <c r="E26" s="104"/>
      <c r="F26" s="103"/>
      <c r="G26" s="104"/>
      <c r="H26" s="106"/>
      <c r="I26" s="106"/>
      <c r="J26" s="106"/>
      <c r="K26" s="103"/>
      <c r="L26" s="103"/>
      <c r="M26" s="103"/>
      <c r="N26" s="103"/>
      <c r="O26" s="105"/>
    </row>
    <row r="27" spans="1:15" x14ac:dyDescent="0.2">
      <c r="A27" t="s">
        <v>24</v>
      </c>
      <c r="B27" s="103"/>
      <c r="C27" s="103"/>
      <c r="D27" s="103"/>
      <c r="E27" s="104"/>
      <c r="F27" s="103"/>
      <c r="G27" s="104"/>
      <c r="H27" s="106"/>
      <c r="I27" s="106"/>
      <c r="J27" s="106"/>
      <c r="K27" s="103"/>
      <c r="L27" s="103"/>
      <c r="M27" s="103"/>
      <c r="N27" s="103"/>
      <c r="O27" s="105"/>
    </row>
    <row r="28" spans="1:15" x14ac:dyDescent="0.2">
      <c r="A28" t="s">
        <v>151</v>
      </c>
      <c r="B28" s="103">
        <f>(1678000*60)/(4420.104*2000)</f>
        <v>11.388872298027376</v>
      </c>
      <c r="C28" s="103">
        <v>36.89</v>
      </c>
      <c r="D28" s="103">
        <f t="shared" ref="D28:D40" si="13">(B28*C28)/100</f>
        <v>4.2013549907422991</v>
      </c>
      <c r="E28" s="104">
        <f>(3228802*60)/4420104</f>
        <v>43.828860135417628</v>
      </c>
      <c r="F28" s="103">
        <v>254.41</v>
      </c>
      <c r="G28" s="104">
        <f t="shared" ref="G28:G40" si="14">E28*F28/2000</f>
        <v>5.5752501535257988</v>
      </c>
      <c r="H28" s="106">
        <f>(261418*60)/4420104</f>
        <v>3.5485771375515145</v>
      </c>
      <c r="I28" s="106">
        <v>108.16</v>
      </c>
      <c r="J28" s="106">
        <f t="shared" ref="J28:J54" si="15">H28*I28/2000</f>
        <v>0.1919070515987859</v>
      </c>
      <c r="K28" s="103">
        <f t="shared" ref="K28:K40" si="16">D28+G28+J28</f>
        <v>9.9685121958668841</v>
      </c>
      <c r="L28" s="103">
        <f t="shared" ref="L28:L40" si="17">D28/K28</f>
        <v>0.42146259222958599</v>
      </c>
      <c r="M28" s="103">
        <f t="shared" ref="M28:M40" si="18">(+G28+J28)/K28</f>
        <v>0.57853740777041407</v>
      </c>
      <c r="N28" s="103">
        <v>9.07</v>
      </c>
      <c r="O28" s="105">
        <f t="shared" ref="O28:O40" si="19">K28-N28</f>
        <v>0.8985121958668838</v>
      </c>
    </row>
    <row r="29" spans="1:15" x14ac:dyDescent="0.2">
      <c r="A29" t="s">
        <v>152</v>
      </c>
      <c r="B29" s="103">
        <f>(1868608.08*60)/(4912.37913*2000)</f>
        <v>11.411627831746774</v>
      </c>
      <c r="C29" s="103">
        <v>38.1</v>
      </c>
      <c r="D29" s="103">
        <f t="shared" si="13"/>
        <v>4.347830203895521</v>
      </c>
      <c r="E29" s="104">
        <f>(3587555.09*60)/4912379.13</f>
        <v>43.818544884991397</v>
      </c>
      <c r="F29" s="103">
        <v>260.55</v>
      </c>
      <c r="G29" s="104">
        <f t="shared" si="14"/>
        <v>5.7084609348922539</v>
      </c>
      <c r="H29" s="106">
        <f>(281923.17*60)/4912379.13</f>
        <v>3.4434211514126352</v>
      </c>
      <c r="I29" s="106">
        <v>122.07</v>
      </c>
      <c r="J29" s="106">
        <f t="shared" si="15"/>
        <v>0.21016920997647018</v>
      </c>
      <c r="K29" s="103">
        <f t="shared" si="16"/>
        <v>10.266460348764245</v>
      </c>
      <c r="L29" s="103">
        <f t="shared" si="17"/>
        <v>0.42349846550752629</v>
      </c>
      <c r="M29" s="103">
        <f t="shared" si="18"/>
        <v>0.57650153449247377</v>
      </c>
      <c r="N29" s="103">
        <v>9.44</v>
      </c>
      <c r="O29" s="105">
        <f t="shared" si="19"/>
        <v>0.82646034876424501</v>
      </c>
    </row>
    <row r="30" spans="1:15" x14ac:dyDescent="0.2">
      <c r="A30" t="s">
        <v>153</v>
      </c>
      <c r="B30" s="103">
        <f>(1805433.7*60)/(4688.4612*2000)</f>
        <v>11.552406789673336</v>
      </c>
      <c r="C30" s="103">
        <v>42.68</v>
      </c>
      <c r="D30" s="103">
        <f t="shared" si="13"/>
        <v>4.9305672178325795</v>
      </c>
      <c r="E30" s="104">
        <f>(3434182.7*60)/4688461.2</f>
        <v>43.948526650919071</v>
      </c>
      <c r="F30" s="103">
        <v>280.76</v>
      </c>
      <c r="G30" s="104">
        <f t="shared" si="14"/>
        <v>6.1694941712560194</v>
      </c>
      <c r="H30" s="106">
        <f>(275259.8*60)/4688461.2</f>
        <v>3.522603109096861</v>
      </c>
      <c r="I30" s="106">
        <v>126.25</v>
      </c>
      <c r="J30" s="106">
        <f t="shared" si="15"/>
        <v>0.22236432126173936</v>
      </c>
      <c r="K30" s="103">
        <f t="shared" si="16"/>
        <v>11.322425710350338</v>
      </c>
      <c r="L30" s="103">
        <f t="shared" si="17"/>
        <v>0.43546916040485267</v>
      </c>
      <c r="M30" s="103">
        <f t="shared" si="18"/>
        <v>0.56453083959514738</v>
      </c>
      <c r="N30" s="103">
        <v>10.32</v>
      </c>
      <c r="O30" s="105">
        <f t="shared" si="19"/>
        <v>1.0024257103503373</v>
      </c>
    </row>
    <row r="31" spans="1:15" x14ac:dyDescent="0.2">
      <c r="A31" t="s">
        <v>154</v>
      </c>
      <c r="B31" s="103">
        <f>(1879439.8*60)/(4921.75985*2000)</f>
        <v>11.455901083836912</v>
      </c>
      <c r="C31" s="103">
        <v>45.16</v>
      </c>
      <c r="D31" s="103">
        <f t="shared" si="13"/>
        <v>5.1734849294607486</v>
      </c>
      <c r="E31" s="104">
        <f>(3604532.75*60)/4921759.85</f>
        <v>43.941998714138812</v>
      </c>
      <c r="F31" s="103">
        <v>314.77999999999997</v>
      </c>
      <c r="G31" s="104">
        <f t="shared" si="14"/>
        <v>6.916031177618307</v>
      </c>
      <c r="H31" s="106">
        <f>(283007.2*60)/4921759.85</f>
        <v>3.4500732497137179</v>
      </c>
      <c r="I31" s="106">
        <v>135.79</v>
      </c>
      <c r="J31" s="106">
        <f t="shared" si="15"/>
        <v>0.23424272328931287</v>
      </c>
      <c r="K31" s="103">
        <f t="shared" si="16"/>
        <v>12.323758830368369</v>
      </c>
      <c r="L31" s="103">
        <f t="shared" si="17"/>
        <v>0.41979764458812507</v>
      </c>
      <c r="M31" s="103">
        <f t="shared" si="18"/>
        <v>0.58020235541187481</v>
      </c>
      <c r="N31" s="103">
        <v>11.23</v>
      </c>
      <c r="O31" s="105">
        <f t="shared" si="19"/>
        <v>1.093758830368369</v>
      </c>
    </row>
    <row r="32" spans="1:15" x14ac:dyDescent="0.2">
      <c r="A32" t="s">
        <v>155</v>
      </c>
      <c r="B32" s="103">
        <f>(1845226.93*60)/(4814.018*2000)</f>
        <v>11.499086189540629</v>
      </c>
      <c r="C32" s="103">
        <v>49.77</v>
      </c>
      <c r="D32" s="103">
        <f t="shared" si="13"/>
        <v>5.7230951965343717</v>
      </c>
      <c r="E32" s="104">
        <f>(3515103.39*60)/4814018</f>
        <v>43.810846448850008</v>
      </c>
      <c r="F32" s="103">
        <v>331.28</v>
      </c>
      <c r="G32" s="104">
        <f t="shared" si="14"/>
        <v>7.2568286057875149</v>
      </c>
      <c r="H32" s="106">
        <f>(276075.02*60)/4814018</f>
        <v>3.4408889206479913</v>
      </c>
      <c r="I32" s="106">
        <v>136.6</v>
      </c>
      <c r="J32" s="106">
        <f t="shared" si="15"/>
        <v>0.2350127132802578</v>
      </c>
      <c r="K32" s="103">
        <f t="shared" si="16"/>
        <v>13.214936515602144</v>
      </c>
      <c r="L32" s="103">
        <f t="shared" si="17"/>
        <v>0.4330777669478344</v>
      </c>
      <c r="M32" s="103">
        <f t="shared" si="18"/>
        <v>0.56692223305216571</v>
      </c>
      <c r="N32" s="103">
        <v>12.16</v>
      </c>
      <c r="O32" s="105">
        <f t="shared" si="19"/>
        <v>1.0549365156021437</v>
      </c>
    </row>
    <row r="33" spans="1:15" x14ac:dyDescent="0.2">
      <c r="A33" t="s">
        <v>156</v>
      </c>
      <c r="B33" s="103">
        <f>(1687694.5*60)/(4395.339*2000)</f>
        <v>11.519210463629769</v>
      </c>
      <c r="C33" s="103">
        <v>56.68</v>
      </c>
      <c r="D33" s="103">
        <f t="shared" si="13"/>
        <v>6.5290884907853526</v>
      </c>
      <c r="E33" s="104">
        <f>(3223901.3*60)/4395339</f>
        <v>44.008909892957064</v>
      </c>
      <c r="F33" s="103">
        <v>345.87</v>
      </c>
      <c r="G33" s="104">
        <f t="shared" si="14"/>
        <v>7.61068083233853</v>
      </c>
      <c r="H33" s="106">
        <f>(249761.85*60)/4395339</f>
        <v>3.4094551068757153</v>
      </c>
      <c r="I33" s="106">
        <v>139.94999999999999</v>
      </c>
      <c r="J33" s="106">
        <f t="shared" si="15"/>
        <v>0.23857662110362815</v>
      </c>
      <c r="K33" s="103">
        <f t="shared" si="16"/>
        <v>14.37834594422751</v>
      </c>
      <c r="L33" s="103">
        <f t="shared" si="17"/>
        <v>0.45409176522189554</v>
      </c>
      <c r="M33" s="103">
        <f t="shared" si="18"/>
        <v>0.54590823477810446</v>
      </c>
      <c r="N33" s="103">
        <v>13.35</v>
      </c>
      <c r="O33" s="105">
        <f t="shared" si="19"/>
        <v>1.0283459442275102</v>
      </c>
    </row>
    <row r="34" spans="1:15" x14ac:dyDescent="0.2">
      <c r="A34" t="s">
        <v>157</v>
      </c>
      <c r="B34" s="103">
        <f>(1827761.46*60)/(4678.746*2000)</f>
        <v>11.719559856423066</v>
      </c>
      <c r="C34" s="103">
        <v>57.27</v>
      </c>
      <c r="D34" s="103">
        <f t="shared" si="13"/>
        <v>6.71179192977349</v>
      </c>
      <c r="E34" s="104">
        <f>(3428232.47*60)/4678746</f>
        <v>43.963478290977974</v>
      </c>
      <c r="F34" s="103">
        <v>331.57</v>
      </c>
      <c r="G34" s="104">
        <f t="shared" si="14"/>
        <v>7.2884852484697831</v>
      </c>
      <c r="H34" s="106">
        <f>(272873.47*60)/4678746</f>
        <v>3.4993154576033834</v>
      </c>
      <c r="I34" s="106">
        <v>149.93</v>
      </c>
      <c r="J34" s="106">
        <f t="shared" si="15"/>
        <v>0.26232618327923762</v>
      </c>
      <c r="K34" s="103">
        <f t="shared" si="16"/>
        <v>14.26260336152251</v>
      </c>
      <c r="L34" s="103">
        <f t="shared" si="17"/>
        <v>0.47058673368709714</v>
      </c>
      <c r="M34" s="103">
        <f t="shared" si="18"/>
        <v>0.52941326631290286</v>
      </c>
      <c r="N34" s="103">
        <v>13.12</v>
      </c>
      <c r="O34" s="105">
        <f t="shared" si="19"/>
        <v>1.1426033615225109</v>
      </c>
    </row>
    <row r="35" spans="1:15" x14ac:dyDescent="0.2">
      <c r="A35" t="s">
        <v>158</v>
      </c>
      <c r="B35" s="103">
        <f>(1707011.36*60)/(4423.512*2000)</f>
        <v>11.576851334414828</v>
      </c>
      <c r="C35" s="103">
        <v>56.58</v>
      </c>
      <c r="D35" s="103">
        <f t="shared" si="13"/>
        <v>6.5501824850119093</v>
      </c>
      <c r="E35" s="104">
        <f>(3245843.7*60)/4423512</f>
        <v>44.026244757559155</v>
      </c>
      <c r="F35" s="103">
        <v>329.94</v>
      </c>
      <c r="G35" s="104">
        <f t="shared" si="14"/>
        <v>7.2630095976545332</v>
      </c>
      <c r="H35" s="106">
        <f>(254800.26*60)/4423512</f>
        <v>3.4560809601059073</v>
      </c>
      <c r="I35" s="106">
        <v>141.11000000000001</v>
      </c>
      <c r="J35" s="106">
        <f t="shared" si="15"/>
        <v>0.24384379214027233</v>
      </c>
      <c r="K35" s="103">
        <f t="shared" si="16"/>
        <v>14.057035874806715</v>
      </c>
      <c r="L35" s="103">
        <f t="shared" si="17"/>
        <v>0.46597181250360681</v>
      </c>
      <c r="M35" s="103">
        <f t="shared" si="18"/>
        <v>0.53402818749639314</v>
      </c>
      <c r="N35" s="103">
        <v>12.92</v>
      </c>
      <c r="O35" s="105">
        <f t="shared" si="19"/>
        <v>1.1370358748067151</v>
      </c>
    </row>
    <row r="36" spans="1:15" x14ac:dyDescent="0.2">
      <c r="A36" t="s">
        <v>159</v>
      </c>
      <c r="B36" s="103">
        <f>(1756417.8*60)/(4578.147*2000)</f>
        <v>11.509576691180952</v>
      </c>
      <c r="C36" s="103">
        <v>58.27</v>
      </c>
      <c r="D36" s="103">
        <f t="shared" si="13"/>
        <v>6.7066303379511405</v>
      </c>
      <c r="E36" s="104">
        <f>(3366876.6*60)/4578147</f>
        <v>44.125406196000263</v>
      </c>
      <c r="F36" s="103">
        <v>325.48</v>
      </c>
      <c r="G36" s="104">
        <f t="shared" si="14"/>
        <v>7.1809686043370826</v>
      </c>
      <c r="H36" s="106">
        <f>(266890.9*60)/4578147</f>
        <v>3.4978024952016615</v>
      </c>
      <c r="I36" s="106">
        <v>111.43</v>
      </c>
      <c r="J36" s="106">
        <f t="shared" si="15"/>
        <v>0.19488006602016059</v>
      </c>
      <c r="K36" s="103">
        <f t="shared" si="16"/>
        <v>14.082479008308384</v>
      </c>
      <c r="L36" s="103">
        <f t="shared" si="17"/>
        <v>0.47623932789066192</v>
      </c>
      <c r="M36" s="103">
        <f t="shared" si="18"/>
        <v>0.52376067210933797</v>
      </c>
      <c r="N36" s="103">
        <v>13.24</v>
      </c>
      <c r="O36" s="105">
        <f t="shared" si="19"/>
        <v>0.84247900830838418</v>
      </c>
    </row>
    <row r="37" spans="1:15" x14ac:dyDescent="0.2">
      <c r="A37" t="s">
        <v>163</v>
      </c>
      <c r="B37" s="103">
        <f>(1632790.52*60)/(4231.453*2000)</f>
        <v>11.576098233869075</v>
      </c>
      <c r="C37" s="103">
        <v>62.43</v>
      </c>
      <c r="D37" s="103">
        <f t="shared" si="13"/>
        <v>7.2269581274044636</v>
      </c>
      <c r="E37" s="104">
        <f>(3098019.28*60)/4231453</f>
        <v>43.92844651707108</v>
      </c>
      <c r="F37" s="103">
        <v>390.72</v>
      </c>
      <c r="G37" s="104">
        <f t="shared" si="14"/>
        <v>8.5818613115750075</v>
      </c>
      <c r="H37" s="106">
        <f>(254251.66*60)/4231453</f>
        <v>3.6051681538232847</v>
      </c>
      <c r="I37" s="106">
        <v>125.48</v>
      </c>
      <c r="J37" s="106">
        <f t="shared" si="15"/>
        <v>0.22618824997087289</v>
      </c>
      <c r="K37" s="103">
        <f t="shared" si="16"/>
        <v>16.035007688950344</v>
      </c>
      <c r="L37" s="103">
        <f t="shared" si="17"/>
        <v>0.45069876283155946</v>
      </c>
      <c r="M37" s="103">
        <f t="shared" si="18"/>
        <v>0.54930123716844048</v>
      </c>
      <c r="N37" s="103">
        <v>14.99</v>
      </c>
      <c r="O37" s="105">
        <f t="shared" si="19"/>
        <v>1.0450076889503439</v>
      </c>
    </row>
    <row r="38" spans="1:15" x14ac:dyDescent="0.2">
      <c r="A38" t="s">
        <v>164</v>
      </c>
      <c r="B38" s="103">
        <f>(1616379.28*60)/(4179.457*2000)</f>
        <v>11.602315420400304</v>
      </c>
      <c r="C38" s="103">
        <v>60.54</v>
      </c>
      <c r="D38" s="103">
        <f t="shared" si="13"/>
        <v>7.0240417555103445</v>
      </c>
      <c r="E38" s="104">
        <f>(3072369.6*60)/4179457</f>
        <v>44.106728697053228</v>
      </c>
      <c r="F38" s="103">
        <v>412.25</v>
      </c>
      <c r="G38" s="104">
        <f t="shared" si="14"/>
        <v>9.0914994526800967</v>
      </c>
      <c r="H38" s="106">
        <f>(243909.6*60)/4179457</f>
        <v>3.5015496032140061</v>
      </c>
      <c r="I38" s="106">
        <v>152.02000000000001</v>
      </c>
      <c r="J38" s="106">
        <f t="shared" si="15"/>
        <v>0.26615278534029663</v>
      </c>
      <c r="K38" s="103">
        <f t="shared" si="16"/>
        <v>16.381693993530739</v>
      </c>
      <c r="L38" s="103">
        <f t="shared" si="17"/>
        <v>0.42877383488448717</v>
      </c>
      <c r="M38" s="103">
        <f t="shared" si="18"/>
        <v>0.57122616511551272</v>
      </c>
      <c r="N38" s="103">
        <v>15.16</v>
      </c>
      <c r="O38" s="105">
        <f t="shared" si="19"/>
        <v>1.2216939935307387</v>
      </c>
    </row>
    <row r="39" spans="1:15" x14ac:dyDescent="0.2">
      <c r="A39" t="s">
        <v>165</v>
      </c>
      <c r="B39" s="103">
        <f>(1507544.65*60)/(3858.844*2000)</f>
        <v>11.720178245091017</v>
      </c>
      <c r="C39" s="103">
        <v>50.78</v>
      </c>
      <c r="D39" s="103">
        <f t="shared" si="13"/>
        <v>5.9515065128572182</v>
      </c>
      <c r="E39" s="104">
        <f>(2821738*60)/3858844</f>
        <v>43.874352008010689</v>
      </c>
      <c r="F39" s="103">
        <v>355.35</v>
      </c>
      <c r="G39" s="104">
        <f t="shared" si="14"/>
        <v>7.7953754930232995</v>
      </c>
      <c r="H39" s="106">
        <f>(230645.05*60)/3858844</f>
        <v>3.5862302285347631</v>
      </c>
      <c r="I39" s="106">
        <v>152.62</v>
      </c>
      <c r="J39" s="106">
        <f t="shared" si="15"/>
        <v>0.27366522873948773</v>
      </c>
      <c r="K39" s="103">
        <f t="shared" si="16"/>
        <v>14.020547234620006</v>
      </c>
      <c r="L39" s="103">
        <f t="shared" si="17"/>
        <v>0.42448460914289843</v>
      </c>
      <c r="M39" s="103">
        <f t="shared" si="18"/>
        <v>0.57551539085710157</v>
      </c>
      <c r="N39" s="103">
        <v>12.88</v>
      </c>
      <c r="O39" s="105">
        <f t="shared" si="19"/>
        <v>1.140547234620005</v>
      </c>
    </row>
    <row r="40" spans="1:15" x14ac:dyDescent="0.2">
      <c r="A40" t="s">
        <v>196</v>
      </c>
      <c r="B40" s="103">
        <f>(20812308.08*60)/(54102.22018*2000)</f>
        <v>11.540547510299973</v>
      </c>
      <c r="C40" s="103">
        <f>AVERAGE(C28:C39)</f>
        <v>51.262499999999996</v>
      </c>
      <c r="D40" s="103">
        <f t="shared" si="13"/>
        <v>5.9159731674675236</v>
      </c>
      <c r="E40" s="104">
        <f>(39627156.88*60)/54102220.18</f>
        <v>43.946984151288859</v>
      </c>
      <c r="F40" s="103">
        <f>AVERAGE(F28:F39)</f>
        <v>327.74666666666673</v>
      </c>
      <c r="G40" s="104">
        <f t="shared" si="14"/>
        <v>7.2017387828188779</v>
      </c>
      <c r="H40" s="106">
        <f>(3150815.98*60)/54102220.18</f>
        <v>3.4942920673315707</v>
      </c>
      <c r="I40" s="106">
        <f>AVERAGE(I28:I39)</f>
        <v>133.45083333333335</v>
      </c>
      <c r="J40" s="106">
        <f t="shared" si="15"/>
        <v>0.23315809414772712</v>
      </c>
      <c r="K40" s="103">
        <f t="shared" si="16"/>
        <v>13.35087004443413</v>
      </c>
      <c r="L40" s="103">
        <f t="shared" si="17"/>
        <v>0.4431151788443814</v>
      </c>
      <c r="M40" s="103">
        <f t="shared" si="18"/>
        <v>0.55688482115561855</v>
      </c>
      <c r="N40" s="103">
        <f>AVERAGE(N28:N39)</f>
        <v>12.323333333333332</v>
      </c>
      <c r="O40" s="105">
        <f t="shared" si="19"/>
        <v>1.0275367111007974</v>
      </c>
    </row>
    <row r="41" spans="1:15" x14ac:dyDescent="0.2">
      <c r="A41" t="s">
        <v>25</v>
      </c>
      <c r="B41" s="103"/>
      <c r="C41" s="103"/>
      <c r="D41" s="103"/>
      <c r="E41" s="104"/>
      <c r="F41" s="103"/>
      <c r="G41" s="104"/>
      <c r="H41" s="106"/>
      <c r="I41" s="106"/>
      <c r="J41" s="106"/>
      <c r="K41" s="103"/>
      <c r="L41" s="103"/>
      <c r="M41" s="103"/>
      <c r="N41" s="103"/>
      <c r="O41" s="105"/>
    </row>
    <row r="42" spans="1:15" x14ac:dyDescent="0.2">
      <c r="A42" t="s">
        <v>151</v>
      </c>
      <c r="B42" s="103">
        <f>(1445522.7*60)/(3770.688*2000)</f>
        <v>11.500734348744844</v>
      </c>
      <c r="C42" s="103">
        <v>46.09</v>
      </c>
      <c r="D42" s="103">
        <f t="shared" ref="D42:D54" si="20">(B42*C42)/100</f>
        <v>5.3006884613364988</v>
      </c>
      <c r="E42" s="104">
        <f>(2772830.3*60)/3770688</f>
        <v>44.121873249656296</v>
      </c>
      <c r="F42" s="103">
        <v>352.7</v>
      </c>
      <c r="G42" s="104">
        <f>E42*F42/2000</f>
        <v>7.7808923475768879</v>
      </c>
      <c r="H42" s="106">
        <f>(223493.3*60)/3770688</f>
        <v>3.5562735500789247</v>
      </c>
      <c r="I42" s="106">
        <v>152.62</v>
      </c>
      <c r="J42" s="106">
        <f t="shared" si="15"/>
        <v>0.27137923460652275</v>
      </c>
      <c r="K42" s="103">
        <f t="shared" ref="K42:K54" si="21">D42+G42+J42</f>
        <v>13.352960043519909</v>
      </c>
      <c r="L42" s="103">
        <f t="shared" ref="L42:L54" si="22">D42/K42</f>
        <v>0.3969672974427032</v>
      </c>
      <c r="M42" s="103">
        <f t="shared" ref="M42:M54" si="23">(+G42+J42)/K42</f>
        <v>0.6030327025572968</v>
      </c>
      <c r="N42" s="103">
        <v>11.4</v>
      </c>
      <c r="O42" s="105">
        <f t="shared" ref="O42:O54" si="24">K42-N42</f>
        <v>1.9529600435199086</v>
      </c>
    </row>
    <row r="43" spans="1:15" x14ac:dyDescent="0.2">
      <c r="A43" t="s">
        <v>152</v>
      </c>
      <c r="B43" s="103">
        <f>(1715917.39*60)/(4501.479*2000)</f>
        <v>11.435690736311331</v>
      </c>
      <c r="C43" s="103">
        <v>35.5</v>
      </c>
      <c r="D43" s="103">
        <f t="shared" si="20"/>
        <v>4.0596702113905225</v>
      </c>
      <c r="E43" s="104">
        <f>(3267431.29*60)/4501479</f>
        <v>43.551436627828323</v>
      </c>
      <c r="F43" s="103">
        <v>260.66000000000003</v>
      </c>
      <c r="G43" s="104">
        <f t="shared" ref="G43:G54" si="25">E43*F43/2000</f>
        <v>5.6760587357048662</v>
      </c>
      <c r="H43" s="106">
        <f>(252014.93*60)/4501479</f>
        <v>3.3590950440955072</v>
      </c>
      <c r="I43" s="106">
        <v>145.22</v>
      </c>
      <c r="J43" s="106">
        <f t="shared" si="15"/>
        <v>0.2439038911517748</v>
      </c>
      <c r="K43" s="103">
        <f t="shared" si="21"/>
        <v>9.9796328382471629</v>
      </c>
      <c r="L43" s="103">
        <f t="shared" si="22"/>
        <v>0.40679554821212932</v>
      </c>
      <c r="M43" s="103">
        <f t="shared" si="23"/>
        <v>0.59320445178787073</v>
      </c>
      <c r="N43" s="103">
        <v>9.0299999999999994</v>
      </c>
      <c r="O43" s="105">
        <f t="shared" si="24"/>
        <v>0.94963283824716349</v>
      </c>
    </row>
    <row r="44" spans="1:15" x14ac:dyDescent="0.2">
      <c r="A44" t="s">
        <v>153</v>
      </c>
      <c r="B44" s="103">
        <f>(1622851*60)/(4340.495*2000)</f>
        <v>11.216584744366713</v>
      </c>
      <c r="C44" s="103">
        <v>31.55</v>
      </c>
      <c r="D44" s="103">
        <f t="shared" si="20"/>
        <v>3.5388324868476979</v>
      </c>
      <c r="E44" s="104">
        <f>(3158033*60)/4340495</f>
        <v>43.654463373417087</v>
      </c>
      <c r="F44" s="103">
        <v>267.37</v>
      </c>
      <c r="G44" s="104">
        <f t="shared" si="25"/>
        <v>5.8359469360752634</v>
      </c>
      <c r="H44" s="106">
        <f>(255442*60)/4340495</f>
        <v>3.531053485835141</v>
      </c>
      <c r="I44" s="106">
        <v>131.11000000000001</v>
      </c>
      <c r="J44" s="106">
        <f t="shared" si="15"/>
        <v>0.23147821126392271</v>
      </c>
      <c r="K44" s="103">
        <f t="shared" si="21"/>
        <v>9.6062576341868837</v>
      </c>
      <c r="L44" s="103">
        <f t="shared" si="22"/>
        <v>0.36838825499054401</v>
      </c>
      <c r="M44" s="103">
        <f t="shared" si="23"/>
        <v>0.63161174500945605</v>
      </c>
      <c r="N44" s="103">
        <v>8.93</v>
      </c>
      <c r="O44" s="105">
        <f t="shared" si="24"/>
        <v>0.676257634186884</v>
      </c>
    </row>
    <row r="45" spans="1:15" x14ac:dyDescent="0.2">
      <c r="A45" t="s">
        <v>154</v>
      </c>
      <c r="B45" s="103">
        <f>(1596985.45*60)/(4240.383*2000)</f>
        <v>11.29840476673923</v>
      </c>
      <c r="C45" s="103">
        <v>29.3</v>
      </c>
      <c r="D45" s="103">
        <f t="shared" si="20"/>
        <v>3.3104325966545947</v>
      </c>
      <c r="E45" s="104">
        <f>(3101798.75*60)/4240383</f>
        <v>43.889413998688326</v>
      </c>
      <c r="F45" s="103">
        <v>268.24</v>
      </c>
      <c r="G45" s="104">
        <f t="shared" si="25"/>
        <v>5.8864482055040792</v>
      </c>
      <c r="H45" s="106">
        <f>(244153.55*60)/4240383</f>
        <v>3.4546910031475933</v>
      </c>
      <c r="I45" s="106">
        <v>119.88</v>
      </c>
      <c r="J45" s="106">
        <f t="shared" si="15"/>
        <v>0.20707417872866674</v>
      </c>
      <c r="K45" s="103">
        <f t="shared" si="21"/>
        <v>9.4039549808873399</v>
      </c>
      <c r="L45" s="103">
        <f t="shared" si="22"/>
        <v>0.35202556832553322</v>
      </c>
      <c r="M45" s="103">
        <f t="shared" si="23"/>
        <v>0.64797443167446689</v>
      </c>
      <c r="N45" s="103">
        <v>8.68</v>
      </c>
      <c r="O45" s="105">
        <f t="shared" si="24"/>
        <v>0.72395498088734023</v>
      </c>
    </row>
    <row r="46" spans="1:15" x14ac:dyDescent="0.2">
      <c r="A46" t="s">
        <v>155</v>
      </c>
      <c r="B46" s="103">
        <f>(1615580*60)/(4357.003*2000)</f>
        <v>11.124022636661026</v>
      </c>
      <c r="C46" s="103">
        <v>32.159999999999997</v>
      </c>
      <c r="D46" s="103">
        <f t="shared" si="20"/>
        <v>3.5774856799501857</v>
      </c>
      <c r="E46" s="104">
        <f>(3185208*60)/4357003</f>
        <v>43.863288595394586</v>
      </c>
      <c r="F46" s="103">
        <v>306.85000000000002</v>
      </c>
      <c r="G46" s="104">
        <f t="shared" si="25"/>
        <v>6.7297250527484147</v>
      </c>
      <c r="H46" s="106">
        <f>(254614*60)/4357003</f>
        <v>3.506272545600726</v>
      </c>
      <c r="I46" s="106">
        <v>111.38</v>
      </c>
      <c r="J46" s="106">
        <f t="shared" si="15"/>
        <v>0.19526431806450442</v>
      </c>
      <c r="K46" s="103">
        <f t="shared" si="21"/>
        <v>10.502475050763104</v>
      </c>
      <c r="L46" s="103">
        <f t="shared" si="22"/>
        <v>0.34063262827653634</v>
      </c>
      <c r="M46" s="103">
        <f t="shared" si="23"/>
        <v>0.65936737172346371</v>
      </c>
      <c r="N46" s="103">
        <v>9.91</v>
      </c>
      <c r="O46" s="105">
        <f t="shared" si="24"/>
        <v>0.59247505076310425</v>
      </c>
    </row>
    <row r="47" spans="1:15" x14ac:dyDescent="0.2">
      <c r="A47" t="s">
        <v>156</v>
      </c>
      <c r="B47" s="103">
        <f>(1536526*60)/(4062.132*2000)</f>
        <v>11.347681463822447</v>
      </c>
      <c r="C47" s="103">
        <v>28.93</v>
      </c>
      <c r="D47" s="103">
        <f t="shared" si="20"/>
        <v>3.2828842474838336</v>
      </c>
      <c r="E47" s="104">
        <f>(2972827*60)/4062132</f>
        <v>43.910345601767744</v>
      </c>
      <c r="F47" s="103">
        <v>297.42</v>
      </c>
      <c r="G47" s="104">
        <f t="shared" si="25"/>
        <v>6.5299074944388815</v>
      </c>
      <c r="H47" s="106">
        <f>(230916*60)/4062132</f>
        <v>3.410760654749772</v>
      </c>
      <c r="I47" s="106">
        <v>101.05</v>
      </c>
      <c r="J47" s="106">
        <f t="shared" si="15"/>
        <v>0.17232868208123223</v>
      </c>
      <c r="K47" s="103">
        <f t="shared" si="21"/>
        <v>9.9851204240039486</v>
      </c>
      <c r="L47" s="103">
        <f t="shared" si="22"/>
        <v>0.32877763192438542</v>
      </c>
      <c r="M47" s="103">
        <f t="shared" si="23"/>
        <v>0.67122236807561453</v>
      </c>
      <c r="N47" s="103">
        <v>9.3800000000000008</v>
      </c>
      <c r="O47" s="105">
        <f t="shared" si="24"/>
        <v>0.60512042400394783</v>
      </c>
    </row>
    <row r="48" spans="1:15" x14ac:dyDescent="0.2">
      <c r="A48" t="s">
        <v>157</v>
      </c>
      <c r="B48" s="103">
        <f>(1636431*60)/(4332.515*2000)</f>
        <v>11.331277560493154</v>
      </c>
      <c r="C48" s="103">
        <v>28.23</v>
      </c>
      <c r="D48" s="103">
        <f t="shared" si="20"/>
        <v>3.1988196553272172</v>
      </c>
      <c r="E48" s="104">
        <f>(3171612*60)/4332515</f>
        <v>43.92292236726243</v>
      </c>
      <c r="F48" s="103">
        <v>292.22000000000003</v>
      </c>
      <c r="G48" s="104">
        <f t="shared" si="25"/>
        <v>6.4175781870807143</v>
      </c>
      <c r="H48" s="106">
        <f>(253799*60)/4332515</f>
        <v>3.514803757171066</v>
      </c>
      <c r="I48" s="106">
        <v>90.8</v>
      </c>
      <c r="J48" s="106">
        <f t="shared" si="15"/>
        <v>0.1595720905755664</v>
      </c>
      <c r="K48" s="103">
        <f t="shared" si="21"/>
        <v>9.7759699329834966</v>
      </c>
      <c r="L48" s="103">
        <f t="shared" si="22"/>
        <v>0.32721250957765374</v>
      </c>
      <c r="M48" s="103">
        <f t="shared" si="23"/>
        <v>0.67278749042234642</v>
      </c>
      <c r="N48" s="103">
        <v>9.17</v>
      </c>
      <c r="O48" s="105">
        <f t="shared" si="24"/>
        <v>0.60596993298349666</v>
      </c>
    </row>
    <row r="49" spans="1:15" x14ac:dyDescent="0.2">
      <c r="A49" t="s">
        <v>158</v>
      </c>
      <c r="B49" s="103">
        <f>(1595908*60)/(4208.212*2000)</f>
        <v>11.377097921872757</v>
      </c>
      <c r="C49" s="103">
        <v>32.76</v>
      </c>
      <c r="D49" s="103">
        <f t="shared" si="20"/>
        <v>3.7271372792055151</v>
      </c>
      <c r="E49" s="104">
        <f>(3091967*60)/4208212</f>
        <v>44.084760938850039</v>
      </c>
      <c r="F49" s="103">
        <v>324.27</v>
      </c>
      <c r="G49" s="104">
        <f t="shared" si="25"/>
        <v>7.1476827148204505</v>
      </c>
      <c r="H49" s="106">
        <f>(243220*60)/4208212</f>
        <v>3.4677910713623743</v>
      </c>
      <c r="I49" s="106">
        <v>81.67</v>
      </c>
      <c r="J49" s="106">
        <f t="shared" si="15"/>
        <v>0.14160724839908256</v>
      </c>
      <c r="K49" s="103">
        <f t="shared" si="21"/>
        <v>11.016427242425049</v>
      </c>
      <c r="L49" s="103">
        <f t="shared" si="22"/>
        <v>0.33832541142304673</v>
      </c>
      <c r="M49" s="103">
        <f t="shared" si="23"/>
        <v>0.66167458857695316</v>
      </c>
      <c r="N49" s="103">
        <v>10.25</v>
      </c>
      <c r="O49" s="105">
        <f t="shared" si="24"/>
        <v>0.76642724242504912</v>
      </c>
    </row>
    <row r="50" spans="1:15" x14ac:dyDescent="0.2">
      <c r="A50" t="s">
        <v>159</v>
      </c>
      <c r="B50" s="103">
        <f>(1684227*60)/(4387.378*2000)</f>
        <v>11.516402279447998</v>
      </c>
      <c r="C50" s="103">
        <v>36.06</v>
      </c>
      <c r="D50" s="103">
        <f t="shared" si="20"/>
        <v>4.1528146619689483</v>
      </c>
      <c r="E50" s="104">
        <f>(3246859*60)/4387378</f>
        <v>44.402725272360847</v>
      </c>
      <c r="F50" s="103">
        <v>380.37</v>
      </c>
      <c r="G50" s="104">
        <f t="shared" si="25"/>
        <v>8.4447323059239476</v>
      </c>
      <c r="H50" s="106">
        <f>(255913*60)/4387378</f>
        <v>3.4997622725919673</v>
      </c>
      <c r="I50" s="106">
        <v>87.63</v>
      </c>
      <c r="J50" s="106">
        <f t="shared" si="15"/>
        <v>0.15334208397361704</v>
      </c>
      <c r="K50" s="103">
        <f t="shared" si="21"/>
        <v>12.750889051866514</v>
      </c>
      <c r="L50" s="103">
        <f t="shared" si="22"/>
        <v>0.32568824378258132</v>
      </c>
      <c r="M50" s="103">
        <f t="shared" si="23"/>
        <v>0.67431175621741868</v>
      </c>
      <c r="N50" s="103">
        <v>11.66</v>
      </c>
      <c r="O50" s="105">
        <f t="shared" si="24"/>
        <v>1.0908890518665135</v>
      </c>
    </row>
    <row r="51" spans="1:15" x14ac:dyDescent="0.2">
      <c r="A51" t="s">
        <v>163</v>
      </c>
      <c r="B51" s="103">
        <f>(1604322*60)/(4202.869*2000)</f>
        <v>11.451620309840731</v>
      </c>
      <c r="C51" s="103">
        <v>35.659999999999997</v>
      </c>
      <c r="D51" s="103">
        <f t="shared" si="20"/>
        <v>4.0836478024892049</v>
      </c>
      <c r="E51" s="104">
        <f>(3082209*60)/4202869</f>
        <v>44.001499927787421</v>
      </c>
      <c r="F51" s="103">
        <v>418.47</v>
      </c>
      <c r="G51" s="104">
        <f t="shared" si="25"/>
        <v>9.2066538373906024</v>
      </c>
      <c r="H51" s="106">
        <f>(241001*60)/4202869</f>
        <v>3.4405212249061297</v>
      </c>
      <c r="I51" s="106">
        <v>82.61</v>
      </c>
      <c r="J51" s="106">
        <f t="shared" si="15"/>
        <v>0.14211072919474768</v>
      </c>
      <c r="K51" s="103">
        <f t="shared" si="21"/>
        <v>13.432412369074555</v>
      </c>
      <c r="L51" s="103">
        <f t="shared" si="22"/>
        <v>0.30401447560461947</v>
      </c>
      <c r="M51" s="103">
        <f t="shared" si="23"/>
        <v>0.69598552439538053</v>
      </c>
      <c r="N51" s="103">
        <v>12.37</v>
      </c>
      <c r="O51" s="105">
        <f t="shared" si="24"/>
        <v>1.0624123690745559</v>
      </c>
    </row>
    <row r="52" spans="1:15" x14ac:dyDescent="0.2">
      <c r="A52" t="s">
        <v>164</v>
      </c>
      <c r="B52" s="103">
        <f>(1469173*60)/(3863.629*2000)</f>
        <v>11.407717977062497</v>
      </c>
      <c r="C52" s="103">
        <v>31.08</v>
      </c>
      <c r="D52" s="103">
        <f t="shared" si="20"/>
        <v>3.5455187472710237</v>
      </c>
      <c r="E52" s="104">
        <f>(2836244*60)/3881091</f>
        <v>43.847114123322541</v>
      </c>
      <c r="F52" s="103">
        <v>373.18</v>
      </c>
      <c r="G52" s="104">
        <f t="shared" si="25"/>
        <v>8.1814330242707527</v>
      </c>
      <c r="H52" s="106">
        <f>(230471*60)/3881091</f>
        <v>3.5629826767782564</v>
      </c>
      <c r="I52" s="106">
        <v>84.66</v>
      </c>
      <c r="J52" s="106">
        <f t="shared" si="15"/>
        <v>0.15082105670802357</v>
      </c>
      <c r="K52" s="103">
        <f t="shared" si="21"/>
        <v>11.8777728282498</v>
      </c>
      <c r="L52" s="103">
        <f t="shared" si="22"/>
        <v>0.29850029955434493</v>
      </c>
      <c r="M52" s="103">
        <f t="shared" si="23"/>
        <v>0.70149970044565513</v>
      </c>
      <c r="N52" s="103">
        <v>10.96</v>
      </c>
      <c r="O52" s="105">
        <f t="shared" si="24"/>
        <v>0.91777282824979878</v>
      </c>
    </row>
    <row r="53" spans="1:15" x14ac:dyDescent="0.2">
      <c r="A53" t="s">
        <v>165</v>
      </c>
      <c r="B53" s="103">
        <f>(1368606*60)/(3592.845*2000)</f>
        <v>11.427762678323168</v>
      </c>
      <c r="C53" s="103">
        <v>33.69</v>
      </c>
      <c r="D53" s="103">
        <f>(B53*C53)/100</f>
        <v>3.8500132463270749</v>
      </c>
      <c r="E53" s="104">
        <f>(2629112*60)/3592845</f>
        <v>43.905796103088221</v>
      </c>
      <c r="F53" s="103">
        <v>405.27</v>
      </c>
      <c r="G53" s="104">
        <f>E53*F53/2000</f>
        <v>8.8968509933492808</v>
      </c>
      <c r="H53" s="106">
        <f>(215817*60)/3592845</f>
        <v>3.6041131749351836</v>
      </c>
      <c r="I53" s="106">
        <v>97.33</v>
      </c>
      <c r="J53" s="106">
        <f t="shared" si="15"/>
        <v>0.17539416765822072</v>
      </c>
      <c r="K53" s="103">
        <f t="shared" si="21"/>
        <v>12.922258407334576</v>
      </c>
      <c r="L53" s="103">
        <f t="shared" si="22"/>
        <v>0.29793656224532983</v>
      </c>
      <c r="M53" s="103">
        <f t="shared" si="23"/>
        <v>0.70206343775467017</v>
      </c>
      <c r="N53" s="103">
        <v>11.36</v>
      </c>
      <c r="O53" s="105">
        <f t="shared" si="24"/>
        <v>1.5622584073345767</v>
      </c>
    </row>
    <row r="54" spans="1:15" x14ac:dyDescent="0.2">
      <c r="A54" t="s">
        <v>196</v>
      </c>
      <c r="B54" s="103">
        <f>(18892049.54*60)/(49877.09*2000)</f>
        <v>11.363162650427279</v>
      </c>
      <c r="C54" s="103">
        <f>AVERAGE(C42:C53)</f>
        <v>33.417499999999997</v>
      </c>
      <c r="D54" s="103">
        <f t="shared" si="20"/>
        <v>3.7972848787065359</v>
      </c>
      <c r="E54" s="104">
        <f>(36516131.34*60)/49877090</f>
        <v>43.927339794683292</v>
      </c>
      <c r="F54" s="103">
        <f>AVERAGE(F42:F53)</f>
        <v>328.91833333333335</v>
      </c>
      <c r="G54" s="104">
        <f t="shared" si="25"/>
        <v>7.2242536965171196</v>
      </c>
      <c r="H54" s="106">
        <f>(2900854.78*60)/49877090</f>
        <v>3.4896038802584508</v>
      </c>
      <c r="I54" s="106">
        <f>AVERAGE(I42:I53)</f>
        <v>107.16333333333331</v>
      </c>
      <c r="J54" s="106">
        <f t="shared" si="15"/>
        <v>0.18697879191071484</v>
      </c>
      <c r="K54" s="103">
        <f t="shared" si="21"/>
        <v>11.20851736713437</v>
      </c>
      <c r="L54" s="103">
        <f t="shared" si="22"/>
        <v>0.33878565329621024</v>
      </c>
      <c r="M54" s="103">
        <f t="shared" si="23"/>
        <v>0.66121434670378976</v>
      </c>
      <c r="N54" s="103">
        <f>AVERAGE(N42:N53)</f>
        <v>10.258333333333335</v>
      </c>
      <c r="O54" s="105">
        <f t="shared" si="24"/>
        <v>0.950184033801035</v>
      </c>
    </row>
    <row r="55" spans="1:15" x14ac:dyDescent="0.2">
      <c r="A55" s="22" t="s">
        <v>26</v>
      </c>
      <c r="B55" s="103"/>
      <c r="C55" s="103"/>
      <c r="D55" s="103"/>
      <c r="E55" s="104"/>
      <c r="F55" s="103"/>
      <c r="G55" s="104"/>
      <c r="H55" s="106"/>
      <c r="I55" s="106"/>
      <c r="J55" s="106"/>
      <c r="K55" s="103"/>
      <c r="L55" s="103"/>
      <c r="M55" s="103"/>
      <c r="N55" s="103"/>
      <c r="O55" s="105"/>
    </row>
    <row r="56" spans="1:15" x14ac:dyDescent="0.2">
      <c r="A56" t="s">
        <v>151</v>
      </c>
      <c r="B56" s="106">
        <f>(1299919*60)/(3399.751*2000)</f>
        <v>11.470713590495304</v>
      </c>
      <c r="C56" s="103">
        <v>30.96</v>
      </c>
      <c r="D56" s="103">
        <f t="shared" ref="D56:D66" si="26">(B56*C56)/100</f>
        <v>3.5513329276173464</v>
      </c>
      <c r="E56" s="106">
        <f>(2482657*60)/3399751</f>
        <v>43.814802907624703</v>
      </c>
      <c r="F56" s="103">
        <v>379.68</v>
      </c>
      <c r="G56" s="104">
        <f>E56*F56/2000</f>
        <v>8.3178021839834742</v>
      </c>
      <c r="H56" s="106">
        <f>(200877*60)/3399751</f>
        <v>3.5451478652407191</v>
      </c>
      <c r="I56" s="106">
        <v>96.67</v>
      </c>
      <c r="J56" s="106">
        <f t="shared" ref="J56:J68" si="27">H56*I56/2000</f>
        <v>0.17135472206641017</v>
      </c>
      <c r="K56" s="103">
        <f t="shared" ref="K56:K68" si="28">D56+G56+J56</f>
        <v>12.04048983366723</v>
      </c>
      <c r="L56" s="103">
        <f t="shared" ref="L56:L68" si="29">D56/K56</f>
        <v>0.29494920694066978</v>
      </c>
      <c r="M56" s="103">
        <f t="shared" ref="M56:M68" si="30">(+G56+J56)/K56</f>
        <v>0.70505079305933016</v>
      </c>
      <c r="N56" s="103">
        <v>10.119999999999999</v>
      </c>
      <c r="O56" s="105">
        <f t="shared" ref="O56:O68" si="31">K56-N56</f>
        <v>1.9204898336672311</v>
      </c>
    </row>
    <row r="57" spans="1:15" x14ac:dyDescent="0.2">
      <c r="A57" t="s">
        <v>152</v>
      </c>
      <c r="B57" s="106">
        <f>(1825200*60)/(4891.5*2000)</f>
        <v>11.19411223551058</v>
      </c>
      <c r="C57" s="103">
        <v>33.15</v>
      </c>
      <c r="D57" s="103">
        <f t="shared" si="26"/>
        <v>3.7108482060717574</v>
      </c>
      <c r="E57" s="106">
        <f>(3578656*60)/4891500</f>
        <v>43.896424409690276</v>
      </c>
      <c r="F57" s="103">
        <v>325.69</v>
      </c>
      <c r="G57" s="104">
        <f t="shared" ref="G57:G66" si="32">E57*F57/2000</f>
        <v>7.1483132329960126</v>
      </c>
      <c r="H57" s="106">
        <f>(267000*60)/4891500</f>
        <v>3.2750689972401106</v>
      </c>
      <c r="I57" s="106">
        <v>91.36</v>
      </c>
      <c r="J57" s="106">
        <f t="shared" si="27"/>
        <v>0.14960515179392825</v>
      </c>
      <c r="K57" s="103">
        <f t="shared" si="28"/>
        <v>11.008766590861697</v>
      </c>
      <c r="L57" s="103">
        <f t="shared" si="29"/>
        <v>0.33708119574013928</v>
      </c>
      <c r="M57" s="103">
        <f t="shared" si="30"/>
        <v>0.66291880425986083</v>
      </c>
      <c r="N57" s="103">
        <v>9.7799999999999994</v>
      </c>
      <c r="O57" s="105">
        <f t="shared" si="31"/>
        <v>1.2287665908616976</v>
      </c>
    </row>
    <row r="58" spans="1:15" x14ac:dyDescent="0.2">
      <c r="A58" t="s">
        <v>153</v>
      </c>
      <c r="B58" s="106">
        <f>(1853955*60)/(5060.619*2000)</f>
        <v>10.99048357523062</v>
      </c>
      <c r="C58" s="103">
        <v>36.590000000000003</v>
      </c>
      <c r="D58" s="103">
        <f t="shared" si="26"/>
        <v>4.0214179401768844</v>
      </c>
      <c r="E58" s="106">
        <f>(3696360*60)/5060619</f>
        <v>43.824994531301407</v>
      </c>
      <c r="F58" s="103">
        <v>328.18</v>
      </c>
      <c r="G58" s="104">
        <f t="shared" si="32"/>
        <v>7.1912433526412478</v>
      </c>
      <c r="H58" s="106">
        <f>(280185*60)/5060619</f>
        <v>3.3219453983791309</v>
      </c>
      <c r="I58" s="106">
        <v>86.97</v>
      </c>
      <c r="J58" s="106">
        <f t="shared" si="27"/>
        <v>0.14445479564851649</v>
      </c>
      <c r="K58" s="103">
        <f t="shared" si="28"/>
        <v>11.35711608846665</v>
      </c>
      <c r="L58" s="103">
        <f t="shared" si="29"/>
        <v>0.35408794881129235</v>
      </c>
      <c r="M58" s="103">
        <f t="shared" si="30"/>
        <v>0.64591205118870743</v>
      </c>
      <c r="N58" s="103">
        <v>10.09</v>
      </c>
      <c r="O58" s="105">
        <f t="shared" si="31"/>
        <v>1.2671160884666506</v>
      </c>
    </row>
    <row r="59" spans="1:15" x14ac:dyDescent="0.2">
      <c r="A59" t="s">
        <v>154</v>
      </c>
      <c r="B59" s="106">
        <f>(1898259*60)/(5194.127*2000)</f>
        <v>10.963877086563343</v>
      </c>
      <c r="C59" s="103">
        <v>36.81</v>
      </c>
      <c r="D59" s="103">
        <f t="shared" si="26"/>
        <v>4.0358031555639666</v>
      </c>
      <c r="E59" s="106">
        <f>(3785027*60)/5194127</f>
        <v>43.722769966926109</v>
      </c>
      <c r="F59" s="103">
        <v>333.93</v>
      </c>
      <c r="G59" s="104">
        <f t="shared" si="32"/>
        <v>7.3001722875278183</v>
      </c>
      <c r="H59" s="106">
        <f>(291062*60)/5194127</f>
        <v>3.3622050442740425</v>
      </c>
      <c r="I59" s="106">
        <v>83.52</v>
      </c>
      <c r="J59" s="106">
        <f t="shared" si="27"/>
        <v>0.14040568264888401</v>
      </c>
      <c r="K59" s="103">
        <f t="shared" si="28"/>
        <v>11.476381125740669</v>
      </c>
      <c r="L59" s="103">
        <f t="shared" si="29"/>
        <v>0.3516616528630232</v>
      </c>
      <c r="M59" s="103">
        <f t="shared" si="30"/>
        <v>0.6483383471369768</v>
      </c>
      <c r="N59" s="103">
        <v>10.33</v>
      </c>
      <c r="O59" s="105">
        <f t="shared" si="31"/>
        <v>1.1463811257406693</v>
      </c>
    </row>
    <row r="60" spans="1:15" x14ac:dyDescent="0.2">
      <c r="A60" t="s">
        <v>155</v>
      </c>
      <c r="B60" s="106">
        <f>(1844855.74*60)/(5016.4272*2000)</f>
        <v>11.032886553202646</v>
      </c>
      <c r="C60" s="103">
        <v>34.880000000000003</v>
      </c>
      <c r="D60" s="103">
        <f t="shared" si="26"/>
        <v>3.8482708297570833</v>
      </c>
      <c r="E60" s="106">
        <f>(3656432.96*60)/5016427.2</f>
        <v>43.733511691348774</v>
      </c>
      <c r="F60" s="103">
        <v>314.23</v>
      </c>
      <c r="G60" s="104">
        <f t="shared" si="32"/>
        <v>6.8711906893862631</v>
      </c>
      <c r="H60" s="106">
        <f>(276801*60)/5015716</f>
        <v>3.311204222886623</v>
      </c>
      <c r="I60" s="106">
        <v>97.5</v>
      </c>
      <c r="J60" s="106">
        <f t="shared" si="27"/>
        <v>0.16142120586572287</v>
      </c>
      <c r="K60" s="103">
        <f t="shared" si="28"/>
        <v>10.880882725009069</v>
      </c>
      <c r="L60" s="103">
        <f t="shared" si="29"/>
        <v>0.35367266857054336</v>
      </c>
      <c r="M60" s="103">
        <f t="shared" si="30"/>
        <v>0.64632733142945664</v>
      </c>
      <c r="N60" s="103">
        <v>9.84</v>
      </c>
      <c r="O60" s="105">
        <f t="shared" si="31"/>
        <v>1.0408827250090695</v>
      </c>
    </row>
    <row r="61" spans="1:15" x14ac:dyDescent="0.2">
      <c r="A61" t="s">
        <v>156</v>
      </c>
      <c r="B61" s="106">
        <f>(1690098*60)/(4615.692*2000)</f>
        <v>10.984905405300006</v>
      </c>
      <c r="C61" s="103">
        <v>34.69</v>
      </c>
      <c r="D61" s="103">
        <f t="shared" si="26"/>
        <v>3.8106636850985716</v>
      </c>
      <c r="E61" s="106">
        <f>(3375214*60)/4615692</f>
        <v>43.874859934328377</v>
      </c>
      <c r="F61" s="103">
        <v>295.79000000000002</v>
      </c>
      <c r="G61" s="104">
        <f t="shared" si="32"/>
        <v>6.4888724099874961</v>
      </c>
      <c r="H61" s="106">
        <f>(260295*60)/4615692</f>
        <v>3.3836096515972036</v>
      </c>
      <c r="I61" s="106">
        <v>101.71</v>
      </c>
      <c r="J61" s="106">
        <f t="shared" si="27"/>
        <v>0.1720734688319758</v>
      </c>
      <c r="K61" s="103">
        <f t="shared" si="28"/>
        <v>10.471609563918044</v>
      </c>
      <c r="L61" s="103">
        <f t="shared" si="29"/>
        <v>0.36390429397109592</v>
      </c>
      <c r="M61" s="103">
        <f t="shared" si="30"/>
        <v>0.63609570602890408</v>
      </c>
      <c r="N61" s="103">
        <v>9.44</v>
      </c>
      <c r="O61" s="105">
        <f t="shared" si="31"/>
        <v>1.0316095639180443</v>
      </c>
    </row>
    <row r="62" spans="1:15" x14ac:dyDescent="0.2">
      <c r="A62" t="s">
        <v>157</v>
      </c>
      <c r="B62" s="106">
        <f>(1727705.71*60)/(4681.65478*2000)</f>
        <v>11.071122014682166</v>
      </c>
      <c r="C62" s="103">
        <v>36.39</v>
      </c>
      <c r="D62" s="103">
        <f t="shared" si="26"/>
        <v>4.0287813011428399</v>
      </c>
      <c r="E62" s="106">
        <f>(3415264.38*60)/4681654.78</f>
        <v>43.769964345811928</v>
      </c>
      <c r="F62" s="103">
        <v>277.61</v>
      </c>
      <c r="G62" s="104">
        <f t="shared" si="32"/>
        <v>6.0754899010204255</v>
      </c>
      <c r="H62" s="106">
        <f>(264751*60)/4684315</f>
        <v>3.3911169509309258</v>
      </c>
      <c r="I62" s="106">
        <v>90.65</v>
      </c>
      <c r="J62" s="106">
        <f t="shared" si="27"/>
        <v>0.15370237580094423</v>
      </c>
      <c r="K62" s="103">
        <f t="shared" si="28"/>
        <v>10.25797357796421</v>
      </c>
      <c r="L62" s="103">
        <f t="shared" si="29"/>
        <v>0.39274631295573964</v>
      </c>
      <c r="M62" s="103">
        <f t="shared" si="30"/>
        <v>0.6072536870442603</v>
      </c>
      <c r="N62" s="103">
        <v>9.49</v>
      </c>
      <c r="O62" s="105">
        <f t="shared" si="31"/>
        <v>0.7679735779642094</v>
      </c>
    </row>
    <row r="63" spans="1:15" x14ac:dyDescent="0.2">
      <c r="A63" t="s">
        <v>158</v>
      </c>
      <c r="B63" s="106">
        <f>(1518120.3*60)/(4093.78492*2000)</f>
        <v>11.125061499322735</v>
      </c>
      <c r="C63" s="103">
        <v>37.11</v>
      </c>
      <c r="D63" s="103">
        <f t="shared" si="26"/>
        <v>4.1285103223986672</v>
      </c>
      <c r="E63" s="106">
        <f>(2981511.76*60)/4093784.92</f>
        <v>43.698120222691131</v>
      </c>
      <c r="F63" s="103">
        <v>291.20999999999998</v>
      </c>
      <c r="G63" s="104">
        <f t="shared" si="32"/>
        <v>6.3626647950249415</v>
      </c>
      <c r="H63" s="106">
        <f>(230496*60)/4096412</f>
        <v>3.3760666651694216</v>
      </c>
      <c r="I63" s="106">
        <v>82.74</v>
      </c>
      <c r="J63" s="106">
        <f t="shared" si="27"/>
        <v>0.13966787793805896</v>
      </c>
      <c r="K63" s="103">
        <f t="shared" si="28"/>
        <v>10.630842995361668</v>
      </c>
      <c r="L63" s="103">
        <f t="shared" si="29"/>
        <v>0.3883521113236244</v>
      </c>
      <c r="M63" s="103">
        <f t="shared" si="30"/>
        <v>0.61164788867637565</v>
      </c>
      <c r="N63" s="103">
        <v>9.75</v>
      </c>
      <c r="O63" s="105">
        <f t="shared" si="31"/>
        <v>0.8808429953616681</v>
      </c>
    </row>
    <row r="64" spans="1:15" x14ac:dyDescent="0.2">
      <c r="A64" t="s">
        <v>159</v>
      </c>
      <c r="B64" s="106">
        <f>(1481564.85*60)/(3988.61645*2000)</f>
        <v>11.143449378292566</v>
      </c>
      <c r="C64" s="103">
        <v>35.409999999999997</v>
      </c>
      <c r="D64" s="103">
        <f t="shared" si="26"/>
        <v>3.9458954248533975</v>
      </c>
      <c r="E64" s="106">
        <f>(2921012.2*60)/3988616.45</f>
        <v>43.940231956873163</v>
      </c>
      <c r="F64" s="103">
        <v>287.85000000000002</v>
      </c>
      <c r="G64" s="104">
        <f t="shared" si="32"/>
        <v>6.3240978843929705</v>
      </c>
      <c r="H64" s="106">
        <f>(223450*60)/3988616</f>
        <v>3.3613163062074665</v>
      </c>
      <c r="I64" s="106">
        <v>77.63</v>
      </c>
      <c r="J64" s="106">
        <f t="shared" si="27"/>
        <v>0.13046949242544281</v>
      </c>
      <c r="K64" s="103">
        <f t="shared" si="28"/>
        <v>10.400462801671811</v>
      </c>
      <c r="L64" s="103">
        <f t="shared" si="29"/>
        <v>0.37939613843137049</v>
      </c>
      <c r="M64" s="103">
        <f t="shared" si="30"/>
        <v>0.62060386156862957</v>
      </c>
      <c r="N64" s="103">
        <v>9.5500000000000007</v>
      </c>
      <c r="O64" s="105">
        <f t="shared" si="31"/>
        <v>0.8504628016718101</v>
      </c>
    </row>
    <row r="65" spans="1:15" x14ac:dyDescent="0.2">
      <c r="A65" t="s">
        <v>163</v>
      </c>
      <c r="B65" s="106">
        <f>(1442238.9*60)/(3884.29876*2000)</f>
        <v>11.138990503397839</v>
      </c>
      <c r="C65" s="103">
        <v>34.47</v>
      </c>
      <c r="D65" s="103">
        <f t="shared" si="26"/>
        <v>3.839610026521235</v>
      </c>
      <c r="E65" s="106">
        <f>(2839787.64*60)/3884298.76</f>
        <v>43.865641890017756</v>
      </c>
      <c r="F65" s="103">
        <v>305.77999999999997</v>
      </c>
      <c r="G65" s="104">
        <f t="shared" si="32"/>
        <v>6.7066179885648145</v>
      </c>
      <c r="H65" s="106">
        <f>(216275*60)/3875035</f>
        <v>3.3487439468288676</v>
      </c>
      <c r="I65" s="106">
        <v>79.319999999999993</v>
      </c>
      <c r="J65" s="106">
        <f t="shared" si="27"/>
        <v>0.13281118493123287</v>
      </c>
      <c r="K65" s="103">
        <f t="shared" si="28"/>
        <v>10.679039200017282</v>
      </c>
      <c r="L65" s="103">
        <f t="shared" si="29"/>
        <v>0.35954639313572528</v>
      </c>
      <c r="M65" s="103">
        <f t="shared" si="30"/>
        <v>0.64045360686427477</v>
      </c>
      <c r="N65" s="103">
        <v>9.5500000000000007</v>
      </c>
      <c r="O65" s="105">
        <f t="shared" si="31"/>
        <v>1.1290392000172815</v>
      </c>
    </row>
    <row r="66" spans="1:15" x14ac:dyDescent="0.2">
      <c r="A66" t="s">
        <v>164</v>
      </c>
      <c r="B66" s="106">
        <f>(1440451.02*60)/(3880.92194*2000)</f>
        <v>11.134862094134261</v>
      </c>
      <c r="C66" s="103">
        <v>35.07</v>
      </c>
      <c r="D66" s="103">
        <f t="shared" si="26"/>
        <v>3.9049961364128851</v>
      </c>
      <c r="E66" s="106">
        <f>(2837937.16*60)/3880921.94</f>
        <v>43.875200849826939</v>
      </c>
      <c r="F66" s="103">
        <v>325.56</v>
      </c>
      <c r="G66" s="104">
        <f t="shared" si="32"/>
        <v>7.1420051943348293</v>
      </c>
      <c r="H66" s="106">
        <f>(218170*60)/3880922</f>
        <v>3.3729613736117345</v>
      </c>
      <c r="I66" s="106">
        <v>82.38</v>
      </c>
      <c r="J66" s="106">
        <f t="shared" si="27"/>
        <v>0.13893227897906735</v>
      </c>
      <c r="K66" s="103">
        <f t="shared" si="28"/>
        <v>11.185933609726783</v>
      </c>
      <c r="L66" s="103">
        <f t="shared" si="29"/>
        <v>0.34909881219188327</v>
      </c>
      <c r="M66" s="103">
        <f t="shared" si="30"/>
        <v>0.65090118780811657</v>
      </c>
      <c r="N66" s="103">
        <v>10.3</v>
      </c>
      <c r="O66" s="105">
        <f t="shared" si="31"/>
        <v>0.88593360972678248</v>
      </c>
    </row>
    <row r="67" spans="1:15" x14ac:dyDescent="0.2">
      <c r="A67" t="s">
        <v>165</v>
      </c>
      <c r="B67" s="106">
        <f>(1418447.8*60)/(3843.195*2000)</f>
        <v>11.072410845663569</v>
      </c>
      <c r="C67" s="103">
        <v>37.57</v>
      </c>
      <c r="D67" s="103">
        <f>(B67*C67)/100</f>
        <v>4.1599047547158028</v>
      </c>
      <c r="E67" s="106">
        <f>(2806180.9*60)/3843195</f>
        <v>43.810125169292739</v>
      </c>
      <c r="F67" s="103">
        <v>331.76</v>
      </c>
      <c r="G67" s="104">
        <f>E67*F67/2000</f>
        <v>7.2672235630822799</v>
      </c>
      <c r="H67" s="106">
        <f>(224409*60)/3843195</f>
        <v>3.5034756237973874</v>
      </c>
      <c r="I67" s="106">
        <v>92.75</v>
      </c>
      <c r="J67" s="106">
        <f t="shared" si="27"/>
        <v>0.16247368205360385</v>
      </c>
      <c r="K67" s="103">
        <f t="shared" si="28"/>
        <v>11.589601999851686</v>
      </c>
      <c r="L67" s="103">
        <f t="shared" si="29"/>
        <v>0.35893422006804354</v>
      </c>
      <c r="M67" s="103">
        <f t="shared" si="30"/>
        <v>0.64106577993195657</v>
      </c>
      <c r="N67" s="103">
        <v>10.66</v>
      </c>
      <c r="O67" s="105">
        <f t="shared" si="31"/>
        <v>0.92960199985168579</v>
      </c>
    </row>
    <row r="68" spans="1:15" x14ac:dyDescent="0.2">
      <c r="A68" t="s">
        <v>196</v>
      </c>
      <c r="B68" s="106">
        <f>(19440815.32*60)/(52550.58805*2000)</f>
        <v>11.098343163069515</v>
      </c>
      <c r="C68" s="103">
        <f>AVERAGE(C56:C67)</f>
        <v>35.258333333333333</v>
      </c>
      <c r="D68" s="103">
        <f>(B68*C68)/100</f>
        <v>3.9130908269122595</v>
      </c>
      <c r="E68" s="106">
        <f>(38376041*60)/52550588.05</f>
        <v>43.81611215861551</v>
      </c>
      <c r="F68" s="103">
        <f>AVERAGE(F56:F67)</f>
        <v>316.43916666666661</v>
      </c>
      <c r="G68" s="104">
        <f>E68*F68/2000</f>
        <v>6.9325670090227449</v>
      </c>
      <c r="H68" s="106">
        <f>(2953771*60)/52545900</f>
        <v>3.3727895040336162</v>
      </c>
      <c r="I68" s="106">
        <f>AVERAGE(I56:I67)</f>
        <v>88.59999999999998</v>
      </c>
      <c r="J68" s="106">
        <f t="shared" si="27"/>
        <v>0.14941457502868918</v>
      </c>
      <c r="K68" s="103">
        <f t="shared" si="28"/>
        <v>10.995072410963694</v>
      </c>
      <c r="L68" s="103">
        <f t="shared" si="29"/>
        <v>0.35589495736384019</v>
      </c>
      <c r="M68" s="103">
        <f t="shared" si="30"/>
        <v>0.64410504263615975</v>
      </c>
      <c r="N68" s="103">
        <f>AVERAGE(N56:N67)</f>
        <v>9.9083333333333314</v>
      </c>
      <c r="O68" s="105">
        <f t="shared" si="31"/>
        <v>1.0867390776303623</v>
      </c>
    </row>
    <row r="69" spans="1:15" x14ac:dyDescent="0.2">
      <c r="A69" s="22" t="s">
        <v>27</v>
      </c>
      <c r="B69" s="103"/>
      <c r="C69" s="103"/>
      <c r="D69" s="103"/>
      <c r="E69" s="104"/>
      <c r="F69" s="103"/>
      <c r="G69" s="104"/>
      <c r="H69" s="106"/>
      <c r="I69" s="106"/>
      <c r="J69" s="106"/>
      <c r="K69" s="103"/>
      <c r="L69" s="103"/>
      <c r="M69" s="103"/>
      <c r="N69" s="103"/>
      <c r="O69" s="105"/>
    </row>
    <row r="70" spans="1:15" x14ac:dyDescent="0.2">
      <c r="A70" t="s">
        <v>151</v>
      </c>
      <c r="B70" s="106">
        <f>(1474417.2*60)/(3910.8754*2000)</f>
        <v>11.310131741860147</v>
      </c>
      <c r="C70" s="103">
        <v>39.21</v>
      </c>
      <c r="D70" s="103">
        <f t="shared" ref="D70:D80" si="33">(B70*C70)/100</f>
        <v>4.4347026559833633</v>
      </c>
      <c r="E70" s="106">
        <f>(2836038.5*60)/3910875.4</f>
        <v>43.510031027835865</v>
      </c>
      <c r="F70" s="103">
        <v>317.64999999999998</v>
      </c>
      <c r="G70" s="104">
        <f>E70*F70/2000</f>
        <v>6.9104806779960306</v>
      </c>
      <c r="H70" s="106">
        <f>(223644.7*60)/3910875.4</f>
        <v>3.4311197948162708</v>
      </c>
      <c r="I70" s="106">
        <v>113.52</v>
      </c>
      <c r="J70" s="106">
        <f t="shared" ref="J70:J82" si="34">H70*I70/2000</f>
        <v>0.19475035955377151</v>
      </c>
      <c r="K70" s="103">
        <f t="shared" ref="K70:K82" si="35">D70+G70+J70</f>
        <v>11.539933693533165</v>
      </c>
      <c r="L70" s="103">
        <f t="shared" ref="L70:L82" si="36">D70/K70</f>
        <v>0.38429186629282935</v>
      </c>
      <c r="M70" s="103">
        <f t="shared" ref="M70:M82" si="37">(+G70+J70)/K70</f>
        <v>0.6157081337071707</v>
      </c>
      <c r="N70" s="103">
        <v>10.65</v>
      </c>
      <c r="O70" s="105">
        <f t="shared" ref="O70:O96" si="38">K70-N70</f>
        <v>0.88993369353316432</v>
      </c>
    </row>
    <row r="71" spans="1:15" x14ac:dyDescent="0.2">
      <c r="A71" t="s">
        <v>152</v>
      </c>
      <c r="B71" s="106">
        <f>(1790543.39*60)/(4716.39359*2000)</f>
        <v>11.389274596143279</v>
      </c>
      <c r="C71" s="103">
        <v>44.02</v>
      </c>
      <c r="D71" s="103">
        <f t="shared" si="33"/>
        <v>5.0135586772222718</v>
      </c>
      <c r="E71" s="106">
        <f>(3475802.73*60)/4716393.59</f>
        <v>44.21771843685336</v>
      </c>
      <c r="F71" s="103">
        <v>321.92</v>
      </c>
      <c r="G71" s="104">
        <f t="shared" ref="G71:G80" si="39">E71*F71/2000</f>
        <v>7.1172839595959179</v>
      </c>
      <c r="H71" s="106">
        <f>(262267.37*60)/4716393.59</f>
        <v>3.3364565318222308</v>
      </c>
      <c r="I71" s="106">
        <v>140.47999999999999</v>
      </c>
      <c r="J71" s="106">
        <f t="shared" si="34"/>
        <v>0.23435270679519349</v>
      </c>
      <c r="K71" s="103">
        <f t="shared" si="35"/>
        <v>12.365195343613385</v>
      </c>
      <c r="L71" s="103">
        <f t="shared" si="36"/>
        <v>0.40545729670269798</v>
      </c>
      <c r="M71" s="103">
        <f t="shared" si="37"/>
        <v>0.59454270329730186</v>
      </c>
      <c r="N71" s="103">
        <v>11.48</v>
      </c>
      <c r="O71" s="105">
        <f t="shared" si="38"/>
        <v>0.88519534361338437</v>
      </c>
    </row>
    <row r="72" spans="1:15" x14ac:dyDescent="0.2">
      <c r="A72" t="s">
        <v>153</v>
      </c>
      <c r="B72" s="106">
        <f>(1771201.2*60)/(4651.751*2000)</f>
        <v>11.422803155198977</v>
      </c>
      <c r="C72" s="103">
        <v>47.62</v>
      </c>
      <c r="D72" s="103">
        <f t="shared" si="33"/>
        <v>5.4395388625057528</v>
      </c>
      <c r="E72" s="106">
        <f>(3447649.3*60)/4651751</f>
        <v>44.469052191314624</v>
      </c>
      <c r="F72" s="103">
        <v>341.78</v>
      </c>
      <c r="G72" s="104">
        <f t="shared" si="39"/>
        <v>7.5993163289737558</v>
      </c>
      <c r="H72" s="106">
        <f>(272399.8*60)/4651751</f>
        <v>3.5135130835678865</v>
      </c>
      <c r="I72" s="106">
        <v>157.38</v>
      </c>
      <c r="J72" s="106">
        <f t="shared" si="34"/>
        <v>0.27647834454595699</v>
      </c>
      <c r="K72" s="103">
        <f t="shared" si="35"/>
        <v>13.315333536025467</v>
      </c>
      <c r="L72" s="103">
        <f t="shared" si="36"/>
        <v>0.40851690630120086</v>
      </c>
      <c r="M72" s="103">
        <f t="shared" si="37"/>
        <v>0.59148309369879914</v>
      </c>
      <c r="N72" s="103">
        <v>12.52</v>
      </c>
      <c r="O72" s="105">
        <f t="shared" si="38"/>
        <v>0.79533353602546697</v>
      </c>
    </row>
    <row r="73" spans="1:15" x14ac:dyDescent="0.2">
      <c r="A73" t="s">
        <v>154</v>
      </c>
      <c r="B73" s="106">
        <f>(1731506.15*60)/(4570.40185*2000)</f>
        <v>11.365561761270509</v>
      </c>
      <c r="C73" s="103">
        <v>51.51</v>
      </c>
      <c r="D73" s="103">
        <f t="shared" si="33"/>
        <v>5.8544008632304392</v>
      </c>
      <c r="E73" s="106">
        <f>(3397763.35*60)/4570401.85</f>
        <v>44.60566219138915</v>
      </c>
      <c r="F73" s="103">
        <v>351.93</v>
      </c>
      <c r="G73" s="104">
        <f t="shared" si="39"/>
        <v>7.8490353475077921</v>
      </c>
      <c r="H73" s="106">
        <f>(277780.5*60)/4570401.85</f>
        <v>3.6466880915515123</v>
      </c>
      <c r="I73" s="106">
        <v>155</v>
      </c>
      <c r="J73" s="106">
        <f t="shared" si="34"/>
        <v>0.28261832709524221</v>
      </c>
      <c r="K73" s="103">
        <f t="shared" si="35"/>
        <v>13.986054537833475</v>
      </c>
      <c r="L73" s="103">
        <f t="shared" si="36"/>
        <v>0.41858844804256867</v>
      </c>
      <c r="M73" s="103">
        <f t="shared" si="37"/>
        <v>0.58141155195743133</v>
      </c>
      <c r="N73" s="103">
        <v>13.11</v>
      </c>
      <c r="O73" s="105">
        <f t="shared" si="38"/>
        <v>0.87605453783347542</v>
      </c>
    </row>
    <row r="74" spans="1:15" x14ac:dyDescent="0.2">
      <c r="A74" t="s">
        <v>155</v>
      </c>
      <c r="B74" s="106">
        <f>(1722940*60)/(4475.043*2000)</f>
        <v>11.550324767829046</v>
      </c>
      <c r="C74" s="103">
        <v>53.84</v>
      </c>
      <c r="D74" s="103">
        <f t="shared" si="33"/>
        <v>6.2186948549991587</v>
      </c>
      <c r="E74" s="106">
        <f>(3298360*60)/4475043</f>
        <v>44.223396289152973</v>
      </c>
      <c r="F74" s="103">
        <v>368.54</v>
      </c>
      <c r="G74" s="104">
        <f t="shared" si="39"/>
        <v>8.1490452342022195</v>
      </c>
      <c r="H74" s="106">
        <f>(271099*60)/4475043</f>
        <v>3.6348120006891556</v>
      </c>
      <c r="I74" s="106">
        <v>157.5</v>
      </c>
      <c r="J74" s="106">
        <f t="shared" si="34"/>
        <v>0.28624144505427102</v>
      </c>
      <c r="K74" s="103">
        <f t="shared" si="35"/>
        <v>14.653981534255649</v>
      </c>
      <c r="L74" s="103">
        <f t="shared" si="36"/>
        <v>0.42436895668676289</v>
      </c>
      <c r="M74" s="103">
        <f t="shared" si="37"/>
        <v>0.57563104331323711</v>
      </c>
      <c r="N74" s="103">
        <v>13.78</v>
      </c>
      <c r="O74" s="105">
        <f t="shared" si="38"/>
        <v>0.87398153425565006</v>
      </c>
    </row>
    <row r="75" spans="1:15" x14ac:dyDescent="0.2">
      <c r="A75" t="s">
        <v>156</v>
      </c>
      <c r="B75" s="106">
        <f>(1500030*60)/(3882.405*2000)</f>
        <v>11.590985484512821</v>
      </c>
      <c r="C75" s="103">
        <v>54.21</v>
      </c>
      <c r="D75" s="103">
        <f t="shared" si="33"/>
        <v>6.2834732311544004</v>
      </c>
      <c r="E75" s="106">
        <f>(2889211*60)/3882405</f>
        <v>44.650844000046362</v>
      </c>
      <c r="F75" s="103">
        <v>358.59</v>
      </c>
      <c r="G75" s="104">
        <f t="shared" si="39"/>
        <v>8.0056730749883123</v>
      </c>
      <c r="H75" s="106">
        <f>(236939*60)/3882405</f>
        <v>3.6617354449110797</v>
      </c>
      <c r="I75" s="106">
        <v>156.97</v>
      </c>
      <c r="J75" s="106">
        <f t="shared" si="34"/>
        <v>0.28739130639384608</v>
      </c>
      <c r="K75" s="103">
        <f t="shared" si="35"/>
        <v>14.576537612536558</v>
      </c>
      <c r="L75" s="103">
        <f t="shared" si="36"/>
        <v>0.43106761003040228</v>
      </c>
      <c r="M75" s="103">
        <f t="shared" si="37"/>
        <v>0.56893238996959772</v>
      </c>
      <c r="N75" s="103">
        <v>13.86</v>
      </c>
      <c r="O75" s="105">
        <f t="shared" si="38"/>
        <v>0.71653761253655901</v>
      </c>
    </row>
    <row r="76" spans="1:15" x14ac:dyDescent="0.2">
      <c r="A76" t="s">
        <v>157</v>
      </c>
      <c r="B76" s="106">
        <f>(1623774*60)/(4208.023*2000)</f>
        <v>11.57627227797947</v>
      </c>
      <c r="C76" s="103">
        <v>54.07</v>
      </c>
      <c r="D76" s="103">
        <f t="shared" si="33"/>
        <v>6.2592904207034996</v>
      </c>
      <c r="E76" s="106">
        <f>(3111911*60)/4208023</f>
        <v>44.371112040024499</v>
      </c>
      <c r="F76" s="103">
        <v>345.43</v>
      </c>
      <c r="G76" s="104">
        <f t="shared" si="39"/>
        <v>7.6635566159928308</v>
      </c>
      <c r="H76" s="106">
        <f>(259694*60)/4208023</f>
        <v>3.7028409778178495</v>
      </c>
      <c r="I76" s="106">
        <v>157.16999999999999</v>
      </c>
      <c r="J76" s="106">
        <f t="shared" si="34"/>
        <v>0.29098775824181572</v>
      </c>
      <c r="K76" s="103">
        <f t="shared" si="35"/>
        <v>14.213834794938146</v>
      </c>
      <c r="L76" s="103">
        <f t="shared" si="36"/>
        <v>0.44036605961767394</v>
      </c>
      <c r="M76" s="103">
        <f t="shared" si="37"/>
        <v>0.55963394038232606</v>
      </c>
      <c r="N76" s="103">
        <v>13.5</v>
      </c>
      <c r="O76" s="105">
        <f t="shared" si="38"/>
        <v>0.71383479493814583</v>
      </c>
    </row>
    <row r="77" spans="1:15" x14ac:dyDescent="0.2">
      <c r="A77" t="s">
        <v>158</v>
      </c>
      <c r="B77" s="106">
        <f>(1504598*60)/(3839.636*2000)</f>
        <v>11.755786225569299</v>
      </c>
      <c r="C77" s="103">
        <v>56.65</v>
      </c>
      <c r="D77" s="103">
        <f t="shared" si="33"/>
        <v>6.6596528967850075</v>
      </c>
      <c r="E77" s="106">
        <f>(2873217*60)/3839636</f>
        <v>44.898271606996083</v>
      </c>
      <c r="F77" s="103">
        <v>335.87</v>
      </c>
      <c r="G77" s="104">
        <f t="shared" si="39"/>
        <v>7.5399912423208875</v>
      </c>
      <c r="H77" s="106">
        <f>(239721*60)/3839636</f>
        <v>3.7459957141770732</v>
      </c>
      <c r="I77" s="106">
        <v>159.63</v>
      </c>
      <c r="J77" s="106">
        <f t="shared" si="34"/>
        <v>0.29898664792704305</v>
      </c>
      <c r="K77" s="103">
        <f t="shared" si="35"/>
        <v>14.498630787032939</v>
      </c>
      <c r="L77" s="103">
        <f t="shared" si="36"/>
        <v>0.45932978048804202</v>
      </c>
      <c r="M77" s="103">
        <f t="shared" si="37"/>
        <v>0.54067021951195793</v>
      </c>
      <c r="N77" s="103">
        <v>13.64</v>
      </c>
      <c r="O77" s="105">
        <f t="shared" si="38"/>
        <v>0.85863078703293816</v>
      </c>
    </row>
    <row r="78" spans="1:15" x14ac:dyDescent="0.2">
      <c r="A78" t="s">
        <v>159</v>
      </c>
      <c r="B78" s="106">
        <f>(1491195*60)/(3841.157*2000)</f>
        <v>11.646451837297981</v>
      </c>
      <c r="C78" s="103">
        <v>56.09</v>
      </c>
      <c r="D78" s="103">
        <f t="shared" si="33"/>
        <v>6.5324948355404375</v>
      </c>
      <c r="E78" s="106">
        <f>(2865776*60)/3841157</f>
        <v>44.764262434469615</v>
      </c>
      <c r="F78" s="103">
        <v>342.3</v>
      </c>
      <c r="G78" s="104">
        <f t="shared" si="39"/>
        <v>7.6614035156594742</v>
      </c>
      <c r="H78" s="106">
        <f>(234746*60)/3841157</f>
        <v>3.6668014350884381</v>
      </c>
      <c r="I78" s="106">
        <v>164.86</v>
      </c>
      <c r="J78" s="106">
        <f t="shared" si="34"/>
        <v>0.30225444229433995</v>
      </c>
      <c r="K78" s="103">
        <f t="shared" si="35"/>
        <v>14.496152793494252</v>
      </c>
      <c r="L78" s="103">
        <f t="shared" si="36"/>
        <v>0.45063645013952702</v>
      </c>
      <c r="M78" s="103">
        <f t="shared" si="37"/>
        <v>0.54936354986047298</v>
      </c>
      <c r="N78" s="103">
        <v>13.68</v>
      </c>
      <c r="O78" s="105">
        <f t="shared" si="38"/>
        <v>0.81615279349425229</v>
      </c>
    </row>
    <row r="79" spans="1:15" x14ac:dyDescent="0.2">
      <c r="A79" t="s">
        <v>163</v>
      </c>
      <c r="B79" s="106">
        <f>(1437997*60)/(3708.711*2000)</f>
        <v>11.632049518013131</v>
      </c>
      <c r="C79" s="103">
        <v>55.68</v>
      </c>
      <c r="D79" s="103">
        <f t="shared" si="33"/>
        <v>6.4767251716297123</v>
      </c>
      <c r="E79" s="106">
        <f>(2746586*60)/3708711</f>
        <v>44.434618928247581</v>
      </c>
      <c r="F79" s="103">
        <v>347.45</v>
      </c>
      <c r="G79" s="104">
        <f t="shared" si="39"/>
        <v>7.7194041733098109</v>
      </c>
      <c r="H79" s="106">
        <f>(226906*60)/3708711</f>
        <v>3.670914234082947</v>
      </c>
      <c r="I79" s="106">
        <v>175.34</v>
      </c>
      <c r="J79" s="106">
        <f t="shared" si="34"/>
        <v>0.32182905090205194</v>
      </c>
      <c r="K79" s="103">
        <f t="shared" si="35"/>
        <v>14.517958395841575</v>
      </c>
      <c r="L79" s="103">
        <f t="shared" si="36"/>
        <v>0.44611817963914685</v>
      </c>
      <c r="M79" s="103">
        <f t="shared" si="37"/>
        <v>0.55388182036085321</v>
      </c>
      <c r="N79" s="103">
        <v>13.82</v>
      </c>
      <c r="O79" s="105">
        <f t="shared" si="38"/>
        <v>0.69795839584157449</v>
      </c>
    </row>
    <row r="80" spans="1:15" x14ac:dyDescent="0.2">
      <c r="A80" t="s">
        <v>164</v>
      </c>
      <c r="B80" s="106">
        <f>(1504674*60)/(3886.8813*2000)</f>
        <v>11.613480452824737</v>
      </c>
      <c r="C80" s="103">
        <v>55.16</v>
      </c>
      <c r="D80" s="103">
        <f t="shared" si="33"/>
        <v>6.4059958177781242</v>
      </c>
      <c r="E80" s="106">
        <f>(2857622*60)/3886881</f>
        <v>44.111800695724924</v>
      </c>
      <c r="F80" s="103">
        <v>346.52</v>
      </c>
      <c r="G80" s="104">
        <f t="shared" si="39"/>
        <v>7.6428105885413</v>
      </c>
      <c r="H80" s="106">
        <f>(239432*60)/3886881</f>
        <v>3.6960020129250162</v>
      </c>
      <c r="I80" s="106">
        <v>189.5</v>
      </c>
      <c r="J80" s="106">
        <f t="shared" si="34"/>
        <v>0.35019619072464531</v>
      </c>
      <c r="K80" s="103">
        <f t="shared" si="35"/>
        <v>14.39900259704407</v>
      </c>
      <c r="L80" s="103">
        <f t="shared" si="36"/>
        <v>0.44489163569518297</v>
      </c>
      <c r="M80" s="103">
        <f t="shared" si="37"/>
        <v>0.55510836430481691</v>
      </c>
      <c r="N80" s="103">
        <v>13.84</v>
      </c>
      <c r="O80" s="105">
        <f t="shared" si="38"/>
        <v>0.55900259704407063</v>
      </c>
    </row>
    <row r="81" spans="1:15" x14ac:dyDescent="0.2">
      <c r="A81" t="s">
        <v>165</v>
      </c>
      <c r="B81" s="106">
        <f>(1458750)/125000</f>
        <v>11.67</v>
      </c>
      <c r="C81" s="103">
        <v>54.39</v>
      </c>
      <c r="D81" s="103">
        <f>(B81*C81)/100</f>
        <v>6.3473130000000006</v>
      </c>
      <c r="E81" s="106">
        <f>(2779375*2)/125000</f>
        <v>44.47</v>
      </c>
      <c r="F81" s="103">
        <v>349.6</v>
      </c>
      <c r="G81" s="104">
        <f>E81*F81/2000</f>
        <v>7.7733560000000006</v>
      </c>
      <c r="H81" s="106">
        <f>(222525*2)/125000</f>
        <v>3.5604</v>
      </c>
      <c r="I81" s="106">
        <v>216.3</v>
      </c>
      <c r="J81" s="106">
        <f t="shared" si="34"/>
        <v>0.38505726000000007</v>
      </c>
      <c r="K81" s="103">
        <f t="shared" si="35"/>
        <v>14.505726260000001</v>
      </c>
      <c r="L81" s="103">
        <f t="shared" si="36"/>
        <v>0.4375729202544596</v>
      </c>
      <c r="M81" s="103">
        <f t="shared" si="37"/>
        <v>0.56242707974554051</v>
      </c>
      <c r="N81" s="103">
        <v>13.81</v>
      </c>
      <c r="O81" s="105">
        <f t="shared" si="38"/>
        <v>0.69572626000000071</v>
      </c>
    </row>
    <row r="82" spans="1:15" x14ac:dyDescent="0.2">
      <c r="A82" t="s">
        <v>196</v>
      </c>
      <c r="B82" s="106">
        <f>(19011625.94*60)/(49441.27784*2000)</f>
        <v>11.535882629201883</v>
      </c>
      <c r="C82" s="103">
        <f>AVERAGE(C70:C81)</f>
        <v>51.870833333333316</v>
      </c>
      <c r="D82" s="103">
        <f>(B82*C82)/100</f>
        <v>5.9837584521222569</v>
      </c>
      <c r="E82" s="106">
        <f>(36579311.88*60)/49441277.84</f>
        <v>44.391221438543631</v>
      </c>
      <c r="F82" s="103">
        <f>AVERAGE(F70:F81)</f>
        <v>343.96499999999997</v>
      </c>
      <c r="G82" s="104">
        <f>E82*F82/2000</f>
        <v>7.6345132410543295</v>
      </c>
      <c r="H82" s="106">
        <f>(2967154.37*60)/49441277.84</f>
        <v>3.6008224297141265</v>
      </c>
      <c r="I82" s="106">
        <f>AVERAGE(I70:I81)</f>
        <v>161.97083333333333</v>
      </c>
      <c r="J82" s="106">
        <f t="shared" si="34"/>
        <v>0.29161410481307759</v>
      </c>
      <c r="K82" s="103">
        <f t="shared" si="35"/>
        <v>13.909885797989665</v>
      </c>
      <c r="L82" s="103">
        <f t="shared" si="36"/>
        <v>0.43018027171632589</v>
      </c>
      <c r="M82" s="103">
        <f t="shared" si="37"/>
        <v>0.569819728283674</v>
      </c>
      <c r="N82" s="103">
        <f>AVERAGE(N70:N81)</f>
        <v>13.140833333333333</v>
      </c>
      <c r="O82" s="105">
        <f t="shared" si="38"/>
        <v>0.76905246465633148</v>
      </c>
    </row>
    <row r="83" spans="1:15" x14ac:dyDescent="0.2">
      <c r="A83" s="22" t="s">
        <v>32</v>
      </c>
      <c r="B83" s="106"/>
      <c r="C83" s="103"/>
      <c r="D83" s="103"/>
      <c r="E83" s="106"/>
      <c r="F83" s="103"/>
      <c r="G83" s="104"/>
      <c r="H83" s="106"/>
      <c r="I83" s="106"/>
      <c r="J83" s="106"/>
      <c r="K83" s="103"/>
      <c r="L83" s="103"/>
      <c r="M83" s="103"/>
      <c r="N83" s="106"/>
      <c r="O83" s="105"/>
    </row>
    <row r="84" spans="1:15" x14ac:dyDescent="0.2">
      <c r="A84" t="s">
        <v>151</v>
      </c>
      <c r="B84" s="106">
        <f>(1531282)/(4036896*2/60)</f>
        <v>11.379649116548951</v>
      </c>
      <c r="C84" s="103">
        <v>26.43</v>
      </c>
      <c r="D84" s="103">
        <f t="shared" ref="D84:D94" si="40">(B84*C84)/100</f>
        <v>3.0076412615038874</v>
      </c>
      <c r="E84" s="106">
        <f>2974159/(4036896)*60</f>
        <v>44.204641387838578</v>
      </c>
      <c r="F84" s="103">
        <v>333.62</v>
      </c>
      <c r="G84" s="104">
        <f>E84*F84/2000</f>
        <v>7.3737762299053529</v>
      </c>
      <c r="H84" s="106">
        <f>(200994/4036896)*60</f>
        <v>2.9873546407933222</v>
      </c>
      <c r="I84" s="106">
        <v>137.86000000000001</v>
      </c>
      <c r="J84" s="106">
        <f t="shared" ref="J84:J96" si="41">H84*I84/2000</f>
        <v>0.20591835538988371</v>
      </c>
      <c r="K84" s="103">
        <f t="shared" ref="K84:K96" si="42">D84+G84+J84</f>
        <v>10.587335846799125</v>
      </c>
      <c r="L84" s="103">
        <f t="shared" ref="L84:L96" si="43">D84/K84</f>
        <v>0.28407913992954037</v>
      </c>
      <c r="M84" s="103">
        <f t="shared" ref="M84:M96" si="44">(+G84+J84)/K84</f>
        <v>0.71592086007045952</v>
      </c>
      <c r="N84" s="103">
        <v>8.91</v>
      </c>
      <c r="O84" s="105">
        <f t="shared" si="38"/>
        <v>1.6773358467991244</v>
      </c>
    </row>
    <row r="85" spans="1:15" x14ac:dyDescent="0.2">
      <c r="A85" t="s">
        <v>152</v>
      </c>
      <c r="B85" s="106">
        <f>1962937/(5104010*2/60)</f>
        <v>11.537616501535068</v>
      </c>
      <c r="C85" s="103">
        <v>27.14</v>
      </c>
      <c r="D85" s="103">
        <f t="shared" si="40"/>
        <v>3.1313091185166173</v>
      </c>
      <c r="E85" s="106">
        <f>3742412/(5104010)*60</f>
        <v>43.993785278633858</v>
      </c>
      <c r="F85" s="103">
        <v>327.97</v>
      </c>
      <c r="G85" s="104">
        <f t="shared" ref="G85:G94" si="45">E85*F85/2000</f>
        <v>7.2143208789167739</v>
      </c>
      <c r="H85" s="106">
        <f>(258909/5104010)*60</f>
        <v>3.0435951340220728</v>
      </c>
      <c r="I85" s="106">
        <v>166.79</v>
      </c>
      <c r="J85" s="106">
        <f t="shared" si="41"/>
        <v>0.25382061620177077</v>
      </c>
      <c r="K85" s="103">
        <f t="shared" si="42"/>
        <v>10.599450613635163</v>
      </c>
      <c r="L85" s="103">
        <f t="shared" si="43"/>
        <v>0.2954218320040562</v>
      </c>
      <c r="M85" s="103">
        <f t="shared" si="44"/>
        <v>0.70457816799594375</v>
      </c>
      <c r="N85" s="103">
        <v>8.93</v>
      </c>
      <c r="O85" s="105">
        <f t="shared" si="38"/>
        <v>1.6694506136351634</v>
      </c>
    </row>
    <row r="86" spans="1:15" x14ac:dyDescent="0.2">
      <c r="A86" t="s">
        <v>153</v>
      </c>
      <c r="B86" s="106">
        <f>1901853/(4973534*2/60)</f>
        <v>11.471840747444372</v>
      </c>
      <c r="C86" s="103">
        <v>26.42</v>
      </c>
      <c r="D86" s="103">
        <f t="shared" si="40"/>
        <v>3.0308603254748032</v>
      </c>
      <c r="E86" s="106">
        <f>3655750/(4973534)*60</f>
        <v>44.10244305156052</v>
      </c>
      <c r="F86" s="103">
        <v>308.60000000000002</v>
      </c>
      <c r="G86" s="104">
        <f t="shared" si="45"/>
        <v>6.8050069628557885</v>
      </c>
      <c r="H86" s="106">
        <f>(251965/4973534)*60</f>
        <v>3.0396695790156456</v>
      </c>
      <c r="I86" s="106">
        <v>139.03</v>
      </c>
      <c r="J86" s="106">
        <f t="shared" si="41"/>
        <v>0.21130263078527262</v>
      </c>
      <c r="K86" s="103">
        <f t="shared" si="42"/>
        <v>10.047169919115865</v>
      </c>
      <c r="L86" s="103">
        <f t="shared" si="43"/>
        <v>0.30166309019102511</v>
      </c>
      <c r="M86" s="103">
        <f t="shared" si="44"/>
        <v>0.69833690980897489</v>
      </c>
      <c r="N86" s="103">
        <v>8.83</v>
      </c>
      <c r="O86" s="105">
        <f t="shared" si="38"/>
        <v>1.2171699191158645</v>
      </c>
    </row>
    <row r="87" spans="1:15" x14ac:dyDescent="0.2">
      <c r="A87" t="s">
        <v>154</v>
      </c>
      <c r="B87" s="106">
        <f>1929027/(5011324*2/60)</f>
        <v>11.548008071320075</v>
      </c>
      <c r="C87" s="103">
        <v>29.72</v>
      </c>
      <c r="D87" s="103">
        <f t="shared" si="40"/>
        <v>3.4320679987963261</v>
      </c>
      <c r="E87" s="106">
        <f>3669213/(5011324)*60</f>
        <v>43.931060933198495</v>
      </c>
      <c r="F87" s="103">
        <v>289.77999999999997</v>
      </c>
      <c r="G87" s="104">
        <f t="shared" si="45"/>
        <v>6.365171418611129</v>
      </c>
      <c r="H87" s="106">
        <f>(262266/5011324)*60</f>
        <v>3.1400803460323061</v>
      </c>
      <c r="I87" s="106">
        <v>120</v>
      </c>
      <c r="J87" s="106">
        <f t="shared" si="41"/>
        <v>0.18840482076193837</v>
      </c>
      <c r="K87" s="103">
        <f t="shared" si="42"/>
        <v>9.9856442381693942</v>
      </c>
      <c r="L87" s="103">
        <f t="shared" si="43"/>
        <v>0.34370020771193682</v>
      </c>
      <c r="M87" s="103">
        <f t="shared" si="44"/>
        <v>0.65629979228806312</v>
      </c>
      <c r="N87" s="103">
        <v>8.9</v>
      </c>
      <c r="O87" s="105">
        <f t="shared" si="38"/>
        <v>1.0856442381693938</v>
      </c>
    </row>
    <row r="88" spans="1:15" x14ac:dyDescent="0.2">
      <c r="A88" t="s">
        <v>155</v>
      </c>
      <c r="B88" s="106">
        <f>1864887/(4814044*2/60)</f>
        <v>11.621541057788422</v>
      </c>
      <c r="C88" s="103">
        <v>28.89</v>
      </c>
      <c r="D88" s="103">
        <f t="shared" si="40"/>
        <v>3.3574632115950749</v>
      </c>
      <c r="E88" s="106">
        <f>3539791/(4814044)*60</f>
        <v>44.118304693517544</v>
      </c>
      <c r="F88" s="103">
        <v>279.56</v>
      </c>
      <c r="G88" s="104">
        <f t="shared" si="45"/>
        <v>6.1668566300598826</v>
      </c>
      <c r="H88" s="106">
        <f>(256884/4814044)*60</f>
        <v>3.2016824108795019</v>
      </c>
      <c r="I88" s="106">
        <v>108.13</v>
      </c>
      <c r="J88" s="106">
        <f t="shared" si="41"/>
        <v>0.17309895954420026</v>
      </c>
      <c r="K88" s="103">
        <f t="shared" si="42"/>
        <v>9.6974188011991576</v>
      </c>
      <c r="L88" s="103">
        <f t="shared" si="43"/>
        <v>0.3462223587971574</v>
      </c>
      <c r="M88" s="103">
        <f t="shared" si="44"/>
        <v>0.65377764120284254</v>
      </c>
      <c r="N88" s="103">
        <v>8.81</v>
      </c>
      <c r="O88" s="105">
        <f t="shared" si="38"/>
        <v>0.88741880119915706</v>
      </c>
    </row>
    <row r="89" spans="1:15" x14ac:dyDescent="0.2">
      <c r="A89" t="s">
        <v>156</v>
      </c>
      <c r="B89" s="106">
        <f>1795866/(4638663*2/60)</f>
        <v>11.614549278531335</v>
      </c>
      <c r="C89" s="103">
        <v>29.79</v>
      </c>
      <c r="D89" s="103">
        <f t="shared" si="40"/>
        <v>3.4599742300744847</v>
      </c>
      <c r="E89" s="106">
        <f>3425236/(4638663)*60</f>
        <v>44.304611048485306</v>
      </c>
      <c r="F89" s="103">
        <v>273.61</v>
      </c>
      <c r="G89" s="104">
        <f t="shared" si="45"/>
        <v>6.0610923144880324</v>
      </c>
      <c r="H89" s="106">
        <f>(241078/4638663)*60</f>
        <v>3.1182864545236417</v>
      </c>
      <c r="I89" s="106">
        <v>109.15</v>
      </c>
      <c r="J89" s="106">
        <f t="shared" si="41"/>
        <v>0.17018048325562776</v>
      </c>
      <c r="K89" s="103">
        <f t="shared" si="42"/>
        <v>9.6912470278181448</v>
      </c>
      <c r="L89" s="103">
        <f t="shared" si="43"/>
        <v>0.35702053823856061</v>
      </c>
      <c r="M89" s="103">
        <f t="shared" si="44"/>
        <v>0.64297946176143939</v>
      </c>
      <c r="N89" s="103">
        <v>8.82</v>
      </c>
      <c r="O89" s="105">
        <f t="shared" si="38"/>
        <v>0.87124702781814456</v>
      </c>
    </row>
    <row r="90" spans="1:15" x14ac:dyDescent="0.2">
      <c r="A90" t="s">
        <v>157</v>
      </c>
      <c r="B90" s="106">
        <f>1943537/(4991626*2/60)</f>
        <v>11.680784978682297</v>
      </c>
      <c r="C90" s="103">
        <v>30.86</v>
      </c>
      <c r="D90" s="103">
        <f t="shared" si="40"/>
        <v>3.6046902444213567</v>
      </c>
      <c r="E90" s="106">
        <f>3677248/(4991626)*60</f>
        <v>44.201003841233302</v>
      </c>
      <c r="F90" s="103">
        <v>276.22000000000003</v>
      </c>
      <c r="G90" s="104">
        <f t="shared" si="45"/>
        <v>6.1046006405127322</v>
      </c>
      <c r="H90" s="106">
        <f>(260298/4991626)*60</f>
        <v>3.1288161412734046</v>
      </c>
      <c r="I90" s="106">
        <v>104.2</v>
      </c>
      <c r="J90" s="106">
        <f t="shared" si="41"/>
        <v>0.1630113209603444</v>
      </c>
      <c r="K90" s="103">
        <f t="shared" si="42"/>
        <v>9.8723022058944316</v>
      </c>
      <c r="L90" s="103">
        <f t="shared" si="43"/>
        <v>0.36513167539270758</v>
      </c>
      <c r="M90" s="103">
        <f t="shared" si="44"/>
        <v>0.63486832460729259</v>
      </c>
      <c r="N90" s="103">
        <v>8.9600000000000009</v>
      </c>
      <c r="O90" s="105">
        <f t="shared" si="38"/>
        <v>0.91230220589443078</v>
      </c>
    </row>
    <row r="91" spans="1:15" x14ac:dyDescent="0.2">
      <c r="A91" t="s">
        <v>158</v>
      </c>
      <c r="B91" s="106">
        <f>1840263/(4745090*2/60)</f>
        <v>11.63474033158486</v>
      </c>
      <c r="C91" s="103">
        <v>32.450000000000003</v>
      </c>
      <c r="D91" s="103">
        <f t="shared" si="40"/>
        <v>3.7754732375992877</v>
      </c>
      <c r="E91" s="106">
        <f>3502911/(4745090)*60</f>
        <v>44.293081901502397</v>
      </c>
      <c r="F91" s="103">
        <v>303.81</v>
      </c>
      <c r="G91" s="104">
        <f t="shared" si="45"/>
        <v>6.7283406062477216</v>
      </c>
      <c r="H91" s="106">
        <f>(243761/4745090)*60</f>
        <v>3.0822724121144169</v>
      </c>
      <c r="I91" s="106">
        <v>88.21</v>
      </c>
      <c r="J91" s="106">
        <f t="shared" si="41"/>
        <v>0.13594362473630636</v>
      </c>
      <c r="K91" s="103">
        <f t="shared" si="42"/>
        <v>10.639757468583316</v>
      </c>
      <c r="L91" s="103">
        <f t="shared" si="43"/>
        <v>0.35484579876443295</v>
      </c>
      <c r="M91" s="103">
        <f t="shared" si="44"/>
        <v>0.6451542012355671</v>
      </c>
      <c r="N91" s="103">
        <v>9.61</v>
      </c>
      <c r="O91" s="105">
        <f t="shared" si="38"/>
        <v>1.0297574685833162</v>
      </c>
    </row>
    <row r="92" spans="1:15" x14ac:dyDescent="0.2">
      <c r="A92" t="s">
        <v>159</v>
      </c>
      <c r="B92" s="106">
        <f>1876184/(4825833*2/60)</f>
        <v>11.663379151329936</v>
      </c>
      <c r="C92" s="103">
        <v>30.76</v>
      </c>
      <c r="D92" s="103">
        <f t="shared" si="40"/>
        <v>3.5876554269490883</v>
      </c>
      <c r="E92" s="106">
        <f>3561181/(4825833)*60</f>
        <v>44.276472061921744</v>
      </c>
      <c r="F92" s="103">
        <v>376.35</v>
      </c>
      <c r="G92" s="104">
        <f t="shared" si="45"/>
        <v>8.331725130252126</v>
      </c>
      <c r="H92" s="106">
        <f>(246358/4825833)*60</f>
        <v>3.0629903687094018</v>
      </c>
      <c r="I92" s="106">
        <v>89.76</v>
      </c>
      <c r="J92" s="106">
        <f t="shared" si="41"/>
        <v>0.13746700774767798</v>
      </c>
      <c r="K92" s="103">
        <f t="shared" si="42"/>
        <v>12.056847564948892</v>
      </c>
      <c r="L92" s="103">
        <f t="shared" si="43"/>
        <v>0.29756164765481102</v>
      </c>
      <c r="M92" s="103">
        <f t="shared" si="44"/>
        <v>0.70243835234518892</v>
      </c>
      <c r="N92" s="103">
        <v>10.49</v>
      </c>
      <c r="O92" s="105">
        <f t="shared" si="38"/>
        <v>1.5668475649488922</v>
      </c>
    </row>
    <row r="93" spans="1:15" x14ac:dyDescent="0.2">
      <c r="A93" t="s">
        <v>163</v>
      </c>
      <c r="B93" s="106">
        <f>1787234/(4623752*2/60)</f>
        <v>11.595998228278678</v>
      </c>
      <c r="C93" s="103">
        <v>30.35</v>
      </c>
      <c r="D93" s="103">
        <f t="shared" si="40"/>
        <v>3.5193854622825791</v>
      </c>
      <c r="E93" s="106">
        <f>3411099/(4623752)*60</f>
        <v>44.264039247779728</v>
      </c>
      <c r="F93" s="103">
        <v>408.57</v>
      </c>
      <c r="G93" s="104">
        <f t="shared" si="45"/>
        <v>9.0424792577326816</v>
      </c>
      <c r="H93" s="106">
        <f>(235294/4623752)*60</f>
        <v>3.053286594955785</v>
      </c>
      <c r="I93" s="106">
        <v>93.07</v>
      </c>
      <c r="J93" s="106">
        <f t="shared" si="41"/>
        <v>0.14208469169626745</v>
      </c>
      <c r="K93" s="103">
        <f t="shared" si="42"/>
        <v>12.703949411711529</v>
      </c>
      <c r="L93" s="103">
        <f t="shared" si="43"/>
        <v>0.27703081523908812</v>
      </c>
      <c r="M93" s="103">
        <f t="shared" si="44"/>
        <v>0.72296918476091176</v>
      </c>
      <c r="N93" s="103">
        <v>11.4</v>
      </c>
      <c r="O93" s="105">
        <f t="shared" si="38"/>
        <v>1.3039494117115282</v>
      </c>
    </row>
    <row r="94" spans="1:15" x14ac:dyDescent="0.2">
      <c r="A94" t="s">
        <v>164</v>
      </c>
      <c r="B94" s="106">
        <f>1789356/(4603543*2/60)</f>
        <v>11.660731745092857</v>
      </c>
      <c r="C94" s="103">
        <v>28.75</v>
      </c>
      <c r="D94" s="103">
        <f t="shared" si="40"/>
        <v>3.3524603767141965</v>
      </c>
      <c r="E94" s="106">
        <f>3403386/(4603543)*60</f>
        <v>44.357826135218026</v>
      </c>
      <c r="F94" s="103">
        <v>371.49</v>
      </c>
      <c r="G94" s="104">
        <f t="shared" si="45"/>
        <v>8.2392444154860733</v>
      </c>
      <c r="H94" s="106">
        <f>(240805/4603543)*60</f>
        <v>3.1385174418920383</v>
      </c>
      <c r="I94" s="106">
        <v>93.5</v>
      </c>
      <c r="J94" s="106">
        <f t="shared" si="41"/>
        <v>0.14672569040845279</v>
      </c>
      <c r="K94" s="103">
        <f t="shared" si="42"/>
        <v>11.738430482608722</v>
      </c>
      <c r="L94" s="103">
        <f t="shared" si="43"/>
        <v>0.28559698689540253</v>
      </c>
      <c r="M94" s="103">
        <f t="shared" si="44"/>
        <v>0.71440301310459753</v>
      </c>
      <c r="N94" s="103">
        <v>10.59</v>
      </c>
      <c r="O94" s="105">
        <f t="shared" si="38"/>
        <v>1.1484304826087222</v>
      </c>
    </row>
    <row r="95" spans="1:15" x14ac:dyDescent="0.2">
      <c r="A95" t="s">
        <v>165</v>
      </c>
      <c r="B95" s="106">
        <f>1642478/(4218789*2/60)</f>
        <v>11.679735582888835</v>
      </c>
      <c r="C95" s="103">
        <v>31.21</v>
      </c>
      <c r="D95" s="103">
        <f>(B95*C95)/100</f>
        <v>3.6452454754196055</v>
      </c>
      <c r="E95" s="106">
        <f>3111301/(4218789)*60</f>
        <v>44.24920516290338</v>
      </c>
      <c r="F95" s="103">
        <v>340.8</v>
      </c>
      <c r="G95" s="104">
        <f>E95*F95/2000</f>
        <v>7.5400645597587364</v>
      </c>
      <c r="H95" s="106">
        <f>(217058/4218789)*60</f>
        <v>3.0870185733394107</v>
      </c>
      <c r="I95" s="106">
        <v>106.52</v>
      </c>
      <c r="J95" s="106">
        <f t="shared" si="41"/>
        <v>0.16441460921605702</v>
      </c>
      <c r="K95" s="103">
        <f t="shared" si="42"/>
        <v>11.349724644394399</v>
      </c>
      <c r="L95" s="103">
        <f t="shared" si="43"/>
        <v>0.32117479407044319</v>
      </c>
      <c r="M95" s="103">
        <f t="shared" si="44"/>
        <v>0.67882520592955675</v>
      </c>
      <c r="N95" s="103">
        <v>10.24</v>
      </c>
      <c r="O95" s="105">
        <f t="shared" si="38"/>
        <v>1.1097246443943991</v>
      </c>
    </row>
    <row r="96" spans="1:15" x14ac:dyDescent="0.2">
      <c r="A96" t="s">
        <v>196</v>
      </c>
      <c r="B96" s="106">
        <f>(21864904)/(56587104*2/60)</f>
        <v>11.591812862520761</v>
      </c>
      <c r="C96" s="103">
        <f>AVERAGE(C84:C95)</f>
        <v>29.397499999999997</v>
      </c>
      <c r="D96" s="103">
        <f>(B96*C96)/100</f>
        <v>3.4077031862595408</v>
      </c>
      <c r="E96" s="106">
        <f>41673687/(56587104)*60</f>
        <v>44.187121150430315</v>
      </c>
      <c r="F96" s="103">
        <f>AVERAGE(F84:F95)</f>
        <v>324.19833333333332</v>
      </c>
      <c r="G96" s="104">
        <f>E96*F96/2000</f>
        <v>7.1626955158837955</v>
      </c>
      <c r="H96" s="106">
        <f>2915670/(56587104)*60</f>
        <v>3.0915206404625337</v>
      </c>
      <c r="I96" s="106">
        <f>AVERAGE(I84:I95)</f>
        <v>113.01833333333333</v>
      </c>
      <c r="J96" s="106">
        <f t="shared" si="41"/>
        <v>0.1746992551253374</v>
      </c>
      <c r="K96" s="103">
        <f t="shared" si="42"/>
        <v>10.745097957268674</v>
      </c>
      <c r="L96" s="103">
        <f t="shared" si="43"/>
        <v>0.31714026245375937</v>
      </c>
      <c r="M96" s="103">
        <f t="shared" si="44"/>
        <v>0.68285973754624052</v>
      </c>
      <c r="N96" s="103">
        <f>AVERAGE(N84:N95)</f>
        <v>9.5408333333333335</v>
      </c>
      <c r="O96" s="105">
        <f t="shared" si="38"/>
        <v>1.2042646239353409</v>
      </c>
    </row>
    <row r="97" spans="1:15" x14ac:dyDescent="0.2">
      <c r="A97" s="22" t="s">
        <v>33</v>
      </c>
      <c r="B97" s="106"/>
      <c r="C97" s="103"/>
      <c r="D97" s="103"/>
      <c r="E97" s="106"/>
      <c r="F97" s="103"/>
      <c r="G97" s="104"/>
      <c r="H97" s="106"/>
      <c r="I97" s="106"/>
      <c r="J97" s="106"/>
      <c r="K97" s="103"/>
      <c r="L97" s="103"/>
      <c r="M97" s="103"/>
      <c r="N97" s="106"/>
      <c r="O97" s="105"/>
    </row>
    <row r="98" spans="1:15" x14ac:dyDescent="0.2">
      <c r="A98" t="s">
        <v>151</v>
      </c>
      <c r="B98" s="106">
        <f>(1616609)/(4148008*2/60)</f>
        <v>11.691942252763255</v>
      </c>
      <c r="C98" s="103">
        <v>31.99</v>
      </c>
      <c r="D98" s="103">
        <f t="shared" ref="D98:D108" si="46">(B98*C98)/100</f>
        <v>3.7402523266589651</v>
      </c>
      <c r="E98" s="106">
        <v>44.006400180520387</v>
      </c>
      <c r="F98" s="103">
        <v>337.95</v>
      </c>
      <c r="G98" s="104">
        <f>E98*F98/2000</f>
        <v>7.4359814705034326</v>
      </c>
      <c r="H98" s="106">
        <v>3.1119949624012295</v>
      </c>
      <c r="I98" s="106">
        <v>106.43</v>
      </c>
      <c r="J98" s="106">
        <f t="shared" ref="J98:J110" si="47">H98*I98/2000</f>
        <v>0.16560481192418144</v>
      </c>
      <c r="K98" s="103">
        <f t="shared" ref="K98:K110" si="48">D98+G98+J98</f>
        <v>11.341838609086579</v>
      </c>
      <c r="L98" s="103">
        <f t="shared" ref="L98:L110" si="49">D98/K98</f>
        <v>0.32977477951964862</v>
      </c>
      <c r="M98" s="103">
        <f t="shared" ref="M98:M110" si="50">(+G98+J98)/K98</f>
        <v>0.67022522048035127</v>
      </c>
      <c r="N98" s="103">
        <v>9.76</v>
      </c>
      <c r="O98" s="105">
        <f t="shared" ref="O98:O110" si="51">K98-N98</f>
        <v>1.5818386090865797</v>
      </c>
    </row>
    <row r="99" spans="1:15" x14ac:dyDescent="0.2">
      <c r="A99" t="s">
        <v>152</v>
      </c>
      <c r="B99" s="106">
        <f>(2028518)/(5276415*2/60)</f>
        <v>11.533501439898112</v>
      </c>
      <c r="C99" s="103">
        <v>33.86</v>
      </c>
      <c r="D99" s="103">
        <f t="shared" si="46"/>
        <v>3.9052435875495006</v>
      </c>
      <c r="E99" s="106">
        <v>43.553719713100655</v>
      </c>
      <c r="F99" s="103">
        <v>323.27</v>
      </c>
      <c r="G99" s="104">
        <f t="shared" ref="G99:G108" si="52">E99*F99/2000</f>
        <v>7.0398054858270243</v>
      </c>
      <c r="H99" s="106">
        <v>3.1148080657037025</v>
      </c>
      <c r="I99" s="106">
        <v>109.88</v>
      </c>
      <c r="J99" s="106">
        <f t="shared" si="47"/>
        <v>0.17112755512976141</v>
      </c>
      <c r="K99" s="103">
        <f t="shared" si="48"/>
        <v>11.116176628506286</v>
      </c>
      <c r="L99" s="103">
        <f t="shared" si="49"/>
        <v>0.35131176105414763</v>
      </c>
      <c r="M99" s="103">
        <f t="shared" si="50"/>
        <v>0.64868823894585237</v>
      </c>
      <c r="N99" s="103">
        <v>9.56</v>
      </c>
      <c r="O99" s="105">
        <f t="shared" si="51"/>
        <v>1.5561766285062859</v>
      </c>
    </row>
    <row r="100" spans="1:15" x14ac:dyDescent="0.2">
      <c r="A100" t="s">
        <v>153</v>
      </c>
      <c r="B100" s="106">
        <f>(1961256)/(5122038*2/60)</f>
        <v>11.487161946084742</v>
      </c>
      <c r="C100" s="103">
        <v>34.520000000000003</v>
      </c>
      <c r="D100" s="103">
        <f t="shared" si="46"/>
        <v>3.9653683037884533</v>
      </c>
      <c r="E100" s="106">
        <v>43.800061616098901</v>
      </c>
      <c r="F100" s="103">
        <v>322.41000000000003</v>
      </c>
      <c r="G100" s="104">
        <f t="shared" si="52"/>
        <v>7.0607889328232236</v>
      </c>
      <c r="H100" s="106">
        <v>3.2027954497799507</v>
      </c>
      <c r="I100" s="106">
        <v>105.26</v>
      </c>
      <c r="J100" s="106">
        <f t="shared" si="47"/>
        <v>0.16856312452191882</v>
      </c>
      <c r="K100" s="103">
        <f t="shared" si="48"/>
        <v>11.194720361133596</v>
      </c>
      <c r="L100" s="103">
        <f>D100/K100</f>
        <v>0.35421771834119431</v>
      </c>
      <c r="M100" s="103">
        <f>(+G100+J100)/K100</f>
        <v>0.64578228165880569</v>
      </c>
      <c r="N100" s="103">
        <v>9.94</v>
      </c>
      <c r="O100" s="105">
        <f t="shared" si="51"/>
        <v>1.2547203611335966</v>
      </c>
    </row>
    <row r="101" spans="1:15" x14ac:dyDescent="0.2">
      <c r="A101" t="s">
        <v>154</v>
      </c>
      <c r="B101" s="106">
        <f>(1950176)/(5071493*2/60)</f>
        <v>11.536105837077958</v>
      </c>
      <c r="C101" s="103">
        <v>35.57</v>
      </c>
      <c r="D101" s="103">
        <f t="shared" si="46"/>
        <v>4.1033928462486298</v>
      </c>
      <c r="E101" s="106">
        <v>43.663686413448659</v>
      </c>
      <c r="F101" s="103">
        <v>321.02</v>
      </c>
      <c r="G101" s="104">
        <f t="shared" si="52"/>
        <v>7.0084583062226438</v>
      </c>
      <c r="H101" s="106">
        <v>3.2354850928513557</v>
      </c>
      <c r="I101" s="106">
        <v>113.45</v>
      </c>
      <c r="J101" s="106">
        <f t="shared" si="47"/>
        <v>0.18353289189199315</v>
      </c>
      <c r="K101" s="103">
        <f t="shared" si="48"/>
        <v>11.295384044363267</v>
      </c>
      <c r="L101" s="103">
        <f t="shared" si="49"/>
        <v>0.36328050734108019</v>
      </c>
      <c r="M101" s="103">
        <f t="shared" si="50"/>
        <v>0.63671949265891969</v>
      </c>
      <c r="N101" s="103">
        <v>10.16</v>
      </c>
      <c r="O101" s="105">
        <f t="shared" si="51"/>
        <v>1.135384044363267</v>
      </c>
    </row>
    <row r="102" spans="1:15" x14ac:dyDescent="0.2">
      <c r="A102" t="s">
        <v>155</v>
      </c>
      <c r="B102" s="106">
        <f>(1982893)/(5139706*2/60)</f>
        <v>11.573967460395595</v>
      </c>
      <c r="C102" s="103">
        <v>33.58</v>
      </c>
      <c r="D102" s="103">
        <f t="shared" si="46"/>
        <v>3.8865382732008409</v>
      </c>
      <c r="E102" s="106">
        <v>43.933777812124575</v>
      </c>
      <c r="F102" s="103">
        <v>332.34</v>
      </c>
      <c r="G102" s="104">
        <f t="shared" si="52"/>
        <v>7.3004758590407404</v>
      </c>
      <c r="H102" s="106">
        <v>3.05264193228841</v>
      </c>
      <c r="I102" s="106">
        <v>159.25</v>
      </c>
      <c r="J102" s="106">
        <f t="shared" si="47"/>
        <v>0.24306661385846465</v>
      </c>
      <c r="K102" s="103">
        <f t="shared" si="48"/>
        <v>11.430080746100046</v>
      </c>
      <c r="L102" s="103">
        <f t="shared" si="49"/>
        <v>0.34002719311733043</v>
      </c>
      <c r="M102" s="103">
        <f t="shared" si="50"/>
        <v>0.65997280688266946</v>
      </c>
      <c r="N102" s="103">
        <v>10.26</v>
      </c>
      <c r="O102" s="105">
        <f t="shared" si="51"/>
        <v>1.1700807461000462</v>
      </c>
    </row>
    <row r="103" spans="1:15" x14ac:dyDescent="0.2">
      <c r="A103" t="s">
        <v>156</v>
      </c>
      <c r="B103" s="106">
        <f>(1757030)/(4542336*2/60)</f>
        <v>11.60435951897878</v>
      </c>
      <c r="C103" s="103">
        <v>32</v>
      </c>
      <c r="D103" s="103">
        <f t="shared" si="46"/>
        <v>3.7133950460732099</v>
      </c>
      <c r="E103" s="106">
        <v>43.999622082396634</v>
      </c>
      <c r="F103" s="103">
        <v>334.42</v>
      </c>
      <c r="G103" s="104">
        <f t="shared" si="52"/>
        <v>7.3571768083975408</v>
      </c>
      <c r="H103" s="106">
        <v>3.011292495863215</v>
      </c>
      <c r="I103" s="106">
        <v>142.5</v>
      </c>
      <c r="J103" s="106">
        <f t="shared" si="47"/>
        <v>0.21455459033025406</v>
      </c>
      <c r="K103" s="103">
        <f t="shared" si="48"/>
        <v>11.285126444801005</v>
      </c>
      <c r="L103" s="103">
        <f t="shared" si="49"/>
        <v>0.32905214347721823</v>
      </c>
      <c r="M103" s="103">
        <f t="shared" si="50"/>
        <v>0.67094785652278177</v>
      </c>
      <c r="N103" s="103">
        <v>10.26</v>
      </c>
      <c r="O103" s="105">
        <f t="shared" si="51"/>
        <v>1.0251264448010051</v>
      </c>
    </row>
    <row r="104" spans="1:15" x14ac:dyDescent="0.2">
      <c r="A104" t="s">
        <v>157</v>
      </c>
      <c r="B104" s="106">
        <f>(1865466)/(4822961*2/60)</f>
        <v>11.603655928380926</v>
      </c>
      <c r="C104" s="103">
        <v>30.86</v>
      </c>
      <c r="D104" s="103">
        <f t="shared" si="46"/>
        <v>3.5808882194983536</v>
      </c>
      <c r="E104" s="106">
        <v>43.898686930891586</v>
      </c>
      <c r="F104" s="103">
        <v>320.33999999999997</v>
      </c>
      <c r="G104" s="104">
        <f t="shared" si="52"/>
        <v>7.0312526857209052</v>
      </c>
      <c r="H104" s="106">
        <v>3.0425295392633247</v>
      </c>
      <c r="I104" s="106">
        <v>113.37</v>
      </c>
      <c r="J104" s="106">
        <f t="shared" si="47"/>
        <v>0.17246578693314157</v>
      </c>
      <c r="K104" s="103">
        <f t="shared" si="48"/>
        <v>10.784606692152401</v>
      </c>
      <c r="L104" s="103">
        <f t="shared" si="49"/>
        <v>0.33203697841888352</v>
      </c>
      <c r="M104" s="103">
        <f t="shared" si="50"/>
        <v>0.66796302158111642</v>
      </c>
      <c r="N104" s="103">
        <v>9.86</v>
      </c>
      <c r="O104" s="105">
        <f t="shared" si="51"/>
        <v>0.92460669215240188</v>
      </c>
    </row>
    <row r="105" spans="1:15" x14ac:dyDescent="0.2">
      <c r="A105" t="s">
        <v>158</v>
      </c>
      <c r="B105" s="106">
        <f>(1737775)/(4509463*2/60)</f>
        <v>11.560855472148237</v>
      </c>
      <c r="C105" s="103">
        <v>29.57</v>
      </c>
      <c r="D105" s="103">
        <f t="shared" si="46"/>
        <v>3.4185449631142335</v>
      </c>
      <c r="E105" s="106">
        <v>43.917273141258683</v>
      </c>
      <c r="F105" s="103">
        <v>305.67</v>
      </c>
      <c r="G105" s="104">
        <f t="shared" si="52"/>
        <v>6.7120964405442711</v>
      </c>
      <c r="H105" s="106">
        <v>2.9599996082713504</v>
      </c>
      <c r="I105" s="106">
        <v>107.89</v>
      </c>
      <c r="J105" s="106">
        <f t="shared" si="47"/>
        <v>0.15967717886819802</v>
      </c>
      <c r="K105" s="103">
        <f t="shared" si="48"/>
        <v>10.290318582526703</v>
      </c>
      <c r="L105" s="103">
        <f t="shared" si="49"/>
        <v>0.33220982768395863</v>
      </c>
      <c r="M105" s="103">
        <f t="shared" si="50"/>
        <v>0.66779017231604132</v>
      </c>
      <c r="N105" s="103">
        <v>9.3699999999999992</v>
      </c>
      <c r="O105" s="105">
        <f t="shared" si="51"/>
        <v>0.92031858252670418</v>
      </c>
    </row>
    <row r="106" spans="1:15" x14ac:dyDescent="0.2">
      <c r="A106" t="s">
        <v>159</v>
      </c>
      <c r="B106" s="106">
        <f>(1839342)/(4739387*2/60)</f>
        <v>11.642910781499801</v>
      </c>
      <c r="C106" s="103">
        <v>30.6</v>
      </c>
      <c r="D106" s="103">
        <f t="shared" si="46"/>
        <v>3.5627306991389389</v>
      </c>
      <c r="E106" s="106">
        <v>44.200503821899851</v>
      </c>
      <c r="F106" s="103">
        <v>307.63</v>
      </c>
      <c r="G106" s="104">
        <f t="shared" si="52"/>
        <v>6.7987004953655248</v>
      </c>
      <c r="H106" s="106">
        <v>3.0431249674143457</v>
      </c>
      <c r="I106" s="106">
        <v>107</v>
      </c>
      <c r="J106" s="106">
        <f t="shared" si="47"/>
        <v>0.1628071857566675</v>
      </c>
      <c r="K106" s="103">
        <f t="shared" si="48"/>
        <v>10.524238380261131</v>
      </c>
      <c r="L106" s="103">
        <f t="shared" si="49"/>
        <v>0.33852622588073106</v>
      </c>
      <c r="M106" s="103">
        <f t="shared" si="50"/>
        <v>0.661473774119269</v>
      </c>
      <c r="N106" s="103">
        <v>9.49</v>
      </c>
      <c r="O106" s="105">
        <f t="shared" si="51"/>
        <v>1.0342383802611312</v>
      </c>
    </row>
    <row r="107" spans="1:15" x14ac:dyDescent="0.2">
      <c r="A107" t="s">
        <v>163</v>
      </c>
      <c r="B107" s="106">
        <f>(1735608)/(4446863*2/60)</f>
        <v>11.708982264576175</v>
      </c>
      <c r="C107" s="103">
        <v>30.74</v>
      </c>
      <c r="D107" s="103">
        <f t="shared" si="46"/>
        <v>3.5993411481307156</v>
      </c>
      <c r="E107" s="106">
        <v>44.099361729830669</v>
      </c>
      <c r="F107" s="103">
        <v>300.72000000000003</v>
      </c>
      <c r="G107" s="104">
        <f t="shared" si="52"/>
        <v>6.6307800296973403</v>
      </c>
      <c r="H107" s="106">
        <v>2.9836313823924865</v>
      </c>
      <c r="I107" s="106">
        <v>103.25</v>
      </c>
      <c r="J107" s="106">
        <f t="shared" si="47"/>
        <v>0.15402997011601213</v>
      </c>
      <c r="K107" s="103">
        <f t="shared" si="48"/>
        <v>10.384151147944069</v>
      </c>
      <c r="L107" s="103">
        <f t="shared" si="49"/>
        <v>0.34661871700927038</v>
      </c>
      <c r="M107" s="103">
        <f t="shared" si="50"/>
        <v>0.65338128299072951</v>
      </c>
      <c r="N107" s="103">
        <v>9.23</v>
      </c>
      <c r="O107" s="105">
        <f t="shared" si="51"/>
        <v>1.1541511479440683</v>
      </c>
    </row>
    <row r="108" spans="1:15" x14ac:dyDescent="0.2">
      <c r="A108" t="s">
        <v>164</v>
      </c>
      <c r="B108" s="106">
        <f>(1801376)/(4668680*2/60)</f>
        <v>11.575280379036474</v>
      </c>
      <c r="C108" s="103">
        <v>32.82</v>
      </c>
      <c r="D108" s="103">
        <f t="shared" si="46"/>
        <v>3.7990070203997708</v>
      </c>
      <c r="E108" s="106">
        <v>43.703813497605324</v>
      </c>
      <c r="F108" s="103">
        <v>326.04000000000002</v>
      </c>
      <c r="G108" s="104">
        <f t="shared" si="52"/>
        <v>7.1245956763796201</v>
      </c>
      <c r="H108" s="106">
        <v>3.0513806900451521</v>
      </c>
      <c r="I108" s="106">
        <v>107.4</v>
      </c>
      <c r="J108" s="106">
        <f t="shared" si="47"/>
        <v>0.16385914305542468</v>
      </c>
      <c r="K108" s="103">
        <f t="shared" si="48"/>
        <v>11.087461839834814</v>
      </c>
      <c r="L108" s="103">
        <f t="shared" si="49"/>
        <v>0.34263991843027347</v>
      </c>
      <c r="M108" s="103">
        <f t="shared" si="50"/>
        <v>0.65736008156972658</v>
      </c>
      <c r="N108" s="103">
        <v>9.91</v>
      </c>
      <c r="O108" s="105">
        <f t="shared" si="51"/>
        <v>1.1774618398348142</v>
      </c>
    </row>
    <row r="109" spans="1:15" x14ac:dyDescent="0.2">
      <c r="A109" t="s">
        <v>165</v>
      </c>
      <c r="B109" s="106">
        <f>(1762207)/(4548592*2/60)</f>
        <v>11.622543855329297</v>
      </c>
      <c r="C109" s="103">
        <v>33.17</v>
      </c>
      <c r="D109" s="103">
        <f>(B109*C109)/100</f>
        <v>3.8551977968127282</v>
      </c>
      <c r="E109" s="106">
        <v>43.78262548058828</v>
      </c>
      <c r="F109" s="103">
        <v>301.05</v>
      </c>
      <c r="G109" s="104">
        <f>E109*F109/2000</f>
        <v>6.5903797004655509</v>
      </c>
      <c r="H109" s="106">
        <v>3.1305159926412394</v>
      </c>
      <c r="I109" s="106">
        <v>111.5</v>
      </c>
      <c r="J109" s="106">
        <f t="shared" si="47"/>
        <v>0.1745262665897491</v>
      </c>
      <c r="K109" s="103">
        <f t="shared" si="48"/>
        <v>10.620103763868029</v>
      </c>
      <c r="L109" s="103">
        <f t="shared" si="49"/>
        <v>0.36300942839456751</v>
      </c>
      <c r="M109" s="103">
        <f t="shared" si="50"/>
        <v>0.63699057160543238</v>
      </c>
      <c r="N109" s="103">
        <v>9.39</v>
      </c>
      <c r="O109" s="105">
        <f t="shared" si="51"/>
        <v>1.2301037638680281</v>
      </c>
    </row>
    <row r="110" spans="1:15" x14ac:dyDescent="0.2">
      <c r="A110" t="s">
        <v>196</v>
      </c>
      <c r="B110" s="106">
        <f>(22038256)/(57035942*2/60)</f>
        <v>11.591772780749373</v>
      </c>
      <c r="C110" s="103">
        <f>AVERAGE(C98:C109)</f>
        <v>32.440000000000005</v>
      </c>
      <c r="D110" s="103">
        <f>(B110*C110)/100</f>
        <v>3.7603710900750973</v>
      </c>
      <c r="E110" s="106">
        <v>43.872854997955756</v>
      </c>
      <c r="F110" s="103">
        <f>AVERAGE(F98:F109)</f>
        <v>319.40500000000003</v>
      </c>
      <c r="G110" s="104">
        <f>E110*F110/2000</f>
        <v>7.0066046253110299</v>
      </c>
      <c r="H110" s="106">
        <v>3.0810020981893329</v>
      </c>
      <c r="I110" s="106">
        <v>115.59833333333334</v>
      </c>
      <c r="J110" s="106">
        <f t="shared" si="47"/>
        <v>0.17807935377359496</v>
      </c>
      <c r="K110" s="103">
        <f t="shared" si="48"/>
        <v>10.945055069159723</v>
      </c>
      <c r="L110" s="103">
        <f t="shared" si="49"/>
        <v>0.34356803746660269</v>
      </c>
      <c r="M110" s="103">
        <f t="shared" si="50"/>
        <v>0.6564319625333972</v>
      </c>
      <c r="N110" s="103">
        <v>9.7658333333333331</v>
      </c>
      <c r="O110" s="105">
        <f t="shared" si="51"/>
        <v>1.1792217358263901</v>
      </c>
    </row>
    <row r="111" spans="1:15" x14ac:dyDescent="0.2">
      <c r="A111" s="22" t="s">
        <v>34</v>
      </c>
      <c r="B111" s="106"/>
      <c r="C111" s="103"/>
      <c r="D111" s="103"/>
      <c r="E111" s="106"/>
      <c r="F111" s="103"/>
      <c r="G111" s="104"/>
      <c r="H111" s="106"/>
      <c r="I111" s="106"/>
      <c r="J111" s="106"/>
      <c r="K111" s="103"/>
      <c r="L111" s="103"/>
      <c r="M111" s="103"/>
      <c r="N111" s="103"/>
      <c r="O111" s="105"/>
    </row>
    <row r="112" spans="1:15" x14ac:dyDescent="0.2">
      <c r="A112" t="s">
        <v>151</v>
      </c>
      <c r="B112" s="106">
        <f>(1701762)/(4361207*2/60)</f>
        <v>11.706130894497784</v>
      </c>
      <c r="C112" s="103">
        <v>33.28</v>
      </c>
      <c r="D112" s="103">
        <f t="shared" ref="D112:D124" si="53">(B112*C112)/100</f>
        <v>3.8958003616888628</v>
      </c>
      <c r="E112" s="106">
        <f>3188771/(4361207)*60</f>
        <v>43.870024972444554</v>
      </c>
      <c r="F112" s="103">
        <v>307.7</v>
      </c>
      <c r="G112" s="104">
        <f t="shared" ref="G112:G124" si="54">E112*F112/2000</f>
        <v>6.7494033420105941</v>
      </c>
      <c r="H112" s="106">
        <f>(219873/4361207)*60</f>
        <v>3.0249378211123661</v>
      </c>
      <c r="I112" s="106">
        <v>114.2</v>
      </c>
      <c r="J112" s="106">
        <f t="shared" ref="J112:J124" si="55">H112*I112/2000</f>
        <v>0.1727239495855161</v>
      </c>
      <c r="K112" s="103">
        <f t="shared" ref="K112:K124" si="56">D112+G112+J112</f>
        <v>10.817927653284972</v>
      </c>
      <c r="L112" s="103">
        <f t="shared" ref="L112:L124" si="57">D112/K112</f>
        <v>0.36012446066838544</v>
      </c>
      <c r="M112" s="103">
        <f t="shared" ref="M112:M124" si="58">(+G112+J112)/K112</f>
        <v>0.63987553933161467</v>
      </c>
      <c r="N112" s="103">
        <v>9.5</v>
      </c>
      <c r="O112" s="105">
        <f t="shared" ref="O112:O124" si="59">K112-N112</f>
        <v>1.317927653284972</v>
      </c>
    </row>
    <row r="113" spans="1:15" x14ac:dyDescent="0.2">
      <c r="A113" t="s">
        <v>152</v>
      </c>
      <c r="B113" s="106">
        <f>(2016888)/(5277397*2/60)</f>
        <v>11.465243187124258</v>
      </c>
      <c r="C113" s="103">
        <v>32.35</v>
      </c>
      <c r="D113" s="103">
        <f t="shared" si="53"/>
        <v>3.7090061710346975</v>
      </c>
      <c r="E113" s="106">
        <f>3847770/(5277397)*60</f>
        <v>43.74622564874312</v>
      </c>
      <c r="F113" s="103">
        <v>315.23</v>
      </c>
      <c r="G113" s="104">
        <f t="shared" si="54"/>
        <v>6.8950613556266473</v>
      </c>
      <c r="H113" s="106">
        <f>(276055/5277397)*60</f>
        <v>3.138535910790869</v>
      </c>
      <c r="I113" s="106">
        <v>117.02</v>
      </c>
      <c r="J113" s="106">
        <f t="shared" si="55"/>
        <v>0.18363573614037376</v>
      </c>
      <c r="K113" s="103">
        <f t="shared" si="56"/>
        <v>10.787703262801719</v>
      </c>
      <c r="L113" s="103">
        <f t="shared" si="57"/>
        <v>0.34381796390563829</v>
      </c>
      <c r="M113" s="103">
        <f t="shared" si="58"/>
        <v>0.65618203609436165</v>
      </c>
      <c r="N113" s="103">
        <v>9.4700000000000006</v>
      </c>
      <c r="O113" s="105">
        <f t="shared" si="59"/>
        <v>1.317703262801718</v>
      </c>
    </row>
    <row r="114" spans="1:15" x14ac:dyDescent="0.2">
      <c r="A114" t="s">
        <v>153</v>
      </c>
      <c r="B114" s="106">
        <f>(1977005)/(5200462*2/60)</f>
        <v>11.40478480565765</v>
      </c>
      <c r="C114" s="103">
        <v>33.43</v>
      </c>
      <c r="D114" s="103">
        <f t="shared" si="53"/>
        <v>3.8126195605313522</v>
      </c>
      <c r="E114" s="106">
        <f>3829140/(5200462)*60</f>
        <v>44.178459529172599</v>
      </c>
      <c r="F114" s="103">
        <v>313.52</v>
      </c>
      <c r="G114" s="104">
        <f t="shared" si="54"/>
        <v>6.9254153157930958</v>
      </c>
      <c r="H114" s="106">
        <f>(272552/5200462)*60</f>
        <v>3.1445513879343796</v>
      </c>
      <c r="I114" s="106">
        <v>114.8</v>
      </c>
      <c r="J114" s="106">
        <f t="shared" si="55"/>
        <v>0.18049724966743338</v>
      </c>
      <c r="K114" s="103">
        <f t="shared" si="56"/>
        <v>10.918532125991883</v>
      </c>
      <c r="L114" s="103">
        <f t="shared" si="57"/>
        <v>0.34918792348060235</v>
      </c>
      <c r="M114" s="103">
        <f t="shared" si="58"/>
        <v>0.65081207651939754</v>
      </c>
      <c r="N114" s="103">
        <v>9.6999999999999993</v>
      </c>
      <c r="O114" s="105">
        <f t="shared" si="59"/>
        <v>1.2185321259918833</v>
      </c>
    </row>
    <row r="115" spans="1:15" x14ac:dyDescent="0.2">
      <c r="A115" t="s">
        <v>154</v>
      </c>
      <c r="B115" s="106">
        <f>(2015256)/(5290215*2/60)</f>
        <v>11.42820849436176</v>
      </c>
      <c r="C115" s="103">
        <v>32.270000000000003</v>
      </c>
      <c r="D115" s="103">
        <f t="shared" si="53"/>
        <v>3.6878828811305402</v>
      </c>
      <c r="E115" s="106">
        <f>3904161/(5290215)*60</f>
        <v>44.279799592266102</v>
      </c>
      <c r="F115" s="103">
        <v>319.22000000000003</v>
      </c>
      <c r="G115" s="104">
        <f t="shared" si="54"/>
        <v>7.0674988129215937</v>
      </c>
      <c r="H115" s="106">
        <f>(268856/5290215)*60</f>
        <v>3.0492824960800271</v>
      </c>
      <c r="I115" s="106">
        <v>123.13</v>
      </c>
      <c r="J115" s="106">
        <f t="shared" si="55"/>
        <v>0.18772907687116686</v>
      </c>
      <c r="K115" s="103">
        <f t="shared" si="56"/>
        <v>10.943110770923299</v>
      </c>
      <c r="L115" s="103">
        <f t="shared" si="57"/>
        <v>0.33700498499289006</v>
      </c>
      <c r="M115" s="103">
        <f t="shared" si="58"/>
        <v>0.66299501500711011</v>
      </c>
      <c r="N115" s="103">
        <v>9.6</v>
      </c>
      <c r="O115" s="105">
        <f t="shared" si="59"/>
        <v>1.3431107709232997</v>
      </c>
    </row>
    <row r="116" spans="1:15" x14ac:dyDescent="0.2">
      <c r="A116" t="s">
        <v>155</v>
      </c>
      <c r="B116" s="106">
        <f>(1995589)/(5239827*2/60)</f>
        <v>11.42550507869821</v>
      </c>
      <c r="C116" s="103">
        <v>31.61</v>
      </c>
      <c r="D116" s="103">
        <f t="shared" si="53"/>
        <v>3.6116021553765041</v>
      </c>
      <c r="E116" s="106">
        <f>3859849/(5239827)*60</f>
        <v>44.198203490306071</v>
      </c>
      <c r="F116" s="103">
        <v>322.60000000000002</v>
      </c>
      <c r="G116" s="104">
        <f t="shared" si="54"/>
        <v>7.1291702229863692</v>
      </c>
      <c r="H116" s="106">
        <f>(268466/5239827)*60</f>
        <v>3.0741396614811904</v>
      </c>
      <c r="I116" s="106">
        <v>131.21</v>
      </c>
      <c r="J116" s="106">
        <f t="shared" si="55"/>
        <v>0.20167893249147351</v>
      </c>
      <c r="K116" s="103">
        <f t="shared" si="56"/>
        <v>10.942451310854347</v>
      </c>
      <c r="L116" s="103">
        <f t="shared" si="57"/>
        <v>0.33005421297090726</v>
      </c>
      <c r="M116" s="103">
        <f t="shared" si="58"/>
        <v>0.66994578702909269</v>
      </c>
      <c r="N116" s="103">
        <v>9.6300000000000008</v>
      </c>
      <c r="O116" s="105">
        <f t="shared" si="59"/>
        <v>1.3124513108543461</v>
      </c>
    </row>
    <row r="117" spans="1:15" x14ac:dyDescent="0.2">
      <c r="A117" t="s">
        <v>156</v>
      </c>
      <c r="B117" s="106">
        <f>(1889841)/(4948772*2/60)</f>
        <v>11.456423937089847</v>
      </c>
      <c r="C117" s="103">
        <v>30.63</v>
      </c>
      <c r="D117" s="103">
        <f t="shared" si="53"/>
        <v>3.5091026519306201</v>
      </c>
      <c r="E117" s="106">
        <f>3651786/(4948772)*60</f>
        <v>44.275056519071804</v>
      </c>
      <c r="F117" s="103">
        <v>362.85</v>
      </c>
      <c r="G117" s="104">
        <f t="shared" si="54"/>
        <v>8.0326021289726022</v>
      </c>
      <c r="H117" s="106">
        <f>(247786/4948772)*60</f>
        <v>3.0042119539958598</v>
      </c>
      <c r="I117" s="106">
        <v>143.68</v>
      </c>
      <c r="J117" s="106">
        <f t="shared" si="55"/>
        <v>0.21582258677506258</v>
      </c>
      <c r="K117" s="103">
        <f t="shared" si="56"/>
        <v>11.757527367678286</v>
      </c>
      <c r="L117" s="103">
        <f t="shared" si="57"/>
        <v>0.29845583532956294</v>
      </c>
      <c r="M117" s="103">
        <f t="shared" si="58"/>
        <v>0.70154416467043701</v>
      </c>
      <c r="N117" s="103">
        <v>9.99</v>
      </c>
      <c r="O117" s="105">
        <f t="shared" si="59"/>
        <v>1.7675273676782854</v>
      </c>
    </row>
    <row r="118" spans="1:15" x14ac:dyDescent="0.2">
      <c r="A118" t="s">
        <v>157</v>
      </c>
      <c r="B118" s="106">
        <f>(2079123)/(5465240*2/60)</f>
        <v>11.41279980385125</v>
      </c>
      <c r="C118" s="103">
        <v>30.28</v>
      </c>
      <c r="D118" s="103">
        <f t="shared" si="53"/>
        <v>3.4557957806061586</v>
      </c>
      <c r="E118" s="106">
        <f>4029272/(5465240)*60</f>
        <v>44.23526139748666</v>
      </c>
      <c r="F118" s="103">
        <v>379.85</v>
      </c>
      <c r="G118" s="104">
        <f t="shared" si="54"/>
        <v>8.4013820209176533</v>
      </c>
      <c r="H118" s="106">
        <f>(277277/5465240)*60</f>
        <v>3.0440785766041381</v>
      </c>
      <c r="I118" s="106">
        <v>135.12</v>
      </c>
      <c r="J118" s="106">
        <f t="shared" si="55"/>
        <v>0.20565794863537556</v>
      </c>
      <c r="K118" s="103">
        <f t="shared" si="56"/>
        <v>12.062835750159186</v>
      </c>
      <c r="L118" s="103">
        <f t="shared" si="57"/>
        <v>0.28648286789120497</v>
      </c>
      <c r="M118" s="103">
        <f t="shared" si="58"/>
        <v>0.71351713210879508</v>
      </c>
      <c r="N118" s="103">
        <v>10.17</v>
      </c>
      <c r="O118" s="105">
        <f t="shared" si="59"/>
        <v>1.8928357501591861</v>
      </c>
    </row>
    <row r="119" spans="1:15" x14ac:dyDescent="0.2">
      <c r="A119" t="s">
        <v>158</v>
      </c>
      <c r="B119" s="106">
        <f>(1964922)/(5149147*2/60)</f>
        <v>11.448043724523693</v>
      </c>
      <c r="C119" s="103">
        <v>29.7</v>
      </c>
      <c r="D119" s="103">
        <f t="shared" si="53"/>
        <v>3.4000689861835367</v>
      </c>
      <c r="E119" s="106">
        <f>3822338/(5149147)*60</f>
        <v>44.539470323919666</v>
      </c>
      <c r="F119" s="103">
        <v>385.84</v>
      </c>
      <c r="G119" s="104">
        <f t="shared" si="54"/>
        <v>8.5925546148905809</v>
      </c>
      <c r="H119" s="106">
        <f>(257585/5149147)*60</f>
        <v>3.0014874308307764</v>
      </c>
      <c r="I119" s="106">
        <v>113.33</v>
      </c>
      <c r="J119" s="106">
        <f t="shared" si="55"/>
        <v>0.17007928526802596</v>
      </c>
      <c r="K119" s="103">
        <f t="shared" si="56"/>
        <v>12.162702886342144</v>
      </c>
      <c r="L119" s="103">
        <f t="shared" si="57"/>
        <v>0.27954879914082043</v>
      </c>
      <c r="M119" s="103">
        <f t="shared" si="58"/>
        <v>0.72045120085917946</v>
      </c>
      <c r="N119" s="103">
        <v>10.23</v>
      </c>
      <c r="O119" s="105">
        <f t="shared" si="59"/>
        <v>1.9327028863421436</v>
      </c>
    </row>
    <row r="120" spans="1:15" x14ac:dyDescent="0.2">
      <c r="A120" t="s">
        <v>159</v>
      </c>
      <c r="B120" s="106">
        <f>(1966511)/(5174040*2/60)</f>
        <v>11.402178954936568</v>
      </c>
      <c r="C120" s="103">
        <v>29.4</v>
      </c>
      <c r="D120" s="103">
        <f t="shared" si="53"/>
        <v>3.3522406127513511</v>
      </c>
      <c r="E120" s="106">
        <f>3846687/(5174040)*60</f>
        <v>44.607544587981543</v>
      </c>
      <c r="F120" s="103">
        <v>393.55</v>
      </c>
      <c r="G120" s="104">
        <f t="shared" si="54"/>
        <v>8.7776495863000683</v>
      </c>
      <c r="H120" s="106">
        <f>(262574/5174040)*60</f>
        <v>3.0449010830994734</v>
      </c>
      <c r="I120" s="106">
        <v>117.5</v>
      </c>
      <c r="J120" s="106">
        <f t="shared" si="55"/>
        <v>0.17888793863209407</v>
      </c>
      <c r="K120" s="103">
        <f t="shared" si="56"/>
        <v>12.308778137683515</v>
      </c>
      <c r="L120" s="103">
        <f t="shared" si="57"/>
        <v>0.27234552245997634</v>
      </c>
      <c r="M120" s="103">
        <f t="shared" si="58"/>
        <v>0.72765447754002366</v>
      </c>
      <c r="N120" s="103">
        <v>10.06</v>
      </c>
      <c r="O120" s="105">
        <f t="shared" si="59"/>
        <v>2.2487781376835141</v>
      </c>
    </row>
    <row r="121" spans="1:15" x14ac:dyDescent="0.2">
      <c r="A121" t="s">
        <v>163</v>
      </c>
      <c r="B121" s="106">
        <f>(1936907)/(5086941*2/60)</f>
        <v>11.422819726039677</v>
      </c>
      <c r="C121" s="103">
        <v>28.3</v>
      </c>
      <c r="D121" s="103">
        <f t="shared" si="53"/>
        <v>3.2326579824692288</v>
      </c>
      <c r="E121" s="106">
        <f>3778127/(5086941)*60</f>
        <v>44.562659562986873</v>
      </c>
      <c r="F121" s="103">
        <v>355.71</v>
      </c>
      <c r="G121" s="104">
        <f t="shared" si="54"/>
        <v>7.9256918165750303</v>
      </c>
      <c r="H121" s="106">
        <f>(254192/5086941)*60</f>
        <v>2.9981711995480191</v>
      </c>
      <c r="I121" s="106">
        <v>116.55</v>
      </c>
      <c r="J121" s="106">
        <f t="shared" si="55"/>
        <v>0.1747184266536608</v>
      </c>
      <c r="K121" s="103">
        <f t="shared" si="56"/>
        <v>11.33306822569792</v>
      </c>
      <c r="L121" s="103">
        <f t="shared" si="57"/>
        <v>0.28524120018435284</v>
      </c>
      <c r="M121" s="103">
        <f t="shared" si="58"/>
        <v>0.71475879981564716</v>
      </c>
      <c r="N121" s="103">
        <v>9.15</v>
      </c>
      <c r="O121" s="105">
        <f t="shared" si="59"/>
        <v>2.1830682256979195</v>
      </c>
    </row>
    <row r="122" spans="1:15" x14ac:dyDescent="0.2">
      <c r="A122" t="s">
        <v>164</v>
      </c>
      <c r="B122" s="106">
        <f>(2043323)/(5365828*2/60)</f>
        <v>11.424087764274219</v>
      </c>
      <c r="C122" s="103">
        <v>27.2</v>
      </c>
      <c r="D122" s="103">
        <f t="shared" si="53"/>
        <v>3.1073518718825874</v>
      </c>
      <c r="E122" s="106">
        <f>3979120/(5365828)*60</f>
        <v>44.494009125898188</v>
      </c>
      <c r="F122" s="103">
        <v>341.08</v>
      </c>
      <c r="G122" s="104">
        <f t="shared" si="54"/>
        <v>7.5880083163306766</v>
      </c>
      <c r="H122" s="106">
        <f>(265562/5365828)*60</f>
        <v>2.9694801995144084</v>
      </c>
      <c r="I122" s="106">
        <v>117.14</v>
      </c>
      <c r="J122" s="106">
        <f t="shared" si="55"/>
        <v>0.17392245528555889</v>
      </c>
      <c r="K122" s="103">
        <f t="shared" si="56"/>
        <v>10.869282643498824</v>
      </c>
      <c r="L122" s="103">
        <f t="shared" si="57"/>
        <v>0.28588380427674021</v>
      </c>
      <c r="M122" s="103">
        <f t="shared" si="58"/>
        <v>0.71411619572325968</v>
      </c>
      <c r="N122" s="103">
        <v>8.51</v>
      </c>
      <c r="O122" s="105">
        <f t="shared" si="59"/>
        <v>2.3592826434988243</v>
      </c>
    </row>
    <row r="123" spans="1:15" x14ac:dyDescent="0.2">
      <c r="A123" t="s">
        <v>165</v>
      </c>
      <c r="B123" s="106">
        <f>(1944966)/(5088884*2/60)</f>
        <v>11.465967783899181</v>
      </c>
      <c r="C123" s="103">
        <v>27.6</v>
      </c>
      <c r="D123" s="103">
        <f>(B123*C123)/100</f>
        <v>3.164607108356174</v>
      </c>
      <c r="E123" s="106">
        <f>3771727/(5088884)*60</f>
        <v>44.470186390572074</v>
      </c>
      <c r="F123" s="103">
        <v>332.5</v>
      </c>
      <c r="G123" s="104">
        <f>E123*F123/2000</f>
        <v>7.3931684874326073</v>
      </c>
      <c r="H123" s="106">
        <f>(259078/5088884)*60</f>
        <v>3.0546343756312782</v>
      </c>
      <c r="I123" s="106">
        <v>127.22</v>
      </c>
      <c r="J123" s="106">
        <f>H123*I123/2000</f>
        <v>0.19430529263390559</v>
      </c>
      <c r="K123" s="103">
        <f>D123+G123+J123</f>
        <v>10.752080888422688</v>
      </c>
      <c r="L123" s="103">
        <f>D123/K123</f>
        <v>0.29432508378575045</v>
      </c>
      <c r="M123" s="103">
        <f>(+G123+J123)/K123</f>
        <v>0.70567491621424949</v>
      </c>
      <c r="N123" s="103">
        <v>8.4</v>
      </c>
      <c r="O123" s="105">
        <f>K123-N123</f>
        <v>2.3520808884226874</v>
      </c>
    </row>
    <row r="124" spans="1:15" x14ac:dyDescent="0.2">
      <c r="A124" t="s">
        <v>196</v>
      </c>
      <c r="B124" s="106">
        <f>(23532093)/(61647960*2/60)</f>
        <v>11.451519077030285</v>
      </c>
      <c r="C124" s="103">
        <f>AVERAGE(C112:C123)</f>
        <v>30.504166666666666</v>
      </c>
      <c r="D124" s="103">
        <f t="shared" si="53"/>
        <v>3.4931904651224466</v>
      </c>
      <c r="E124" s="106">
        <f>45508748/(61647960)*60</f>
        <v>44.292217942004896</v>
      </c>
      <c r="F124" s="103">
        <f>AVERAGE(F112:F123)</f>
        <v>344.13749999999999</v>
      </c>
      <c r="G124" s="104">
        <f t="shared" si="54"/>
        <v>7.6213065760083545</v>
      </c>
      <c r="H124" s="106">
        <f>(3129856/61647960)*60</f>
        <v>3.0461893629570227</v>
      </c>
      <c r="I124" s="106">
        <f>AVERAGE(I112:I123)</f>
        <v>122.575</v>
      </c>
      <c r="J124" s="106">
        <f t="shared" si="55"/>
        <v>0.18669333058222853</v>
      </c>
      <c r="K124" s="103">
        <f t="shared" si="56"/>
        <v>11.301190371713028</v>
      </c>
      <c r="L124" s="103">
        <f t="shared" si="57"/>
        <v>0.30909933823130092</v>
      </c>
      <c r="M124" s="103">
        <f t="shared" si="58"/>
        <v>0.69090066176869913</v>
      </c>
      <c r="N124" s="103">
        <f>AVERAGE(N112:N123)</f>
        <v>9.5341666666666693</v>
      </c>
      <c r="O124" s="105">
        <f t="shared" si="59"/>
        <v>1.7670237050463591</v>
      </c>
    </row>
    <row r="125" spans="1:15" x14ac:dyDescent="0.2">
      <c r="A125" s="22" t="s">
        <v>35</v>
      </c>
      <c r="B125" s="106"/>
      <c r="C125" s="103"/>
      <c r="D125" s="103"/>
      <c r="E125" s="106"/>
      <c r="F125" s="103"/>
      <c r="G125" s="104"/>
      <c r="H125" s="107"/>
      <c r="I125" s="106"/>
      <c r="J125" s="106"/>
      <c r="K125" s="103"/>
      <c r="L125" s="103"/>
      <c r="M125" s="103"/>
      <c r="N125" s="103"/>
      <c r="O125" s="105"/>
    </row>
    <row r="126" spans="1:15" x14ac:dyDescent="0.2">
      <c r="A126" t="s">
        <v>151</v>
      </c>
      <c r="B126" s="106">
        <f>(1942097)/(5089480*2/60)</f>
        <v>11.447713715350094</v>
      </c>
      <c r="C126" s="103">
        <v>27.73</v>
      </c>
      <c r="D126" s="103">
        <f t="shared" ref="D126:D136" si="60">(B126*C126)/100</f>
        <v>3.1744510132665811</v>
      </c>
      <c r="E126" s="106">
        <f>3740681/(5089480)*60</f>
        <v>44.098976712748652</v>
      </c>
      <c r="F126" s="103">
        <v>318.32</v>
      </c>
      <c r="G126" s="104">
        <f t="shared" ref="G126:G136" si="61">E126*F126/2000</f>
        <v>7.0187931336010756</v>
      </c>
      <c r="H126" s="106">
        <f>(254965/5089480)*60</f>
        <v>3.0057884106038339</v>
      </c>
      <c r="I126" s="106">
        <v>144.16</v>
      </c>
      <c r="J126" s="106">
        <f t="shared" ref="J126:J136" si="62">H126*I126/2000</f>
        <v>0.21665722863632433</v>
      </c>
      <c r="K126" s="103">
        <f t="shared" ref="K126:K136" si="63">D126+G126+J126</f>
        <v>10.40990137550398</v>
      </c>
      <c r="L126" s="103">
        <f>D126/K126</f>
        <v>0.30494534950509028</v>
      </c>
      <c r="M126" s="103">
        <f t="shared" ref="M126:M136" si="64">(+G126+J126)/K126</f>
        <v>0.69505465049490989</v>
      </c>
      <c r="N126" s="103">
        <v>7.85</v>
      </c>
      <c r="O126" s="105">
        <f t="shared" ref="O126:O136" si="65">K126-N126</f>
        <v>2.5599013755039799</v>
      </c>
    </row>
    <row r="127" spans="1:15" x14ac:dyDescent="0.2">
      <c r="A127" t="s">
        <v>152</v>
      </c>
      <c r="B127" s="106">
        <f>(2134553)/(5506753*2/60)</f>
        <v>11.628738387212938</v>
      </c>
      <c r="C127" s="103">
        <v>28.89</v>
      </c>
      <c r="D127" s="103">
        <f t="shared" si="60"/>
        <v>3.3595425200658178</v>
      </c>
      <c r="E127" s="106">
        <f>4020038/(5506753)*60</f>
        <v>43.801180114670117</v>
      </c>
      <c r="F127" s="103">
        <v>319.14999999999998</v>
      </c>
      <c r="G127" s="104">
        <f t="shared" si="61"/>
        <v>6.9895733167984835</v>
      </c>
      <c r="H127" s="106">
        <f>(270986/5506753)*60</f>
        <v>2.9525856707210218</v>
      </c>
      <c r="I127" s="106">
        <v>157.74</v>
      </c>
      <c r="J127" s="106">
        <f t="shared" si="62"/>
        <v>0.23287043184976702</v>
      </c>
      <c r="K127" s="103">
        <f t="shared" si="63"/>
        <v>10.581986268714068</v>
      </c>
      <c r="L127" s="103">
        <f t="shared" ref="L127:L136" si="66">D127/K127</f>
        <v>0.31747749758458838</v>
      </c>
      <c r="M127" s="103">
        <f t="shared" si="64"/>
        <v>0.68252250241541157</v>
      </c>
      <c r="N127" s="103">
        <v>8.1300000000000008</v>
      </c>
      <c r="O127" s="105">
        <f t="shared" si="65"/>
        <v>2.4519862687140677</v>
      </c>
    </row>
    <row r="128" spans="1:15" x14ac:dyDescent="0.2">
      <c r="A128" t="s">
        <v>153</v>
      </c>
      <c r="B128" s="106">
        <f>(2060563)/(5343053*2/60)</f>
        <v>11.569582034840382</v>
      </c>
      <c r="C128" s="103">
        <v>27.49</v>
      </c>
      <c r="D128" s="103">
        <f t="shared" si="60"/>
        <v>3.1804781013776209</v>
      </c>
      <c r="E128" s="106">
        <f>3889342/(5343053)*60</f>
        <v>43.675501628001818</v>
      </c>
      <c r="F128" s="103">
        <v>310.62</v>
      </c>
      <c r="G128" s="104">
        <f t="shared" si="61"/>
        <v>6.7832421578449624</v>
      </c>
      <c r="H128" s="106">
        <f>(265758/5343053)*60</f>
        <v>2.9843387291872272</v>
      </c>
      <c r="I128" s="106">
        <v>156.5</v>
      </c>
      <c r="J128" s="106">
        <f t="shared" si="62"/>
        <v>0.23352450555890053</v>
      </c>
      <c r="K128" s="103">
        <f t="shared" si="63"/>
        <v>10.197244764781484</v>
      </c>
      <c r="L128" s="103">
        <f t="shared" si="66"/>
        <v>0.3118958282105897</v>
      </c>
      <c r="M128" s="103">
        <f t="shared" si="64"/>
        <v>0.6881041717894103</v>
      </c>
      <c r="N128" s="103">
        <v>8.4600000000000009</v>
      </c>
      <c r="O128" s="105">
        <f t="shared" si="65"/>
        <v>1.737244764781483</v>
      </c>
    </row>
    <row r="129" spans="1:17" ht="10.199999999999999" customHeight="1" x14ac:dyDescent="0.2">
      <c r="A129" t="s">
        <v>154</v>
      </c>
      <c r="B129" s="106">
        <f>(2135370)/(5513266*2/60)</f>
        <v>11.619446622020414</v>
      </c>
      <c r="C129" s="103">
        <v>28.14</v>
      </c>
      <c r="D129" s="103">
        <f t="shared" si="60"/>
        <v>3.2697122794365447</v>
      </c>
      <c r="E129" s="106">
        <f>4016547/(5513266)*60</f>
        <v>43.711444359840428</v>
      </c>
      <c r="F129" s="103">
        <v>311.7</v>
      </c>
      <c r="G129" s="104">
        <f t="shared" si="61"/>
        <v>6.8124286034811306</v>
      </c>
      <c r="H129" s="106">
        <f>(279141/5513266)*60</f>
        <v>3.0378472578685662</v>
      </c>
      <c r="I129" s="106">
        <v>157.65</v>
      </c>
      <c r="J129" s="106">
        <f t="shared" si="62"/>
        <v>0.23945831010148974</v>
      </c>
      <c r="K129" s="103">
        <f t="shared" si="63"/>
        <v>10.321599193019166</v>
      </c>
      <c r="L129" s="103">
        <f t="shared" si="66"/>
        <v>0.31678349626751229</v>
      </c>
      <c r="M129" s="103">
        <f t="shared" si="64"/>
        <v>0.68321650373248755</v>
      </c>
      <c r="N129" s="103">
        <v>8.74</v>
      </c>
      <c r="O129" s="105">
        <f t="shared" si="65"/>
        <v>1.5815991930191657</v>
      </c>
    </row>
    <row r="130" spans="1:17" ht="10.199999999999999" customHeight="1" x14ac:dyDescent="0.2">
      <c r="A130" t="s">
        <v>155</v>
      </c>
      <c r="B130" s="106">
        <f>(2115799)/(5492127*2/60)</f>
        <v>11.557265518441216</v>
      </c>
      <c r="C130" s="103">
        <v>28.44</v>
      </c>
      <c r="D130" s="103">
        <f t="shared" si="60"/>
        <v>3.2868863134446822</v>
      </c>
      <c r="E130" s="106">
        <f>3988737/(5492127)*60</f>
        <v>43.575871424677544</v>
      </c>
      <c r="F130" s="103">
        <v>314.92</v>
      </c>
      <c r="G130" s="104">
        <f t="shared" si="61"/>
        <v>6.8614567145297256</v>
      </c>
      <c r="H130" s="106">
        <f>(280766/5492127)*60</f>
        <v>3.0672925079846114</v>
      </c>
      <c r="I130" s="106">
        <v>150</v>
      </c>
      <c r="J130" s="106">
        <f t="shared" si="62"/>
        <v>0.23004693809884585</v>
      </c>
      <c r="K130" s="103">
        <f t="shared" si="63"/>
        <v>10.378389966073254</v>
      </c>
      <c r="L130" s="103">
        <f t="shared" si="66"/>
        <v>0.31670483805189886</v>
      </c>
      <c r="M130" s="103">
        <f t="shared" si="64"/>
        <v>0.68329516194810103</v>
      </c>
      <c r="N130" s="103">
        <v>8.81</v>
      </c>
      <c r="O130" s="105">
        <f t="shared" si="65"/>
        <v>1.5683899660732532</v>
      </c>
    </row>
    <row r="131" spans="1:17" ht="10.199999999999999" customHeight="1" x14ac:dyDescent="0.2">
      <c r="A131" t="s">
        <v>156</v>
      </c>
      <c r="B131" s="106">
        <f>(1899196)/(4883434*2/60)</f>
        <v>11.667175188607034</v>
      </c>
      <c r="C131" s="103">
        <v>29.58</v>
      </c>
      <c r="D131" s="103">
        <f t="shared" si="60"/>
        <v>3.4511504207899604</v>
      </c>
      <c r="E131" s="106">
        <f>3583222/(4883434)*60</f>
        <v>44.02502828951922</v>
      </c>
      <c r="F131" s="103">
        <v>306.83</v>
      </c>
      <c r="G131" s="104">
        <f t="shared" si="61"/>
        <v>6.7540997150365909</v>
      </c>
      <c r="H131" s="106">
        <f>(253395/4883434)*60</f>
        <v>3.1133214864785721</v>
      </c>
      <c r="I131" s="106">
        <v>142.53</v>
      </c>
      <c r="J131" s="106">
        <f t="shared" si="62"/>
        <v>0.22187085573389545</v>
      </c>
      <c r="K131" s="103">
        <f t="shared" si="63"/>
        <v>10.427120991560447</v>
      </c>
      <c r="L131" s="103">
        <f t="shared" si="66"/>
        <v>0.33097826558100452</v>
      </c>
      <c r="M131" s="103">
        <f t="shared" si="64"/>
        <v>0.66902173441899548</v>
      </c>
      <c r="N131" s="103">
        <v>8.84</v>
      </c>
      <c r="O131" s="105">
        <f t="shared" si="65"/>
        <v>1.5871209915604467</v>
      </c>
    </row>
    <row r="132" spans="1:17" ht="10.199999999999999" customHeight="1" x14ac:dyDescent="0.2">
      <c r="A132" t="s">
        <v>157</v>
      </c>
      <c r="B132" s="106">
        <f>(2094418)/(5383008*2/60)</f>
        <v>11.672384659283434</v>
      </c>
      <c r="C132" s="103">
        <v>28.62</v>
      </c>
      <c r="D132" s="103">
        <f t="shared" si="60"/>
        <v>3.3406364894869189</v>
      </c>
      <c r="E132" s="106">
        <f>3926558/(5383008)*60</f>
        <v>43.766139675066427</v>
      </c>
      <c r="F132" s="103">
        <v>306.38</v>
      </c>
      <c r="G132" s="104">
        <f t="shared" si="61"/>
        <v>6.7045349368234257</v>
      </c>
      <c r="H132" s="106">
        <f>(274260/5383008)*60</f>
        <v>3.0569525440051364</v>
      </c>
      <c r="I132" s="106">
        <v>133.62</v>
      </c>
      <c r="J132" s="106">
        <f t="shared" si="62"/>
        <v>0.20423499946498316</v>
      </c>
      <c r="K132" s="103">
        <f t="shared" si="63"/>
        <v>10.249406425775328</v>
      </c>
      <c r="L132" s="103">
        <f t="shared" si="66"/>
        <v>0.32593462984215815</v>
      </c>
      <c r="M132" s="103">
        <f t="shared" si="64"/>
        <v>0.67406537015784185</v>
      </c>
      <c r="N132" s="103">
        <v>8.69</v>
      </c>
      <c r="O132" s="105">
        <f t="shared" si="65"/>
        <v>1.5594064257753288</v>
      </c>
    </row>
    <row r="133" spans="1:17" ht="10.199999999999999" customHeight="1" x14ac:dyDescent="0.2">
      <c r="A133" t="s">
        <v>158</v>
      </c>
      <c r="B133" s="106">
        <f>(1989101)/(5146403*2/60)</f>
        <v>11.595094670976991</v>
      </c>
      <c r="C133" s="103">
        <v>27.86</v>
      </c>
      <c r="D133" s="103">
        <f t="shared" si="60"/>
        <v>3.2303933753341898</v>
      </c>
      <c r="E133" s="106">
        <f>3763527/(5146403)*60</f>
        <v>43.877562639381331</v>
      </c>
      <c r="F133" s="103">
        <v>304.26</v>
      </c>
      <c r="G133" s="104">
        <f t="shared" si="61"/>
        <v>6.6750936043290823</v>
      </c>
      <c r="H133" s="106">
        <f>(259021/5146403)*60</f>
        <v>3.0198295780567515</v>
      </c>
      <c r="I133" s="106">
        <v>125.48</v>
      </c>
      <c r="J133" s="106">
        <f t="shared" si="62"/>
        <v>0.18946410772728062</v>
      </c>
      <c r="K133" s="103">
        <f t="shared" si="63"/>
        <v>10.094951087390553</v>
      </c>
      <c r="L133" s="103">
        <f t="shared" si="66"/>
        <v>0.32000089424595868</v>
      </c>
      <c r="M133" s="103">
        <f t="shared" si="64"/>
        <v>0.67999910575404121</v>
      </c>
      <c r="N133" s="103">
        <v>8.57</v>
      </c>
      <c r="O133" s="105">
        <f t="shared" si="65"/>
        <v>1.5249510873905532</v>
      </c>
    </row>
    <row r="134" spans="1:17" ht="10.199999999999999" customHeight="1" x14ac:dyDescent="0.2">
      <c r="A134" t="s">
        <v>159</v>
      </c>
      <c r="B134" s="106">
        <f>(1915994)/(4963271*2/60)</f>
        <v>11.581035974058237</v>
      </c>
      <c r="C134" s="103">
        <v>26.93</v>
      </c>
      <c r="D134" s="103">
        <f t="shared" si="60"/>
        <v>3.1187729878138835</v>
      </c>
      <c r="E134" s="106">
        <f>3660325/(4963271)*60</f>
        <v>44.248943892042163</v>
      </c>
      <c r="F134" s="103">
        <v>297.52</v>
      </c>
      <c r="G134" s="104">
        <f t="shared" si="61"/>
        <v>6.5824728933801913</v>
      </c>
      <c r="H134" s="106">
        <f>(249227/4957936)*60</f>
        <v>3.0160978278057642</v>
      </c>
      <c r="I134" s="106">
        <v>113.68</v>
      </c>
      <c r="J134" s="106">
        <f t="shared" si="62"/>
        <v>0.17143500053247965</v>
      </c>
      <c r="K134" s="103">
        <f t="shared" si="63"/>
        <v>9.8726808817265539</v>
      </c>
      <c r="L134" s="103">
        <f t="shared" si="66"/>
        <v>0.31589930082582252</v>
      </c>
      <c r="M134" s="103">
        <f t="shared" si="64"/>
        <v>0.68410069917417748</v>
      </c>
      <c r="N134" s="103">
        <v>8.08</v>
      </c>
      <c r="O134" s="105">
        <f t="shared" si="65"/>
        <v>1.7926808817265538</v>
      </c>
    </row>
    <row r="135" spans="1:17" ht="10.199999999999999" customHeight="1" x14ac:dyDescent="0.2">
      <c r="A135" t="s">
        <v>163</v>
      </c>
      <c r="B135" s="106">
        <f>(1811481)/(4729137*2/60)</f>
        <v>11.491405302912561</v>
      </c>
      <c r="C135" s="103">
        <v>28.24</v>
      </c>
      <c r="D135" s="103">
        <f t="shared" si="60"/>
        <v>3.2451728575425074</v>
      </c>
      <c r="E135" s="106">
        <f>3453178/(4729137)*60</f>
        <v>43.811519945393847</v>
      </c>
      <c r="F135" s="103">
        <v>324.75</v>
      </c>
      <c r="G135" s="104">
        <f t="shared" si="61"/>
        <v>7.1138955511333259</v>
      </c>
      <c r="H135" s="106">
        <f>(243145/4729137)*60</f>
        <v>3.0848545939777172</v>
      </c>
      <c r="I135" s="106">
        <v>121.5</v>
      </c>
      <c r="J135" s="106">
        <f t="shared" si="62"/>
        <v>0.18740491658414632</v>
      </c>
      <c r="K135" s="103">
        <f t="shared" si="63"/>
        <v>10.54647332525998</v>
      </c>
      <c r="L135" s="103">
        <f t="shared" si="66"/>
        <v>0.3077021822802089</v>
      </c>
      <c r="M135" s="103">
        <f t="shared" si="64"/>
        <v>0.69229781771979104</v>
      </c>
      <c r="N135" s="103">
        <v>8.7899999999999991</v>
      </c>
      <c r="O135" s="105">
        <f t="shared" si="65"/>
        <v>1.7564733252599805</v>
      </c>
    </row>
    <row r="136" spans="1:17" ht="10.199999999999999" customHeight="1" x14ac:dyDescent="0.2">
      <c r="A136" t="s">
        <v>164</v>
      </c>
      <c r="B136" s="106">
        <f>(2090168)/(5383896*2/60)</f>
        <v>11.646777723789612</v>
      </c>
      <c r="C136" s="103">
        <v>27.68</v>
      </c>
      <c r="D136" s="103">
        <f t="shared" si="60"/>
        <v>3.2238280739449645</v>
      </c>
      <c r="E136" s="106">
        <f>3918907/(5383896)*60</f>
        <v>43.673655657538703</v>
      </c>
      <c r="F136" s="103">
        <v>310.77</v>
      </c>
      <c r="G136" s="104">
        <f t="shared" si="61"/>
        <v>6.7862309843466511</v>
      </c>
      <c r="H136" s="106">
        <f>(267367/5383896)*60</f>
        <v>2.9796303643309603</v>
      </c>
      <c r="I136" s="106">
        <v>115.45</v>
      </c>
      <c r="J136" s="106">
        <f t="shared" si="62"/>
        <v>0.17199916278100469</v>
      </c>
      <c r="K136" s="103">
        <f t="shared" si="63"/>
        <v>10.182058221072619</v>
      </c>
      <c r="L136" s="103">
        <f t="shared" si="66"/>
        <v>0.31661850717696577</v>
      </c>
      <c r="M136" s="103">
        <f t="shared" si="64"/>
        <v>0.6833814928230344</v>
      </c>
      <c r="N136" s="103">
        <v>8.91</v>
      </c>
      <c r="O136" s="105">
        <f t="shared" si="65"/>
        <v>1.2720582210726192</v>
      </c>
    </row>
    <row r="137" spans="1:17" ht="10.199999999999999" customHeight="1" x14ac:dyDescent="0.2">
      <c r="A137" t="s">
        <v>165</v>
      </c>
      <c r="B137" s="106">
        <f>(2049888)/(5325880*2/60)</f>
        <v>11.546756592337792</v>
      </c>
      <c r="C137" s="103">
        <v>28.41</v>
      </c>
      <c r="D137" s="103">
        <f>(B137*C137)/100</f>
        <v>3.2804335478831668</v>
      </c>
      <c r="E137" s="106">
        <f>3880500/(5325880)*60</f>
        <v>43.716719114963155</v>
      </c>
      <c r="F137" s="103">
        <v>296.92</v>
      </c>
      <c r="G137" s="104">
        <f>E137*F137/2000</f>
        <v>6.4901841198074308</v>
      </c>
      <c r="H137" s="106">
        <f>(270264/5325880)*60</f>
        <v>3.044725003191961</v>
      </c>
      <c r="I137" s="106">
        <v>112.5</v>
      </c>
      <c r="J137" s="106">
        <f>H137*I137/2000</f>
        <v>0.17126578142954782</v>
      </c>
      <c r="K137" s="103">
        <f>D137+G137+J137</f>
        <v>9.9418834491201462</v>
      </c>
      <c r="L137" s="103">
        <f>D137/K137</f>
        <v>0.32996097416264564</v>
      </c>
      <c r="M137" s="103">
        <f>(+G137+J137)/K137</f>
        <v>0.67003902583735431</v>
      </c>
      <c r="N137" s="103">
        <v>8.5399999999999991</v>
      </c>
      <c r="O137" s="105">
        <f>K137-N137</f>
        <v>1.4018834491201471</v>
      </c>
    </row>
    <row r="138" spans="1:17" ht="10.199999999999999" customHeight="1" x14ac:dyDescent="0.2">
      <c r="A138" t="s">
        <v>196</v>
      </c>
      <c r="B138" s="106">
        <f>(24238628)/(62759708*2/60)</f>
        <v>11.586396163602291</v>
      </c>
      <c r="C138" s="103">
        <f>AVERAGE(C126:C137)</f>
        <v>28.167500000000004</v>
      </c>
      <c r="D138" s="103">
        <f>(B138*C138)/100</f>
        <v>3.2635981393826756</v>
      </c>
      <c r="E138" s="106">
        <f>45841562/(62759708)*60</f>
        <v>43.825788991879953</v>
      </c>
      <c r="F138" s="103">
        <f>AVERAGE(F126:F137)</f>
        <v>310.17833333333334</v>
      </c>
      <c r="G138" s="104">
        <f>E138*F138/2000</f>
        <v>6.7969050932598361</v>
      </c>
      <c r="H138" s="106">
        <f>(3168295/62759708)*60</f>
        <v>3.0289768078589532</v>
      </c>
      <c r="I138" s="106">
        <f>AVERAGE(I126:I137)</f>
        <v>135.90083333333334</v>
      </c>
      <c r="J138" s="106">
        <f>H138*I138/2000</f>
        <v>0.2058202361676858</v>
      </c>
      <c r="K138" s="103">
        <f>D138+G138+J138</f>
        <v>10.266323468810198</v>
      </c>
      <c r="L138" s="103">
        <f>D138/K138</f>
        <v>0.31789356231543969</v>
      </c>
      <c r="M138" s="103">
        <f>(+G138+J138)/K138</f>
        <v>0.68210643768456025</v>
      </c>
      <c r="N138" s="103">
        <f>AVERAGE(N126:N137)</f>
        <v>8.5341666666666658</v>
      </c>
      <c r="O138" s="105">
        <f>K138-N138</f>
        <v>1.7321568021435318</v>
      </c>
    </row>
    <row r="139" spans="1:17" ht="10.199999999999999" customHeight="1" x14ac:dyDescent="0.2">
      <c r="A139" t="s">
        <v>36</v>
      </c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5"/>
    </row>
    <row r="140" spans="1:17" x14ac:dyDescent="0.2">
      <c r="A140" t="s">
        <v>151</v>
      </c>
      <c r="B140" s="107">
        <f>(1900668)/(4870034*2/60)</f>
        <v>11.708345362681246</v>
      </c>
      <c r="C140" s="103">
        <v>28.81</v>
      </c>
      <c r="D140" s="103">
        <f t="shared" ref="D140:D150" si="67">(B140*C140)/100</f>
        <v>3.373174298988467</v>
      </c>
      <c r="E140" s="107">
        <f>3553484/(4870034)*60</f>
        <v>43.779784699655075</v>
      </c>
      <c r="F140" s="103">
        <v>295.57</v>
      </c>
      <c r="G140" s="103">
        <f t="shared" ref="G140:G152" si="68">E140*F140/2000</f>
        <v>6.4699954818385246</v>
      </c>
      <c r="H140" s="106">
        <f>(246065/4870034)*60</f>
        <v>3.0315804776722297</v>
      </c>
      <c r="I140" s="106">
        <v>124.25</v>
      </c>
      <c r="J140" s="106">
        <f t="shared" ref="J140:J152" si="69">H140*I140/2000</f>
        <v>0.18833693717538727</v>
      </c>
      <c r="K140" s="103">
        <f t="shared" ref="K140:K152" si="70">D140+G140+J140</f>
        <v>10.03150671800238</v>
      </c>
      <c r="L140" s="103">
        <f>D140/K140</f>
        <v>0.33625799132796502</v>
      </c>
      <c r="M140" s="103">
        <f t="shared" ref="M140:M150" si="71">(+G140+J140)/K140</f>
        <v>0.66374200867203492</v>
      </c>
      <c r="N140" s="103">
        <v>8.58</v>
      </c>
      <c r="O140" s="105">
        <f t="shared" ref="O140:O152" si="72">K140-N140</f>
        <v>1.4515067180023795</v>
      </c>
      <c r="Q140" s="137"/>
    </row>
    <row r="141" spans="1:17" x14ac:dyDescent="0.2">
      <c r="A141" t="s">
        <v>152</v>
      </c>
      <c r="B141" s="107">
        <f>(2149969)/(5615616*2/60)</f>
        <v>11.485662481195295</v>
      </c>
      <c r="C141" s="103">
        <v>30.14</v>
      </c>
      <c r="D141" s="103">
        <f t="shared" si="67"/>
        <v>3.4617786718322616</v>
      </c>
      <c r="E141" s="71">
        <f>4105453/(5615616)*60</f>
        <v>43.864676644556887</v>
      </c>
      <c r="F141" s="103">
        <v>309.48</v>
      </c>
      <c r="G141" s="103">
        <f t="shared" si="68"/>
        <v>6.787620063978733</v>
      </c>
      <c r="H141" s="106">
        <f>(276379/5615616)*60</f>
        <v>2.9529690064277898</v>
      </c>
      <c r="I141" s="106">
        <v>144.36000000000001</v>
      </c>
      <c r="J141" s="106">
        <f t="shared" si="69"/>
        <v>0.21314530288395789</v>
      </c>
      <c r="K141" s="103">
        <f t="shared" si="70"/>
        <v>10.462544038694954</v>
      </c>
      <c r="L141" s="103">
        <f t="shared" ref="L141:L150" si="73">D141/K141</f>
        <v>0.3308735102121555</v>
      </c>
      <c r="M141" s="103">
        <f t="shared" si="71"/>
        <v>0.66912648978784428</v>
      </c>
      <c r="N141" s="103">
        <v>9.07</v>
      </c>
      <c r="O141" s="105">
        <f t="shared" si="72"/>
        <v>1.3925440386949539</v>
      </c>
      <c r="Q141" s="137"/>
    </row>
    <row r="142" spans="1:17" x14ac:dyDescent="0.2">
      <c r="A142" t="s">
        <v>153</v>
      </c>
      <c r="B142" s="107">
        <f>(1999648)/(5239452*2/60)</f>
        <v>11.449563809344948</v>
      </c>
      <c r="C142" s="103">
        <v>30.62</v>
      </c>
      <c r="D142" s="103">
        <f t="shared" si="67"/>
        <v>3.5058564384214232</v>
      </c>
      <c r="E142" s="71">
        <f>3855827/(5239452)*60</f>
        <v>44.155308608610213</v>
      </c>
      <c r="F142" s="103">
        <v>303.13</v>
      </c>
      <c r="G142" s="103">
        <f t="shared" si="68"/>
        <v>6.6923993492640061</v>
      </c>
      <c r="H142" s="106">
        <f>(255945/5239452)*60</f>
        <v>2.9309744606878736</v>
      </c>
      <c r="I142" s="106">
        <v>189.39</v>
      </c>
      <c r="J142" s="106">
        <f t="shared" si="69"/>
        <v>0.27754862655483814</v>
      </c>
      <c r="K142" s="103">
        <f t="shared" si="70"/>
        <v>10.475804414240267</v>
      </c>
      <c r="L142" s="103">
        <f t="shared" si="73"/>
        <v>0.33466226552070244</v>
      </c>
      <c r="M142" s="103">
        <f t="shared" si="71"/>
        <v>0.66533773447929756</v>
      </c>
      <c r="N142" s="103">
        <v>9.1300000000000008</v>
      </c>
      <c r="O142" s="105">
        <f t="shared" si="72"/>
        <v>1.3458044142402663</v>
      </c>
      <c r="Q142" s="137"/>
    </row>
    <row r="143" spans="1:17" ht="10.199999999999999" customHeight="1" x14ac:dyDescent="0.2">
      <c r="A143" t="s">
        <v>154</v>
      </c>
      <c r="B143" s="107">
        <f>(2110936)/(5542274*2/60)</f>
        <v>11.426371197093466</v>
      </c>
      <c r="C143" s="103">
        <v>32.270000000000003</v>
      </c>
      <c r="D143" s="103">
        <f t="shared" si="67"/>
        <v>3.687289985302062</v>
      </c>
      <c r="E143" s="71">
        <f>4062929/(5542274)*60</f>
        <v>43.984786749987457</v>
      </c>
      <c r="F143" s="103">
        <v>299.58999999999997</v>
      </c>
      <c r="G143" s="103">
        <f t="shared" si="68"/>
        <v>6.5887011312143704</v>
      </c>
      <c r="H143" s="106">
        <f>(274643/5542274)*60</f>
        <v>2.9732524952754047</v>
      </c>
      <c r="I143" s="106">
        <v>199.52</v>
      </c>
      <c r="J143" s="106">
        <f t="shared" si="69"/>
        <v>0.29661166892867435</v>
      </c>
      <c r="K143" s="103">
        <f t="shared" si="70"/>
        <v>10.572602785445108</v>
      </c>
      <c r="L143" s="103">
        <f t="shared" si="73"/>
        <v>0.34875896315505306</v>
      </c>
      <c r="M143" s="103">
        <f t="shared" si="71"/>
        <v>0.65124103684494683</v>
      </c>
      <c r="N143" s="103">
        <v>9.25</v>
      </c>
      <c r="O143" s="105">
        <f t="shared" si="72"/>
        <v>1.3226027854451079</v>
      </c>
      <c r="Q143" s="137"/>
    </row>
    <row r="144" spans="1:17" x14ac:dyDescent="0.2">
      <c r="A144" t="s">
        <v>155</v>
      </c>
      <c r="B144" s="107">
        <f>(2154427)/(5663403*2/60)</f>
        <v>11.412362849685957</v>
      </c>
      <c r="C144" s="103">
        <v>33.04</v>
      </c>
      <c r="D144" s="103">
        <f t="shared" si="67"/>
        <v>3.7706446855362401</v>
      </c>
      <c r="E144" s="71">
        <f>4144355/(5663403)*60</f>
        <v>43.906693555093995</v>
      </c>
      <c r="F144" s="103">
        <v>300.11</v>
      </c>
      <c r="G144" s="103">
        <f t="shared" si="68"/>
        <v>6.5884189014096304</v>
      </c>
      <c r="H144" s="106">
        <f>(281394/5663403)*60</f>
        <v>2.9811828683213961</v>
      </c>
      <c r="I144" s="106">
        <v>173.32999999999998</v>
      </c>
      <c r="J144" s="106">
        <f t="shared" si="69"/>
        <v>0.25836421328307374</v>
      </c>
      <c r="K144" s="103">
        <f t="shared" si="70"/>
        <v>10.617427800228944</v>
      </c>
      <c r="L144" s="103">
        <f t="shared" si="73"/>
        <v>0.3551373041081507</v>
      </c>
      <c r="M144" s="103">
        <f t="shared" si="71"/>
        <v>0.64486269589184941</v>
      </c>
      <c r="N144" s="103">
        <v>9.27</v>
      </c>
      <c r="O144" s="105">
        <f t="shared" si="72"/>
        <v>1.3474278002289442</v>
      </c>
      <c r="Q144" s="137"/>
    </row>
    <row r="145" spans="1:17" x14ac:dyDescent="0.2">
      <c r="A145" t="s">
        <v>156</v>
      </c>
      <c r="B145" s="107">
        <f>(1999524)/(5258777*2/60)</f>
        <v>11.406781462686094</v>
      </c>
      <c r="C145" s="103">
        <v>30.26</v>
      </c>
      <c r="D145" s="103">
        <f t="shared" si="67"/>
        <v>3.4516920706088121</v>
      </c>
      <c r="E145" s="71">
        <f>3863475/(5258777)*60</f>
        <v>44.080306124408779</v>
      </c>
      <c r="F145" s="103">
        <v>295.27999999999997</v>
      </c>
      <c r="G145" s="103">
        <f t="shared" si="68"/>
        <v>6.5080163962077116</v>
      </c>
      <c r="H145" s="106">
        <f>(259153/5258777)*60</f>
        <v>2.9568053560742356</v>
      </c>
      <c r="I145" s="106">
        <v>146.66</v>
      </c>
      <c r="J145" s="106">
        <f t="shared" si="69"/>
        <v>0.2168225367609237</v>
      </c>
      <c r="K145" s="103">
        <f t="shared" si="70"/>
        <v>10.176531003577448</v>
      </c>
      <c r="L145" s="103">
        <f t="shared" si="73"/>
        <v>0.33918160023247679</v>
      </c>
      <c r="M145" s="103">
        <f t="shared" si="71"/>
        <v>0.6608183997675231</v>
      </c>
      <c r="N145" s="103">
        <v>8.9600000000000009</v>
      </c>
      <c r="O145" s="105">
        <f t="shared" si="72"/>
        <v>1.2165310035774475</v>
      </c>
      <c r="Q145" s="137"/>
    </row>
    <row r="146" spans="1:17" x14ac:dyDescent="0.2">
      <c r="A146" t="s">
        <v>157</v>
      </c>
      <c r="B146" s="107">
        <f>(2201068)/(5764867*2/60)</f>
        <v>11.45421741733157</v>
      </c>
      <c r="C146" s="103">
        <v>27.04</v>
      </c>
      <c r="D146" s="103">
        <f t="shared" si="67"/>
        <v>3.0972203896464565</v>
      </c>
      <c r="E146" s="71">
        <f>4234605/(5765867)*60</f>
        <v>44.065584585978137</v>
      </c>
      <c r="F146" s="103">
        <v>312.38</v>
      </c>
      <c r="G146" s="103">
        <f t="shared" si="68"/>
        <v>6.8826036564839255</v>
      </c>
      <c r="H146" s="106">
        <f>(283308/5764867)*60</f>
        <v>2.9486335070696343</v>
      </c>
      <c r="I146" s="106">
        <v>119.93</v>
      </c>
      <c r="J146" s="106">
        <f t="shared" si="69"/>
        <v>0.17681480825143064</v>
      </c>
      <c r="K146" s="103">
        <f t="shared" si="70"/>
        <v>10.156638854381812</v>
      </c>
      <c r="L146" s="103">
        <f t="shared" si="73"/>
        <v>0.30494540901296718</v>
      </c>
      <c r="M146" s="103">
        <f t="shared" si="71"/>
        <v>0.69505459098703282</v>
      </c>
      <c r="N146" s="103">
        <v>8.11</v>
      </c>
      <c r="O146" s="105">
        <f t="shared" si="72"/>
        <v>2.046638854381813</v>
      </c>
      <c r="Q146" s="137"/>
    </row>
    <row r="147" spans="1:17" x14ac:dyDescent="0.2">
      <c r="A147" t="s">
        <v>158</v>
      </c>
      <c r="B147" s="107">
        <f>(2099465)/(5501825*2/60)</f>
        <v>11.447828675030559</v>
      </c>
      <c r="C147" s="103">
        <v>25.69</v>
      </c>
      <c r="D147" s="103">
        <f t="shared" si="67"/>
        <v>2.9409471866153507</v>
      </c>
      <c r="E147" s="71">
        <f>4038220/(5501825)*60</f>
        <v>44.038696250789506</v>
      </c>
      <c r="F147" s="103">
        <v>295.39999999999998</v>
      </c>
      <c r="G147" s="103">
        <f t="shared" si="68"/>
        <v>6.5045154362416095</v>
      </c>
      <c r="H147" s="106">
        <f>(273957/5501825)*60</f>
        <v>2.9876304680719579</v>
      </c>
      <c r="I147" s="106">
        <v>153.42500000000001</v>
      </c>
      <c r="J147" s="106">
        <f t="shared" si="69"/>
        <v>0.22918860228197008</v>
      </c>
      <c r="K147" s="103">
        <f t="shared" si="70"/>
        <v>9.6746512251389305</v>
      </c>
      <c r="L147" s="103">
        <f t="shared" si="73"/>
        <v>0.30398482779136238</v>
      </c>
      <c r="M147" s="103">
        <f t="shared" si="71"/>
        <v>0.69601517220863762</v>
      </c>
      <c r="N147" s="103">
        <v>8.5399999999999991</v>
      </c>
      <c r="O147" s="105">
        <f t="shared" si="72"/>
        <v>1.1346512251389314</v>
      </c>
      <c r="Q147" s="137"/>
    </row>
    <row r="148" spans="1:17" x14ac:dyDescent="0.2">
      <c r="A148" t="s">
        <v>159</v>
      </c>
      <c r="B148" s="107">
        <f>(2057617)/(5386534*2/60)</f>
        <v>11.459782858513471</v>
      </c>
      <c r="C148" s="103">
        <v>25.27</v>
      </c>
      <c r="D148" s="103">
        <f t="shared" si="67"/>
        <v>2.8958871283463536</v>
      </c>
      <c r="E148" s="71">
        <f>3970047/(5386534)*60</f>
        <v>44.221909673270417</v>
      </c>
      <c r="F148" s="103">
        <v>288.56</v>
      </c>
      <c r="G148" s="103">
        <f t="shared" si="68"/>
        <v>6.3803371276594563</v>
      </c>
      <c r="H148" s="106">
        <f>(270933/5386534)*60</f>
        <v>3.0178923961122308</v>
      </c>
      <c r="I148" s="106">
        <v>185</v>
      </c>
      <c r="J148" s="106">
        <f t="shared" si="69"/>
        <v>0.27915504664038132</v>
      </c>
      <c r="K148" s="103">
        <f t="shared" si="70"/>
        <v>9.5553793026461911</v>
      </c>
      <c r="L148" s="103">
        <f t="shared" si="73"/>
        <v>0.30306354532094709</v>
      </c>
      <c r="M148" s="103">
        <f t="shared" si="71"/>
        <v>0.69693645467905296</v>
      </c>
      <c r="N148" s="103">
        <v>8.48</v>
      </c>
      <c r="O148" s="105">
        <f t="shared" si="72"/>
        <v>1.0753793026461906</v>
      </c>
      <c r="Q148" s="137"/>
    </row>
    <row r="149" spans="1:17" x14ac:dyDescent="0.2">
      <c r="A149" t="s">
        <v>163</v>
      </c>
      <c r="B149" s="107">
        <f>(2035269)/(5318419*2/60)</f>
        <v>11.480492605039204</v>
      </c>
      <c r="C149" s="103">
        <v>26.61</v>
      </c>
      <c r="D149" s="103">
        <f t="shared" si="67"/>
        <v>3.054959082200932</v>
      </c>
      <c r="E149" s="71">
        <f>3904725/(5318419)*60</f>
        <v>44.05134307770787</v>
      </c>
      <c r="F149" s="103">
        <v>288.66000000000003</v>
      </c>
      <c r="G149" s="103">
        <f t="shared" si="68"/>
        <v>6.3579303464055776</v>
      </c>
      <c r="H149" s="106">
        <f>(262751/5318419)*60</f>
        <v>2.9642380564600121</v>
      </c>
      <c r="I149" s="106">
        <v>153.75</v>
      </c>
      <c r="J149" s="106">
        <f t="shared" si="69"/>
        <v>0.22787580059036344</v>
      </c>
      <c r="K149" s="103">
        <f t="shared" si="70"/>
        <v>9.6407652291968731</v>
      </c>
      <c r="L149" s="103">
        <f t="shared" si="73"/>
        <v>0.31687931503082833</v>
      </c>
      <c r="M149" s="103">
        <f t="shared" si="71"/>
        <v>0.68312068496917167</v>
      </c>
      <c r="N149" s="103">
        <v>8.74</v>
      </c>
      <c r="O149" s="105">
        <f t="shared" si="72"/>
        <v>0.90076522919687285</v>
      </c>
      <c r="Q149" s="137"/>
    </row>
    <row r="150" spans="1:17" x14ac:dyDescent="0.2">
      <c r="A150" t="s">
        <v>164</v>
      </c>
      <c r="B150" s="107">
        <f>(2122758)/(5535196*2/60)</f>
        <v>11.505056008856778</v>
      </c>
      <c r="C150" s="103">
        <v>28.71</v>
      </c>
      <c r="D150" s="103">
        <f t="shared" si="67"/>
        <v>3.3031015801427812</v>
      </c>
      <c r="E150" s="71">
        <f>4080746/(5535196)*60</f>
        <v>44.234162620438376</v>
      </c>
      <c r="F150" s="103">
        <v>291.25</v>
      </c>
      <c r="G150" s="103">
        <f t="shared" si="68"/>
        <v>6.4415999316013384</v>
      </c>
      <c r="H150" s="106">
        <f>(280424/5535196)*60</f>
        <v>3.039718918715796</v>
      </c>
      <c r="I150" s="106">
        <v>125.25</v>
      </c>
      <c r="J150" s="106">
        <f t="shared" si="69"/>
        <v>0.19036239728457674</v>
      </c>
      <c r="K150" s="103">
        <f t="shared" si="70"/>
        <v>9.9350639090286972</v>
      </c>
      <c r="L150" s="103">
        <f t="shared" si="73"/>
        <v>0.33246908227143046</v>
      </c>
      <c r="M150" s="103">
        <f t="shared" si="71"/>
        <v>0.66753091772856954</v>
      </c>
      <c r="N150" s="103">
        <v>8.9499999999999993</v>
      </c>
      <c r="O150" s="105">
        <f t="shared" si="72"/>
        <v>0.98506390902869789</v>
      </c>
      <c r="Q150" s="137"/>
    </row>
    <row r="151" spans="1:17" x14ac:dyDescent="0.2">
      <c r="A151" t="s">
        <v>165</v>
      </c>
      <c r="B151" s="107">
        <f>(2012823)/(5240230*2/60)</f>
        <v>11.523290008262995</v>
      </c>
      <c r="C151" s="103">
        <v>32.130000000000003</v>
      </c>
      <c r="D151" s="103">
        <f>(B151*C151)/100</f>
        <v>3.7024330796549005</v>
      </c>
      <c r="E151" s="71">
        <f>3851205/(5240230)*60</f>
        <v>44.095831671510602</v>
      </c>
      <c r="F151" s="103">
        <v>290.18</v>
      </c>
      <c r="G151" s="103">
        <f t="shared" si="68"/>
        <v>6.3978642172194728</v>
      </c>
      <c r="H151" s="106">
        <f>(260540/5240230)*60</f>
        <v>2.9831515028920488</v>
      </c>
      <c r="I151" s="106">
        <v>111.43</v>
      </c>
      <c r="J151" s="106">
        <f t="shared" si="69"/>
        <v>0.16620628598363049</v>
      </c>
      <c r="K151" s="103">
        <f t="shared" si="70"/>
        <v>10.266503582858004</v>
      </c>
      <c r="L151" s="103">
        <f>D151/K151</f>
        <v>0.3606323272352292</v>
      </c>
      <c r="M151" s="103">
        <f>(+G151+J151)/K151</f>
        <v>0.6393676727647708</v>
      </c>
      <c r="N151" s="103">
        <v>8.8800000000000008</v>
      </c>
      <c r="O151" s="105">
        <f t="shared" si="72"/>
        <v>1.386503582858003</v>
      </c>
      <c r="Q151" s="137"/>
    </row>
    <row r="152" spans="1:17" x14ac:dyDescent="0.2">
      <c r="A152" t="s">
        <v>196</v>
      </c>
      <c r="B152" s="107">
        <f>(24844172)/(64936627*2/60)</f>
        <v>11.477731357989999</v>
      </c>
      <c r="C152" s="103">
        <f>AVERAGE(C140:C151)</f>
        <v>29.215833333333332</v>
      </c>
      <c r="D152" s="103">
        <f>(B152*C152)/100</f>
        <v>3.353314863998095</v>
      </c>
      <c r="E152" s="107">
        <f>47665071/(64936627)*60</f>
        <v>44.041466151298557</v>
      </c>
      <c r="F152" s="103">
        <f>AVERAGE(F140:F151)</f>
        <v>297.46583333333331</v>
      </c>
      <c r="G152" s="103">
        <f t="shared" si="68"/>
        <v>6.5504157149589082</v>
      </c>
      <c r="H152" s="106">
        <f>(3225492/64936627)*60</f>
        <v>2.9802829149102554</v>
      </c>
      <c r="I152" s="106">
        <f>AVERAGE(I140:I151)</f>
        <v>152.19125</v>
      </c>
      <c r="J152" s="106">
        <f t="shared" si="69"/>
        <v>0.2267864910869177</v>
      </c>
      <c r="K152" s="103">
        <f t="shared" si="70"/>
        <v>10.13051707004392</v>
      </c>
      <c r="L152" s="103">
        <f>D152/K152</f>
        <v>0.33101122487754286</v>
      </c>
      <c r="M152" s="103">
        <f>(+G152+J152)/K152</f>
        <v>0.66898877512245714</v>
      </c>
      <c r="N152" s="103">
        <f>AVERAGE(N140:N151)</f>
        <v>8.83</v>
      </c>
      <c r="O152" s="105">
        <f t="shared" si="72"/>
        <v>1.3005170700439201</v>
      </c>
    </row>
    <row r="153" spans="1:17" x14ac:dyDescent="0.2">
      <c r="A153" t="s">
        <v>37</v>
      </c>
      <c r="B153" s="106"/>
      <c r="C153" s="107"/>
      <c r="D153" s="103"/>
      <c r="E153" s="138"/>
      <c r="F153" s="103"/>
      <c r="G153" s="103"/>
      <c r="H153" s="106"/>
      <c r="I153" s="106"/>
      <c r="J153" s="106"/>
      <c r="K153" s="103"/>
      <c r="L153" s="103"/>
      <c r="M153" s="103"/>
      <c r="N153" s="103"/>
      <c r="O153" s="105"/>
      <c r="Q153" s="137"/>
    </row>
    <row r="154" spans="1:17" x14ac:dyDescent="0.2">
      <c r="A154" t="s">
        <v>151</v>
      </c>
      <c r="B154" s="107">
        <f>(1967621)/(5131665*2/60)</f>
        <v>11.502822183443385</v>
      </c>
      <c r="C154" s="103">
        <v>34.200000000000003</v>
      </c>
      <c r="D154" s="103">
        <f t="shared" ref="D154:D180" si="74">(B154*C154)/100</f>
        <v>3.933965186737638</v>
      </c>
      <c r="E154" s="107">
        <f>3754168/(5131665)*60</f>
        <v>43.894151313462586</v>
      </c>
      <c r="F154" s="103">
        <v>319.99</v>
      </c>
      <c r="G154" s="103">
        <f t="shared" ref="G154:G180" si="75">E154*F154/2000</f>
        <v>7.0228447393974465</v>
      </c>
      <c r="H154" s="106">
        <f>(255248/5131665)*60</f>
        <v>2.9843881079532668</v>
      </c>
      <c r="I154" s="106">
        <v>121.9</v>
      </c>
      <c r="J154" s="106">
        <f t="shared" ref="J154:J166" si="76">H154*I154/2000</f>
        <v>0.18189845517975162</v>
      </c>
      <c r="K154" s="103">
        <f t="shared" ref="K154:K166" si="77">D154+G154+J154</f>
        <v>11.138708381314837</v>
      </c>
      <c r="L154" s="103">
        <f t="shared" ref="L154:L166" si="78">D154/K154</f>
        <v>0.35317965531235718</v>
      </c>
      <c r="M154" s="103">
        <f t="shared" ref="M154:M166" si="79">(+G154+J154)/K154</f>
        <v>0.64682034468764282</v>
      </c>
      <c r="N154" s="103">
        <v>9.98</v>
      </c>
      <c r="O154" s="105">
        <f t="shared" ref="O154:O180" si="80">K154-N154</f>
        <v>1.1587083813148364</v>
      </c>
      <c r="Q154" s="137"/>
    </row>
    <row r="155" spans="1:17" x14ac:dyDescent="0.2">
      <c r="A155" t="s">
        <v>152</v>
      </c>
      <c r="B155" s="107">
        <f>(2282471)/(5897079*2/60)</f>
        <v>11.611533438843198</v>
      </c>
      <c r="C155" s="103">
        <v>33.909999999999997</v>
      </c>
      <c r="D155" s="103">
        <f t="shared" si="74"/>
        <v>3.9374709891117283</v>
      </c>
      <c r="E155" s="107">
        <f>4335054/(5897079)*60</f>
        <v>44.107131683329996</v>
      </c>
      <c r="F155" s="103">
        <v>367.11</v>
      </c>
      <c r="G155" s="103">
        <f t="shared" si="75"/>
        <v>8.0960845561336381</v>
      </c>
      <c r="H155" s="106">
        <f>(280538/5897079)*60</f>
        <v>2.8543419547202946</v>
      </c>
      <c r="I155" s="106">
        <v>197.29</v>
      </c>
      <c r="J155" s="106">
        <f t="shared" si="76"/>
        <v>0.28156656212338343</v>
      </c>
      <c r="K155" s="103">
        <f t="shared" si="77"/>
        <v>12.315122107368751</v>
      </c>
      <c r="L155" s="103">
        <f t="shared" si="78"/>
        <v>0.31972650817288634</v>
      </c>
      <c r="M155" s="103">
        <f t="shared" si="79"/>
        <v>0.68027349182711361</v>
      </c>
      <c r="N155" s="103">
        <v>10.53</v>
      </c>
      <c r="O155" s="105">
        <f t="shared" si="80"/>
        <v>1.7851221073687515</v>
      </c>
      <c r="Q155" s="137"/>
    </row>
    <row r="156" spans="1:17" x14ac:dyDescent="0.2">
      <c r="A156" t="s">
        <v>153</v>
      </c>
      <c r="B156" s="107">
        <f>(2206792)/(5731207*2/60)</f>
        <v>11.551451552875337</v>
      </c>
      <c r="C156" s="103">
        <v>37.79</v>
      </c>
      <c r="D156" s="103">
        <f t="shared" si="74"/>
        <v>4.3652935418315897</v>
      </c>
      <c r="E156" s="107">
        <f>4230274/(5731207)*60</f>
        <v>44.286734016063285</v>
      </c>
      <c r="F156" s="103">
        <v>387.83</v>
      </c>
      <c r="G156" s="103">
        <f t="shared" si="75"/>
        <v>8.5878620267249115</v>
      </c>
      <c r="H156" s="106">
        <f>286020/(5731207)*60</f>
        <v>2.9943430764235175</v>
      </c>
      <c r="I156" s="106">
        <v>228.72</v>
      </c>
      <c r="J156" s="106">
        <f t="shared" si="76"/>
        <v>0.34243307421979347</v>
      </c>
      <c r="K156" s="103">
        <f t="shared" si="77"/>
        <v>13.295588642776293</v>
      </c>
      <c r="L156" s="103">
        <f t="shared" si="78"/>
        <v>0.32832645918263453</v>
      </c>
      <c r="M156" s="103">
        <f t="shared" si="79"/>
        <v>0.67167354081736552</v>
      </c>
      <c r="N156" s="103">
        <v>11.43</v>
      </c>
      <c r="O156" s="105">
        <f t="shared" si="80"/>
        <v>1.8655886427762933</v>
      </c>
      <c r="Q156" s="137"/>
    </row>
    <row r="157" spans="1:17" x14ac:dyDescent="0.2">
      <c r="A157" t="s">
        <v>154</v>
      </c>
      <c r="B157" s="107">
        <f>(2233486)/(5794233*2/60)</f>
        <v>11.564012009872574</v>
      </c>
      <c r="C157" s="103">
        <v>40.85</v>
      </c>
      <c r="D157" s="103">
        <f t="shared" si="74"/>
        <v>4.7238989060329466</v>
      </c>
      <c r="E157" s="107">
        <f>4235822/(5794233)*60</f>
        <v>43.862461174757726</v>
      </c>
      <c r="F157" s="103">
        <v>396.68</v>
      </c>
      <c r="G157" s="103">
        <f t="shared" si="75"/>
        <v>8.6996805494014477</v>
      </c>
      <c r="H157" s="106">
        <f>305109/(5794233)*60</f>
        <v>3.1594414653328577</v>
      </c>
      <c r="I157" s="106">
        <v>236.95</v>
      </c>
      <c r="J157" s="106">
        <f t="shared" si="76"/>
        <v>0.37431482760531032</v>
      </c>
      <c r="K157" s="103">
        <f t="shared" si="77"/>
        <v>13.797894283039705</v>
      </c>
      <c r="L157" s="103">
        <f t="shared" si="78"/>
        <v>0.34236375559418053</v>
      </c>
      <c r="M157" s="103">
        <f t="shared" si="79"/>
        <v>0.65763624440581947</v>
      </c>
      <c r="N157" s="103">
        <v>12.18</v>
      </c>
      <c r="O157" s="105">
        <f t="shared" si="80"/>
        <v>1.6178942830397052</v>
      </c>
      <c r="Q157" s="137"/>
    </row>
    <row r="158" spans="1:17" x14ac:dyDescent="0.2">
      <c r="A158" t="s">
        <v>155</v>
      </c>
      <c r="B158" s="107">
        <f>(2308752)/(5895360*2/60)</f>
        <v>11.748656570591109</v>
      </c>
      <c r="C158" s="103">
        <v>44.31</v>
      </c>
      <c r="D158" s="103">
        <f t="shared" si="74"/>
        <v>5.2058297264289202</v>
      </c>
      <c r="E158" s="107">
        <f>4353068/(5895360)*60</f>
        <v>44.30333007653477</v>
      </c>
      <c r="F158" s="103">
        <v>439.24</v>
      </c>
      <c r="G158" s="103">
        <f t="shared" si="75"/>
        <v>9.7298973514085656</v>
      </c>
      <c r="H158" s="106">
        <f>312586/(5895360)*60</f>
        <v>3.1813426152092497</v>
      </c>
      <c r="I158" s="106">
        <v>231.11</v>
      </c>
      <c r="J158" s="106">
        <f t="shared" si="76"/>
        <v>0.36762004590050484</v>
      </c>
      <c r="K158" s="103">
        <f t="shared" si="77"/>
        <v>15.303347123737991</v>
      </c>
      <c r="L158" s="103">
        <f t="shared" si="78"/>
        <v>0.34017588991063452</v>
      </c>
      <c r="M158" s="103">
        <f t="shared" si="79"/>
        <v>0.65982411008936548</v>
      </c>
      <c r="N158" s="103">
        <v>13.85</v>
      </c>
      <c r="O158" s="105">
        <f t="shared" si="80"/>
        <v>1.4533471237379914</v>
      </c>
      <c r="Q158" s="137"/>
    </row>
    <row r="159" spans="1:17" x14ac:dyDescent="0.2">
      <c r="A159" t="s">
        <v>156</v>
      </c>
      <c r="B159" s="107">
        <f>(1924749)/(4930499*2/60)</f>
        <v>11.711283178436908</v>
      </c>
      <c r="C159" s="103">
        <v>48.37</v>
      </c>
      <c r="D159" s="103">
        <f t="shared" si="74"/>
        <v>5.6647476734099325</v>
      </c>
      <c r="E159" s="107">
        <f>3652574/(4930499)*60</f>
        <v>44.448734296467755</v>
      </c>
      <c r="F159" s="103">
        <v>427.28</v>
      </c>
      <c r="G159" s="103">
        <f t="shared" si="75"/>
        <v>9.4960275950973703</v>
      </c>
      <c r="H159" s="106">
        <f>266097/(4930499)*60</f>
        <v>3.2381752840838218</v>
      </c>
      <c r="I159" s="106">
        <v>194.34</v>
      </c>
      <c r="J159" s="106">
        <f t="shared" si="76"/>
        <v>0.31465349235442502</v>
      </c>
      <c r="K159" s="103">
        <f t="shared" si="77"/>
        <v>15.475428760861728</v>
      </c>
      <c r="L159" s="103">
        <f t="shared" si="78"/>
        <v>0.36604786600397227</v>
      </c>
      <c r="M159" s="103">
        <f t="shared" si="79"/>
        <v>0.63395213399602779</v>
      </c>
      <c r="N159" s="103">
        <v>13.96</v>
      </c>
      <c r="O159" s="105">
        <f t="shared" si="80"/>
        <v>1.5154287608617274</v>
      </c>
      <c r="Q159" s="137"/>
    </row>
    <row r="160" spans="1:17" x14ac:dyDescent="0.2">
      <c r="A160" t="s">
        <v>157</v>
      </c>
      <c r="B160" s="107">
        <f>(2222123)/(5646728*2/60)</f>
        <v>11.805720055933277</v>
      </c>
      <c r="C160" s="103">
        <v>54</v>
      </c>
      <c r="D160" s="103">
        <f t="shared" si="74"/>
        <v>6.3750888302039694</v>
      </c>
      <c r="E160" s="107">
        <f>4181300/(5646728)*60</f>
        <v>44.428915293954304</v>
      </c>
      <c r="F160" s="103">
        <v>410.02</v>
      </c>
      <c r="G160" s="103">
        <f t="shared" si="75"/>
        <v>9.1083719244135715</v>
      </c>
      <c r="H160" s="106">
        <f>295287/(5646728)*60</f>
        <v>3.1376081865462622</v>
      </c>
      <c r="I160" s="106">
        <v>182.5</v>
      </c>
      <c r="J160" s="106">
        <f t="shared" si="76"/>
        <v>0.28630674702234643</v>
      </c>
      <c r="K160" s="103">
        <f t="shared" si="77"/>
        <v>15.769767501639887</v>
      </c>
      <c r="L160" s="103">
        <f t="shared" si="78"/>
        <v>0.40426016614011767</v>
      </c>
      <c r="M160" s="103">
        <f t="shared" si="79"/>
        <v>0.59573983385988227</v>
      </c>
      <c r="N160" s="103">
        <v>14.37</v>
      </c>
      <c r="O160" s="105">
        <f t="shared" si="80"/>
        <v>1.3997675016398876</v>
      </c>
      <c r="Q160" s="137"/>
    </row>
    <row r="161" spans="1:17" x14ac:dyDescent="0.2">
      <c r="A161" t="s">
        <v>158</v>
      </c>
      <c r="B161" s="107">
        <f>(1991877)/(5095631*2/60)</f>
        <v>11.726969633397708</v>
      </c>
      <c r="C161" s="103">
        <v>62.88</v>
      </c>
      <c r="D161" s="103">
        <f t="shared" si="74"/>
        <v>7.3739185054804794</v>
      </c>
      <c r="E161" s="107">
        <f>3773943/(5095631)*60</f>
        <v>44.437397448912613</v>
      </c>
      <c r="F161" s="103">
        <v>413.36</v>
      </c>
      <c r="G161" s="103">
        <f t="shared" si="75"/>
        <v>9.1843213047412586</v>
      </c>
      <c r="H161" s="106">
        <f>270766/(5095631)*60</f>
        <v>3.1882135892492998</v>
      </c>
      <c r="I161" s="106">
        <v>189.38</v>
      </c>
      <c r="J161" s="106">
        <f t="shared" si="76"/>
        <v>0.30189194476601622</v>
      </c>
      <c r="K161" s="103">
        <f t="shared" si="77"/>
        <v>16.860131754987755</v>
      </c>
      <c r="L161" s="103">
        <f t="shared" si="78"/>
        <v>0.43735829663958842</v>
      </c>
      <c r="M161" s="103">
        <f t="shared" si="79"/>
        <v>0.56264170336041153</v>
      </c>
      <c r="N161" s="103">
        <v>14.94</v>
      </c>
      <c r="O161" s="105">
        <f t="shared" si="80"/>
        <v>1.9201317549877555</v>
      </c>
      <c r="Q161" s="137"/>
    </row>
    <row r="162" spans="1:17" x14ac:dyDescent="0.2">
      <c r="A162" t="s">
        <v>159</v>
      </c>
      <c r="B162" s="107">
        <f>(2043135)/(5205032*2/60)</f>
        <v>11.775921838712998</v>
      </c>
      <c r="C162" s="103">
        <v>74.75</v>
      </c>
      <c r="D162" s="103">
        <f t="shared" si="74"/>
        <v>8.8025015744379669</v>
      </c>
      <c r="E162" s="107">
        <f>3849675/(5205032)*60</f>
        <v>44.376384237407187</v>
      </c>
      <c r="F162" s="103">
        <v>421.03</v>
      </c>
      <c r="G162" s="103">
        <f t="shared" si="75"/>
        <v>9.3418945277377734</v>
      </c>
      <c r="H162" s="106">
        <f>273209/(5205032)*60</f>
        <v>3.1493639232189161</v>
      </c>
      <c r="I162" s="106">
        <v>193.13</v>
      </c>
      <c r="J162" s="106">
        <f t="shared" si="76"/>
        <v>0.30411832724563465</v>
      </c>
      <c r="K162" s="103">
        <f t="shared" si="77"/>
        <v>18.448514429421376</v>
      </c>
      <c r="L162" s="103">
        <f t="shared" si="78"/>
        <v>0.47713877494655543</v>
      </c>
      <c r="M162" s="103">
        <f t="shared" si="79"/>
        <v>0.52286122505344446</v>
      </c>
      <c r="N162" s="103">
        <v>16.13</v>
      </c>
      <c r="O162" s="105">
        <f t="shared" si="80"/>
        <v>2.3185144294213771</v>
      </c>
      <c r="Q162" s="137"/>
    </row>
    <row r="163" spans="1:17" x14ac:dyDescent="0.2">
      <c r="A163" t="s">
        <v>163</v>
      </c>
      <c r="B163" s="107">
        <f>(1908649)/(4852334*2/60)</f>
        <v>11.80039749943017</v>
      </c>
      <c r="C163" s="103">
        <v>74.75</v>
      </c>
      <c r="D163" s="103">
        <f t="shared" si="74"/>
        <v>8.8207971308240527</v>
      </c>
      <c r="E163" s="107">
        <f>3579777/(4852334)*60</f>
        <v>44.264599262952636</v>
      </c>
      <c r="F163" s="103">
        <v>378.18</v>
      </c>
      <c r="G163" s="103">
        <f t="shared" si="75"/>
        <v>8.369993074631715</v>
      </c>
      <c r="H163" s="106">
        <f>254174/(4852334)*60</f>
        <v>3.1429081345183576</v>
      </c>
      <c r="I163" s="106">
        <v>181.25</v>
      </c>
      <c r="J163" s="106">
        <f t="shared" si="76"/>
        <v>0.28482604969072617</v>
      </c>
      <c r="K163" s="103">
        <f t="shared" si="77"/>
        <v>17.475616255146495</v>
      </c>
      <c r="L163" s="103">
        <f t="shared" si="78"/>
        <v>0.50474884559372069</v>
      </c>
      <c r="M163" s="103">
        <f t="shared" si="79"/>
        <v>0.49525115440627937</v>
      </c>
      <c r="N163" s="103">
        <v>15.07</v>
      </c>
      <c r="O163" s="105">
        <f t="shared" si="80"/>
        <v>2.4056162551464944</v>
      </c>
      <c r="Q163" s="137"/>
    </row>
    <row r="164" spans="1:17" x14ac:dyDescent="0.2">
      <c r="A164" t="s">
        <v>164</v>
      </c>
      <c r="B164" s="107">
        <f>(1972688)/(4989996*2/60)</f>
        <v>11.859857202290343</v>
      </c>
      <c r="C164" s="103">
        <v>72.930000000000007</v>
      </c>
      <c r="D164" s="103">
        <f t="shared" si="74"/>
        <v>8.6493938576303488</v>
      </c>
      <c r="E164" s="107">
        <f>3698749/(4989996)*60</f>
        <v>44.47397152222166</v>
      </c>
      <c r="F164" s="103">
        <v>365.23</v>
      </c>
      <c r="G164" s="103">
        <f t="shared" si="75"/>
        <v>8.1216143095305089</v>
      </c>
      <c r="H164" s="106">
        <f>267750/(4989996)*60</f>
        <v>3.219441458470107</v>
      </c>
      <c r="I164" s="106">
        <v>173.13</v>
      </c>
      <c r="J164" s="106">
        <f t="shared" si="76"/>
        <v>0.27869094985246484</v>
      </c>
      <c r="K164" s="103">
        <f t="shared" si="77"/>
        <v>17.049699117013322</v>
      </c>
      <c r="L164" s="103">
        <f t="shared" si="78"/>
        <v>0.50730477988314815</v>
      </c>
      <c r="M164" s="103">
        <f t="shared" si="79"/>
        <v>0.49269522011685185</v>
      </c>
      <c r="N164" s="103">
        <v>14.52</v>
      </c>
      <c r="O164" s="105">
        <f t="shared" si="80"/>
        <v>2.5296991170133225</v>
      </c>
      <c r="Q164" s="137"/>
    </row>
    <row r="165" spans="1:17" x14ac:dyDescent="0.2">
      <c r="A165" t="s">
        <v>165</v>
      </c>
      <c r="B165" s="107">
        <f>(1989733)/(5047776*2/60)</f>
        <v>11.825403900648523</v>
      </c>
      <c r="C165" s="103">
        <v>70.010000000000005</v>
      </c>
      <c r="D165" s="103">
        <f>(B165*C165)/100</f>
        <v>8.2789652708440311</v>
      </c>
      <c r="E165" s="107">
        <f>3728116/(5047776)*60</f>
        <v>44.313963218653129</v>
      </c>
      <c r="F165" s="103">
        <v>358.21</v>
      </c>
      <c r="G165" s="103">
        <f>E165*F165/2000</f>
        <v>7.9368523822768688</v>
      </c>
      <c r="H165" s="106">
        <f>267178/(5047776)*60</f>
        <v>3.1757906848481392</v>
      </c>
      <c r="I165" s="106">
        <v>167.5</v>
      </c>
      <c r="J165" s="106">
        <f t="shared" si="76"/>
        <v>0.26597246985603162</v>
      </c>
      <c r="K165" s="103">
        <f>D165+G165+J165</f>
        <v>16.481790122976932</v>
      </c>
      <c r="L165" s="103">
        <f>D165/K165</f>
        <v>0.50230983461574918</v>
      </c>
      <c r="M165" s="103">
        <f>(+G165+J165)/K165</f>
        <v>0.49769016538425082</v>
      </c>
      <c r="N165" s="103">
        <v>13.91</v>
      </c>
      <c r="O165" s="105">
        <f>K165-N165</f>
        <v>2.5717901229769318</v>
      </c>
      <c r="Q165" s="137"/>
    </row>
    <row r="166" spans="1:17" x14ac:dyDescent="0.2">
      <c r="A166" t="s">
        <v>196</v>
      </c>
      <c r="B166" s="107">
        <f>(25052076)/(64217540*2/60)</f>
        <v>11.703380104563333</v>
      </c>
      <c r="C166" s="103">
        <f>AVERAGE(C154:C165)</f>
        <v>54.0625</v>
      </c>
      <c r="D166" s="103">
        <f t="shared" si="74"/>
        <v>6.3271398690295522</v>
      </c>
      <c r="E166" s="107">
        <f>47372520/(64217540)*60</f>
        <v>44.261290606896495</v>
      </c>
      <c r="F166" s="103">
        <f>AVERAGE(F154:F165)</f>
        <v>390.34666666666664</v>
      </c>
      <c r="G166" s="103">
        <f t="shared" si="75"/>
        <v>8.6386236253833442</v>
      </c>
      <c r="H166" s="106">
        <f>(3333962/64217540)*60</f>
        <v>3.115001290924567</v>
      </c>
      <c r="I166" s="106">
        <f>AVERAGE(I154:I165)</f>
        <v>191.43333333333337</v>
      </c>
      <c r="J166" s="106">
        <f t="shared" si="76"/>
        <v>0.29815754022966318</v>
      </c>
      <c r="K166" s="103">
        <f t="shared" si="77"/>
        <v>15.263921034642561</v>
      </c>
      <c r="L166" s="103">
        <f t="shared" si="78"/>
        <v>0.41451602472717564</v>
      </c>
      <c r="M166" s="103">
        <f t="shared" si="79"/>
        <v>0.58548397527282425</v>
      </c>
      <c r="N166" s="103">
        <f>AVERAGE(N154:N165)</f>
        <v>13.405833333333334</v>
      </c>
      <c r="O166" s="105">
        <f t="shared" si="80"/>
        <v>1.858087701309227</v>
      </c>
    </row>
    <row r="167" spans="1:17" x14ac:dyDescent="0.2">
      <c r="A167" t="s">
        <v>38</v>
      </c>
      <c r="B167" s="107"/>
      <c r="C167" s="107"/>
      <c r="D167" s="103"/>
      <c r="E167" s="107"/>
      <c r="F167" s="107"/>
      <c r="G167" s="107"/>
      <c r="H167" s="106"/>
      <c r="I167" s="106"/>
      <c r="J167" s="106"/>
      <c r="K167" s="103"/>
      <c r="L167" s="103"/>
      <c r="M167" s="103"/>
      <c r="N167" s="103"/>
      <c r="O167" s="105"/>
      <c r="Q167" s="137"/>
    </row>
    <row r="168" spans="1:17" x14ac:dyDescent="0.2">
      <c r="A168" t="s">
        <v>151</v>
      </c>
      <c r="B168" s="107">
        <f>(1938212)/(4924574*2/60)</f>
        <v>11.807388821855453</v>
      </c>
      <c r="C168" s="107">
        <v>65.930000000000007</v>
      </c>
      <c r="D168" s="103">
        <f t="shared" si="74"/>
        <v>7.7846114502493</v>
      </c>
      <c r="E168" s="107">
        <f>3604266/(4924574)*60</f>
        <v>43.913638012140744</v>
      </c>
      <c r="F168" s="103">
        <v>343.55</v>
      </c>
      <c r="G168" s="103">
        <f t="shared" si="75"/>
        <v>7.5432651695354762</v>
      </c>
      <c r="H168" s="106">
        <v>3.2090288418856128</v>
      </c>
      <c r="I168" s="106">
        <v>170.5</v>
      </c>
      <c r="J168" s="106">
        <f t="shared" ref="J168:J180" si="81">H168*I168/2000</f>
        <v>0.27356970877074849</v>
      </c>
      <c r="K168" s="103">
        <f t="shared" ref="K168:K178" si="82">D168+G168+J168</f>
        <v>15.601446328555525</v>
      </c>
      <c r="L168" s="103">
        <f t="shared" ref="L168:L178" si="83">D168/K168</f>
        <v>0.49896729356438108</v>
      </c>
      <c r="M168" s="103">
        <f t="shared" ref="M168:M178" si="84">(+G168+J168)/K168</f>
        <v>0.50103270643561892</v>
      </c>
      <c r="N168" s="103">
        <v>12.77</v>
      </c>
      <c r="O168" s="105">
        <f t="shared" si="80"/>
        <v>2.8314463285555256</v>
      </c>
      <c r="Q168" s="137"/>
    </row>
    <row r="169" spans="1:17" x14ac:dyDescent="0.2">
      <c r="A169" t="s">
        <v>152</v>
      </c>
      <c r="B169" s="107">
        <f>(2347580)/(5908157*2/60)</f>
        <v>11.920367045086987</v>
      </c>
      <c r="C169" s="107">
        <v>70.42</v>
      </c>
      <c r="D169" s="103">
        <f t="shared" si="74"/>
        <v>8.3943224731502557</v>
      </c>
      <c r="E169" s="107">
        <f>4284256/(5908157)*60</f>
        <v>43.508552667100759</v>
      </c>
      <c r="F169" s="103">
        <v>325.43</v>
      </c>
      <c r="G169" s="103">
        <f t="shared" si="75"/>
        <v>7.0794941472273001</v>
      </c>
      <c r="H169" s="106">
        <f>307383/(5908157)*60</f>
        <v>3.1216130512442373</v>
      </c>
      <c r="I169" s="106">
        <v>171.88</v>
      </c>
      <c r="J169" s="106">
        <f t="shared" si="81"/>
        <v>0.26827142562392975</v>
      </c>
      <c r="K169" s="103">
        <f t="shared" si="82"/>
        <v>15.742088046001484</v>
      </c>
      <c r="L169" s="103">
        <f t="shared" si="83"/>
        <v>0.53324072693662938</v>
      </c>
      <c r="M169" s="103">
        <f t="shared" si="84"/>
        <v>0.46675927306337062</v>
      </c>
      <c r="N169" s="103">
        <v>12.18</v>
      </c>
      <c r="O169" s="105">
        <f t="shared" si="80"/>
        <v>3.5620880460014845</v>
      </c>
      <c r="Q169" s="137"/>
    </row>
    <row r="170" spans="1:17" x14ac:dyDescent="0.2">
      <c r="A170" s="123" t="s">
        <v>153</v>
      </c>
      <c r="B170" s="139">
        <f>(2235370)/(5717943*2/60)</f>
        <v>11.728186167648051</v>
      </c>
      <c r="C170" s="139">
        <v>66.459999999999994</v>
      </c>
      <c r="D170" s="140">
        <f t="shared" si="74"/>
        <v>7.7945525270188947</v>
      </c>
      <c r="E170" s="139">
        <f>4164959/(5717943)*60</f>
        <v>43.704097784815275</v>
      </c>
      <c r="F170" s="140">
        <v>358.73</v>
      </c>
      <c r="G170" s="140">
        <f t="shared" si="75"/>
        <v>7.8389854991733916</v>
      </c>
      <c r="H170" s="141">
        <f>291811/(5717943)*60</f>
        <v>3.0620557077956181</v>
      </c>
      <c r="I170" s="141">
        <v>164</v>
      </c>
      <c r="J170" s="141">
        <f t="shared" si="81"/>
        <v>0.25108856803924068</v>
      </c>
      <c r="K170" s="140">
        <f t="shared" si="82"/>
        <v>15.884626594231527</v>
      </c>
      <c r="L170" s="140">
        <f t="shared" si="83"/>
        <v>0.49069787575928742</v>
      </c>
      <c r="M170" s="140">
        <f t="shared" si="84"/>
        <v>0.50930212424071253</v>
      </c>
      <c r="N170" s="140">
        <v>12.45</v>
      </c>
      <c r="O170" s="142">
        <f t="shared" si="80"/>
        <v>3.4346265942315277</v>
      </c>
      <c r="Q170" s="137"/>
    </row>
    <row r="171" spans="1:17" x14ac:dyDescent="0.2">
      <c r="A171" t="s">
        <v>154</v>
      </c>
      <c r="B171" s="107">
        <f>(2324183)/(5947222*2/60)</f>
        <v>11.724043595480376</v>
      </c>
      <c r="C171" s="107">
        <v>63.69</v>
      </c>
      <c r="D171" s="103">
        <f t="shared" si="74"/>
        <v>7.4670433659614517</v>
      </c>
      <c r="E171" s="107">
        <f>4322245/(5947222)*60</f>
        <v>43.606023114657567</v>
      </c>
      <c r="F171" s="140">
        <v>399.53</v>
      </c>
      <c r="G171" s="103">
        <f t="shared" si="75"/>
        <v>8.7109572074995683</v>
      </c>
      <c r="H171" s="106">
        <f>307307/(5947222)*60</f>
        <v>3.100341638499454</v>
      </c>
      <c r="I171" s="106">
        <v>167.5</v>
      </c>
      <c r="J171" s="106">
        <f t="shared" si="81"/>
        <v>0.25965361222432926</v>
      </c>
      <c r="K171" s="103">
        <f t="shared" si="82"/>
        <v>16.43765418568535</v>
      </c>
      <c r="L171" s="103">
        <f t="shared" si="83"/>
        <v>0.45426453687437285</v>
      </c>
      <c r="M171" s="103">
        <f t="shared" si="84"/>
        <v>0.54573546312562715</v>
      </c>
      <c r="N171" s="103">
        <v>13.1</v>
      </c>
      <c r="O171" s="105">
        <f t="shared" si="80"/>
        <v>3.3376541856853503</v>
      </c>
      <c r="Q171" s="137"/>
    </row>
    <row r="172" spans="1:17" x14ac:dyDescent="0.2">
      <c r="A172" t="s">
        <v>155</v>
      </c>
      <c r="B172" s="107">
        <f>(2277355)/(5828974*2/60)</f>
        <v>11.72087060261377</v>
      </c>
      <c r="C172" s="107">
        <v>65.7</v>
      </c>
      <c r="D172" s="103">
        <f t="shared" si="74"/>
        <v>7.7006119859172477</v>
      </c>
      <c r="E172" s="107">
        <f>4231017/(5828974)*60</f>
        <v>43.551578716940583</v>
      </c>
      <c r="F172" s="103">
        <v>421.21</v>
      </c>
      <c r="G172" s="103">
        <f t="shared" si="75"/>
        <v>9.1721802356812709</v>
      </c>
      <c r="H172" s="106">
        <f>302136/(5828974)*60</f>
        <v>3.110008725377742</v>
      </c>
      <c r="I172" s="106">
        <v>171.25</v>
      </c>
      <c r="J172" s="106">
        <f t="shared" si="81"/>
        <v>0.26629449711046915</v>
      </c>
      <c r="K172" s="103">
        <f t="shared" si="82"/>
        <v>17.139086718708988</v>
      </c>
      <c r="L172" s="103">
        <f t="shared" si="83"/>
        <v>0.44930118578087813</v>
      </c>
      <c r="M172" s="103">
        <f t="shared" si="84"/>
        <v>0.55069881421912181</v>
      </c>
      <c r="N172" s="103">
        <v>13.92</v>
      </c>
      <c r="O172" s="105">
        <f t="shared" si="80"/>
        <v>3.2190867187089882</v>
      </c>
      <c r="Q172" s="137"/>
    </row>
    <row r="173" spans="1:17" x14ac:dyDescent="0.2">
      <c r="A173" t="s">
        <v>156</v>
      </c>
      <c r="B173" s="107">
        <f>(2064199)/(5232453*2/60)</f>
        <v>11.834978737506098</v>
      </c>
      <c r="C173" s="107">
        <v>70.91</v>
      </c>
      <c r="D173" s="103">
        <f t="shared" si="74"/>
        <v>8.3921834227655747</v>
      </c>
      <c r="E173" s="107">
        <f>3817784/(5232453)*60</f>
        <v>43.778136182016354</v>
      </c>
      <c r="F173" s="103">
        <v>460.45</v>
      </c>
      <c r="G173" s="103">
        <f t="shared" si="75"/>
        <v>10.078821402504715</v>
      </c>
      <c r="H173" s="106">
        <f>272171/(5232453)*60</f>
        <v>3.1209568437595139</v>
      </c>
      <c r="I173" s="106">
        <v>181.53</v>
      </c>
      <c r="J173" s="106">
        <f t="shared" si="81"/>
        <v>0.28327364792383231</v>
      </c>
      <c r="K173" s="103">
        <f t="shared" si="82"/>
        <v>18.754278473194123</v>
      </c>
      <c r="L173" s="103">
        <f t="shared" si="83"/>
        <v>0.44748100732111318</v>
      </c>
      <c r="M173" s="103">
        <f t="shared" si="84"/>
        <v>0.55251899267888682</v>
      </c>
      <c r="N173" s="103">
        <v>15.946368421052631</v>
      </c>
      <c r="O173" s="105">
        <f t="shared" si="80"/>
        <v>2.8079100521414926</v>
      </c>
      <c r="Q173" s="137"/>
    </row>
    <row r="174" spans="1:17" x14ac:dyDescent="0.2">
      <c r="A174" t="s">
        <v>157</v>
      </c>
      <c r="B174" s="107">
        <f>(2277541)/(5786159*2/60)</f>
        <v>11.808564196040932</v>
      </c>
      <c r="C174" s="107">
        <v>76.405000000000001</v>
      </c>
      <c r="D174" s="103">
        <f t="shared" si="74"/>
        <v>9.0223334739850731</v>
      </c>
      <c r="E174" s="107">
        <f>4249054/(5786159)*60</f>
        <v>44.060876999750612</v>
      </c>
      <c r="F174" s="103">
        <v>493.97500000000002</v>
      </c>
      <c r="G174" s="103">
        <f t="shared" si="75"/>
        <v>10.882485857975905</v>
      </c>
      <c r="H174" s="106">
        <f>300577/(5786159)*60</f>
        <v>3.1168552402379541</v>
      </c>
      <c r="I174" s="106">
        <v>189.5</v>
      </c>
      <c r="J174" s="106">
        <f t="shared" si="81"/>
        <v>0.29532203401254614</v>
      </c>
      <c r="K174" s="103">
        <f t="shared" si="82"/>
        <v>20.200141365973526</v>
      </c>
      <c r="L174" s="103">
        <f t="shared" si="83"/>
        <v>0.44664704620250317</v>
      </c>
      <c r="M174" s="103">
        <f t="shared" si="84"/>
        <v>0.55335295379749672</v>
      </c>
      <c r="N174" s="103">
        <v>16.723239130434784</v>
      </c>
      <c r="O174" s="105">
        <f t="shared" si="80"/>
        <v>3.4769022355387413</v>
      </c>
      <c r="Q174" s="137"/>
    </row>
    <row r="175" spans="1:17" x14ac:dyDescent="0.2">
      <c r="A175" t="s">
        <v>158</v>
      </c>
      <c r="B175" s="107">
        <f>(2143118)/(5426712*2/60)</f>
        <v>11.847604958582655</v>
      </c>
      <c r="C175" s="107">
        <v>83.846000000000004</v>
      </c>
      <c r="D175" s="103">
        <f t="shared" si="74"/>
        <v>9.9337428535732144</v>
      </c>
      <c r="E175" s="107">
        <f>3975098/(5426712)*60</f>
        <v>43.950347834932096</v>
      </c>
      <c r="F175" s="103">
        <v>475.35999999999996</v>
      </c>
      <c r="G175" s="103">
        <f t="shared" si="75"/>
        <v>10.44611867340666</v>
      </c>
      <c r="H175" s="106">
        <f>279447/(5426712)*60</f>
        <v>3.0896830345889001</v>
      </c>
      <c r="I175" s="106">
        <v>207.57200000000003</v>
      </c>
      <c r="J175" s="106">
        <f t="shared" si="81"/>
        <v>0.32066584342784366</v>
      </c>
      <c r="K175" s="103">
        <f t="shared" si="82"/>
        <v>20.700527370407716</v>
      </c>
      <c r="L175" s="103">
        <f t="shared" si="83"/>
        <v>0.47987873332028835</v>
      </c>
      <c r="M175" s="103">
        <f t="shared" si="84"/>
        <v>0.5201212666797117</v>
      </c>
      <c r="N175" s="103">
        <v>16.978199999999994</v>
      </c>
      <c r="O175" s="105">
        <f t="shared" si="80"/>
        <v>3.7223273704077222</v>
      </c>
      <c r="Q175" s="137"/>
    </row>
    <row r="176" spans="1:17" x14ac:dyDescent="0.2">
      <c r="A176" t="s">
        <v>159</v>
      </c>
      <c r="B176" s="107">
        <f>(2158774)/(5427160*2/60)</f>
        <v>11.933169466166467</v>
      </c>
      <c r="C176" s="107">
        <v>87.385000000000005</v>
      </c>
      <c r="D176" s="103">
        <f t="shared" si="74"/>
        <v>10.427800138009568</v>
      </c>
      <c r="E176" s="107">
        <f>3978135/(5427160)*60</f>
        <v>43.980295403120607</v>
      </c>
      <c r="F176" s="103">
        <v>441.27499999999998</v>
      </c>
      <c r="G176" s="103">
        <f t="shared" si="75"/>
        <v>9.7037024270060233</v>
      </c>
      <c r="H176" s="106">
        <f>281954/(5427160)*60</f>
        <v>3.1171441416873651</v>
      </c>
      <c r="I176" s="106">
        <v>219.15</v>
      </c>
      <c r="J176" s="106">
        <f t="shared" si="81"/>
        <v>0.34156106932539304</v>
      </c>
      <c r="K176" s="103">
        <f t="shared" si="82"/>
        <v>20.473063634340985</v>
      </c>
      <c r="L176" s="103">
        <f t="shared" si="83"/>
        <v>0.50934243766615594</v>
      </c>
      <c r="M176" s="103">
        <f t="shared" si="84"/>
        <v>0.49065756233384406</v>
      </c>
      <c r="N176" s="103">
        <v>17.025976190476189</v>
      </c>
      <c r="O176" s="105">
        <f t="shared" si="80"/>
        <v>3.4470874438647954</v>
      </c>
      <c r="Q176" s="137"/>
    </row>
    <row r="177" spans="1:17" x14ac:dyDescent="0.2">
      <c r="A177" t="s">
        <v>163</v>
      </c>
      <c r="B177" s="107">
        <f>(2068578)/(5222412*2/60)</f>
        <v>11.882888596303777</v>
      </c>
      <c r="C177" s="107">
        <v>80.297499999999999</v>
      </c>
      <c r="D177" s="103">
        <f t="shared" si="74"/>
        <v>9.541662470617025</v>
      </c>
      <c r="E177" s="107">
        <f>3837474/(5222412)*60</f>
        <v>44.088524612765134</v>
      </c>
      <c r="F177" s="103">
        <v>445.92499999999995</v>
      </c>
      <c r="G177" s="103">
        <f t="shared" si="75"/>
        <v>9.8300876689736452</v>
      </c>
      <c r="H177" s="106">
        <f>269091/(5222412)*60</f>
        <v>3.0915714807640606</v>
      </c>
      <c r="I177" s="106">
        <v>209.715</v>
      </c>
      <c r="J177" s="106">
        <f t="shared" si="81"/>
        <v>0.3241744565442175</v>
      </c>
      <c r="K177" s="103">
        <f t="shared" si="82"/>
        <v>19.695924596134887</v>
      </c>
      <c r="L177" s="103">
        <f t="shared" si="83"/>
        <v>0.48444856823271315</v>
      </c>
      <c r="M177" s="103">
        <f t="shared" si="84"/>
        <v>0.51555143176728691</v>
      </c>
      <c r="N177" s="103">
        <v>17.427842857142849</v>
      </c>
      <c r="O177" s="105">
        <f t="shared" si="80"/>
        <v>2.2680817389920378</v>
      </c>
      <c r="Q177" s="137"/>
    </row>
    <row r="178" spans="1:17" x14ac:dyDescent="0.2">
      <c r="A178" s="123" t="s">
        <v>164</v>
      </c>
      <c r="B178" s="139">
        <f>(2169930)/(5441780*2/60)</f>
        <v>11.962611498443525</v>
      </c>
      <c r="C178" s="139">
        <v>67.74799999999999</v>
      </c>
      <c r="D178" s="140">
        <f t="shared" si="74"/>
        <v>8.1044300379655176</v>
      </c>
      <c r="E178" s="139">
        <f>3988429/(5441780)*60</f>
        <v>43.975636648302576</v>
      </c>
      <c r="F178" s="140">
        <v>467.87</v>
      </c>
      <c r="G178" s="140">
        <f t="shared" si="75"/>
        <v>10.287440559320663</v>
      </c>
      <c r="H178" s="141">
        <f>281546/(5440043)*60</f>
        <v>3.1052622194346626</v>
      </c>
      <c r="I178" s="141">
        <v>201.89400000000001</v>
      </c>
      <c r="J178" s="141">
        <f t="shared" si="81"/>
        <v>0.31346690526527088</v>
      </c>
      <c r="K178" s="140">
        <f t="shared" si="82"/>
        <v>18.705337502551451</v>
      </c>
      <c r="L178" s="140">
        <f t="shared" si="83"/>
        <v>0.4332683137559028</v>
      </c>
      <c r="M178" s="140">
        <f t="shared" si="84"/>
        <v>0.5667316862440972</v>
      </c>
      <c r="N178" s="140">
        <v>16.031424999999999</v>
      </c>
      <c r="O178" s="142">
        <f t="shared" si="80"/>
        <v>2.6739125025514525</v>
      </c>
      <c r="Q178" s="137"/>
    </row>
    <row r="179" spans="1:17" x14ac:dyDescent="0.2">
      <c r="A179" t="s">
        <v>165</v>
      </c>
      <c r="B179" s="107">
        <f>(2095581)/(5252619*2/60)</f>
        <v>11.968777861101291</v>
      </c>
      <c r="C179" s="107">
        <v>72.334999999999994</v>
      </c>
      <c r="D179" s="103">
        <f>(B179*C179)/100</f>
        <v>8.6576154658276181</v>
      </c>
      <c r="E179" s="107">
        <f>3870512/(5252619)*60</f>
        <v>44.212367201961541</v>
      </c>
      <c r="F179" s="103">
        <v>510.90000000000009</v>
      </c>
      <c r="G179" s="103">
        <f>E179*F179/2000</f>
        <v>11.294049201741078</v>
      </c>
      <c r="H179" s="106">
        <f>276725/(5252619)*60</f>
        <v>3.1609945438646894</v>
      </c>
      <c r="I179" s="106">
        <v>215.73</v>
      </c>
      <c r="J179" s="106">
        <f t="shared" si="81"/>
        <v>0.34096067647396472</v>
      </c>
      <c r="K179" s="103">
        <f>D179+G179+J179</f>
        <v>20.292625344042662</v>
      </c>
      <c r="L179" s="103">
        <f>D179/K179</f>
        <v>0.42663851123478452</v>
      </c>
      <c r="M179" s="103">
        <f>(+G179+J179)/K179</f>
        <v>0.57336148876521542</v>
      </c>
      <c r="N179" s="103">
        <v>16.011630434782614</v>
      </c>
      <c r="O179" s="105">
        <f>K179-N179</f>
        <v>4.2809949092600483</v>
      </c>
      <c r="Q179" s="137"/>
    </row>
    <row r="180" spans="1:17" x14ac:dyDescent="0.2">
      <c r="A180" s="131" t="s">
        <v>196</v>
      </c>
      <c r="B180" s="143">
        <f>(26100421)/(66116165*2/60)</f>
        <v>11.842983179680795</v>
      </c>
      <c r="C180" s="143">
        <f>AVERAGE(C168:C179)</f>
        <v>72.593875000000011</v>
      </c>
      <c r="D180" s="144">
        <f t="shared" si="74"/>
        <v>8.5972804057285028</v>
      </c>
      <c r="E180" s="143">
        <f>48323229/(66116165)*60</f>
        <v>43.853023538192211</v>
      </c>
      <c r="F180" s="144">
        <f>AVERAGE(F168:F179)</f>
        <v>428.68374999999997</v>
      </c>
      <c r="G180" s="144">
        <f t="shared" si="75"/>
        <v>9.3995392895952516</v>
      </c>
      <c r="H180" s="145">
        <f>(3433838/66116165)*60</f>
        <v>3.1161861853300175</v>
      </c>
      <c r="I180" s="145">
        <f>AVERAGE(I168:I179)</f>
        <v>189.18508333333332</v>
      </c>
      <c r="J180" s="145">
        <f t="shared" si="81"/>
        <v>0.29476797157692075</v>
      </c>
      <c r="K180" s="144">
        <f t="shared" ref="K180" si="85">D180+G180+J180</f>
        <v>18.291587666900675</v>
      </c>
      <c r="L180" s="144">
        <f t="shared" ref="L180" si="86">D180/K180</f>
        <v>0.4700128038248757</v>
      </c>
      <c r="M180" s="144">
        <f t="shared" ref="M180" si="87">(+G180+J180)/K180</f>
        <v>0.52998719617512424</v>
      </c>
      <c r="N180" s="144">
        <f>AVERAGE(N168:N179)</f>
        <v>15.047056836157418</v>
      </c>
      <c r="O180" s="146">
        <f t="shared" si="80"/>
        <v>3.2445308307432565</v>
      </c>
      <c r="Q180" s="137"/>
    </row>
    <row r="181" spans="1:17" x14ac:dyDescent="0.2">
      <c r="A181" t="s">
        <v>133</v>
      </c>
      <c r="B181" s="71"/>
      <c r="C181" s="108"/>
      <c r="D181" s="109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</row>
    <row r="182" spans="1:17" x14ac:dyDescent="0.2">
      <c r="A182" t="s">
        <v>126</v>
      </c>
      <c r="B182" s="71"/>
      <c r="C182" s="108"/>
      <c r="D182" s="109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</row>
    <row r="183" spans="1:17" x14ac:dyDescent="0.2">
      <c r="A183" t="s">
        <v>197</v>
      </c>
    </row>
    <row r="184" spans="1:17" x14ac:dyDescent="0.2">
      <c r="A184" t="s">
        <v>198</v>
      </c>
    </row>
    <row r="185" spans="1:17" x14ac:dyDescent="0.2">
      <c r="A185" s="22" t="s">
        <v>233</v>
      </c>
    </row>
    <row r="186" spans="1:17" x14ac:dyDescent="0.2">
      <c r="A186" s="39" t="s">
        <v>234</v>
      </c>
    </row>
    <row r="187" spans="1:17" x14ac:dyDescent="0.2">
      <c r="O187" s="40" t="s">
        <v>211</v>
      </c>
    </row>
  </sheetData>
  <pageMargins left="0.7" right="0.7" top="0.75" bottom="0.75" header="0.3" footer="0.3"/>
  <pageSetup scale="74" firstPageNumber="9" orientation="portrait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60FA-9E33-40F2-81B3-D7E351764DEE}">
  <sheetPr>
    <pageSetUpPr fitToPage="1"/>
  </sheetPr>
  <dimension ref="A1:E146"/>
  <sheetViews>
    <sheetView zoomScaleNormal="100" zoomScaleSheetLayoutView="90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20.85546875" customWidth="1"/>
    <col min="2" max="4" width="26.85546875" customWidth="1"/>
    <col min="5" max="5" width="9.7109375" customWidth="1"/>
  </cols>
  <sheetData>
    <row r="1" spans="1:4" x14ac:dyDescent="0.2">
      <c r="A1" s="12" t="s">
        <v>199</v>
      </c>
      <c r="B1" s="13"/>
      <c r="C1" s="13"/>
      <c r="D1" s="13"/>
    </row>
    <row r="2" spans="1:4" x14ac:dyDescent="0.2">
      <c r="A2" s="14" t="s">
        <v>7</v>
      </c>
      <c r="B2" s="14" t="s">
        <v>8</v>
      </c>
      <c r="C2" s="14" t="s">
        <v>9</v>
      </c>
      <c r="D2" s="14" t="s">
        <v>10</v>
      </c>
    </row>
    <row r="3" spans="1:4" x14ac:dyDescent="0.2">
      <c r="C3" s="15" t="s">
        <v>11</v>
      </c>
      <c r="D3" s="16"/>
    </row>
    <row r="4" spans="1:4" x14ac:dyDescent="0.2">
      <c r="A4" t="s">
        <v>12</v>
      </c>
      <c r="B4" s="17"/>
      <c r="C4" s="17"/>
      <c r="D4" s="17"/>
    </row>
    <row r="5" spans="1:4" x14ac:dyDescent="0.2">
      <c r="A5" t="s">
        <v>13</v>
      </c>
      <c r="B5" s="17">
        <v>1150000</v>
      </c>
      <c r="C5" s="17">
        <v>1032666</v>
      </c>
      <c r="D5" s="17">
        <f>B5+C5</f>
        <v>2182666</v>
      </c>
    </row>
    <row r="6" spans="1:4" x14ac:dyDescent="0.2">
      <c r="A6" t="s">
        <v>14</v>
      </c>
      <c r="B6" s="17">
        <v>730000</v>
      </c>
      <c r="C6" s="17">
        <v>665986</v>
      </c>
      <c r="D6" s="17">
        <f>B6+C6</f>
        <v>1395986</v>
      </c>
    </row>
    <row r="7" spans="1:4" x14ac:dyDescent="0.2">
      <c r="A7" t="s">
        <v>15</v>
      </c>
      <c r="B7" s="17">
        <v>370000</v>
      </c>
      <c r="C7" s="17">
        <v>404425</v>
      </c>
      <c r="D7" s="17">
        <f>B7+C7</f>
        <v>774425</v>
      </c>
    </row>
    <row r="8" spans="1:4" x14ac:dyDescent="0.2">
      <c r="A8" t="s">
        <v>16</v>
      </c>
      <c r="B8" s="17">
        <v>112500</v>
      </c>
      <c r="C8" s="17">
        <v>177662</v>
      </c>
      <c r="D8" s="17">
        <f>B8+C8</f>
        <v>290162</v>
      </c>
    </row>
    <row r="9" spans="1:4" x14ac:dyDescent="0.2">
      <c r="B9" s="17"/>
      <c r="C9" s="17"/>
      <c r="D9" s="17"/>
    </row>
    <row r="10" spans="1:4" x14ac:dyDescent="0.2">
      <c r="A10" t="s">
        <v>17</v>
      </c>
      <c r="B10" s="17"/>
      <c r="C10" s="17"/>
      <c r="D10" s="17"/>
    </row>
    <row r="11" spans="1:4" x14ac:dyDescent="0.2">
      <c r="A11" t="s">
        <v>13</v>
      </c>
      <c r="B11" s="17">
        <v>1217000</v>
      </c>
      <c r="C11" s="17">
        <v>1022991</v>
      </c>
      <c r="D11" s="17">
        <f>B11+C11</f>
        <v>2239991</v>
      </c>
    </row>
    <row r="12" spans="1:4" x14ac:dyDescent="0.2">
      <c r="A12" t="s">
        <v>14</v>
      </c>
      <c r="B12" s="17">
        <v>780000</v>
      </c>
      <c r="C12" s="17">
        <v>623908</v>
      </c>
      <c r="D12" s="17">
        <f>B12+C12</f>
        <v>1403908</v>
      </c>
    </row>
    <row r="13" spans="1:4" x14ac:dyDescent="0.2">
      <c r="A13" t="s">
        <v>15</v>
      </c>
      <c r="B13" s="17">
        <v>365000</v>
      </c>
      <c r="C13" s="17">
        <v>343180</v>
      </c>
      <c r="D13" s="17">
        <f>B13+C13</f>
        <v>708180</v>
      </c>
    </row>
    <row r="14" spans="1:4" x14ac:dyDescent="0.2">
      <c r="A14" t="s">
        <v>16</v>
      </c>
      <c r="B14" s="17">
        <v>83500</v>
      </c>
      <c r="C14" s="17">
        <v>164247</v>
      </c>
      <c r="D14" s="17">
        <f>B14+C14</f>
        <v>247747</v>
      </c>
    </row>
    <row r="15" spans="1:4" x14ac:dyDescent="0.2">
      <c r="B15" s="17"/>
      <c r="C15" s="17"/>
      <c r="D15" s="17"/>
    </row>
    <row r="16" spans="1:4" x14ac:dyDescent="0.2">
      <c r="A16" t="s">
        <v>18</v>
      </c>
      <c r="B16" s="17"/>
      <c r="C16" s="17"/>
      <c r="D16" s="18"/>
    </row>
    <row r="17" spans="1:4" x14ac:dyDescent="0.2">
      <c r="A17" t="s">
        <v>13</v>
      </c>
      <c r="B17" s="17">
        <v>1240000</v>
      </c>
      <c r="C17" s="17">
        <v>1035618</v>
      </c>
      <c r="D17" s="17">
        <f>B17+C17</f>
        <v>2275618</v>
      </c>
    </row>
    <row r="18" spans="1:4" x14ac:dyDescent="0.2">
      <c r="A18" t="s">
        <v>14</v>
      </c>
      <c r="B18" s="17">
        <v>687000</v>
      </c>
      <c r="C18" s="17">
        <v>648987</v>
      </c>
      <c r="D18" s="17">
        <f>B18+C18</f>
        <v>1335987</v>
      </c>
    </row>
    <row r="19" spans="1:4" x14ac:dyDescent="0.2">
      <c r="A19" t="s">
        <v>15</v>
      </c>
      <c r="B19" s="17">
        <v>301200</v>
      </c>
      <c r="C19" s="17">
        <v>383721</v>
      </c>
      <c r="D19" s="17">
        <f>B19+C19</f>
        <v>684921</v>
      </c>
    </row>
    <row r="20" spans="1:4" x14ac:dyDescent="0.2">
      <c r="A20" t="s">
        <v>16</v>
      </c>
      <c r="B20" s="17">
        <v>62700</v>
      </c>
      <c r="C20" s="17">
        <v>145361</v>
      </c>
      <c r="D20" s="17">
        <f>B20+C20</f>
        <v>208061</v>
      </c>
    </row>
    <row r="21" spans="1:4" x14ac:dyDescent="0.2">
      <c r="B21" s="17"/>
      <c r="C21" s="17"/>
      <c r="D21" s="17"/>
    </row>
    <row r="22" spans="1:4" x14ac:dyDescent="0.2">
      <c r="A22" t="s">
        <v>19</v>
      </c>
      <c r="B22" s="17"/>
      <c r="C22" s="18"/>
      <c r="D22" s="18"/>
    </row>
    <row r="23" spans="1:4" x14ac:dyDescent="0.2">
      <c r="A23" t="s">
        <v>13</v>
      </c>
      <c r="B23" s="17">
        <v>1172000</v>
      </c>
      <c r="C23" s="17">
        <v>943373</v>
      </c>
      <c r="D23" s="17">
        <f>B23+C23</f>
        <v>2115373</v>
      </c>
    </row>
    <row r="24" spans="1:4" x14ac:dyDescent="0.2">
      <c r="A24" t="s">
        <v>14</v>
      </c>
      <c r="B24" s="17">
        <v>636500</v>
      </c>
      <c r="C24" s="17">
        <v>565528</v>
      </c>
      <c r="D24" s="17">
        <f>B24+C24</f>
        <v>1202028</v>
      </c>
    </row>
    <row r="25" spans="1:4" x14ac:dyDescent="0.2">
      <c r="A25" t="s">
        <v>15</v>
      </c>
      <c r="B25" s="17">
        <v>272500</v>
      </c>
      <c r="C25" s="17">
        <v>329862</v>
      </c>
      <c r="D25" s="17">
        <f>B25+C25</f>
        <v>602362</v>
      </c>
    </row>
    <row r="26" spans="1:4" x14ac:dyDescent="0.2">
      <c r="A26" t="s">
        <v>16</v>
      </c>
      <c r="B26" s="17">
        <v>58000</v>
      </c>
      <c r="C26" s="17">
        <v>120329</v>
      </c>
      <c r="D26" s="17">
        <f>B26+C26</f>
        <v>178329</v>
      </c>
    </row>
    <row r="27" spans="1:4" x14ac:dyDescent="0.2">
      <c r="B27" s="17"/>
      <c r="C27" s="17"/>
      <c r="D27" s="17"/>
    </row>
    <row r="28" spans="1:4" x14ac:dyDescent="0.2">
      <c r="A28" t="s">
        <v>20</v>
      </c>
      <c r="B28" s="17"/>
      <c r="C28" s="17"/>
      <c r="D28" s="17"/>
    </row>
    <row r="29" spans="1:4" x14ac:dyDescent="0.2">
      <c r="A29" t="s">
        <v>13</v>
      </c>
      <c r="B29" s="17">
        <v>820000</v>
      </c>
      <c r="C29" s="17">
        <v>868653</v>
      </c>
      <c r="D29" s="17">
        <f>B29+C29</f>
        <v>1688653</v>
      </c>
    </row>
    <row r="30" spans="1:4" x14ac:dyDescent="0.2">
      <c r="A30" t="s">
        <v>14</v>
      </c>
      <c r="B30" s="17">
        <v>355900</v>
      </c>
      <c r="C30" s="17">
        <v>549947</v>
      </c>
      <c r="D30" s="17">
        <f>B30+C30</f>
        <v>905847</v>
      </c>
    </row>
    <row r="31" spans="1:4" x14ac:dyDescent="0.2">
      <c r="A31" t="s">
        <v>15</v>
      </c>
      <c r="B31" s="17">
        <v>110000</v>
      </c>
      <c r="C31" s="17">
        <v>300604</v>
      </c>
      <c r="D31" s="17">
        <f>B31+C31</f>
        <v>410604</v>
      </c>
    </row>
    <row r="32" spans="1:4" x14ac:dyDescent="0.2">
      <c r="A32" t="s">
        <v>16</v>
      </c>
      <c r="B32" s="17">
        <v>29400</v>
      </c>
      <c r="C32" s="17">
        <v>83014</v>
      </c>
      <c r="D32" s="17">
        <f>+B32+C32</f>
        <v>112414</v>
      </c>
    </row>
    <row r="33" spans="1:4" x14ac:dyDescent="0.2">
      <c r="B33" s="17"/>
      <c r="C33" s="17"/>
      <c r="D33" s="17"/>
    </row>
    <row r="34" spans="1:4" x14ac:dyDescent="0.2">
      <c r="A34" s="19" t="s">
        <v>21</v>
      </c>
      <c r="B34" s="17"/>
      <c r="C34" s="17"/>
      <c r="D34" s="17"/>
    </row>
    <row r="35" spans="1:4" x14ac:dyDescent="0.2">
      <c r="A35" t="s">
        <v>13</v>
      </c>
      <c r="B35" s="17">
        <v>1300000</v>
      </c>
      <c r="C35" s="17">
        <v>1004640</v>
      </c>
      <c r="D35" s="17">
        <f>+B35+C35</f>
        <v>2304640</v>
      </c>
    </row>
    <row r="36" spans="1:4" x14ac:dyDescent="0.2">
      <c r="A36" t="s">
        <v>14</v>
      </c>
      <c r="B36" s="17">
        <v>795000</v>
      </c>
      <c r="C36" s="17">
        <v>586364</v>
      </c>
      <c r="D36" s="17">
        <f>+B36+C36</f>
        <v>1381364</v>
      </c>
    </row>
    <row r="37" spans="1:4" x14ac:dyDescent="0.2">
      <c r="A37" t="s">
        <v>15</v>
      </c>
      <c r="B37" s="17">
        <v>356100</v>
      </c>
      <c r="C37" s="17">
        <v>343174</v>
      </c>
      <c r="D37" s="17">
        <f>+B37+C37</f>
        <v>699274</v>
      </c>
    </row>
    <row r="38" spans="1:4" x14ac:dyDescent="0.2">
      <c r="A38" t="s">
        <v>16</v>
      </c>
      <c r="B38" s="17">
        <v>99700</v>
      </c>
      <c r="C38" s="17">
        <v>156038</v>
      </c>
      <c r="D38" s="17">
        <f>+B38+C38</f>
        <v>255738</v>
      </c>
    </row>
    <row r="39" spans="1:4" x14ac:dyDescent="0.2">
      <c r="B39" s="17"/>
      <c r="C39" s="17"/>
      <c r="D39" s="17"/>
    </row>
    <row r="40" spans="1:4" x14ac:dyDescent="0.2">
      <c r="A40" s="19" t="s">
        <v>22</v>
      </c>
      <c r="B40" s="17"/>
      <c r="C40" s="17"/>
      <c r="D40" s="17"/>
    </row>
    <row r="41" spans="1:4" x14ac:dyDescent="0.2">
      <c r="A41" t="s">
        <v>13</v>
      </c>
      <c r="B41" s="17">
        <v>1345000</v>
      </c>
      <c r="C41" s="17">
        <v>1156426</v>
      </c>
      <c r="D41" s="17">
        <f>B41+C41</f>
        <v>2501426</v>
      </c>
    </row>
    <row r="42" spans="1:4" x14ac:dyDescent="0.2">
      <c r="A42" t="s">
        <v>14</v>
      </c>
      <c r="B42" s="17">
        <v>872000</v>
      </c>
      <c r="C42" s="17">
        <v>797206</v>
      </c>
      <c r="D42" s="17">
        <f>B42+C42</f>
        <v>1669206</v>
      </c>
    </row>
    <row r="43" spans="1:4" x14ac:dyDescent="0.2">
      <c r="A43" t="s">
        <v>15</v>
      </c>
      <c r="B43" s="17">
        <v>495500</v>
      </c>
      <c r="C43" s="17">
        <v>495199</v>
      </c>
      <c r="D43" s="17">
        <f>B43+C43</f>
        <v>990699</v>
      </c>
    </row>
    <row r="44" spans="1:4" x14ac:dyDescent="0.2">
      <c r="A44" t="s">
        <v>16</v>
      </c>
      <c r="B44" s="17">
        <v>176300</v>
      </c>
      <c r="C44" s="17">
        <v>273026</v>
      </c>
      <c r="D44" s="17">
        <f>B44+C44</f>
        <v>449326</v>
      </c>
    </row>
    <row r="45" spans="1:4" x14ac:dyDescent="0.2">
      <c r="B45" s="17"/>
      <c r="C45" s="17"/>
      <c r="D45" s="17"/>
    </row>
    <row r="46" spans="1:4" x14ac:dyDescent="0.2">
      <c r="A46" s="19" t="s">
        <v>23</v>
      </c>
      <c r="B46" s="17"/>
      <c r="C46" s="17"/>
      <c r="D46" s="17"/>
    </row>
    <row r="47" spans="1:4" x14ac:dyDescent="0.2">
      <c r="A47" t="s">
        <v>13</v>
      </c>
      <c r="B47" s="17">
        <v>1461000</v>
      </c>
      <c r="C47" s="17">
        <v>1240366</v>
      </c>
      <c r="D47" s="17">
        <f>+B47+C47</f>
        <v>2701366</v>
      </c>
    </row>
    <row r="48" spans="1:4" x14ac:dyDescent="0.2">
      <c r="A48" t="s">
        <v>14</v>
      </c>
      <c r="B48" s="17">
        <v>910000</v>
      </c>
      <c r="C48" s="17">
        <v>876887</v>
      </c>
      <c r="D48" s="17">
        <f>+B48+C48</f>
        <v>1786887</v>
      </c>
    </row>
    <row r="49" spans="1:4" x14ac:dyDescent="0.2">
      <c r="A49" t="s">
        <v>15</v>
      </c>
      <c r="B49" s="17">
        <v>500000</v>
      </c>
      <c r="C49" s="17">
        <v>592185</v>
      </c>
      <c r="D49" s="17">
        <f>+B49+C49</f>
        <v>1092185</v>
      </c>
    </row>
    <row r="50" spans="1:4" x14ac:dyDescent="0.2">
      <c r="A50" t="s">
        <v>16</v>
      </c>
      <c r="B50" s="17">
        <v>143000</v>
      </c>
      <c r="C50" s="17">
        <v>430810</v>
      </c>
      <c r="D50" s="17">
        <f>+B50+C50</f>
        <v>573810</v>
      </c>
    </row>
    <row r="51" spans="1:4" x14ac:dyDescent="0.2">
      <c r="B51" s="17"/>
      <c r="C51" s="17"/>
      <c r="D51" s="17"/>
    </row>
    <row r="52" spans="1:4" x14ac:dyDescent="0.2">
      <c r="A52" s="19" t="s">
        <v>24</v>
      </c>
      <c r="B52" s="17"/>
      <c r="C52" s="17"/>
      <c r="D52" s="17"/>
    </row>
    <row r="53" spans="1:4" x14ac:dyDescent="0.2">
      <c r="A53" t="s">
        <v>13</v>
      </c>
      <c r="B53" s="17">
        <v>1128500</v>
      </c>
      <c r="C53" s="17">
        <v>1231860</v>
      </c>
      <c r="D53" s="17">
        <f>+B53+C53</f>
        <v>2360360</v>
      </c>
    </row>
    <row r="54" spans="1:4" x14ac:dyDescent="0.2">
      <c r="A54" t="s">
        <v>14</v>
      </c>
      <c r="B54" s="17">
        <v>593000</v>
      </c>
      <c r="C54" s="17">
        <v>840982</v>
      </c>
      <c r="D54" s="17">
        <f>+B54+C54</f>
        <v>1433982</v>
      </c>
    </row>
    <row r="55" spans="1:4" x14ac:dyDescent="0.2">
      <c r="A55" t="s">
        <v>15</v>
      </c>
      <c r="B55" s="17">
        <v>226600</v>
      </c>
      <c r="C55" s="17">
        <v>449543</v>
      </c>
      <c r="D55" s="17">
        <f>+B55+C55</f>
        <v>676143</v>
      </c>
    </row>
    <row r="56" spans="1:4" x14ac:dyDescent="0.2">
      <c r="A56" t="s">
        <v>16</v>
      </c>
      <c r="B56" s="17">
        <v>47000</v>
      </c>
      <c r="C56" s="17">
        <v>158034</v>
      </c>
      <c r="D56" s="17">
        <f>+B56+C56</f>
        <v>205034</v>
      </c>
    </row>
    <row r="57" spans="1:4" x14ac:dyDescent="0.2">
      <c r="B57" s="17"/>
      <c r="C57" s="17"/>
      <c r="D57" s="17"/>
    </row>
    <row r="58" spans="1:4" x14ac:dyDescent="0.2">
      <c r="A58" s="19" t="s">
        <v>25</v>
      </c>
      <c r="B58" s="17"/>
      <c r="C58" s="17"/>
      <c r="D58" s="17"/>
    </row>
    <row r="59" spans="1:4" x14ac:dyDescent="0.2">
      <c r="A59" t="s">
        <v>13</v>
      </c>
      <c r="B59" s="17">
        <v>1189000</v>
      </c>
      <c r="C59" s="17">
        <v>1086432</v>
      </c>
      <c r="D59" s="17">
        <f>+B59+C59</f>
        <v>2275432</v>
      </c>
    </row>
    <row r="60" spans="1:4" x14ac:dyDescent="0.2">
      <c r="A60" t="s">
        <v>14</v>
      </c>
      <c r="B60" s="17">
        <v>656500</v>
      </c>
      <c r="C60" s="17">
        <v>645289</v>
      </c>
      <c r="D60" s="17">
        <f>+B60+C60</f>
        <v>1301789</v>
      </c>
    </row>
    <row r="61" spans="1:4" x14ac:dyDescent="0.2">
      <c r="A61" t="s">
        <v>15</v>
      </c>
      <c r="B61" s="17">
        <v>226300</v>
      </c>
      <c r="C61" s="17">
        <v>369859</v>
      </c>
      <c r="D61" s="17">
        <f>+B61+C61</f>
        <v>596159</v>
      </c>
    </row>
    <row r="62" spans="1:4" x14ac:dyDescent="0.2">
      <c r="A62" t="s">
        <v>16</v>
      </c>
      <c r="B62" s="17">
        <v>35100</v>
      </c>
      <c r="C62" s="17">
        <v>103098</v>
      </c>
      <c r="D62" s="17">
        <f>+B62+C62</f>
        <v>138198</v>
      </c>
    </row>
    <row r="63" spans="1:4" x14ac:dyDescent="0.2">
      <c r="B63" s="17"/>
      <c r="C63" s="17"/>
      <c r="D63" s="17"/>
    </row>
    <row r="64" spans="1:4" x14ac:dyDescent="0.2">
      <c r="A64" s="19" t="s">
        <v>26</v>
      </c>
      <c r="B64" s="17"/>
      <c r="C64" s="17"/>
      <c r="D64" s="17"/>
    </row>
    <row r="65" spans="1:4" x14ac:dyDescent="0.2">
      <c r="A65" t="s">
        <v>13</v>
      </c>
      <c r="B65" s="17">
        <v>1229500</v>
      </c>
      <c r="C65" s="17">
        <v>1109050</v>
      </c>
      <c r="D65" s="17">
        <f>+B65+C65</f>
        <v>2338550</v>
      </c>
    </row>
    <row r="66" spans="1:4" x14ac:dyDescent="0.2">
      <c r="A66" t="s">
        <v>14</v>
      </c>
      <c r="B66" s="17">
        <v>609200</v>
      </c>
      <c r="C66" s="17">
        <v>660868</v>
      </c>
      <c r="D66" s="17">
        <f>+B66+C66</f>
        <v>1270068</v>
      </c>
    </row>
    <row r="67" spans="1:4" x14ac:dyDescent="0.2">
      <c r="A67" t="s">
        <v>15</v>
      </c>
      <c r="B67" s="17">
        <v>232600</v>
      </c>
      <c r="C67" s="17">
        <v>338523</v>
      </c>
      <c r="D67" s="17">
        <f>+B67+C67</f>
        <v>571123</v>
      </c>
    </row>
    <row r="68" spans="1:4" x14ac:dyDescent="0.2">
      <c r="A68" t="s">
        <v>16</v>
      </c>
      <c r="B68" s="17">
        <v>35400</v>
      </c>
      <c r="C68" s="17">
        <v>115485</v>
      </c>
      <c r="D68" s="17">
        <f>+B68+C68</f>
        <v>150885</v>
      </c>
    </row>
    <row r="69" spans="1:4" x14ac:dyDescent="0.2">
      <c r="B69" s="17"/>
      <c r="C69" s="17"/>
      <c r="D69" s="17"/>
    </row>
    <row r="70" spans="1:4" x14ac:dyDescent="0.2">
      <c r="A70" s="20" t="s">
        <v>27</v>
      </c>
      <c r="B70" s="17"/>
      <c r="C70" s="17"/>
      <c r="D70" s="17"/>
    </row>
    <row r="71" spans="1:4" x14ac:dyDescent="0.2">
      <c r="A71" t="s">
        <v>13</v>
      </c>
      <c r="B71" s="17">
        <v>1091000</v>
      </c>
      <c r="C71" s="17">
        <v>1187084</v>
      </c>
      <c r="D71" s="17">
        <f>+B71+C71</f>
        <v>2278084</v>
      </c>
    </row>
    <row r="72" spans="1:4" x14ac:dyDescent="0.2">
      <c r="A72" t="s">
        <v>14</v>
      </c>
      <c r="B72" s="17">
        <v>505000</v>
      </c>
      <c r="C72" s="17">
        <v>743800</v>
      </c>
      <c r="D72" s="17">
        <f>+B72+C72</f>
        <v>1248800</v>
      </c>
    </row>
    <row r="73" spans="1:4" x14ac:dyDescent="0.2">
      <c r="A73" t="s">
        <v>15</v>
      </c>
      <c r="B73" s="17">
        <v>217700</v>
      </c>
      <c r="C73" s="17">
        <v>401583</v>
      </c>
      <c r="D73" s="17">
        <f>+B73+C73</f>
        <v>619283</v>
      </c>
    </row>
    <row r="74" spans="1:4" x14ac:dyDescent="0.2">
      <c r="A74" t="s">
        <v>16</v>
      </c>
      <c r="B74" s="17">
        <v>48500</v>
      </c>
      <c r="C74" s="17">
        <v>166513</v>
      </c>
      <c r="D74" s="17">
        <f>+B74+C74</f>
        <v>215013</v>
      </c>
    </row>
    <row r="75" spans="1:4" x14ac:dyDescent="0.2">
      <c r="B75" s="17"/>
      <c r="C75" s="17"/>
      <c r="D75" s="17"/>
    </row>
    <row r="76" spans="1:4" x14ac:dyDescent="0.2">
      <c r="A76" s="20" t="s">
        <v>28</v>
      </c>
      <c r="B76" s="17"/>
      <c r="C76" s="17"/>
      <c r="D76" s="17"/>
    </row>
    <row r="77" spans="1:4" x14ac:dyDescent="0.2">
      <c r="A77" t="s">
        <v>13</v>
      </c>
      <c r="B77" s="17">
        <v>1139000</v>
      </c>
      <c r="C77" s="17">
        <v>1230885</v>
      </c>
      <c r="D77" s="17">
        <f>B77+C77</f>
        <v>2369885</v>
      </c>
    </row>
    <row r="78" spans="1:4" x14ac:dyDescent="0.2">
      <c r="A78" t="s">
        <v>14</v>
      </c>
      <c r="B78" s="17">
        <v>555000</v>
      </c>
      <c r="C78" s="17">
        <v>819488</v>
      </c>
      <c r="D78" s="17">
        <f>B78+C78</f>
        <v>1374488</v>
      </c>
    </row>
    <row r="79" spans="1:4" x14ac:dyDescent="0.2">
      <c r="A79" t="s">
        <v>15</v>
      </c>
      <c r="B79" s="17">
        <v>179000</v>
      </c>
      <c r="C79" s="17">
        <v>488465</v>
      </c>
      <c r="D79" s="17">
        <f>B79+C79</f>
        <v>667465</v>
      </c>
    </row>
    <row r="80" spans="1:4" x14ac:dyDescent="0.2">
      <c r="A80" t="s">
        <v>16</v>
      </c>
      <c r="B80" s="17">
        <v>38250</v>
      </c>
      <c r="C80" s="17">
        <v>131120</v>
      </c>
      <c r="D80" s="17">
        <f>B80+C80</f>
        <v>169370</v>
      </c>
    </row>
    <row r="81" spans="1:4" x14ac:dyDescent="0.2">
      <c r="B81" s="17"/>
      <c r="C81" s="17"/>
      <c r="D81" s="17"/>
    </row>
    <row r="82" spans="1:4" x14ac:dyDescent="0.2">
      <c r="A82" s="20" t="s">
        <v>29</v>
      </c>
      <c r="B82" s="17"/>
      <c r="C82" s="17"/>
      <c r="D82" s="17"/>
    </row>
    <row r="83" spans="1:4" x14ac:dyDescent="0.2">
      <c r="A83" t="s">
        <v>13</v>
      </c>
      <c r="B83" s="17">
        <v>910000</v>
      </c>
      <c r="C83" s="17">
        <v>1056161</v>
      </c>
      <c r="D83" s="17">
        <f>B83+C83</f>
        <v>1966161</v>
      </c>
    </row>
    <row r="84" spans="1:4" x14ac:dyDescent="0.2">
      <c r="A84" t="s">
        <v>14</v>
      </c>
      <c r="B84" s="17">
        <v>456700</v>
      </c>
      <c r="C84" s="17">
        <v>541320</v>
      </c>
      <c r="D84" s="17">
        <f>B84+C84</f>
        <v>998020</v>
      </c>
    </row>
    <row r="85" spans="1:4" x14ac:dyDescent="0.2">
      <c r="A85" t="s">
        <v>15</v>
      </c>
      <c r="B85" s="17">
        <v>171100</v>
      </c>
      <c r="C85" s="17">
        <v>263564</v>
      </c>
      <c r="D85" s="17">
        <f>B85+C85</f>
        <v>434664</v>
      </c>
    </row>
    <row r="86" spans="1:4" x14ac:dyDescent="0.2">
      <c r="A86" t="s">
        <v>16</v>
      </c>
      <c r="B86" s="17">
        <v>39550</v>
      </c>
      <c r="C86" s="17">
        <v>101007</v>
      </c>
      <c r="D86" s="17">
        <f>B86+C86</f>
        <v>140557</v>
      </c>
    </row>
    <row r="87" spans="1:4" x14ac:dyDescent="0.2">
      <c r="B87" s="17"/>
      <c r="C87" s="17"/>
      <c r="D87" s="17"/>
    </row>
    <row r="88" spans="1:4" x14ac:dyDescent="0.2">
      <c r="A88" s="20" t="s">
        <v>30</v>
      </c>
      <c r="B88" s="17"/>
      <c r="C88" s="17"/>
      <c r="D88" s="17"/>
    </row>
    <row r="89" spans="1:4" x14ac:dyDescent="0.2">
      <c r="A89" t="s">
        <v>13</v>
      </c>
      <c r="B89" s="17">
        <v>955000</v>
      </c>
      <c r="C89" s="17">
        <v>1198621</v>
      </c>
      <c r="D89" s="17">
        <f>B89+C89</f>
        <v>2153621</v>
      </c>
    </row>
    <row r="90" spans="1:4" x14ac:dyDescent="0.2">
      <c r="A90" t="s">
        <v>14</v>
      </c>
      <c r="B90" s="17">
        <v>381900</v>
      </c>
      <c r="C90" s="17">
        <v>611928</v>
      </c>
      <c r="D90" s="17">
        <f>B90+C90</f>
        <v>993828</v>
      </c>
    </row>
    <row r="91" spans="1:4" x14ac:dyDescent="0.2">
      <c r="A91" t="s">
        <v>15</v>
      </c>
      <c r="B91" s="17">
        <v>109100</v>
      </c>
      <c r="C91" s="17">
        <v>295945</v>
      </c>
      <c r="D91" s="17">
        <f>B91+C91</f>
        <v>405045</v>
      </c>
    </row>
    <row r="92" spans="1:4" x14ac:dyDescent="0.2">
      <c r="A92" t="s">
        <v>16</v>
      </c>
      <c r="B92" s="17">
        <v>21325</v>
      </c>
      <c r="C92" s="17">
        <v>70666</v>
      </c>
      <c r="D92" s="17">
        <f>B92+C92</f>
        <v>91991</v>
      </c>
    </row>
    <row r="93" spans="1:4" x14ac:dyDescent="0.2">
      <c r="B93" s="17"/>
      <c r="C93" s="17"/>
      <c r="D93" s="17"/>
    </row>
    <row r="94" spans="1:4" x14ac:dyDescent="0.2">
      <c r="A94" s="20" t="s">
        <v>31</v>
      </c>
      <c r="B94" s="17"/>
      <c r="C94" s="17"/>
      <c r="D94" s="17"/>
    </row>
    <row r="95" spans="1:4" x14ac:dyDescent="0.2">
      <c r="A95" t="s">
        <v>13</v>
      </c>
      <c r="B95" s="17">
        <v>1218000</v>
      </c>
      <c r="C95" s="17">
        <v>1309744</v>
      </c>
      <c r="D95" s="17">
        <f>B95+C95</f>
        <v>2527744</v>
      </c>
    </row>
    <row r="96" spans="1:4" x14ac:dyDescent="0.2">
      <c r="A96" t="s">
        <v>14</v>
      </c>
      <c r="B96" s="17">
        <v>609200</v>
      </c>
      <c r="C96" s="17">
        <v>717399</v>
      </c>
      <c r="D96" s="17">
        <f>B96+C96</f>
        <v>1326599</v>
      </c>
    </row>
    <row r="97" spans="1:4" x14ac:dyDescent="0.2">
      <c r="A97" t="s">
        <v>15</v>
      </c>
      <c r="B97" s="17">
        <v>246300</v>
      </c>
      <c r="C97" s="17">
        <v>380768</v>
      </c>
      <c r="D97" s="17">
        <f>B97+C97</f>
        <v>627068</v>
      </c>
    </row>
    <row r="98" spans="1:4" x14ac:dyDescent="0.2">
      <c r="A98" t="s">
        <v>16</v>
      </c>
      <c r="B98" s="17">
        <v>49700</v>
      </c>
      <c r="C98" s="17">
        <v>140910</v>
      </c>
      <c r="D98" s="17">
        <f>B98+C98</f>
        <v>190610</v>
      </c>
    </row>
    <row r="99" spans="1:4" x14ac:dyDescent="0.2">
      <c r="B99" s="17"/>
      <c r="C99" s="17"/>
      <c r="D99" s="17"/>
    </row>
    <row r="100" spans="1:4" x14ac:dyDescent="0.2">
      <c r="A100" s="20" t="s">
        <v>32</v>
      </c>
      <c r="B100" s="17"/>
      <c r="C100" s="17"/>
      <c r="D100" s="17"/>
    </row>
    <row r="101" spans="1:4" x14ac:dyDescent="0.2">
      <c r="A101" t="s">
        <v>13</v>
      </c>
      <c r="B101" s="17">
        <v>1308500</v>
      </c>
      <c r="C101" s="17">
        <v>1405577</v>
      </c>
      <c r="D101" s="17">
        <f>B101+C101</f>
        <v>2714077</v>
      </c>
    </row>
    <row r="102" spans="1:4" x14ac:dyDescent="0.2">
      <c r="A102" t="s">
        <v>14</v>
      </c>
      <c r="B102" s="17">
        <v>727500</v>
      </c>
      <c r="C102" s="17">
        <v>803406</v>
      </c>
      <c r="D102" s="17">
        <f>B102+C102</f>
        <v>1530906</v>
      </c>
    </row>
    <row r="103" spans="1:4" x14ac:dyDescent="0.2">
      <c r="A103" t="s">
        <v>15</v>
      </c>
      <c r="B103" s="17">
        <v>281300</v>
      </c>
      <c r="C103" s="17">
        <v>590481</v>
      </c>
      <c r="D103" s="17">
        <f>B103+C103</f>
        <v>871781</v>
      </c>
    </row>
    <row r="104" spans="1:4" x14ac:dyDescent="0.2">
      <c r="A104" t="s">
        <v>16</v>
      </c>
      <c r="B104" s="17">
        <v>41560</v>
      </c>
      <c r="C104" s="17">
        <v>155169</v>
      </c>
      <c r="D104" s="17">
        <f>B104+C104</f>
        <v>196729</v>
      </c>
    </row>
    <row r="105" spans="1:4" x14ac:dyDescent="0.2">
      <c r="B105" s="17"/>
      <c r="C105" s="17"/>
      <c r="D105" s="17"/>
    </row>
    <row r="106" spans="1:4" x14ac:dyDescent="0.2">
      <c r="A106" s="20" t="s">
        <v>33</v>
      </c>
      <c r="B106" s="17"/>
      <c r="C106" s="17"/>
      <c r="D106" s="17"/>
    </row>
    <row r="107" spans="1:4" x14ac:dyDescent="0.2">
      <c r="A107" t="s">
        <v>13</v>
      </c>
      <c r="B107" s="17">
        <v>1335000</v>
      </c>
      <c r="C107" s="17">
        <v>1564056</v>
      </c>
      <c r="D107" s="17">
        <f>B107+C107</f>
        <v>2899056</v>
      </c>
    </row>
    <row r="108" spans="1:4" x14ac:dyDescent="0.2">
      <c r="A108" t="s">
        <v>14</v>
      </c>
      <c r="B108" s="17">
        <v>668500</v>
      </c>
      <c r="C108" s="17">
        <v>1070433</v>
      </c>
      <c r="D108" s="17">
        <f>B108+C108</f>
        <v>1738933</v>
      </c>
    </row>
    <row r="109" spans="1:4" x14ac:dyDescent="0.2">
      <c r="A109" t="s">
        <v>15</v>
      </c>
      <c r="B109" s="17">
        <v>332500</v>
      </c>
      <c r="C109" s="17">
        <v>633356</v>
      </c>
      <c r="D109" s="17">
        <f>B109+C109</f>
        <v>965856</v>
      </c>
    </row>
    <row r="110" spans="1:4" x14ac:dyDescent="0.2">
      <c r="A110" t="s">
        <v>16</v>
      </c>
      <c r="B110" s="17">
        <v>87900</v>
      </c>
      <c r="C110" s="17">
        <v>213695</v>
      </c>
      <c r="D110" s="17">
        <f>B110+C110</f>
        <v>301595</v>
      </c>
    </row>
    <row r="111" spans="1:4" x14ac:dyDescent="0.2">
      <c r="B111" s="17"/>
      <c r="C111" s="17"/>
      <c r="D111" s="17"/>
    </row>
    <row r="112" spans="1:4" x14ac:dyDescent="0.2">
      <c r="A112" s="20" t="s">
        <v>34</v>
      </c>
      <c r="B112" s="17"/>
      <c r="C112" s="17"/>
      <c r="D112" s="17"/>
    </row>
    <row r="113" spans="1:5" x14ac:dyDescent="0.2">
      <c r="A113" t="s">
        <v>13</v>
      </c>
      <c r="B113" s="17">
        <v>1485000</v>
      </c>
      <c r="C113" s="17">
        <v>1675679</v>
      </c>
      <c r="D113" s="17">
        <f>B113+C113</f>
        <v>3160679</v>
      </c>
    </row>
    <row r="114" spans="1:5" x14ac:dyDescent="0.2">
      <c r="A114" t="s">
        <v>14</v>
      </c>
      <c r="B114" s="17">
        <v>855000</v>
      </c>
      <c r="C114" s="17">
        <v>1254303</v>
      </c>
      <c r="D114" s="17">
        <f>B114+C114</f>
        <v>2109303</v>
      </c>
    </row>
    <row r="115" spans="1:5" x14ac:dyDescent="0.2">
      <c r="A115" t="s">
        <v>15</v>
      </c>
      <c r="B115" s="17">
        <v>377000</v>
      </c>
      <c r="C115" s="17">
        <v>842329</v>
      </c>
      <c r="D115" s="17">
        <f>B115+C115</f>
        <v>1219329</v>
      </c>
    </row>
    <row r="116" spans="1:5" x14ac:dyDescent="0.2">
      <c r="A116" t="s">
        <v>16</v>
      </c>
      <c r="B116" s="17">
        <v>101000</v>
      </c>
      <c r="C116" s="17">
        <v>337105</v>
      </c>
      <c r="D116" s="17">
        <f>B116+C116</f>
        <v>438105</v>
      </c>
    </row>
    <row r="117" spans="1:5" x14ac:dyDescent="0.2">
      <c r="B117" s="17"/>
      <c r="C117" s="17"/>
      <c r="D117" s="17"/>
    </row>
    <row r="118" spans="1:5" x14ac:dyDescent="0.2">
      <c r="A118" s="20" t="s">
        <v>35</v>
      </c>
      <c r="B118" s="17"/>
      <c r="C118" s="17"/>
      <c r="D118" s="17"/>
    </row>
    <row r="119" spans="1:5" x14ac:dyDescent="0.2">
      <c r="A119" t="s">
        <v>13</v>
      </c>
      <c r="B119" s="17">
        <v>1935000</v>
      </c>
      <c r="C119" s="17">
        <v>1810824</v>
      </c>
      <c r="D119" s="17">
        <f>B119+C119</f>
        <v>3745824</v>
      </c>
    </row>
    <row r="120" spans="1:5" x14ac:dyDescent="0.2">
      <c r="A120" t="s">
        <v>14</v>
      </c>
      <c r="B120" s="17">
        <v>1270000</v>
      </c>
      <c r="C120" s="17">
        <v>1457069</v>
      </c>
      <c r="D120" s="17">
        <f>B120+C120</f>
        <v>2727069</v>
      </c>
    </row>
    <row r="121" spans="1:5" x14ac:dyDescent="0.2">
      <c r="A121" t="s">
        <v>15</v>
      </c>
      <c r="B121" s="17">
        <v>730000</v>
      </c>
      <c r="C121" s="17">
        <v>1053080</v>
      </c>
      <c r="D121" s="17">
        <f>B121+C121</f>
        <v>1783080</v>
      </c>
    </row>
    <row r="122" spans="1:5" x14ac:dyDescent="0.2">
      <c r="A122" t="s">
        <v>16</v>
      </c>
      <c r="B122" s="17">
        <v>265000</v>
      </c>
      <c r="C122" s="17">
        <v>644052</v>
      </c>
      <c r="D122" s="17">
        <f>B122+C122</f>
        <v>909052</v>
      </c>
    </row>
    <row r="123" spans="1:5" x14ac:dyDescent="0.2">
      <c r="B123" s="17"/>
      <c r="C123" s="17"/>
      <c r="D123" s="17"/>
    </row>
    <row r="124" spans="1:5" x14ac:dyDescent="0.2">
      <c r="A124" s="20" t="s">
        <v>36</v>
      </c>
      <c r="B124" s="17"/>
      <c r="C124" s="17"/>
      <c r="D124" s="17"/>
    </row>
    <row r="125" spans="1:5" x14ac:dyDescent="0.2">
      <c r="A125" t="s">
        <v>13</v>
      </c>
      <c r="B125" s="17">
        <v>1519500</v>
      </c>
      <c r="C125" s="17">
        <v>1732988</v>
      </c>
      <c r="D125" s="17">
        <f>B125+C125</f>
        <v>3252488</v>
      </c>
      <c r="E125" s="17"/>
    </row>
    <row r="126" spans="1:5" x14ac:dyDescent="0.2">
      <c r="A126" t="s">
        <v>14</v>
      </c>
      <c r="B126" s="17">
        <v>1011500</v>
      </c>
      <c r="C126" s="17">
        <v>1243382</v>
      </c>
      <c r="D126" s="17">
        <f>B126+C126</f>
        <v>2254882</v>
      </c>
    </row>
    <row r="127" spans="1:5" x14ac:dyDescent="0.2">
      <c r="A127" t="s">
        <v>15</v>
      </c>
      <c r="B127" s="17">
        <v>633000</v>
      </c>
      <c r="C127" s="17">
        <v>748394</v>
      </c>
      <c r="D127" s="17">
        <f>B127+C127</f>
        <v>1381394</v>
      </c>
    </row>
    <row r="128" spans="1:5" x14ac:dyDescent="0.2">
      <c r="A128" t="s">
        <v>16</v>
      </c>
      <c r="B128" s="17">
        <v>141200</v>
      </c>
      <c r="C128" s="17">
        <v>383341</v>
      </c>
      <c r="D128" s="17">
        <f>B128+C128</f>
        <v>524541</v>
      </c>
    </row>
    <row r="129" spans="1:4" x14ac:dyDescent="0.2">
      <c r="B129" s="17"/>
      <c r="C129" s="17"/>
      <c r="D129" s="17"/>
    </row>
    <row r="130" spans="1:4" x14ac:dyDescent="0.2">
      <c r="A130" s="20" t="s">
        <v>37</v>
      </c>
      <c r="B130" s="17"/>
      <c r="C130" s="17"/>
      <c r="D130" s="17"/>
    </row>
    <row r="131" spans="1:4" x14ac:dyDescent="0.2">
      <c r="A131" s="19" t="s">
        <v>13</v>
      </c>
      <c r="B131" s="17">
        <v>1308500</v>
      </c>
      <c r="C131" s="17">
        <v>1638240</v>
      </c>
      <c r="D131" s="17">
        <f>SUM(B131:C131)</f>
        <v>2946740</v>
      </c>
    </row>
    <row r="132" spans="1:4" x14ac:dyDescent="0.2">
      <c r="A132" t="s">
        <v>14</v>
      </c>
      <c r="B132" s="17">
        <v>594000</v>
      </c>
      <c r="C132" s="17">
        <v>967684</v>
      </c>
      <c r="D132" s="17">
        <f t="shared" ref="D132:D134" si="0">SUM(B132:C132)</f>
        <v>1561684</v>
      </c>
    </row>
    <row r="133" spans="1:4" x14ac:dyDescent="0.2">
      <c r="A133" t="s">
        <v>15</v>
      </c>
      <c r="B133" s="17">
        <v>219900</v>
      </c>
      <c r="C133" s="17">
        <v>549140</v>
      </c>
      <c r="D133" s="17">
        <f t="shared" si="0"/>
        <v>769040</v>
      </c>
    </row>
    <row r="134" spans="1:4" x14ac:dyDescent="0.2">
      <c r="A134" t="s">
        <v>16</v>
      </c>
      <c r="B134" s="17">
        <v>68100</v>
      </c>
      <c r="C134" s="17">
        <v>188879</v>
      </c>
      <c r="D134" s="17">
        <f t="shared" si="0"/>
        <v>256979</v>
      </c>
    </row>
    <row r="135" spans="1:4" x14ac:dyDescent="0.2">
      <c r="B135" s="17"/>
      <c r="C135" s="17"/>
      <c r="D135" s="17"/>
    </row>
    <row r="136" spans="1:4" x14ac:dyDescent="0.2">
      <c r="A136" t="s">
        <v>38</v>
      </c>
      <c r="B136" s="17"/>
      <c r="C136" s="17"/>
      <c r="D136" s="17"/>
    </row>
    <row r="137" spans="1:4" x14ac:dyDescent="0.2">
      <c r="A137" s="19" t="s">
        <v>13</v>
      </c>
      <c r="B137" s="17">
        <v>1522000</v>
      </c>
      <c r="C137" s="17">
        <v>1614524</v>
      </c>
      <c r="D137" s="17">
        <f>SUM(B137:C137)</f>
        <v>3136524</v>
      </c>
    </row>
    <row r="138" spans="1:4" x14ac:dyDescent="0.2">
      <c r="A138" t="s">
        <v>14</v>
      </c>
      <c r="B138" s="17">
        <v>750000</v>
      </c>
      <c r="C138" s="17">
        <v>1181817</v>
      </c>
      <c r="D138" s="17">
        <f t="shared" ref="D138:D140" si="1">SUM(B138:C138)</f>
        <v>1931817</v>
      </c>
    </row>
    <row r="139" spans="1:4" x14ac:dyDescent="0.2">
      <c r="A139" t="s">
        <v>15</v>
      </c>
      <c r="B139" s="17">
        <v>331400</v>
      </c>
      <c r="C139" s="17">
        <v>636125</v>
      </c>
      <c r="D139" s="17">
        <f t="shared" si="1"/>
        <v>967525</v>
      </c>
    </row>
    <row r="140" spans="1:4" x14ac:dyDescent="0.2">
      <c r="A140" t="s">
        <v>16</v>
      </c>
      <c r="B140" s="17">
        <v>62930</v>
      </c>
      <c r="C140" s="17">
        <v>211464</v>
      </c>
      <c r="D140" s="17">
        <f t="shared" si="1"/>
        <v>274394</v>
      </c>
    </row>
    <row r="141" spans="1:4" x14ac:dyDescent="0.2">
      <c r="A141" s="19"/>
      <c r="B141" s="17"/>
      <c r="C141" s="17"/>
      <c r="D141" s="17"/>
    </row>
    <row r="142" spans="1:4" x14ac:dyDescent="0.2">
      <c r="A142" t="s">
        <v>209</v>
      </c>
      <c r="B142" s="17"/>
      <c r="C142" s="17"/>
      <c r="D142" s="17"/>
    </row>
    <row r="143" spans="1:4" x14ac:dyDescent="0.2">
      <c r="A143" s="113" t="s">
        <v>13</v>
      </c>
      <c r="B143" s="21">
        <v>1477000</v>
      </c>
      <c r="C143" s="21">
        <v>1545044</v>
      </c>
      <c r="D143" s="21">
        <f>SUM(B143:C143)</f>
        <v>3022044</v>
      </c>
    </row>
    <row r="144" spans="1:4" ht="13.2" customHeight="1" x14ac:dyDescent="0.2">
      <c r="A144" t="s">
        <v>210</v>
      </c>
    </row>
    <row r="145" spans="2:5" x14ac:dyDescent="0.2">
      <c r="D145" s="40" t="s">
        <v>211</v>
      </c>
    </row>
    <row r="146" spans="2:5" x14ac:dyDescent="0.2">
      <c r="B146" s="23"/>
      <c r="E146" s="24"/>
    </row>
  </sheetData>
  <pageMargins left="0.66700000000000004" right="0.66700000000000004" top="0.66700000000000004" bottom="0.83299999999999996" header="0" footer="0"/>
  <pageSetup scale="69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27D1-C212-496D-BFD0-8D91CE7A463C}">
  <sheetPr>
    <pageSetUpPr fitToPage="1"/>
  </sheetPr>
  <dimension ref="A1:G54"/>
  <sheetViews>
    <sheetView zoomScaleNormal="100" zoomScaleSheetLayoutView="90" workbookViewId="0">
      <pane xSplit="1" ySplit="4" topLeftCell="B25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7" width="17.7109375" customWidth="1"/>
    <col min="8" max="8" width="12.140625" bestFit="1" customWidth="1"/>
  </cols>
  <sheetData>
    <row r="1" spans="1:7" x14ac:dyDescent="0.2">
      <c r="A1" s="25" t="s">
        <v>200</v>
      </c>
      <c r="B1" s="13"/>
      <c r="C1" s="13"/>
      <c r="D1" s="13"/>
      <c r="E1" s="13"/>
      <c r="F1" s="13"/>
      <c r="G1" s="13"/>
    </row>
    <row r="2" spans="1:7" x14ac:dyDescent="0.2">
      <c r="A2" t="s">
        <v>39</v>
      </c>
      <c r="B2" s="26" t="s">
        <v>40</v>
      </c>
      <c r="C2" s="26" t="s">
        <v>41</v>
      </c>
      <c r="D2" s="26" t="s">
        <v>42</v>
      </c>
      <c r="E2" s="26" t="s">
        <v>43</v>
      </c>
      <c r="F2" s="26" t="s">
        <v>44</v>
      </c>
      <c r="G2" s="26" t="s">
        <v>45</v>
      </c>
    </row>
    <row r="3" spans="1:7" x14ac:dyDescent="0.2">
      <c r="A3" s="13"/>
      <c r="B3" s="27"/>
      <c r="C3" s="27"/>
      <c r="D3" s="27" t="s">
        <v>46</v>
      </c>
      <c r="E3" s="27"/>
      <c r="F3" s="27"/>
      <c r="G3" s="27" t="s">
        <v>47</v>
      </c>
    </row>
    <row r="4" spans="1:7" x14ac:dyDescent="0.2">
      <c r="B4" s="28" t="s">
        <v>48</v>
      </c>
      <c r="C4" s="16"/>
      <c r="D4" s="29" t="s">
        <v>49</v>
      </c>
      <c r="E4" s="29" t="s">
        <v>11</v>
      </c>
      <c r="F4" s="30" t="s">
        <v>50</v>
      </c>
      <c r="G4" s="29" t="s">
        <v>51</v>
      </c>
    </row>
    <row r="5" spans="1:7" x14ac:dyDescent="0.2">
      <c r="B5" s="26"/>
      <c r="C5" s="26"/>
      <c r="D5" s="26"/>
      <c r="E5" s="26"/>
      <c r="F5" s="31"/>
      <c r="G5" s="26"/>
    </row>
    <row r="6" spans="1:7" x14ac:dyDescent="0.2">
      <c r="A6" t="s">
        <v>52</v>
      </c>
      <c r="B6" s="32">
        <v>69930</v>
      </c>
      <c r="C6" s="32">
        <v>67813</v>
      </c>
      <c r="D6" s="33">
        <f t="shared" ref="D6:D33" si="0">+E6/C6</f>
        <v>26.507351097872089</v>
      </c>
      <c r="E6" s="32">
        <v>1797543</v>
      </c>
      <c r="F6" s="32">
        <v>13601112</v>
      </c>
      <c r="G6" s="34">
        <v>5.0199999999999996</v>
      </c>
    </row>
    <row r="7" spans="1:7" x14ac:dyDescent="0.2">
      <c r="A7" t="s">
        <v>53</v>
      </c>
      <c r="B7" s="32">
        <v>67543</v>
      </c>
      <c r="C7" s="32">
        <v>66163</v>
      </c>
      <c r="D7" s="33">
        <f t="shared" si="0"/>
        <v>30.063781872043286</v>
      </c>
      <c r="E7" s="32">
        <v>1989110</v>
      </c>
      <c r="F7" s="32">
        <v>12004638</v>
      </c>
      <c r="G7" s="34">
        <v>5.0199999999999996</v>
      </c>
    </row>
    <row r="8" spans="1:7" x14ac:dyDescent="0.2">
      <c r="A8" t="s">
        <v>54</v>
      </c>
      <c r="B8" s="32">
        <v>70884</v>
      </c>
      <c r="C8" s="32">
        <v>69442</v>
      </c>
      <c r="D8" s="33">
        <f t="shared" si="0"/>
        <v>31.541387056824401</v>
      </c>
      <c r="E8" s="32">
        <v>2190297</v>
      </c>
      <c r="F8" s="32">
        <v>12483481</v>
      </c>
      <c r="G8" s="34">
        <v>5.0199999999999996</v>
      </c>
    </row>
    <row r="9" spans="1:7" x14ac:dyDescent="0.2">
      <c r="A9" t="s">
        <v>55</v>
      </c>
      <c r="B9" s="32">
        <v>63779</v>
      </c>
      <c r="C9" s="32">
        <v>62525</v>
      </c>
      <c r="D9" s="33">
        <f t="shared" si="0"/>
        <v>26.161887245101958</v>
      </c>
      <c r="E9" s="32">
        <v>1635772</v>
      </c>
      <c r="F9" s="32">
        <v>12978513</v>
      </c>
      <c r="G9" s="34">
        <v>5.0199999999999996</v>
      </c>
    </row>
    <row r="10" spans="1:7" x14ac:dyDescent="0.2">
      <c r="A10" t="s">
        <v>56</v>
      </c>
      <c r="B10" s="32">
        <v>67755</v>
      </c>
      <c r="C10" s="32">
        <v>66113</v>
      </c>
      <c r="D10" s="33">
        <f t="shared" si="0"/>
        <v>28.146703371500308</v>
      </c>
      <c r="E10" s="32">
        <v>1860863</v>
      </c>
      <c r="F10" s="32">
        <v>10864686</v>
      </c>
      <c r="G10" s="34">
        <v>5.0199999999999996</v>
      </c>
    </row>
    <row r="11" spans="1:7" x14ac:dyDescent="0.2">
      <c r="A11" t="s">
        <v>57</v>
      </c>
      <c r="B11" s="32">
        <v>63145</v>
      </c>
      <c r="C11" s="32">
        <v>61599</v>
      </c>
      <c r="D11" s="33">
        <f t="shared" si="0"/>
        <v>34.076137599636361</v>
      </c>
      <c r="E11" s="32">
        <v>2099056</v>
      </c>
      <c r="F11" s="32">
        <v>10583535</v>
      </c>
      <c r="G11" s="34">
        <v>5.0199999999999996</v>
      </c>
    </row>
    <row r="12" spans="1:7" x14ac:dyDescent="0.2">
      <c r="A12" t="s">
        <v>58</v>
      </c>
      <c r="B12" s="32">
        <v>60405</v>
      </c>
      <c r="C12" s="32">
        <v>58312</v>
      </c>
      <c r="D12" s="33">
        <f t="shared" si="0"/>
        <v>33.313177390588557</v>
      </c>
      <c r="E12" s="32">
        <v>1942558</v>
      </c>
      <c r="F12" s="32">
        <v>9274487</v>
      </c>
      <c r="G12" s="34">
        <v>4.7699999999999996</v>
      </c>
    </row>
    <row r="13" spans="1:7" x14ac:dyDescent="0.2">
      <c r="A13" t="s">
        <v>59</v>
      </c>
      <c r="B13" s="32">
        <v>58180</v>
      </c>
      <c r="C13" s="32">
        <v>57172</v>
      </c>
      <c r="D13" s="33">
        <f t="shared" si="0"/>
        <v>33.89284964668019</v>
      </c>
      <c r="E13" s="32">
        <v>1937722</v>
      </c>
      <c r="F13" s="32">
        <v>11391000</v>
      </c>
      <c r="G13" s="34">
        <v>4.7699999999999996</v>
      </c>
    </row>
    <row r="14" spans="1:7" x14ac:dyDescent="0.2">
      <c r="A14" t="s">
        <v>60</v>
      </c>
      <c r="B14" s="32">
        <v>58840</v>
      </c>
      <c r="C14" s="32">
        <v>57373</v>
      </c>
      <c r="D14" s="33">
        <f t="shared" si="0"/>
        <v>26.995991145660852</v>
      </c>
      <c r="E14" s="32">
        <v>1548841</v>
      </c>
      <c r="F14" s="32">
        <v>11487742</v>
      </c>
      <c r="G14" s="34">
        <v>4.7699999999999996</v>
      </c>
    </row>
    <row r="15" spans="1:7" x14ac:dyDescent="0.2">
      <c r="A15" t="s">
        <v>61</v>
      </c>
      <c r="B15" s="32">
        <v>60820</v>
      </c>
      <c r="C15" s="32">
        <v>59538</v>
      </c>
      <c r="D15" s="33">
        <f t="shared" si="0"/>
        <v>32.309886123148239</v>
      </c>
      <c r="E15" s="32">
        <v>1923666</v>
      </c>
      <c r="F15" s="32">
        <v>10916145</v>
      </c>
      <c r="G15" s="34">
        <v>4.53</v>
      </c>
    </row>
    <row r="16" spans="1:7" x14ac:dyDescent="0.2">
      <c r="A16" t="s">
        <v>62</v>
      </c>
      <c r="B16" s="32">
        <v>57795</v>
      </c>
      <c r="C16" s="32">
        <v>56512</v>
      </c>
      <c r="D16" s="33">
        <f t="shared" si="0"/>
        <v>34.080319224235559</v>
      </c>
      <c r="E16" s="32">
        <v>1925947</v>
      </c>
      <c r="F16" s="32">
        <v>11042010</v>
      </c>
      <c r="G16" s="34">
        <v>4.5</v>
      </c>
    </row>
    <row r="17" spans="1:7" x14ac:dyDescent="0.2">
      <c r="A17" t="s">
        <v>63</v>
      </c>
      <c r="B17" s="32">
        <v>59180</v>
      </c>
      <c r="C17" s="32">
        <v>58011</v>
      </c>
      <c r="D17" s="33">
        <f t="shared" si="0"/>
        <v>34.244177828342899</v>
      </c>
      <c r="E17" s="32">
        <v>1986539</v>
      </c>
      <c r="F17" s="32">
        <v>11091996</v>
      </c>
      <c r="G17" s="34">
        <v>4.92</v>
      </c>
    </row>
    <row r="18" spans="1:7" x14ac:dyDescent="0.2">
      <c r="A18" t="s">
        <v>64</v>
      </c>
      <c r="B18" s="32">
        <v>59180</v>
      </c>
      <c r="C18" s="32">
        <v>58233</v>
      </c>
      <c r="D18" s="33">
        <f t="shared" si="0"/>
        <v>37.613621142651077</v>
      </c>
      <c r="E18" s="32">
        <v>2190354</v>
      </c>
      <c r="F18" s="32">
        <v>12167564</v>
      </c>
      <c r="G18" s="34">
        <v>4.92</v>
      </c>
    </row>
    <row r="19" spans="1:7" x14ac:dyDescent="0.2">
      <c r="A19" t="s">
        <v>65</v>
      </c>
      <c r="B19" s="32">
        <v>60085</v>
      </c>
      <c r="C19" s="32">
        <v>57307</v>
      </c>
      <c r="D19" s="33">
        <f t="shared" si="0"/>
        <v>32.626345821627375</v>
      </c>
      <c r="E19" s="32">
        <v>1869718</v>
      </c>
      <c r="F19" s="32">
        <v>12167564</v>
      </c>
      <c r="G19" s="34">
        <v>4.92</v>
      </c>
    </row>
    <row r="20" spans="1:7" x14ac:dyDescent="0.2">
      <c r="A20" t="s">
        <v>66</v>
      </c>
      <c r="B20" s="32">
        <v>61620</v>
      </c>
      <c r="C20" s="32">
        <v>60809</v>
      </c>
      <c r="D20" s="33">
        <f t="shared" si="0"/>
        <v>41.35685507079544</v>
      </c>
      <c r="E20" s="32">
        <v>2514869</v>
      </c>
      <c r="F20" s="32">
        <v>13756328</v>
      </c>
      <c r="G20" s="34">
        <v>4.92</v>
      </c>
    </row>
    <row r="21" spans="1:7" x14ac:dyDescent="0.2">
      <c r="A21" t="s">
        <v>67</v>
      </c>
      <c r="B21" s="32">
        <v>62495</v>
      </c>
      <c r="C21" s="32">
        <v>61544</v>
      </c>
      <c r="D21" s="33">
        <f t="shared" si="0"/>
        <v>35.328447939685425</v>
      </c>
      <c r="E21" s="32">
        <v>2174254</v>
      </c>
      <c r="F21" s="32">
        <v>14616758</v>
      </c>
      <c r="G21" s="34">
        <v>4.92</v>
      </c>
    </row>
    <row r="22" spans="1:7" x14ac:dyDescent="0.2">
      <c r="A22" t="s">
        <v>68</v>
      </c>
      <c r="B22" s="32">
        <v>64195</v>
      </c>
      <c r="C22" s="32">
        <v>63349</v>
      </c>
      <c r="D22" s="33">
        <f t="shared" si="0"/>
        <v>37.573979068335724</v>
      </c>
      <c r="E22" s="32">
        <v>2380274</v>
      </c>
      <c r="F22" s="32">
        <v>17439971</v>
      </c>
      <c r="G22" s="34">
        <v>4.97</v>
      </c>
    </row>
    <row r="23" spans="1:7" x14ac:dyDescent="0.2">
      <c r="A23" t="s">
        <v>69</v>
      </c>
      <c r="B23" s="32">
        <v>70005</v>
      </c>
      <c r="C23" s="32">
        <v>69110</v>
      </c>
      <c r="D23" s="33">
        <f t="shared" si="0"/>
        <v>38.905368253508897</v>
      </c>
      <c r="E23" s="32">
        <v>2688750</v>
      </c>
      <c r="F23" s="32">
        <v>17372628</v>
      </c>
      <c r="G23" s="34">
        <v>5.26</v>
      </c>
    </row>
    <row r="24" spans="1:7" x14ac:dyDescent="0.2">
      <c r="A24" s="10" t="s">
        <v>70</v>
      </c>
      <c r="B24" s="32">
        <v>72025</v>
      </c>
      <c r="C24" s="32">
        <v>70441</v>
      </c>
      <c r="D24" s="33">
        <f t="shared" si="0"/>
        <v>38.912196022202977</v>
      </c>
      <c r="E24" s="32">
        <v>2741014</v>
      </c>
      <c r="F24" s="32">
        <v>13493831</v>
      </c>
      <c r="G24" s="34">
        <v>5.26</v>
      </c>
    </row>
    <row r="25" spans="1:7" x14ac:dyDescent="0.2">
      <c r="A25" s="10" t="s">
        <v>71</v>
      </c>
      <c r="B25" s="32">
        <v>73730</v>
      </c>
      <c r="C25" s="32">
        <v>72446</v>
      </c>
      <c r="D25" s="33">
        <f t="shared" si="0"/>
        <v>36.630842282527674</v>
      </c>
      <c r="E25" s="32">
        <v>2653758</v>
      </c>
      <c r="F25" s="32">
        <v>12205532</v>
      </c>
      <c r="G25" s="34">
        <v>5.26</v>
      </c>
    </row>
    <row r="26" spans="1:7" x14ac:dyDescent="0.2">
      <c r="A26" s="11">
        <v>2000</v>
      </c>
      <c r="B26" s="32">
        <v>74266</v>
      </c>
      <c r="C26" s="32">
        <v>72408</v>
      </c>
      <c r="D26" s="33">
        <f t="shared" si="0"/>
        <v>38.087089824328807</v>
      </c>
      <c r="E26" s="32">
        <v>2757810</v>
      </c>
      <c r="F26" s="32">
        <v>12466572</v>
      </c>
      <c r="G26" s="34">
        <v>5.26</v>
      </c>
    </row>
    <row r="27" spans="1:7" x14ac:dyDescent="0.2">
      <c r="A27" s="11">
        <v>2001</v>
      </c>
      <c r="B27" s="32">
        <v>74075</v>
      </c>
      <c r="C27" s="32">
        <v>72975</v>
      </c>
      <c r="D27" s="33">
        <f t="shared" si="0"/>
        <v>39.61194929770469</v>
      </c>
      <c r="E27" s="32">
        <v>2890682</v>
      </c>
      <c r="F27" s="32">
        <v>12605717</v>
      </c>
      <c r="G27" s="34">
        <v>5.26</v>
      </c>
    </row>
    <row r="28" spans="1:7" x14ac:dyDescent="0.2">
      <c r="A28" s="11">
        <v>2002</v>
      </c>
      <c r="B28" s="32">
        <v>73963</v>
      </c>
      <c r="C28" s="32">
        <v>72497</v>
      </c>
      <c r="D28" s="33">
        <f t="shared" si="0"/>
        <v>38.017393823192684</v>
      </c>
      <c r="E28" s="32">
        <v>2756147</v>
      </c>
      <c r="F28" s="32">
        <v>15252691</v>
      </c>
      <c r="G28" s="34">
        <v>5</v>
      </c>
    </row>
    <row r="29" spans="1:7" x14ac:dyDescent="0.2">
      <c r="A29" s="11">
        <v>2003</v>
      </c>
      <c r="B29" s="32">
        <v>73404</v>
      </c>
      <c r="C29" s="32">
        <v>72476</v>
      </c>
      <c r="D29" s="33">
        <f t="shared" si="0"/>
        <v>33.857345880015451</v>
      </c>
      <c r="E29" s="32">
        <v>2453845</v>
      </c>
      <c r="F29" s="32">
        <v>18015097</v>
      </c>
      <c r="G29" s="34">
        <v>5</v>
      </c>
    </row>
    <row r="30" spans="1:7" x14ac:dyDescent="0.2">
      <c r="A30" s="11">
        <v>2004</v>
      </c>
      <c r="B30" s="32">
        <v>75208</v>
      </c>
      <c r="C30" s="32">
        <v>73958</v>
      </c>
      <c r="D30" s="33">
        <f t="shared" si="0"/>
        <v>42.237350928905592</v>
      </c>
      <c r="E30" s="32">
        <v>3123790</v>
      </c>
      <c r="F30" s="32">
        <v>17895510</v>
      </c>
      <c r="G30" s="34">
        <v>5</v>
      </c>
    </row>
    <row r="31" spans="1:7" x14ac:dyDescent="0.2">
      <c r="A31" s="11">
        <v>2005</v>
      </c>
      <c r="B31" s="32">
        <v>72032</v>
      </c>
      <c r="C31" s="32">
        <v>71251</v>
      </c>
      <c r="D31" s="33">
        <f t="shared" si="0"/>
        <v>43.06384471796887</v>
      </c>
      <c r="E31" s="32">
        <v>3068342</v>
      </c>
      <c r="F31" s="32">
        <v>17297137</v>
      </c>
      <c r="G31" s="34">
        <v>5</v>
      </c>
    </row>
    <row r="32" spans="1:7" x14ac:dyDescent="0.2">
      <c r="A32" s="11">
        <v>2006</v>
      </c>
      <c r="B32" s="32">
        <v>75522</v>
      </c>
      <c r="C32" s="32">
        <v>74602</v>
      </c>
      <c r="D32" s="33">
        <f t="shared" si="0"/>
        <v>42.850406155330958</v>
      </c>
      <c r="E32" s="32">
        <v>3196726</v>
      </c>
      <c r="F32" s="32">
        <v>20468267</v>
      </c>
      <c r="G32" s="34">
        <v>5</v>
      </c>
    </row>
    <row r="33" spans="1:7" x14ac:dyDescent="0.2">
      <c r="A33" s="11">
        <v>2007</v>
      </c>
      <c r="B33" s="32">
        <v>64741</v>
      </c>
      <c r="C33" s="32">
        <v>64146</v>
      </c>
      <c r="D33" s="33">
        <f t="shared" si="0"/>
        <v>41.734745736289092</v>
      </c>
      <c r="E33" s="32">
        <v>2677117</v>
      </c>
      <c r="F33" s="32">
        <v>26974406</v>
      </c>
      <c r="G33" s="34">
        <v>5</v>
      </c>
    </row>
    <row r="34" spans="1:7" x14ac:dyDescent="0.2">
      <c r="A34" s="11">
        <v>2008</v>
      </c>
      <c r="B34" s="32">
        <v>75718</v>
      </c>
      <c r="C34" s="32">
        <v>74681</v>
      </c>
      <c r="D34" s="33">
        <f>+E34/C34</f>
        <v>39.729074329481392</v>
      </c>
      <c r="E34" s="32">
        <v>2967007</v>
      </c>
      <c r="F34" s="32">
        <v>29458225</v>
      </c>
      <c r="G34" s="34">
        <v>5</v>
      </c>
    </row>
    <row r="35" spans="1:7" x14ac:dyDescent="0.2">
      <c r="A35" s="11">
        <v>2009</v>
      </c>
      <c r="B35" s="32">
        <v>77451</v>
      </c>
      <c r="C35" s="32">
        <v>76372</v>
      </c>
      <c r="D35" s="33">
        <f>+E35/C35</f>
        <v>44.007371811658722</v>
      </c>
      <c r="E35" s="32">
        <v>3360931</v>
      </c>
      <c r="F35" s="32">
        <v>32163204</v>
      </c>
      <c r="G35" s="34">
        <v>5</v>
      </c>
    </row>
    <row r="36" spans="1:7" x14ac:dyDescent="0.2">
      <c r="A36" s="11">
        <v>2010</v>
      </c>
      <c r="B36" s="32">
        <v>77404</v>
      </c>
      <c r="C36" s="32">
        <v>76610</v>
      </c>
      <c r="D36" s="33">
        <f>+E36/C36</f>
        <v>43.483957707871035</v>
      </c>
      <c r="E36" s="32">
        <v>3331306</v>
      </c>
      <c r="F36" s="32">
        <v>37571277</v>
      </c>
      <c r="G36" s="34">
        <v>5</v>
      </c>
    </row>
    <row r="37" spans="1:7" x14ac:dyDescent="0.2">
      <c r="A37" s="11">
        <v>2011</v>
      </c>
      <c r="B37" s="32">
        <v>75046</v>
      </c>
      <c r="C37" s="32">
        <v>73776</v>
      </c>
      <c r="D37" s="33">
        <f t="shared" ref="D37:D42" si="1">+E37/C37</f>
        <v>41.980847430058553</v>
      </c>
      <c r="E37" s="32">
        <v>3097179</v>
      </c>
      <c r="F37" s="32">
        <v>38542177</v>
      </c>
      <c r="G37" s="34">
        <v>5</v>
      </c>
    </row>
    <row r="38" spans="1:7" x14ac:dyDescent="0.2">
      <c r="A38" s="11">
        <v>2012</v>
      </c>
      <c r="B38" s="32">
        <v>77198</v>
      </c>
      <c r="C38" s="32">
        <v>76144</v>
      </c>
      <c r="D38" s="33">
        <f t="shared" si="1"/>
        <v>39.951197730615675</v>
      </c>
      <c r="E38" s="32">
        <v>3042044</v>
      </c>
      <c r="F38" s="32">
        <v>43723144</v>
      </c>
      <c r="G38" s="34">
        <v>5</v>
      </c>
    </row>
    <row r="39" spans="1:7" x14ac:dyDescent="0.2">
      <c r="A39" s="11">
        <v>2013</v>
      </c>
      <c r="B39" s="32">
        <v>76820</v>
      </c>
      <c r="C39" s="32">
        <v>76233</v>
      </c>
      <c r="D39" s="33">
        <f t="shared" si="1"/>
        <v>44.036099851770231</v>
      </c>
      <c r="E39" s="32">
        <v>3357004</v>
      </c>
      <c r="F39" s="32">
        <v>43582901</v>
      </c>
      <c r="G39" s="34">
        <v>5</v>
      </c>
    </row>
    <row r="40" spans="1:7" x14ac:dyDescent="0.2">
      <c r="A40" s="11">
        <v>2014</v>
      </c>
      <c r="B40" s="32">
        <v>83296</v>
      </c>
      <c r="C40" s="32">
        <v>82611</v>
      </c>
      <c r="D40" s="33">
        <f t="shared" si="1"/>
        <v>47.548994685937707</v>
      </c>
      <c r="E40" s="32">
        <v>3928070</v>
      </c>
      <c r="F40" s="32">
        <v>39474861</v>
      </c>
      <c r="G40" s="34">
        <v>5</v>
      </c>
    </row>
    <row r="41" spans="1:7" x14ac:dyDescent="0.2">
      <c r="A41" s="11">
        <v>2015</v>
      </c>
      <c r="B41" s="32">
        <v>82660</v>
      </c>
      <c r="C41" s="32">
        <v>81742</v>
      </c>
      <c r="D41" s="33">
        <f t="shared" si="1"/>
        <v>48.038694918157127</v>
      </c>
      <c r="E41" s="32">
        <v>3926779</v>
      </c>
      <c r="F41" s="32">
        <v>35192058</v>
      </c>
      <c r="G41" s="34">
        <v>5</v>
      </c>
    </row>
    <row r="42" spans="1:7" x14ac:dyDescent="0.2">
      <c r="A42" s="11">
        <v>2016</v>
      </c>
      <c r="B42" s="32">
        <v>83453</v>
      </c>
      <c r="C42" s="32">
        <v>82706</v>
      </c>
      <c r="D42" s="33">
        <f t="shared" si="1"/>
        <v>51.949024254588544</v>
      </c>
      <c r="E42" s="32">
        <v>4296496</v>
      </c>
      <c r="F42" s="32">
        <v>40694573</v>
      </c>
      <c r="G42" s="34">
        <v>5</v>
      </c>
    </row>
    <row r="43" spans="1:7" x14ac:dyDescent="0.2">
      <c r="A43" s="35">
        <v>2017</v>
      </c>
      <c r="B43" s="32">
        <v>90162</v>
      </c>
      <c r="C43" s="32">
        <v>89542</v>
      </c>
      <c r="D43" s="33">
        <f>+E43/C43</f>
        <v>49.268868240602174</v>
      </c>
      <c r="E43" s="32">
        <v>4411633</v>
      </c>
      <c r="F43" s="32">
        <v>41308740</v>
      </c>
      <c r="G43" s="34">
        <v>5</v>
      </c>
    </row>
    <row r="44" spans="1:7" x14ac:dyDescent="0.2">
      <c r="A44" s="35">
        <v>2018</v>
      </c>
      <c r="B44" s="32">
        <v>89167</v>
      </c>
      <c r="C44" s="32">
        <v>87594</v>
      </c>
      <c r="D44" s="33">
        <f>+E44/C44</f>
        <v>50.553120076717583</v>
      </c>
      <c r="E44" s="32">
        <v>4428150</v>
      </c>
      <c r="F44" s="32">
        <v>36819008</v>
      </c>
      <c r="G44" s="34">
        <v>5</v>
      </c>
    </row>
    <row r="45" spans="1:7" x14ac:dyDescent="0.2">
      <c r="A45" s="11">
        <v>2019</v>
      </c>
      <c r="B45" s="32">
        <v>76100</v>
      </c>
      <c r="C45" s="32">
        <v>74939</v>
      </c>
      <c r="D45" s="33">
        <f>+E45/C45</f>
        <v>47.397323156167019</v>
      </c>
      <c r="E45" s="32">
        <v>3551908</v>
      </c>
      <c r="F45" s="32">
        <v>30525961</v>
      </c>
      <c r="G45" s="34">
        <v>6.2</v>
      </c>
    </row>
    <row r="46" spans="1:7" x14ac:dyDescent="0.2">
      <c r="A46" s="11">
        <v>2020</v>
      </c>
      <c r="B46" s="32">
        <v>83354</v>
      </c>
      <c r="C46" s="32">
        <v>82603</v>
      </c>
      <c r="D46" s="33">
        <f>+E46/C46</f>
        <v>51.042964541239421</v>
      </c>
      <c r="E46" s="32">
        <v>4216302</v>
      </c>
      <c r="F46" s="32">
        <v>45732122</v>
      </c>
      <c r="G46" s="34">
        <v>6.2</v>
      </c>
    </row>
    <row r="47" spans="1:7" x14ac:dyDescent="0.2">
      <c r="A47" s="11">
        <v>2021</v>
      </c>
      <c r="B47" s="32">
        <v>87195</v>
      </c>
      <c r="C47" s="32">
        <v>86312</v>
      </c>
      <c r="D47" s="33">
        <f>+E47/C47</f>
        <v>51.735355454629719</v>
      </c>
      <c r="E47" s="32">
        <v>4465382</v>
      </c>
      <c r="F47" s="32">
        <v>59152321</v>
      </c>
      <c r="G47" s="34">
        <v>6.2</v>
      </c>
    </row>
    <row r="48" spans="1:7" x14ac:dyDescent="0.2">
      <c r="A48" s="114" t="s">
        <v>212</v>
      </c>
      <c r="B48" s="36">
        <v>87450</v>
      </c>
      <c r="C48" s="36">
        <v>86336</v>
      </c>
      <c r="D48" s="37">
        <f>E48/C48</f>
        <v>49.52885239065975</v>
      </c>
      <c r="E48" s="36">
        <v>4276123</v>
      </c>
      <c r="F48" s="36">
        <v>61148362</v>
      </c>
      <c r="G48" s="38">
        <v>6.2</v>
      </c>
    </row>
    <row r="49" spans="1:7" x14ac:dyDescent="0.2">
      <c r="A49" s="22" t="s">
        <v>72</v>
      </c>
    </row>
    <row r="50" spans="1:7" x14ac:dyDescent="0.2">
      <c r="A50" s="22" t="s">
        <v>73</v>
      </c>
    </row>
    <row r="51" spans="1:7" x14ac:dyDescent="0.2">
      <c r="A51" s="22" t="s">
        <v>213</v>
      </c>
    </row>
    <row r="52" spans="1:7" x14ac:dyDescent="0.2">
      <c r="A52" s="39" t="s">
        <v>214</v>
      </c>
    </row>
    <row r="53" spans="1:7" x14ac:dyDescent="0.2">
      <c r="G53" s="40" t="s">
        <v>211</v>
      </c>
    </row>
    <row r="54" spans="1:7" x14ac:dyDescent="0.2">
      <c r="A54" s="39"/>
    </row>
  </sheetData>
  <pageMargins left="0.7" right="0.7" top="0.75" bottom="0.75" header="0.3" footer="0.3"/>
  <pageSetup scale="91" firstPageNumber="2" orientation="portrait" useFirstPageNumber="1" r:id="rId1"/>
  <headerFooter alignWithMargins="0">
    <oddFooter>&amp;C&amp;P
Oil Crops Yearbook/OCS-2020
March 2020
Economic Research Service, USDA</oddFooter>
  </headerFooter>
  <rowBreaks count="1" manualBreakCount="1">
    <brk id="5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EA84-4054-4190-B57A-EAA417479364}">
  <sheetPr>
    <pageSetUpPr fitToPage="1"/>
  </sheetPr>
  <dimension ref="A1:L54"/>
  <sheetViews>
    <sheetView zoomScaleNormal="100" zoomScaleSheetLayoutView="100" workbookViewId="0">
      <pane xSplit="1" ySplit="6" topLeftCell="B31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1.85546875" customWidth="1"/>
    <col min="2" max="3" width="11.7109375" customWidth="1"/>
    <col min="4" max="4" width="13.7109375" customWidth="1"/>
    <col min="5" max="10" width="11.7109375" customWidth="1"/>
    <col min="11" max="11" width="13.85546875" customWidth="1"/>
  </cols>
  <sheetData>
    <row r="1" spans="1:12" x14ac:dyDescent="0.2">
      <c r="A1" s="25" t="s">
        <v>201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x14ac:dyDescent="0.2">
      <c r="A2" t="s">
        <v>74</v>
      </c>
      <c r="B2" s="41"/>
      <c r="C2" s="14"/>
      <c r="D2" s="42" t="s">
        <v>75</v>
      </c>
      <c r="E2" s="43"/>
      <c r="G2" s="14"/>
      <c r="H2" s="44" t="s">
        <v>76</v>
      </c>
      <c r="I2" s="43"/>
      <c r="K2" s="27" t="s">
        <v>77</v>
      </c>
    </row>
    <row r="3" spans="1:12" x14ac:dyDescent="0.2">
      <c r="A3" t="s">
        <v>78</v>
      </c>
      <c r="B3" s="45" t="s">
        <v>79</v>
      </c>
      <c r="E3" s="46"/>
      <c r="F3" s="47"/>
      <c r="H3" s="26" t="s">
        <v>80</v>
      </c>
      <c r="I3" s="46"/>
      <c r="J3" s="26" t="s">
        <v>81</v>
      </c>
      <c r="K3" s="26" t="s">
        <v>82</v>
      </c>
    </row>
    <row r="4" spans="1:12" x14ac:dyDescent="0.2">
      <c r="A4" t="s">
        <v>83</v>
      </c>
      <c r="B4" s="48" t="s">
        <v>84</v>
      </c>
      <c r="C4" s="26" t="s">
        <v>43</v>
      </c>
      <c r="D4" s="26" t="s">
        <v>85</v>
      </c>
      <c r="E4" s="49" t="s">
        <v>86</v>
      </c>
      <c r="F4" s="48" t="s">
        <v>87</v>
      </c>
      <c r="G4" s="26" t="s">
        <v>88</v>
      </c>
      <c r="H4" s="26" t="s">
        <v>89</v>
      </c>
      <c r="I4" s="50" t="s">
        <v>10</v>
      </c>
      <c r="J4" s="26" t="s">
        <v>84</v>
      </c>
      <c r="K4" s="26" t="s">
        <v>90</v>
      </c>
    </row>
    <row r="5" spans="1:12" x14ac:dyDescent="0.2">
      <c r="A5" s="13"/>
      <c r="B5" s="51"/>
      <c r="C5" s="13"/>
      <c r="D5" s="13"/>
      <c r="E5" s="52"/>
      <c r="F5" s="51"/>
      <c r="G5" s="27"/>
      <c r="H5" s="27" t="s">
        <v>91</v>
      </c>
      <c r="I5" s="53"/>
      <c r="J5" s="13"/>
      <c r="K5" s="27" t="s">
        <v>92</v>
      </c>
    </row>
    <row r="6" spans="1:12" x14ac:dyDescent="0.2">
      <c r="A6" s="54"/>
      <c r="B6" s="54"/>
      <c r="C6" s="54"/>
      <c r="D6" s="54"/>
      <c r="E6" s="54"/>
      <c r="F6" s="55" t="s">
        <v>93</v>
      </c>
      <c r="G6" s="54"/>
      <c r="H6" s="54"/>
      <c r="I6" s="54"/>
      <c r="J6" s="54"/>
      <c r="K6" s="55" t="s">
        <v>51</v>
      </c>
    </row>
    <row r="7" spans="1:12" x14ac:dyDescent="0.2">
      <c r="B7" s="56"/>
      <c r="C7" s="56"/>
      <c r="D7" s="56"/>
      <c r="E7" s="56"/>
      <c r="F7" s="56"/>
      <c r="G7" s="56"/>
      <c r="H7" s="56"/>
      <c r="I7" s="56"/>
      <c r="J7" s="56"/>
      <c r="K7" s="26"/>
    </row>
    <row r="8" spans="1:12" x14ac:dyDescent="0.2">
      <c r="A8" s="11" t="s">
        <v>94</v>
      </c>
      <c r="B8" s="57">
        <v>358</v>
      </c>
      <c r="C8" s="57">
        <f>+'tab02'!E6/1000</f>
        <v>1797.5429999999999</v>
      </c>
      <c r="D8" s="57">
        <v>0</v>
      </c>
      <c r="E8" s="57">
        <f t="shared" ref="E8:E50" si="0">+B8+C8+D8</f>
        <v>2155.5429999999997</v>
      </c>
      <c r="F8" s="57">
        <v>1020</v>
      </c>
      <c r="G8" s="57">
        <v>724</v>
      </c>
      <c r="H8" s="57">
        <f t="shared" ref="H8:H49" si="1">+I8-F8-G8</f>
        <v>98.535999999999603</v>
      </c>
      <c r="I8" s="57">
        <f t="shared" ref="I8:I46" si="2">+E8-J8</f>
        <v>1842.5359999999996</v>
      </c>
      <c r="J8" s="57">
        <v>313.00700000000001</v>
      </c>
      <c r="K8" s="58">
        <v>7.57</v>
      </c>
    </row>
    <row r="9" spans="1:12" x14ac:dyDescent="0.2">
      <c r="A9" s="11" t="s">
        <v>95</v>
      </c>
      <c r="B9" s="57">
        <f t="shared" ref="B9:B48" si="3">+J8</f>
        <v>313.00700000000001</v>
      </c>
      <c r="C9" s="57">
        <f>+'tab02'!E7/1000</f>
        <v>1989.11</v>
      </c>
      <c r="D9" s="57">
        <v>0</v>
      </c>
      <c r="E9" s="57">
        <f t="shared" si="0"/>
        <v>2302.1169999999997</v>
      </c>
      <c r="F9" s="57">
        <v>1030</v>
      </c>
      <c r="G9" s="57">
        <v>929</v>
      </c>
      <c r="H9" s="57">
        <f t="shared" si="1"/>
        <v>88.605999999999767</v>
      </c>
      <c r="I9" s="57">
        <f t="shared" si="2"/>
        <v>2047.6059999999998</v>
      </c>
      <c r="J9" s="57">
        <v>254.511</v>
      </c>
      <c r="K9" s="58">
        <v>6.07</v>
      </c>
      <c r="L9" s="57"/>
    </row>
    <row r="10" spans="1:12" x14ac:dyDescent="0.2">
      <c r="A10" s="11" t="s">
        <v>96</v>
      </c>
      <c r="B10" s="57">
        <f t="shared" si="3"/>
        <v>254.511</v>
      </c>
      <c r="C10" s="57">
        <f>+'tab02'!E8/1000</f>
        <v>2190.297</v>
      </c>
      <c r="D10" s="57">
        <v>0</v>
      </c>
      <c r="E10" s="57">
        <f t="shared" si="0"/>
        <v>2444.808</v>
      </c>
      <c r="F10" s="57">
        <v>1108</v>
      </c>
      <c r="G10" s="57">
        <v>905</v>
      </c>
      <c r="H10" s="57">
        <f t="shared" si="1"/>
        <v>87.173999999999978</v>
      </c>
      <c r="I10" s="57">
        <f t="shared" si="2"/>
        <v>2100.174</v>
      </c>
      <c r="J10" s="57">
        <v>344.63400000000001</v>
      </c>
      <c r="K10" s="58">
        <v>5.71</v>
      </c>
      <c r="L10" s="57"/>
    </row>
    <row r="11" spans="1:12" x14ac:dyDescent="0.2">
      <c r="A11" s="11" t="s">
        <v>97</v>
      </c>
      <c r="B11" s="57">
        <f t="shared" si="3"/>
        <v>344.63400000000001</v>
      </c>
      <c r="C11" s="57">
        <f>+'tab02'!E9/1000</f>
        <v>1635.7719999999999</v>
      </c>
      <c r="D11" s="57">
        <v>0</v>
      </c>
      <c r="E11" s="57">
        <f t="shared" si="0"/>
        <v>1980.4059999999999</v>
      </c>
      <c r="F11" s="57">
        <v>983</v>
      </c>
      <c r="G11" s="57">
        <v>743</v>
      </c>
      <c r="H11" s="57">
        <f t="shared" si="1"/>
        <v>78.710000000000036</v>
      </c>
      <c r="I11" s="57">
        <f t="shared" si="2"/>
        <v>1804.71</v>
      </c>
      <c r="J11" s="57">
        <v>175.696</v>
      </c>
      <c r="K11" s="58">
        <v>7.83</v>
      </c>
      <c r="L11" s="57"/>
    </row>
    <row r="12" spans="1:12" x14ac:dyDescent="0.2">
      <c r="A12" s="11" t="s">
        <v>98</v>
      </c>
      <c r="B12" s="57">
        <f t="shared" si="3"/>
        <v>175.696</v>
      </c>
      <c r="C12" s="57">
        <f>+'tab02'!E10/1000</f>
        <v>1860.8630000000001</v>
      </c>
      <c r="D12" s="57">
        <v>0</v>
      </c>
      <c r="E12" s="57">
        <f t="shared" si="0"/>
        <v>2036.559</v>
      </c>
      <c r="F12" s="57">
        <v>1030</v>
      </c>
      <c r="G12" s="57">
        <v>598</v>
      </c>
      <c r="H12" s="57">
        <f t="shared" si="1"/>
        <v>92.501999999999953</v>
      </c>
      <c r="I12" s="57">
        <f t="shared" si="2"/>
        <v>1720.502</v>
      </c>
      <c r="J12" s="57">
        <v>316.05700000000002</v>
      </c>
      <c r="K12" s="58">
        <v>5.84</v>
      </c>
      <c r="L12" s="57"/>
    </row>
    <row r="13" spans="1:12" x14ac:dyDescent="0.2">
      <c r="A13" s="11" t="s">
        <v>99</v>
      </c>
      <c r="B13" s="57">
        <f t="shared" si="3"/>
        <v>316.05700000000002</v>
      </c>
      <c r="C13" s="57">
        <f>+'tab02'!E11/1000</f>
        <v>2099.056</v>
      </c>
      <c r="D13" s="57">
        <v>1</v>
      </c>
      <c r="E13" s="57">
        <f t="shared" si="0"/>
        <v>2416.1130000000003</v>
      </c>
      <c r="F13" s="57">
        <v>1053</v>
      </c>
      <c r="G13" s="57">
        <v>741</v>
      </c>
      <c r="H13" s="57">
        <f t="shared" si="1"/>
        <v>85.748000000000275</v>
      </c>
      <c r="I13" s="57">
        <f t="shared" si="2"/>
        <v>1879.7480000000003</v>
      </c>
      <c r="J13" s="57">
        <v>536.36500000000001</v>
      </c>
      <c r="K13" s="58">
        <v>5.05</v>
      </c>
      <c r="L13" s="57"/>
    </row>
    <row r="14" spans="1:12" x14ac:dyDescent="0.2">
      <c r="A14" s="11" t="s">
        <v>100</v>
      </c>
      <c r="B14" s="57">
        <f t="shared" si="3"/>
        <v>536.36500000000001</v>
      </c>
      <c r="C14" s="57">
        <f>+'tab02'!E12/1000</f>
        <v>1942.558</v>
      </c>
      <c r="D14" s="57">
        <v>0</v>
      </c>
      <c r="E14" s="57">
        <f t="shared" si="0"/>
        <v>2478.9229999999998</v>
      </c>
      <c r="F14" s="57">
        <v>1179</v>
      </c>
      <c r="G14" s="57">
        <v>757</v>
      </c>
      <c r="H14" s="57">
        <f t="shared" si="1"/>
        <v>106.47599999999966</v>
      </c>
      <c r="I14" s="57">
        <f t="shared" si="2"/>
        <v>2042.4759999999997</v>
      </c>
      <c r="J14" s="57">
        <v>436.447</v>
      </c>
      <c r="K14" s="58">
        <v>4.78</v>
      </c>
      <c r="L14" s="57"/>
    </row>
    <row r="15" spans="1:12" x14ac:dyDescent="0.2">
      <c r="A15" s="11" t="s">
        <v>101</v>
      </c>
      <c r="B15" s="57">
        <f t="shared" si="3"/>
        <v>436.447</v>
      </c>
      <c r="C15" s="57">
        <f>+'tab02'!E13/1000</f>
        <v>1937.722</v>
      </c>
      <c r="D15" s="57">
        <v>1</v>
      </c>
      <c r="E15" s="57">
        <f t="shared" si="0"/>
        <v>2375.1689999999999</v>
      </c>
      <c r="F15" s="57">
        <v>1174</v>
      </c>
      <c r="G15" s="57">
        <v>804</v>
      </c>
      <c r="H15" s="57">
        <f t="shared" si="1"/>
        <v>94.692999999999756</v>
      </c>
      <c r="I15" s="57">
        <f t="shared" si="2"/>
        <v>2072.6929999999998</v>
      </c>
      <c r="J15" s="57">
        <v>302.476</v>
      </c>
      <c r="K15" s="58">
        <v>5.88</v>
      </c>
      <c r="L15" s="57"/>
    </row>
    <row r="16" spans="1:12" x14ac:dyDescent="0.2">
      <c r="A16" s="11" t="s">
        <v>102</v>
      </c>
      <c r="B16" s="57">
        <f t="shared" si="3"/>
        <v>302.476</v>
      </c>
      <c r="C16" s="57">
        <f>+'tab02'!E14/1000</f>
        <v>1548.8409999999999</v>
      </c>
      <c r="D16" s="57">
        <v>4</v>
      </c>
      <c r="E16" s="57">
        <f t="shared" si="0"/>
        <v>1855.317</v>
      </c>
      <c r="F16" s="57">
        <v>1058</v>
      </c>
      <c r="G16" s="57">
        <v>527</v>
      </c>
      <c r="H16" s="57">
        <f t="shared" si="1"/>
        <v>88.288000000000011</v>
      </c>
      <c r="I16" s="57">
        <f t="shared" si="2"/>
        <v>1673.288</v>
      </c>
      <c r="J16" s="57">
        <v>182.029</v>
      </c>
      <c r="K16" s="58">
        <v>7.42</v>
      </c>
      <c r="L16" s="57"/>
    </row>
    <row r="17" spans="1:12" x14ac:dyDescent="0.2">
      <c r="A17" s="11" t="s">
        <v>103</v>
      </c>
      <c r="B17" s="57">
        <f t="shared" si="3"/>
        <v>182.029</v>
      </c>
      <c r="C17" s="57">
        <f>+'tab02'!E15/1000</f>
        <v>1923.6659999999999</v>
      </c>
      <c r="D17" s="57">
        <v>1</v>
      </c>
      <c r="E17" s="57">
        <f t="shared" si="0"/>
        <v>2106.6949999999997</v>
      </c>
      <c r="F17" s="57">
        <v>1146</v>
      </c>
      <c r="G17" s="57">
        <v>622</v>
      </c>
      <c r="H17" s="57">
        <f t="shared" si="1"/>
        <v>99.555999999999585</v>
      </c>
      <c r="I17" s="57">
        <f t="shared" si="2"/>
        <v>1867.5559999999996</v>
      </c>
      <c r="J17" s="57">
        <v>239.13900000000001</v>
      </c>
      <c r="K17" s="58">
        <v>5.69</v>
      </c>
      <c r="L17" s="57"/>
    </row>
    <row r="18" spans="1:12" x14ac:dyDescent="0.2">
      <c r="A18" s="11" t="s">
        <v>104</v>
      </c>
      <c r="B18" s="57">
        <f t="shared" si="3"/>
        <v>239.13900000000001</v>
      </c>
      <c r="C18" s="57">
        <f>+'tab02'!E16/1000</f>
        <v>1925.9469999999999</v>
      </c>
      <c r="D18" s="57">
        <v>3</v>
      </c>
      <c r="E18" s="57">
        <f t="shared" si="0"/>
        <v>2168.0859999999998</v>
      </c>
      <c r="F18" s="57">
        <v>1187</v>
      </c>
      <c r="G18" s="57">
        <v>557</v>
      </c>
      <c r="H18" s="57">
        <f t="shared" si="1"/>
        <v>95.043999999999869</v>
      </c>
      <c r="I18" s="57">
        <f t="shared" si="2"/>
        <v>1839.0439999999999</v>
      </c>
      <c r="J18" s="57">
        <v>329.04199999999997</v>
      </c>
      <c r="K18" s="58">
        <v>5.74</v>
      </c>
      <c r="L18" s="57"/>
    </row>
    <row r="19" spans="1:12" x14ac:dyDescent="0.2">
      <c r="A19" s="11" t="s">
        <v>105</v>
      </c>
      <c r="B19" s="57">
        <f t="shared" si="3"/>
        <v>329.04199999999997</v>
      </c>
      <c r="C19" s="57">
        <f>+'tab02'!E17/1000</f>
        <v>1986.539</v>
      </c>
      <c r="D19" s="57">
        <v>3</v>
      </c>
      <c r="E19" s="57">
        <f t="shared" si="0"/>
        <v>2318.5810000000001</v>
      </c>
      <c r="F19" s="57">
        <v>1254</v>
      </c>
      <c r="G19" s="57">
        <v>684</v>
      </c>
      <c r="H19" s="57">
        <f t="shared" si="1"/>
        <v>102.14400000000023</v>
      </c>
      <c r="I19" s="57">
        <f t="shared" si="2"/>
        <v>2040.1440000000002</v>
      </c>
      <c r="J19" s="57">
        <v>278.43700000000001</v>
      </c>
      <c r="K19" s="58">
        <v>5.58</v>
      </c>
      <c r="L19" s="57"/>
    </row>
    <row r="20" spans="1:12" x14ac:dyDescent="0.2">
      <c r="A20" s="11" t="s">
        <v>106</v>
      </c>
      <c r="B20" s="57">
        <f t="shared" si="3"/>
        <v>278.43700000000001</v>
      </c>
      <c r="C20" s="57">
        <f>+'tab02'!E18/1000</f>
        <v>2190.3539999999998</v>
      </c>
      <c r="D20" s="57">
        <v>2.0567152327931999</v>
      </c>
      <c r="E20" s="57">
        <f t="shared" si="0"/>
        <v>2470.8477152327928</v>
      </c>
      <c r="F20" s="57">
        <v>1279</v>
      </c>
      <c r="G20" s="57">
        <v>771</v>
      </c>
      <c r="H20" s="57">
        <f t="shared" si="1"/>
        <v>128.56371523279267</v>
      </c>
      <c r="I20" s="57">
        <f t="shared" si="2"/>
        <v>2178.5637152327927</v>
      </c>
      <c r="J20" s="57">
        <v>292.28399999999999</v>
      </c>
      <c r="K20" s="58">
        <v>5.56</v>
      </c>
      <c r="L20" s="57"/>
    </row>
    <row r="21" spans="1:12" x14ac:dyDescent="0.2">
      <c r="A21" s="11" t="s">
        <v>107</v>
      </c>
      <c r="B21" s="57">
        <f t="shared" si="3"/>
        <v>292.28399999999999</v>
      </c>
      <c r="C21" s="57">
        <f>+'tab02'!E19/1000</f>
        <v>1869.7180000000001</v>
      </c>
      <c r="D21" s="57">
        <v>6.4164705762675007</v>
      </c>
      <c r="E21" s="57">
        <f t="shared" si="0"/>
        <v>2168.4184705762673</v>
      </c>
      <c r="F21" s="57">
        <v>1276</v>
      </c>
      <c r="G21" s="57">
        <v>588</v>
      </c>
      <c r="H21" s="57">
        <f t="shared" si="1"/>
        <v>95.30147057626732</v>
      </c>
      <c r="I21" s="57">
        <f t="shared" si="2"/>
        <v>1959.3014705762673</v>
      </c>
      <c r="J21" s="57">
        <v>209.11699999999999</v>
      </c>
      <c r="K21" s="58">
        <v>6.4</v>
      </c>
      <c r="L21" s="57"/>
    </row>
    <row r="22" spans="1:12" x14ac:dyDescent="0.2">
      <c r="A22" s="11" t="s">
        <v>108</v>
      </c>
      <c r="B22" s="57">
        <f t="shared" si="3"/>
        <v>209.11699999999999</v>
      </c>
      <c r="C22" s="57">
        <f>+'tab02'!E20/1000</f>
        <v>2514.8690000000001</v>
      </c>
      <c r="D22" s="57">
        <v>5.4799449460455003</v>
      </c>
      <c r="E22" s="57">
        <f t="shared" si="0"/>
        <v>2729.465944946046</v>
      </c>
      <c r="F22" s="57">
        <v>1405</v>
      </c>
      <c r="G22" s="57">
        <v>840</v>
      </c>
      <c r="H22" s="57">
        <f t="shared" si="1"/>
        <v>149.65194494604611</v>
      </c>
      <c r="I22" s="57">
        <f t="shared" si="2"/>
        <v>2394.6519449460461</v>
      </c>
      <c r="J22" s="57">
        <v>334.81400000000002</v>
      </c>
      <c r="K22" s="58">
        <v>5.48</v>
      </c>
      <c r="L22" s="57"/>
    </row>
    <row r="23" spans="1:12" x14ac:dyDescent="0.2">
      <c r="A23" s="11" t="s">
        <v>109</v>
      </c>
      <c r="B23" s="57">
        <f t="shared" si="3"/>
        <v>334.81400000000002</v>
      </c>
      <c r="C23" s="57">
        <f>+'tab02'!E21/1000</f>
        <v>2174.2539999999999</v>
      </c>
      <c r="D23" s="57">
        <v>4.4558110914512996</v>
      </c>
      <c r="E23" s="57">
        <f t="shared" si="0"/>
        <v>2513.5238110914511</v>
      </c>
      <c r="F23" s="57">
        <v>1370</v>
      </c>
      <c r="G23" s="57">
        <v>849</v>
      </c>
      <c r="H23" s="57">
        <f t="shared" si="1"/>
        <v>111.065811091451</v>
      </c>
      <c r="I23" s="57">
        <f t="shared" si="2"/>
        <v>2330.065811091451</v>
      </c>
      <c r="J23" s="57">
        <v>183.458</v>
      </c>
      <c r="K23" s="58">
        <v>6.72</v>
      </c>
      <c r="L23" s="57"/>
    </row>
    <row r="24" spans="1:12" x14ac:dyDescent="0.2">
      <c r="A24" s="11" t="s">
        <v>110</v>
      </c>
      <c r="B24" s="57">
        <f t="shared" si="3"/>
        <v>183.458</v>
      </c>
      <c r="C24" s="57">
        <f>+'tab02'!E22/1000</f>
        <v>2380.2739999999999</v>
      </c>
      <c r="D24" s="57">
        <v>8.9039324246229015</v>
      </c>
      <c r="E24" s="57">
        <f t="shared" si="0"/>
        <v>2572.6359324246228</v>
      </c>
      <c r="F24" s="57">
        <v>1436</v>
      </c>
      <c r="G24" s="57">
        <v>886</v>
      </c>
      <c r="H24" s="57">
        <f t="shared" si="1"/>
        <v>118.80293242462267</v>
      </c>
      <c r="I24" s="57">
        <f t="shared" si="2"/>
        <v>2440.8029324246227</v>
      </c>
      <c r="J24" s="57">
        <v>131.833</v>
      </c>
      <c r="K24" s="58">
        <v>7.35</v>
      </c>
      <c r="L24" s="57"/>
    </row>
    <row r="25" spans="1:12" x14ac:dyDescent="0.2">
      <c r="A25" s="11" t="s">
        <v>111</v>
      </c>
      <c r="B25" s="57">
        <f t="shared" si="3"/>
        <v>131.833</v>
      </c>
      <c r="C25" s="57">
        <f>+'tab02'!E23/1000</f>
        <v>2688.75</v>
      </c>
      <c r="D25" s="57">
        <v>5.0059507383774005</v>
      </c>
      <c r="E25" s="57">
        <f t="shared" si="0"/>
        <v>2825.5889507383777</v>
      </c>
      <c r="F25" s="57">
        <v>1597</v>
      </c>
      <c r="G25" s="57">
        <v>874</v>
      </c>
      <c r="H25" s="57">
        <f t="shared" si="1"/>
        <v>154.78995073837768</v>
      </c>
      <c r="I25" s="57">
        <f t="shared" si="2"/>
        <v>2625.7899507383777</v>
      </c>
      <c r="J25" s="57">
        <v>199.79900000000001</v>
      </c>
      <c r="K25" s="58">
        <v>6.47</v>
      </c>
      <c r="L25" s="57"/>
    </row>
    <row r="26" spans="1:12" x14ac:dyDescent="0.2">
      <c r="A26" s="11" t="s">
        <v>112</v>
      </c>
      <c r="B26" s="57">
        <f t="shared" si="3"/>
        <v>199.79900000000001</v>
      </c>
      <c r="C26" s="57">
        <f>+'tab02'!E24/1000</f>
        <v>2741.0140000000001</v>
      </c>
      <c r="D26" s="57">
        <v>3.5211952517805001</v>
      </c>
      <c r="E26" s="57">
        <f t="shared" si="0"/>
        <v>2944.3341952517808</v>
      </c>
      <c r="F26" s="57">
        <v>1590</v>
      </c>
      <c r="G26" s="57">
        <v>805</v>
      </c>
      <c r="H26" s="57">
        <f t="shared" si="1"/>
        <v>200.85219525178081</v>
      </c>
      <c r="I26" s="57">
        <f t="shared" si="2"/>
        <v>2595.8521952517808</v>
      </c>
      <c r="J26" s="57">
        <v>348.48200000000003</v>
      </c>
      <c r="K26" s="58">
        <v>4.93</v>
      </c>
      <c r="L26" s="57"/>
    </row>
    <row r="27" spans="1:12" x14ac:dyDescent="0.2">
      <c r="A27" s="11" t="s">
        <v>12</v>
      </c>
      <c r="B27" s="57">
        <f t="shared" si="3"/>
        <v>348.48200000000003</v>
      </c>
      <c r="C27" s="57">
        <f>+'tab02'!E25/1000</f>
        <v>2653.7579999999998</v>
      </c>
      <c r="D27" s="57">
        <v>4.1711473593153006</v>
      </c>
      <c r="E27" s="57">
        <f t="shared" si="0"/>
        <v>3006.4111473593152</v>
      </c>
      <c r="F27" s="57">
        <v>1578</v>
      </c>
      <c r="G27" s="57">
        <v>973</v>
      </c>
      <c r="H27" s="57">
        <f t="shared" si="1"/>
        <v>165.24914735931543</v>
      </c>
      <c r="I27" s="57">
        <f t="shared" si="2"/>
        <v>2716.2491473593154</v>
      </c>
      <c r="J27" s="57">
        <f>+'tab01'!D8/1000</f>
        <v>290.16199999999998</v>
      </c>
      <c r="K27" s="58">
        <v>4.63</v>
      </c>
      <c r="L27" s="57"/>
    </row>
    <row r="28" spans="1:12" x14ac:dyDescent="0.2">
      <c r="A28" s="11" t="s">
        <v>17</v>
      </c>
      <c r="B28" s="57">
        <f t="shared" si="3"/>
        <v>290.16199999999998</v>
      </c>
      <c r="C28" s="57">
        <f>+'tab02'!E26/1000</f>
        <v>2757.81</v>
      </c>
      <c r="D28" s="57">
        <f>'tab6'!D12/1000</f>
        <v>3.5678253219336002</v>
      </c>
      <c r="E28" s="57">
        <f t="shared" si="0"/>
        <v>3051.5398253219332</v>
      </c>
      <c r="F28" s="57">
        <f>'tab6'!F12/1000</f>
        <v>1639.67</v>
      </c>
      <c r="G28" s="57">
        <f>'tab6'!G12/1000</f>
        <v>995.87118845340001</v>
      </c>
      <c r="H28" s="57">
        <f t="shared" si="1"/>
        <v>168.2516368685333</v>
      </c>
      <c r="I28" s="57">
        <f t="shared" si="2"/>
        <v>2803.7928253219334</v>
      </c>
      <c r="J28" s="57">
        <f>+'tab01'!D14/1000</f>
        <v>247.74700000000001</v>
      </c>
      <c r="K28" s="58">
        <v>4.54</v>
      </c>
      <c r="L28" s="57"/>
    </row>
    <row r="29" spans="1:12" x14ac:dyDescent="0.2">
      <c r="A29" s="11" t="s">
        <v>18</v>
      </c>
      <c r="B29" s="57">
        <f t="shared" si="3"/>
        <v>247.74700000000001</v>
      </c>
      <c r="C29" s="57">
        <f>+'tab02'!E27/1000</f>
        <v>2890.6819999999998</v>
      </c>
      <c r="D29" s="57">
        <f>'tab6'!D19/1000</f>
        <v>2.3197743674594999</v>
      </c>
      <c r="E29" s="57">
        <f t="shared" si="0"/>
        <v>3140.7487743674592</v>
      </c>
      <c r="F29" s="57">
        <f>'tab6'!F19/1000</f>
        <v>1699.7408</v>
      </c>
      <c r="G29" s="57">
        <f>'tab6'!G19/1000</f>
        <v>1063.6514467383001</v>
      </c>
      <c r="H29" s="57">
        <f t="shared" si="1"/>
        <v>169.29552762915887</v>
      </c>
      <c r="I29" s="57">
        <f t="shared" si="2"/>
        <v>2932.687774367459</v>
      </c>
      <c r="J29" s="57">
        <f>+'tab01'!D20/1000</f>
        <v>208.06100000000001</v>
      </c>
      <c r="K29" s="58">
        <v>4.38</v>
      </c>
      <c r="L29" s="57"/>
    </row>
    <row r="30" spans="1:12" x14ac:dyDescent="0.2">
      <c r="A30" s="11" t="s">
        <v>19</v>
      </c>
      <c r="B30" s="57">
        <f t="shared" si="3"/>
        <v>208.06100000000001</v>
      </c>
      <c r="C30" s="57">
        <f>+'tab02'!E28/1000</f>
        <v>2756.1469999999999</v>
      </c>
      <c r="D30" s="57">
        <f>'tab6'!D26/1000</f>
        <v>4.6609782486581999</v>
      </c>
      <c r="E30" s="57">
        <f t="shared" si="0"/>
        <v>2968.8689782486581</v>
      </c>
      <c r="F30" s="57">
        <f>'tab6'!F26/1000</f>
        <v>1614.7874333333334</v>
      </c>
      <c r="G30" s="57">
        <f>'tab6'!G26/1000</f>
        <v>1044.3721008357002</v>
      </c>
      <c r="H30" s="57">
        <f t="shared" si="1"/>
        <v>131.38044407962434</v>
      </c>
      <c r="I30" s="57">
        <f t="shared" si="2"/>
        <v>2790.5399782486579</v>
      </c>
      <c r="J30" s="57">
        <f>+'tab01'!D26/1000</f>
        <v>178.32900000000001</v>
      </c>
      <c r="K30" s="58">
        <v>5.53</v>
      </c>
      <c r="L30" s="57"/>
    </row>
    <row r="31" spans="1:12" x14ac:dyDescent="0.2">
      <c r="A31" s="11" t="s">
        <v>20</v>
      </c>
      <c r="B31" s="57">
        <f t="shared" si="3"/>
        <v>178.32900000000001</v>
      </c>
      <c r="C31" s="57">
        <f>+'tab02'!E29/1000</f>
        <v>2453.8449999999998</v>
      </c>
      <c r="D31" s="57">
        <f>'tab6'!D33/1000</f>
        <v>5.5615535121069</v>
      </c>
      <c r="E31" s="57">
        <f t="shared" si="0"/>
        <v>2637.7355535121069</v>
      </c>
      <c r="F31" s="57">
        <f>'tab6'!F33/1000</f>
        <v>1529.6987333333334</v>
      </c>
      <c r="G31" s="57">
        <f>'tab6'!G33/1000</f>
        <v>886.55056059570006</v>
      </c>
      <c r="H31" s="57">
        <f t="shared" si="1"/>
        <v>109.07225958307322</v>
      </c>
      <c r="I31" s="57">
        <f t="shared" si="2"/>
        <v>2525.3215535121067</v>
      </c>
      <c r="J31" s="57">
        <f>+'tab01'!D32/1000</f>
        <v>112.414</v>
      </c>
      <c r="K31" s="58">
        <v>7.34</v>
      </c>
      <c r="L31" s="57"/>
    </row>
    <row r="32" spans="1:12" x14ac:dyDescent="0.2">
      <c r="A32" s="11" t="s">
        <v>21</v>
      </c>
      <c r="B32" s="57">
        <f t="shared" si="3"/>
        <v>112.414</v>
      </c>
      <c r="C32" s="57">
        <f>+'tab02'!E30/1000</f>
        <v>3123.79</v>
      </c>
      <c r="D32" s="57">
        <f>'tab6'!D40/1000</f>
        <v>5.5775644691508006</v>
      </c>
      <c r="E32" s="57">
        <f t="shared" si="0"/>
        <v>3241.7815644691509</v>
      </c>
      <c r="F32" s="57">
        <f>'tab6'!F40/1000</f>
        <v>1696.0812333333333</v>
      </c>
      <c r="G32" s="57">
        <f>'tab6'!G40/1000</f>
        <v>1097.1562998144</v>
      </c>
      <c r="H32" s="57">
        <f t="shared" si="1"/>
        <v>192.80603132141778</v>
      </c>
      <c r="I32" s="57">
        <f t="shared" si="2"/>
        <v>2986.0435644691511</v>
      </c>
      <c r="J32" s="57">
        <f>'tab01'!D38/1000</f>
        <v>255.738</v>
      </c>
      <c r="K32" s="58">
        <v>5.74</v>
      </c>
      <c r="L32" s="57"/>
    </row>
    <row r="33" spans="1:12" x14ac:dyDescent="0.2">
      <c r="A33" s="11" t="s">
        <v>22</v>
      </c>
      <c r="B33" s="57">
        <f t="shared" si="3"/>
        <v>255.738</v>
      </c>
      <c r="C33" s="57">
        <f>+'tab02'!E31/1000</f>
        <v>3068.3420000000001</v>
      </c>
      <c r="D33" s="57">
        <f>'tab6'!D47/1000</f>
        <v>3.3720085912715998</v>
      </c>
      <c r="E33" s="57">
        <f t="shared" si="0"/>
        <v>3327.4520085912714</v>
      </c>
      <c r="F33" s="57">
        <f>'tab6'!F47/1000</f>
        <v>1738.8517333333334</v>
      </c>
      <c r="G33" s="57">
        <f>'tab6'!G47/1000</f>
        <v>939.87875005290005</v>
      </c>
      <c r="H33" s="57">
        <f t="shared" si="1"/>
        <v>199.39552520503787</v>
      </c>
      <c r="I33" s="57">
        <f t="shared" si="2"/>
        <v>2878.1260085912713</v>
      </c>
      <c r="J33" s="57">
        <f>'tab01'!D44/1000</f>
        <v>449.32600000000002</v>
      </c>
      <c r="K33" s="58">
        <v>5.66</v>
      </c>
      <c r="L33" s="57"/>
    </row>
    <row r="34" spans="1:12" x14ac:dyDescent="0.2">
      <c r="A34" s="11" t="s">
        <v>23</v>
      </c>
      <c r="B34" s="57">
        <f t="shared" si="3"/>
        <v>449.32600000000002</v>
      </c>
      <c r="C34" s="57">
        <f>+'tab02'!E32/1000</f>
        <v>3196.7260000000001</v>
      </c>
      <c r="D34" s="57">
        <f>'tab6'!D54/1000</f>
        <v>9.0337511501685004</v>
      </c>
      <c r="E34" s="57">
        <f t="shared" si="0"/>
        <v>3655.0857511501686</v>
      </c>
      <c r="F34" s="57">
        <f>'tab6'!F54/1000</f>
        <v>1807.7056423333333</v>
      </c>
      <c r="G34" s="57">
        <f>'tab6'!G54/1000</f>
        <v>1116.4958686412999</v>
      </c>
      <c r="H34" s="57">
        <f t="shared" si="1"/>
        <v>157.07424017553535</v>
      </c>
      <c r="I34" s="57">
        <f t="shared" si="2"/>
        <v>3081.2757511501686</v>
      </c>
      <c r="J34" s="57">
        <f>'tab01'!D50/1000</f>
        <v>573.80999999999995</v>
      </c>
      <c r="K34" s="58">
        <v>6.43</v>
      </c>
      <c r="L34" s="57"/>
    </row>
    <row r="35" spans="1:12" x14ac:dyDescent="0.2">
      <c r="A35" s="11" t="s">
        <v>24</v>
      </c>
      <c r="B35" s="57">
        <f t="shared" si="3"/>
        <v>573.80999999999995</v>
      </c>
      <c r="C35" s="57">
        <f>+'tab02'!E33/1000</f>
        <v>2677.1170000000002</v>
      </c>
      <c r="D35" s="57">
        <f>'tab6'!D61/1000</f>
        <v>9.8708029129773003</v>
      </c>
      <c r="E35" s="57">
        <f t="shared" si="0"/>
        <v>3260.7978029129777</v>
      </c>
      <c r="F35" s="57">
        <f>'tab6'!F61/1000</f>
        <v>1803.4073376666665</v>
      </c>
      <c r="G35" s="57">
        <f>'tab6'!G61/1000</f>
        <v>1158.8290570290001</v>
      </c>
      <c r="H35" s="57">
        <f t="shared" si="1"/>
        <v>93.527408217310949</v>
      </c>
      <c r="I35" s="57">
        <f t="shared" si="2"/>
        <v>3055.7638029129776</v>
      </c>
      <c r="J35" s="57">
        <f>'tab01'!D56/1000</f>
        <v>205.03399999999999</v>
      </c>
      <c r="K35" s="58">
        <v>10.1</v>
      </c>
      <c r="L35" s="57"/>
    </row>
    <row r="36" spans="1:12" x14ac:dyDescent="0.2">
      <c r="A36" s="11" t="s">
        <v>25</v>
      </c>
      <c r="B36" s="57">
        <f t="shared" si="3"/>
        <v>205.03399999999999</v>
      </c>
      <c r="C36" s="57">
        <f>+'tab02'!E34/1000</f>
        <v>2967.0070000000001</v>
      </c>
      <c r="D36" s="57">
        <f>'tab6'!D68/1000</f>
        <v>13.2631296312942</v>
      </c>
      <c r="E36" s="57">
        <f t="shared" si="0"/>
        <v>3185.3041296312945</v>
      </c>
      <c r="F36" s="57">
        <f>'tab6'!F68/1000</f>
        <v>1661.9220666666665</v>
      </c>
      <c r="G36" s="57">
        <f>'tab6'!G68/1000</f>
        <v>1279.2935714286</v>
      </c>
      <c r="H36" s="57">
        <f t="shared" si="1"/>
        <v>105.89049153602809</v>
      </c>
      <c r="I36" s="57">
        <f t="shared" si="2"/>
        <v>3047.1061296312946</v>
      </c>
      <c r="J36" s="57">
        <f>'tab01'!D62/1000</f>
        <v>138.19800000000001</v>
      </c>
      <c r="K36" s="58">
        <v>9.9700000000000006</v>
      </c>
      <c r="L36" s="57"/>
    </row>
    <row r="37" spans="1:12" x14ac:dyDescent="0.2">
      <c r="A37" s="11" t="s">
        <v>26</v>
      </c>
      <c r="B37" s="57">
        <f t="shared" si="3"/>
        <v>138.19800000000001</v>
      </c>
      <c r="C37" s="57">
        <f>+'tab02'!E35/1000</f>
        <v>3360.931</v>
      </c>
      <c r="D37" s="57">
        <f>'tab6'!D75/1000</f>
        <v>14.5881068286513</v>
      </c>
      <c r="E37" s="57">
        <f t="shared" si="0"/>
        <v>3513.7171068286511</v>
      </c>
      <c r="F37" s="57">
        <f>'tab6'!F75/1000</f>
        <v>1751.6862683333336</v>
      </c>
      <c r="G37" s="57">
        <f>'tab6'!G75/1000</f>
        <v>1499.0481245103001</v>
      </c>
      <c r="H37" s="57">
        <f t="shared" si="1"/>
        <v>112.09771398501766</v>
      </c>
      <c r="I37" s="57">
        <f t="shared" si="2"/>
        <v>3362.8321068286514</v>
      </c>
      <c r="J37" s="57">
        <f>'tab01'!D68/1000</f>
        <v>150.88499999999999</v>
      </c>
      <c r="K37" s="58">
        <v>9.59</v>
      </c>
      <c r="L37" s="57"/>
    </row>
    <row r="38" spans="1:12" x14ac:dyDescent="0.2">
      <c r="A38" s="11" t="s">
        <v>27</v>
      </c>
      <c r="B38" s="57">
        <f t="shared" si="3"/>
        <v>150.88499999999999</v>
      </c>
      <c r="C38" s="57">
        <f>+'tab02'!E36/1000</f>
        <v>3331.306</v>
      </c>
      <c r="D38" s="57">
        <f>'tab6'!D82/1000</f>
        <v>14.4490964828322</v>
      </c>
      <c r="E38" s="57">
        <f t="shared" si="0"/>
        <v>3496.6400964828322</v>
      </c>
      <c r="F38" s="57">
        <f>'tab6'!F82/1000</f>
        <v>1648.0425946666669</v>
      </c>
      <c r="G38" s="57">
        <f>'tab6'!G82/1000</f>
        <v>1504.9776390978</v>
      </c>
      <c r="H38" s="57">
        <f t="shared" si="1"/>
        <v>128.60686271836539</v>
      </c>
      <c r="I38" s="57">
        <f t="shared" si="2"/>
        <v>3281.6270964828323</v>
      </c>
      <c r="J38" s="57">
        <f>'tab01'!D74/1000</f>
        <v>215.01300000000001</v>
      </c>
      <c r="K38" s="58">
        <v>11.3</v>
      </c>
      <c r="L38" s="57"/>
    </row>
    <row r="39" spans="1:12" x14ac:dyDescent="0.2">
      <c r="A39" s="11" t="s">
        <v>28</v>
      </c>
      <c r="B39" s="57">
        <f t="shared" si="3"/>
        <v>215.01300000000001</v>
      </c>
      <c r="C39" s="57">
        <f>+'tab02'!E37/1000</f>
        <v>3097.1790000000001</v>
      </c>
      <c r="D39" s="57">
        <f>'tab6'!D89/1000</f>
        <v>16.132001704578901</v>
      </c>
      <c r="E39" s="57">
        <f t="shared" si="0"/>
        <v>3328.3240017045791</v>
      </c>
      <c r="F39" s="57">
        <f>'tab6'!F89/1000</f>
        <v>1703.019</v>
      </c>
      <c r="G39" s="57">
        <f>'tab6'!G89/1000</f>
        <v>1365.2509814978098</v>
      </c>
      <c r="H39" s="57">
        <f t="shared" si="1"/>
        <v>90.684020206769446</v>
      </c>
      <c r="I39" s="57">
        <f t="shared" si="2"/>
        <v>3158.9540017045792</v>
      </c>
      <c r="J39" s="57">
        <f>'tab01'!D80/1000</f>
        <v>169.37</v>
      </c>
      <c r="K39" s="58">
        <v>12.5</v>
      </c>
      <c r="L39" s="57"/>
    </row>
    <row r="40" spans="1:12" x14ac:dyDescent="0.2">
      <c r="A40" s="11" t="s">
        <v>29</v>
      </c>
      <c r="B40" s="57">
        <f t="shared" si="3"/>
        <v>169.37</v>
      </c>
      <c r="C40" s="57">
        <f>+'tab02'!E38/1000</f>
        <v>3042.0439999999999</v>
      </c>
      <c r="D40" s="57">
        <f>'tab6'!D96/1000</f>
        <v>40.516341825857801</v>
      </c>
      <c r="E40" s="57">
        <f t="shared" si="0"/>
        <v>3251.9303418258573</v>
      </c>
      <c r="F40" s="57">
        <f>'tab6'!F96/1000</f>
        <v>1688.903</v>
      </c>
      <c r="G40" s="57">
        <f>'tab6'!G96/1000</f>
        <v>1327.5260000000001</v>
      </c>
      <c r="H40" s="57">
        <f t="shared" si="1"/>
        <v>94.944341825857464</v>
      </c>
      <c r="I40" s="57">
        <f t="shared" si="2"/>
        <v>3111.3733418258576</v>
      </c>
      <c r="J40" s="57">
        <f>'tab01'!D86/1000</f>
        <v>140.55699999999999</v>
      </c>
      <c r="K40" s="58">
        <v>14.4</v>
      </c>
      <c r="L40" s="57"/>
    </row>
    <row r="41" spans="1:12" x14ac:dyDescent="0.2">
      <c r="A41" s="11" t="s">
        <v>30</v>
      </c>
      <c r="B41" s="57">
        <f t="shared" si="3"/>
        <v>140.55699999999999</v>
      </c>
      <c r="C41" s="57">
        <f>+'tab02'!E39/1000</f>
        <v>3357.0039999999999</v>
      </c>
      <c r="D41" s="57">
        <f>'tab6'!D103/1000</f>
        <v>71.777046168786015</v>
      </c>
      <c r="E41" s="57">
        <f t="shared" si="0"/>
        <v>3569.3380461687857</v>
      </c>
      <c r="F41" s="57">
        <f>'tab6'!F103/1000</f>
        <v>1733.8879999999999</v>
      </c>
      <c r="G41" s="57">
        <f>'tab6'!G103/1000</f>
        <v>1638.5589397691786</v>
      </c>
      <c r="H41" s="57">
        <f t="shared" si="1"/>
        <v>104.90010639960724</v>
      </c>
      <c r="I41" s="57">
        <f t="shared" si="2"/>
        <v>3477.3470461687857</v>
      </c>
      <c r="J41" s="57">
        <f>'tab01'!D92/1000</f>
        <v>91.991</v>
      </c>
      <c r="K41" s="58">
        <v>13</v>
      </c>
      <c r="L41" s="57"/>
    </row>
    <row r="42" spans="1:12" x14ac:dyDescent="0.2">
      <c r="A42" s="11" t="s">
        <v>31</v>
      </c>
      <c r="B42" s="57">
        <f t="shared" si="3"/>
        <v>91.991</v>
      </c>
      <c r="C42" s="57">
        <f>+'tab02'!E40/1000</f>
        <v>3928.07</v>
      </c>
      <c r="D42" s="57">
        <f>'tab6'!D110/1000</f>
        <v>33.244861599459298</v>
      </c>
      <c r="E42" s="57">
        <f t="shared" si="0"/>
        <v>4053.3058615994596</v>
      </c>
      <c r="F42" s="57">
        <f>'tab6'!F110/1000</f>
        <v>1873.4937851587886</v>
      </c>
      <c r="G42" s="57">
        <f>'tab6'!G110/1000</f>
        <v>1842.4226925928908</v>
      </c>
      <c r="H42" s="57">
        <f t="shared" si="1"/>
        <v>146.77938384778008</v>
      </c>
      <c r="I42" s="57">
        <f t="shared" si="2"/>
        <v>3862.6958615994595</v>
      </c>
      <c r="J42" s="57">
        <f>'tab01'!D98/1000</f>
        <v>190.61</v>
      </c>
      <c r="K42" s="58">
        <v>10.1</v>
      </c>
      <c r="L42" s="57"/>
    </row>
    <row r="43" spans="1:12" x14ac:dyDescent="0.2">
      <c r="A43" s="11" t="s">
        <v>32</v>
      </c>
      <c r="B43" s="57">
        <f t="shared" si="3"/>
        <v>190.61</v>
      </c>
      <c r="C43" s="57">
        <f>+'tab02'!E41/1000</f>
        <v>3926.779</v>
      </c>
      <c r="D43" s="57">
        <f>'tab6'!D129/1000</f>
        <v>23.540909513328902</v>
      </c>
      <c r="E43" s="57">
        <f t="shared" si="0"/>
        <v>4140.9299095133292</v>
      </c>
      <c r="F43" s="57">
        <f>'tab6'!F129/1000</f>
        <v>1886.2368000000001</v>
      </c>
      <c r="G43" s="57">
        <f>'tab6'!G129/1000</f>
        <v>1942.6386441855982</v>
      </c>
      <c r="H43" s="57">
        <f t="shared" si="1"/>
        <v>115.32546532773108</v>
      </c>
      <c r="I43" s="57">
        <f t="shared" si="2"/>
        <v>3944.2009095133294</v>
      </c>
      <c r="J43" s="57">
        <f>'tab01'!D104/1000</f>
        <v>196.72900000000001</v>
      </c>
      <c r="K43" s="58">
        <v>8.9499999999999993</v>
      </c>
      <c r="L43" s="57"/>
    </row>
    <row r="44" spans="1:12" x14ac:dyDescent="0.2">
      <c r="A44" s="11" t="s">
        <v>33</v>
      </c>
      <c r="B44" s="57">
        <f t="shared" si="3"/>
        <v>196.72900000000001</v>
      </c>
      <c r="C44" s="57">
        <f>+'tab02'!E42/1000</f>
        <v>4296.4960000000001</v>
      </c>
      <c r="D44" s="57">
        <f>'tab6'!D148/1000</f>
        <v>22.280707270290002</v>
      </c>
      <c r="E44" s="57">
        <f t="shared" si="0"/>
        <v>4515.5057072702903</v>
      </c>
      <c r="F44" s="57">
        <f>'tab6'!F148/1000</f>
        <v>1901.1980666666666</v>
      </c>
      <c r="G44" s="57">
        <f>'tab6'!G148/1000</f>
        <v>2166.55047454125</v>
      </c>
      <c r="H44" s="57">
        <f t="shared" si="1"/>
        <v>146.16216606237322</v>
      </c>
      <c r="I44" s="57">
        <f t="shared" si="2"/>
        <v>4213.91070727029</v>
      </c>
      <c r="J44" s="57">
        <f>'tab01'!D110/1000</f>
        <v>301.59500000000003</v>
      </c>
      <c r="K44" s="58">
        <v>9.4700000000000006</v>
      </c>
      <c r="L44" s="57"/>
    </row>
    <row r="45" spans="1:12" x14ac:dyDescent="0.2">
      <c r="A45" s="11" t="s">
        <v>34</v>
      </c>
      <c r="B45" s="57">
        <f t="shared" si="3"/>
        <v>301.59500000000003</v>
      </c>
      <c r="C45" s="57">
        <f>+'tab02'!E43/1000</f>
        <v>4411.6329999999998</v>
      </c>
      <c r="D45" s="57">
        <f>'tab6'!D167/1000</f>
        <v>21.810672542399995</v>
      </c>
      <c r="E45" s="57">
        <f t="shared" si="0"/>
        <v>4735.0386725424005</v>
      </c>
      <c r="F45" s="57">
        <f>'tab6'!F167/1000</f>
        <v>2054.9319999999998</v>
      </c>
      <c r="G45" s="57">
        <f>'tab6'!G167/1000</f>
        <v>2133.7477027176001</v>
      </c>
      <c r="H45" s="57">
        <f t="shared" si="1"/>
        <v>108.25396982480015</v>
      </c>
      <c r="I45" s="57">
        <f t="shared" si="2"/>
        <v>4296.9336725424</v>
      </c>
      <c r="J45" s="57">
        <f>'tab01'!D116/1000</f>
        <v>438.10500000000002</v>
      </c>
      <c r="K45" s="58">
        <v>9.33</v>
      </c>
      <c r="L45" s="59"/>
    </row>
    <row r="46" spans="1:12" x14ac:dyDescent="0.2">
      <c r="A46" s="11" t="s">
        <v>35</v>
      </c>
      <c r="B46" s="57">
        <f t="shared" si="3"/>
        <v>438.10500000000002</v>
      </c>
      <c r="C46" s="57">
        <f>+'tab02'!E44/1000</f>
        <v>4428.1499999999996</v>
      </c>
      <c r="D46" s="57">
        <f>'tab6'!D186/1000</f>
        <v>14.0573945904</v>
      </c>
      <c r="E46" s="57">
        <f t="shared" si="0"/>
        <v>4880.312394590399</v>
      </c>
      <c r="F46" s="57">
        <f>'tab6'!F186/1000</f>
        <v>2091.9902666666667</v>
      </c>
      <c r="G46" s="57">
        <f>'tab6'!G186/1000</f>
        <v>1753.4438010144002</v>
      </c>
      <c r="H46" s="57">
        <f t="shared" si="1"/>
        <v>125.82632690933201</v>
      </c>
      <c r="I46" s="57">
        <f t="shared" si="2"/>
        <v>3971.2603945903988</v>
      </c>
      <c r="J46" s="57">
        <f>'tab01'!D122/1000</f>
        <v>909.05200000000002</v>
      </c>
      <c r="K46" s="58">
        <v>8.48</v>
      </c>
      <c r="L46" s="59"/>
    </row>
    <row r="47" spans="1:12" x14ac:dyDescent="0.2">
      <c r="A47" s="11" t="s">
        <v>36</v>
      </c>
      <c r="B47" s="57">
        <f t="shared" si="3"/>
        <v>909.05200000000002</v>
      </c>
      <c r="C47" s="57">
        <f>+'tab02'!E45/1000</f>
        <v>3551.9079999999999</v>
      </c>
      <c r="D47" s="57">
        <f>'tab6'!D205/1000</f>
        <v>15.3806231928</v>
      </c>
      <c r="E47" s="57">
        <f t="shared" si="0"/>
        <v>4476.3406231928002</v>
      </c>
      <c r="F47" s="57">
        <f>'tab6'!F205/1000</f>
        <v>2164.5542333333333</v>
      </c>
      <c r="G47" s="57">
        <f>'tab6'!G205/1000</f>
        <v>1682.8882992359997</v>
      </c>
      <c r="H47" s="57">
        <f t="shared" si="1"/>
        <v>104.357090623467</v>
      </c>
      <c r="I47" s="57">
        <f>+E47-J47</f>
        <v>3951.7996231928</v>
      </c>
      <c r="J47" s="57">
        <f>'tab01'!D128/1000</f>
        <v>524.54100000000005</v>
      </c>
      <c r="K47" s="58">
        <v>8.57</v>
      </c>
      <c r="L47" s="60"/>
    </row>
    <row r="48" spans="1:12" x14ac:dyDescent="0.2">
      <c r="A48" s="11" t="s">
        <v>37</v>
      </c>
      <c r="B48" s="57">
        <f t="shared" si="3"/>
        <v>524.54100000000005</v>
      </c>
      <c r="C48" s="57">
        <f>+'tab02'!E46/1000</f>
        <v>4216.3019999999997</v>
      </c>
      <c r="D48" s="57">
        <f>'tab6'!D224/1000</f>
        <v>19.815142646399998</v>
      </c>
      <c r="E48" s="57">
        <f t="shared" si="0"/>
        <v>4760.6581426463999</v>
      </c>
      <c r="F48" s="57">
        <f>'tab6'!F224/1000</f>
        <v>2140.5846666666666</v>
      </c>
      <c r="G48" s="57">
        <f>'tab6'!G224/1000</f>
        <v>2265.8216627759998</v>
      </c>
      <c r="H48" s="57">
        <f t="shared" si="1"/>
        <v>97.272813203733222</v>
      </c>
      <c r="I48" s="57">
        <f>+E48-J48</f>
        <v>4503.6791426463997</v>
      </c>
      <c r="J48" s="57">
        <f>'tab01'!D134/1000</f>
        <v>256.97899999999998</v>
      </c>
      <c r="K48" s="58">
        <v>10.8</v>
      </c>
      <c r="L48" s="60"/>
    </row>
    <row r="49" spans="1:12" x14ac:dyDescent="0.2">
      <c r="A49" s="11" t="s">
        <v>215</v>
      </c>
      <c r="B49" s="57">
        <f>+J48</f>
        <v>256.97899999999998</v>
      </c>
      <c r="C49" s="57">
        <f>+'tab02'!E47/1000</f>
        <v>4465.3819999999996</v>
      </c>
      <c r="D49" s="57">
        <f>'tab6'!D243/1000</f>
        <v>15.9101777208</v>
      </c>
      <c r="E49" s="57">
        <f t="shared" si="0"/>
        <v>4738.2711777207996</v>
      </c>
      <c r="F49" s="57">
        <f>'tab6'!F243/1000</f>
        <v>2203.8142666666668</v>
      </c>
      <c r="G49" s="57">
        <f>'tab6'!G243/1000</f>
        <v>2157.6466911048001</v>
      </c>
      <c r="H49" s="57">
        <f t="shared" si="1"/>
        <v>102.41621994933257</v>
      </c>
      <c r="I49" s="57">
        <f>+E49-J49</f>
        <v>4463.8771777207994</v>
      </c>
      <c r="J49" s="57">
        <f>'tab01'!D140/1000</f>
        <v>274.39400000000001</v>
      </c>
      <c r="K49" s="58">
        <v>13.3</v>
      </c>
      <c r="L49" s="60"/>
    </row>
    <row r="50" spans="1:12" x14ac:dyDescent="0.2">
      <c r="A50" s="115" t="s">
        <v>216</v>
      </c>
      <c r="B50" s="116">
        <f>+J49</f>
        <v>274.39400000000001</v>
      </c>
      <c r="C50" s="116">
        <f>+'tab02'!E48/1000</f>
        <v>4276.1229999999996</v>
      </c>
      <c r="D50" s="116">
        <v>15</v>
      </c>
      <c r="E50" s="116">
        <f t="shared" si="0"/>
        <v>4565.5169999999998</v>
      </c>
      <c r="F50" s="116">
        <v>2220</v>
      </c>
      <c r="G50" s="116">
        <v>2015</v>
      </c>
      <c r="H50" s="116">
        <v>120.35</v>
      </c>
      <c r="I50" s="116">
        <f>SUM(F50:H50)</f>
        <v>4355.3500000000004</v>
      </c>
      <c r="J50" s="116">
        <f>E50-I50</f>
        <v>210.16699999999946</v>
      </c>
      <c r="K50" s="62">
        <v>14.3</v>
      </c>
      <c r="L50" s="60"/>
    </row>
    <row r="51" spans="1:12" ht="13.2" customHeight="1" x14ac:dyDescent="0.2">
      <c r="A51" s="22" t="s">
        <v>113</v>
      </c>
      <c r="E51" s="57"/>
      <c r="F51" s="57"/>
      <c r="H51" s="57"/>
      <c r="I51" s="57"/>
    </row>
    <row r="52" spans="1:12" x14ac:dyDescent="0.2">
      <c r="A52" s="63" t="s">
        <v>217</v>
      </c>
    </row>
    <row r="53" spans="1:12" x14ac:dyDescent="0.2">
      <c r="A53" s="11" t="s">
        <v>114</v>
      </c>
    </row>
    <row r="54" spans="1:12" ht="10.199999999999999" customHeight="1" x14ac:dyDescent="0.2">
      <c r="J54" s="64"/>
      <c r="K54" s="40" t="s">
        <v>211</v>
      </c>
    </row>
  </sheetData>
  <pageMargins left="0.7" right="0.7" top="0.75" bottom="0.75" header="0.3" footer="0.3"/>
  <pageSetup scale="84" firstPageNumber="3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D4EC-AC0F-40C6-BA46-2B7AF934DD4E}">
  <sheetPr>
    <pageSetUpPr fitToPage="1"/>
  </sheetPr>
  <dimension ref="A1:M55"/>
  <sheetViews>
    <sheetView zoomScaleNormal="100" zoomScaleSheetLayoutView="100" workbookViewId="0">
      <pane xSplit="1" ySplit="6" topLeftCell="B27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0.28515625" customWidth="1"/>
    <col min="2" max="2" width="13.7109375" customWidth="1"/>
    <col min="3" max="3" width="15" bestFit="1" customWidth="1"/>
    <col min="4" max="9" width="13.7109375" customWidth="1"/>
    <col min="10" max="10" width="17.42578125" customWidth="1"/>
    <col min="12" max="12" width="21" bestFit="1" customWidth="1"/>
    <col min="13" max="13" width="20.7109375" bestFit="1" customWidth="1"/>
  </cols>
  <sheetData>
    <row r="1" spans="1:12" x14ac:dyDescent="0.2">
      <c r="A1" s="25" t="s">
        <v>202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x14ac:dyDescent="0.2">
      <c r="A2" t="s">
        <v>115</v>
      </c>
      <c r="B2" s="41"/>
      <c r="C2" s="14"/>
      <c r="D2" s="65" t="s">
        <v>75</v>
      </c>
      <c r="E2" s="43"/>
      <c r="F2" s="41"/>
      <c r="G2" s="27" t="s">
        <v>116</v>
      </c>
      <c r="H2" s="66"/>
      <c r="J2" s="27" t="s">
        <v>77</v>
      </c>
    </row>
    <row r="3" spans="1:12" x14ac:dyDescent="0.2">
      <c r="A3" t="s">
        <v>78</v>
      </c>
      <c r="B3" s="45" t="s">
        <v>79</v>
      </c>
      <c r="E3" s="46"/>
      <c r="H3" s="46"/>
      <c r="I3" s="26" t="s">
        <v>81</v>
      </c>
      <c r="J3" s="26" t="s">
        <v>117</v>
      </c>
    </row>
    <row r="4" spans="1:12" x14ac:dyDescent="0.2">
      <c r="A4" t="s">
        <v>118</v>
      </c>
      <c r="B4" s="48" t="s">
        <v>119</v>
      </c>
      <c r="C4" s="26" t="s">
        <v>120</v>
      </c>
      <c r="D4" s="26" t="s">
        <v>85</v>
      </c>
      <c r="E4" s="67" t="s">
        <v>10</v>
      </c>
      <c r="F4" s="26" t="s">
        <v>121</v>
      </c>
      <c r="G4" s="26" t="s">
        <v>88</v>
      </c>
      <c r="H4" s="67" t="s">
        <v>10</v>
      </c>
      <c r="I4" s="26" t="s">
        <v>119</v>
      </c>
      <c r="J4" s="26" t="s">
        <v>122</v>
      </c>
    </row>
    <row r="5" spans="1:12" x14ac:dyDescent="0.2">
      <c r="A5" s="13"/>
      <c r="B5" s="68"/>
      <c r="C5" s="13"/>
      <c r="D5" s="13"/>
      <c r="E5" s="52"/>
      <c r="F5" s="13"/>
      <c r="G5" s="13"/>
      <c r="H5" s="52"/>
      <c r="I5" s="13"/>
      <c r="J5" s="27" t="s">
        <v>123</v>
      </c>
    </row>
    <row r="6" spans="1:12" x14ac:dyDescent="0.2">
      <c r="C6" s="69"/>
      <c r="D6" s="69"/>
      <c r="E6" s="70" t="s">
        <v>124</v>
      </c>
      <c r="F6" s="69"/>
      <c r="G6" s="69"/>
      <c r="H6" s="69"/>
      <c r="I6" s="69"/>
      <c r="J6" s="29" t="s">
        <v>125</v>
      </c>
    </row>
    <row r="7" spans="1:12" x14ac:dyDescent="0.2">
      <c r="B7" s="56"/>
      <c r="C7" s="56"/>
      <c r="D7" s="56"/>
      <c r="E7" s="56"/>
      <c r="F7" s="56"/>
      <c r="G7" s="56"/>
      <c r="H7" s="56"/>
      <c r="I7" s="56"/>
      <c r="J7" s="26"/>
    </row>
    <row r="8" spans="1:12" x14ac:dyDescent="0.2">
      <c r="A8" s="11" t="s">
        <v>94</v>
      </c>
      <c r="B8" s="57">
        <v>226</v>
      </c>
      <c r="C8" s="57">
        <v>24312</v>
      </c>
      <c r="D8" s="57">
        <v>0</v>
      </c>
      <c r="E8" s="57">
        <f>+B8+C8+D8</f>
        <v>24538</v>
      </c>
      <c r="F8" s="57">
        <f t="shared" ref="F8:F46" si="0">+H8-G8</f>
        <v>17591</v>
      </c>
      <c r="G8" s="57">
        <v>6784</v>
      </c>
      <c r="H8" s="57">
        <f t="shared" ref="H8:H46" si="1">+E8-I8</f>
        <v>24375</v>
      </c>
      <c r="I8" s="57">
        <v>163</v>
      </c>
      <c r="J8" s="58">
        <v>235.13</v>
      </c>
      <c r="K8" s="71"/>
      <c r="L8" s="71"/>
    </row>
    <row r="9" spans="1:12" x14ac:dyDescent="0.2">
      <c r="A9" s="11" t="s">
        <v>95</v>
      </c>
      <c r="B9" s="57">
        <f t="shared" ref="B9:B39" si="2">+I8</f>
        <v>163</v>
      </c>
      <c r="C9" s="57">
        <v>24634</v>
      </c>
      <c r="D9" s="57">
        <v>0</v>
      </c>
      <c r="E9" s="57">
        <f t="shared" ref="E9:E42" si="3">+B9+C9+D9</f>
        <v>24797</v>
      </c>
      <c r="F9" s="57">
        <f t="shared" si="0"/>
        <v>17714</v>
      </c>
      <c r="G9" s="57">
        <v>6908</v>
      </c>
      <c r="H9" s="57">
        <f t="shared" si="1"/>
        <v>24622</v>
      </c>
      <c r="I9" s="57">
        <v>175</v>
      </c>
      <c r="J9" s="58">
        <v>196.62</v>
      </c>
      <c r="K9" s="71"/>
      <c r="L9" s="71"/>
    </row>
    <row r="10" spans="1:12" x14ac:dyDescent="0.2">
      <c r="A10" s="11" t="s">
        <v>96</v>
      </c>
      <c r="B10" s="57">
        <f t="shared" si="2"/>
        <v>175</v>
      </c>
      <c r="C10" s="57">
        <v>26714</v>
      </c>
      <c r="D10" s="57">
        <v>0</v>
      </c>
      <c r="E10" s="57">
        <f t="shared" si="3"/>
        <v>26889</v>
      </c>
      <c r="F10" s="57">
        <f t="shared" si="0"/>
        <v>19306</v>
      </c>
      <c r="G10" s="57">
        <v>7109</v>
      </c>
      <c r="H10" s="57">
        <f t="shared" si="1"/>
        <v>26415</v>
      </c>
      <c r="I10" s="57">
        <v>474</v>
      </c>
      <c r="J10" s="58">
        <v>200.94</v>
      </c>
      <c r="K10" s="71"/>
      <c r="L10" s="71"/>
    </row>
    <row r="11" spans="1:12" x14ac:dyDescent="0.2">
      <c r="A11" s="11" t="s">
        <v>97</v>
      </c>
      <c r="B11" s="57">
        <f t="shared" si="2"/>
        <v>474</v>
      </c>
      <c r="C11" s="57">
        <v>22756</v>
      </c>
      <c r="D11" s="57">
        <v>0</v>
      </c>
      <c r="E11" s="57">
        <f t="shared" si="3"/>
        <v>23230</v>
      </c>
      <c r="F11" s="57">
        <f t="shared" si="0"/>
        <v>17615</v>
      </c>
      <c r="G11" s="57">
        <v>5360</v>
      </c>
      <c r="H11" s="57">
        <f t="shared" si="1"/>
        <v>22975</v>
      </c>
      <c r="I11" s="57">
        <v>255</v>
      </c>
      <c r="J11" s="58">
        <v>203.21</v>
      </c>
      <c r="K11" s="71"/>
      <c r="L11" s="71"/>
    </row>
    <row r="12" spans="1:12" x14ac:dyDescent="0.2">
      <c r="A12" s="11" t="s">
        <v>98</v>
      </c>
      <c r="B12" s="57">
        <f t="shared" si="2"/>
        <v>255</v>
      </c>
      <c r="C12" s="57">
        <v>24529</v>
      </c>
      <c r="D12" s="57">
        <v>0</v>
      </c>
      <c r="E12" s="57">
        <f t="shared" si="3"/>
        <v>24784</v>
      </c>
      <c r="F12" s="57">
        <f t="shared" si="0"/>
        <v>19518</v>
      </c>
      <c r="G12" s="57">
        <v>4879</v>
      </c>
      <c r="H12" s="57">
        <f t="shared" si="1"/>
        <v>24397</v>
      </c>
      <c r="I12" s="57">
        <v>387</v>
      </c>
      <c r="J12" s="58">
        <v>136.4</v>
      </c>
      <c r="K12" s="71"/>
      <c r="L12" s="71"/>
    </row>
    <row r="13" spans="1:12" x14ac:dyDescent="0.2">
      <c r="A13" s="11" t="s">
        <v>99</v>
      </c>
      <c r="B13" s="57">
        <f t="shared" si="2"/>
        <v>387</v>
      </c>
      <c r="C13" s="57">
        <v>24951</v>
      </c>
      <c r="D13" s="57">
        <v>0</v>
      </c>
      <c r="E13" s="57">
        <f t="shared" si="3"/>
        <v>25338</v>
      </c>
      <c r="F13" s="57">
        <f t="shared" si="0"/>
        <v>19090</v>
      </c>
      <c r="G13" s="57">
        <v>6036</v>
      </c>
      <c r="H13" s="57">
        <f t="shared" si="1"/>
        <v>25126</v>
      </c>
      <c r="I13" s="57">
        <v>212</v>
      </c>
      <c r="J13" s="58">
        <v>166.2</v>
      </c>
      <c r="K13" s="71"/>
      <c r="L13" s="71"/>
    </row>
    <row r="14" spans="1:12" x14ac:dyDescent="0.2">
      <c r="A14" s="11" t="s">
        <v>100</v>
      </c>
      <c r="B14" s="57">
        <f t="shared" si="2"/>
        <v>212</v>
      </c>
      <c r="C14" s="57">
        <v>27758</v>
      </c>
      <c r="D14" s="57">
        <v>0</v>
      </c>
      <c r="E14" s="57">
        <f t="shared" si="3"/>
        <v>27970</v>
      </c>
      <c r="F14" s="57">
        <f t="shared" si="0"/>
        <v>20435</v>
      </c>
      <c r="G14" s="57">
        <v>7295</v>
      </c>
      <c r="H14" s="57">
        <f t="shared" si="1"/>
        <v>27730</v>
      </c>
      <c r="I14" s="57">
        <v>240</v>
      </c>
      <c r="J14" s="58">
        <v>177.31</v>
      </c>
      <c r="K14" s="71"/>
      <c r="L14" s="71"/>
    </row>
    <row r="15" spans="1:12" x14ac:dyDescent="0.2">
      <c r="A15" s="11" t="s">
        <v>101</v>
      </c>
      <c r="B15" s="57">
        <f t="shared" si="2"/>
        <v>240</v>
      </c>
      <c r="C15" s="57">
        <v>28060</v>
      </c>
      <c r="D15" s="57">
        <v>0</v>
      </c>
      <c r="E15" s="57">
        <f t="shared" si="3"/>
        <v>28300</v>
      </c>
      <c r="F15" s="57">
        <f t="shared" si="0"/>
        <v>21323</v>
      </c>
      <c r="G15" s="57">
        <v>6824</v>
      </c>
      <c r="H15" s="57">
        <f t="shared" si="1"/>
        <v>28147</v>
      </c>
      <c r="I15" s="57">
        <v>153</v>
      </c>
      <c r="J15" s="58">
        <v>239.35</v>
      </c>
      <c r="K15" s="71"/>
      <c r="L15" s="71"/>
    </row>
    <row r="16" spans="1:12" x14ac:dyDescent="0.2">
      <c r="A16" s="11" t="s">
        <v>102</v>
      </c>
      <c r="B16" s="57">
        <f t="shared" si="2"/>
        <v>153</v>
      </c>
      <c r="C16" s="57">
        <v>24943</v>
      </c>
      <c r="D16" s="57">
        <v>17</v>
      </c>
      <c r="E16" s="57">
        <f t="shared" si="3"/>
        <v>25113</v>
      </c>
      <c r="F16" s="57">
        <f t="shared" si="0"/>
        <v>19497</v>
      </c>
      <c r="G16" s="57">
        <v>5443</v>
      </c>
      <c r="H16" s="57">
        <f t="shared" si="1"/>
        <v>24940</v>
      </c>
      <c r="I16" s="57">
        <v>173</v>
      </c>
      <c r="J16" s="58">
        <v>252.4</v>
      </c>
      <c r="K16" s="71"/>
      <c r="L16" s="71"/>
    </row>
    <row r="17" spans="1:12" x14ac:dyDescent="0.2">
      <c r="A17" s="11" t="s">
        <v>103</v>
      </c>
      <c r="B17" s="57">
        <f t="shared" si="2"/>
        <v>173</v>
      </c>
      <c r="C17" s="57">
        <v>27718.7</v>
      </c>
      <c r="D17" s="57">
        <v>36.779331835638004</v>
      </c>
      <c r="E17" s="57">
        <f t="shared" si="3"/>
        <v>27928.479331835639</v>
      </c>
      <c r="F17" s="57">
        <f t="shared" si="0"/>
        <v>22193.708355922441</v>
      </c>
      <c r="G17" s="57">
        <v>5416.4709759132002</v>
      </c>
      <c r="H17" s="57">
        <f t="shared" si="1"/>
        <v>27610.179331835639</v>
      </c>
      <c r="I17" s="57">
        <v>318.3</v>
      </c>
      <c r="J17" s="58">
        <v>186.48</v>
      </c>
      <c r="K17" s="71"/>
      <c r="L17" s="71"/>
    </row>
    <row r="18" spans="1:12" x14ac:dyDescent="0.2">
      <c r="A18" s="11" t="s">
        <v>104</v>
      </c>
      <c r="B18" s="57">
        <f t="shared" si="2"/>
        <v>318.3</v>
      </c>
      <c r="C18" s="57">
        <v>28325.200000000001</v>
      </c>
      <c r="D18" s="57">
        <v>49.638329783028006</v>
      </c>
      <c r="E18" s="57">
        <f t="shared" si="3"/>
        <v>28693.138329783029</v>
      </c>
      <c r="F18" s="57">
        <f t="shared" si="0"/>
        <v>22775.031716275229</v>
      </c>
      <c r="G18" s="57">
        <v>5633.1066135077999</v>
      </c>
      <c r="H18" s="57">
        <f t="shared" si="1"/>
        <v>28408.138329783029</v>
      </c>
      <c r="I18" s="57">
        <v>285</v>
      </c>
      <c r="J18" s="58">
        <v>181.38</v>
      </c>
      <c r="K18" s="71"/>
      <c r="L18" s="71"/>
    </row>
    <row r="19" spans="1:12" x14ac:dyDescent="0.2">
      <c r="A19" s="11" t="s">
        <v>105</v>
      </c>
      <c r="B19" s="57">
        <f t="shared" si="2"/>
        <v>285</v>
      </c>
      <c r="C19" s="57">
        <v>29830.799999999999</v>
      </c>
      <c r="D19" s="57">
        <v>68.861405648573992</v>
      </c>
      <c r="E19" s="57">
        <f t="shared" si="3"/>
        <v>30184.661405648574</v>
      </c>
      <c r="F19" s="57">
        <f t="shared" si="0"/>
        <v>22853.535142301371</v>
      </c>
      <c r="G19" s="57">
        <v>7101.1262633472015</v>
      </c>
      <c r="H19" s="57">
        <f t="shared" si="1"/>
        <v>29954.661405648574</v>
      </c>
      <c r="I19" s="57">
        <v>230</v>
      </c>
      <c r="J19" s="58">
        <v>189.21</v>
      </c>
      <c r="K19" s="71"/>
      <c r="L19" s="71"/>
    </row>
    <row r="20" spans="1:12" x14ac:dyDescent="0.2">
      <c r="A20" s="11" t="s">
        <v>106</v>
      </c>
      <c r="B20" s="57">
        <f t="shared" si="2"/>
        <v>230</v>
      </c>
      <c r="C20" s="57">
        <v>30364.194000000003</v>
      </c>
      <c r="D20" s="57">
        <v>94.648846034043018</v>
      </c>
      <c r="E20" s="57">
        <f t="shared" si="3"/>
        <v>30688.842846034047</v>
      </c>
      <c r="F20" s="57">
        <f t="shared" si="0"/>
        <v>24086.211071734746</v>
      </c>
      <c r="G20" s="57">
        <v>6398.1947742992998</v>
      </c>
      <c r="H20" s="57">
        <f t="shared" si="1"/>
        <v>30484.405846034046</v>
      </c>
      <c r="I20" s="57">
        <v>204.43700000000001</v>
      </c>
      <c r="J20" s="58">
        <v>193.75</v>
      </c>
      <c r="K20" s="71"/>
      <c r="L20" s="71"/>
    </row>
    <row r="21" spans="1:12" x14ac:dyDescent="0.2">
      <c r="A21" s="11" t="s">
        <v>107</v>
      </c>
      <c r="B21" s="57">
        <f t="shared" si="2"/>
        <v>204.43700000000001</v>
      </c>
      <c r="C21" s="57">
        <v>30514.129000000001</v>
      </c>
      <c r="D21" s="57">
        <v>74.635889379849004</v>
      </c>
      <c r="E21" s="57">
        <f t="shared" si="3"/>
        <v>30793.201889379852</v>
      </c>
      <c r="F21" s="57">
        <f t="shared" si="0"/>
        <v>25162.650019629851</v>
      </c>
      <c r="G21" s="57">
        <v>5480.9658697500008</v>
      </c>
      <c r="H21" s="57">
        <f t="shared" si="1"/>
        <v>30643.615889379853</v>
      </c>
      <c r="I21" s="57">
        <v>149.58600000000001</v>
      </c>
      <c r="J21" s="58">
        <v>192.86</v>
      </c>
      <c r="K21" s="71"/>
      <c r="L21" s="71"/>
    </row>
    <row r="22" spans="1:12" x14ac:dyDescent="0.2">
      <c r="A22" s="11" t="s">
        <v>108</v>
      </c>
      <c r="B22" s="57">
        <f t="shared" si="2"/>
        <v>149.58600000000001</v>
      </c>
      <c r="C22" s="57">
        <v>33269.410000000003</v>
      </c>
      <c r="D22" s="57">
        <v>70.64862656531399</v>
      </c>
      <c r="E22" s="57">
        <f t="shared" si="3"/>
        <v>33489.644626565321</v>
      </c>
      <c r="F22" s="57">
        <f t="shared" si="0"/>
        <v>26426.930730003318</v>
      </c>
      <c r="G22" s="57">
        <v>6839.3348965620016</v>
      </c>
      <c r="H22" s="57">
        <f t="shared" si="1"/>
        <v>33266.26562656532</v>
      </c>
      <c r="I22" s="57">
        <v>223.37900000000002</v>
      </c>
      <c r="J22" s="58">
        <v>162.6</v>
      </c>
      <c r="K22" s="71"/>
      <c r="L22" s="71"/>
    </row>
    <row r="23" spans="1:12" x14ac:dyDescent="0.2">
      <c r="A23" s="11" t="s">
        <v>109</v>
      </c>
      <c r="B23" s="57">
        <f t="shared" si="2"/>
        <v>223.37900000000002</v>
      </c>
      <c r="C23" s="57">
        <v>32527.040000000001</v>
      </c>
      <c r="D23" s="57">
        <v>99.704516069150984</v>
      </c>
      <c r="E23" s="57">
        <f t="shared" si="3"/>
        <v>32850.12351606915</v>
      </c>
      <c r="F23" s="57">
        <f t="shared" si="0"/>
        <v>26548.748873658253</v>
      </c>
      <c r="G23" s="57">
        <v>6088.9696424108997</v>
      </c>
      <c r="H23" s="57">
        <f t="shared" si="1"/>
        <v>32637.718516069152</v>
      </c>
      <c r="I23" s="57">
        <v>212.405</v>
      </c>
      <c r="J23" s="58">
        <v>235.9</v>
      </c>
      <c r="K23" s="71"/>
      <c r="L23" s="71"/>
    </row>
    <row r="24" spans="1:12" x14ac:dyDescent="0.2">
      <c r="A24" s="11" t="s">
        <v>110</v>
      </c>
      <c r="B24" s="57">
        <f t="shared" si="2"/>
        <v>212.405</v>
      </c>
      <c r="C24" s="57">
        <v>34211.215000000004</v>
      </c>
      <c r="D24" s="57">
        <v>119.20565208906899</v>
      </c>
      <c r="E24" s="57">
        <f t="shared" si="3"/>
        <v>34542.825652089072</v>
      </c>
      <c r="F24" s="57">
        <f t="shared" si="0"/>
        <v>27222.094393573771</v>
      </c>
      <c r="G24" s="57">
        <v>7111.2312585153013</v>
      </c>
      <c r="H24" s="57">
        <f t="shared" si="1"/>
        <v>34333.325652089072</v>
      </c>
      <c r="I24" s="57">
        <v>209.5</v>
      </c>
      <c r="J24" s="58">
        <v>270.89999999999998</v>
      </c>
      <c r="K24" s="71"/>
      <c r="L24" s="71"/>
    </row>
    <row r="25" spans="1:12" x14ac:dyDescent="0.2">
      <c r="A25" s="11" t="s">
        <v>111</v>
      </c>
      <c r="B25" s="57">
        <f t="shared" si="2"/>
        <v>209.5</v>
      </c>
      <c r="C25" s="57">
        <v>38176.416000000005</v>
      </c>
      <c r="D25" s="57">
        <v>66.181418643689994</v>
      </c>
      <c r="E25" s="57">
        <f t="shared" si="3"/>
        <v>38452.097418643694</v>
      </c>
      <c r="F25" s="57">
        <f t="shared" si="0"/>
        <v>28619.357623617791</v>
      </c>
      <c r="G25" s="57">
        <v>9614.672795025901</v>
      </c>
      <c r="H25" s="57">
        <f t="shared" si="1"/>
        <v>38234.030418643692</v>
      </c>
      <c r="I25" s="57">
        <v>218.06700000000001</v>
      </c>
      <c r="J25" s="58">
        <v>185.3</v>
      </c>
      <c r="K25" s="71"/>
      <c r="L25" s="71"/>
    </row>
    <row r="26" spans="1:12" x14ac:dyDescent="0.2">
      <c r="A26" s="11" t="s">
        <v>112</v>
      </c>
      <c r="B26" s="57">
        <f t="shared" si="2"/>
        <v>218.06700000000001</v>
      </c>
      <c r="C26" s="57">
        <v>37796.553</v>
      </c>
      <c r="D26" s="57">
        <v>111.73103331698699</v>
      </c>
      <c r="E26" s="57">
        <f t="shared" si="3"/>
        <v>38126.351033316991</v>
      </c>
      <c r="F26" s="57">
        <f t="shared" si="0"/>
        <v>30102.743509943888</v>
      </c>
      <c r="G26" s="57">
        <v>7693.3835233730997</v>
      </c>
      <c r="H26" s="57">
        <f t="shared" si="1"/>
        <v>37796.127033316989</v>
      </c>
      <c r="I26" s="57">
        <v>330.22399999999999</v>
      </c>
      <c r="J26" s="58">
        <v>138.55000000000001</v>
      </c>
      <c r="K26" s="71"/>
      <c r="L26" s="71"/>
    </row>
    <row r="27" spans="1:12" x14ac:dyDescent="0.2">
      <c r="A27" s="11" t="s">
        <v>12</v>
      </c>
      <c r="B27" s="57">
        <f t="shared" si="2"/>
        <v>330.22399999999999</v>
      </c>
      <c r="C27" s="57">
        <v>37591.152999999998</v>
      </c>
      <c r="D27" s="57">
        <v>71.143200441684016</v>
      </c>
      <c r="E27" s="57">
        <f t="shared" si="3"/>
        <v>37992.520200441686</v>
      </c>
      <c r="F27" s="57">
        <f t="shared" si="0"/>
        <v>30080.358195430188</v>
      </c>
      <c r="G27" s="57">
        <v>7619.2800050115002</v>
      </c>
      <c r="H27" s="57">
        <f t="shared" si="1"/>
        <v>37699.638200441688</v>
      </c>
      <c r="I27" s="57">
        <v>292.88200000000001</v>
      </c>
      <c r="J27" s="58">
        <v>167.7</v>
      </c>
      <c r="K27" s="71"/>
      <c r="L27" s="71"/>
    </row>
    <row r="28" spans="1:12" x14ac:dyDescent="0.2">
      <c r="A28" s="11" t="s">
        <v>17</v>
      </c>
      <c r="B28" s="57">
        <f t="shared" si="2"/>
        <v>292.88200000000001</v>
      </c>
      <c r="C28" s="57">
        <v>39385.067000000003</v>
      </c>
      <c r="D28" s="57">
        <v>54.861085914894005</v>
      </c>
      <c r="E28" s="57">
        <f t="shared" si="3"/>
        <v>39732.810085914898</v>
      </c>
      <c r="F28" s="57">
        <f t="shared" si="0"/>
        <v>31264.490589662797</v>
      </c>
      <c r="G28" s="57">
        <v>8085.0224962521006</v>
      </c>
      <c r="H28" s="57">
        <f t="shared" si="1"/>
        <v>39349.513085914899</v>
      </c>
      <c r="I28" s="57">
        <v>383.29700000000003</v>
      </c>
      <c r="J28" s="58">
        <v>173.61</v>
      </c>
      <c r="K28" s="71"/>
      <c r="L28" s="71"/>
    </row>
    <row r="29" spans="1:12" x14ac:dyDescent="0.2">
      <c r="A29" s="11" t="s">
        <v>18</v>
      </c>
      <c r="B29" s="57">
        <f t="shared" si="2"/>
        <v>383.29700000000003</v>
      </c>
      <c r="C29" s="57">
        <v>40291.832000000002</v>
      </c>
      <c r="D29" s="57">
        <v>147.58826105721602</v>
      </c>
      <c r="E29" s="57">
        <f t="shared" si="3"/>
        <v>40822.717261057216</v>
      </c>
      <c r="F29" s="57">
        <f t="shared" si="0"/>
        <v>32567.438195617819</v>
      </c>
      <c r="G29" s="57">
        <v>8015.3060654394003</v>
      </c>
      <c r="H29" s="57">
        <f t="shared" si="1"/>
        <v>40582.744261057218</v>
      </c>
      <c r="I29" s="57">
        <v>239.97300000000001</v>
      </c>
      <c r="J29" s="58">
        <v>167.72</v>
      </c>
      <c r="K29" s="71"/>
      <c r="L29" s="71"/>
    </row>
    <row r="30" spans="1:12" x14ac:dyDescent="0.2">
      <c r="A30" s="11" t="s">
        <v>19</v>
      </c>
      <c r="B30" s="57">
        <f t="shared" si="2"/>
        <v>239.97300000000001</v>
      </c>
      <c r="C30" s="57">
        <v>38194.363999999994</v>
      </c>
      <c r="D30" s="57">
        <v>173.14371127424704</v>
      </c>
      <c r="E30" s="57">
        <f t="shared" si="3"/>
        <v>38607.480711274242</v>
      </c>
      <c r="F30" s="57">
        <f t="shared" si="0"/>
        <v>32073.560882858641</v>
      </c>
      <c r="G30" s="57">
        <v>6313.9708284155995</v>
      </c>
      <c r="H30" s="57">
        <f t="shared" si="1"/>
        <v>38387.531711274241</v>
      </c>
      <c r="I30" s="57">
        <v>219.94899999999998</v>
      </c>
      <c r="J30" s="58">
        <v>181.58</v>
      </c>
      <c r="K30" s="71"/>
      <c r="L30" s="71"/>
    </row>
    <row r="31" spans="1:12" x14ac:dyDescent="0.2">
      <c r="A31" s="11" t="s">
        <v>20</v>
      </c>
      <c r="B31" s="57">
        <f t="shared" si="2"/>
        <v>219.94899999999998</v>
      </c>
      <c r="C31" s="57">
        <v>36324.455000000002</v>
      </c>
      <c r="D31" s="57">
        <v>285.230620186029</v>
      </c>
      <c r="E31" s="57">
        <f t="shared" si="3"/>
        <v>36829.634620186029</v>
      </c>
      <c r="F31" s="57">
        <f t="shared" si="0"/>
        <v>31449.478319528032</v>
      </c>
      <c r="G31" s="57">
        <v>5169.4193006579972</v>
      </c>
      <c r="H31" s="57">
        <f t="shared" si="1"/>
        <v>36618.897620186028</v>
      </c>
      <c r="I31" s="57">
        <v>210.73700000000002</v>
      </c>
      <c r="J31" s="58">
        <v>256.05</v>
      </c>
      <c r="K31" s="71"/>
      <c r="L31" s="71"/>
    </row>
    <row r="32" spans="1:12" x14ac:dyDescent="0.2">
      <c r="A32" s="11" t="s">
        <v>21</v>
      </c>
      <c r="B32" s="57">
        <f t="shared" si="2"/>
        <v>210.73700000000002</v>
      </c>
      <c r="C32" s="57">
        <v>40715.440999999999</v>
      </c>
      <c r="D32" s="57">
        <v>147.16075398670802</v>
      </c>
      <c r="E32" s="57">
        <f t="shared" si="3"/>
        <v>41073.338753986711</v>
      </c>
      <c r="F32" s="57">
        <f t="shared" si="0"/>
        <v>33561.139775323005</v>
      </c>
      <c r="G32" s="57">
        <v>7340.4029786637057</v>
      </c>
      <c r="H32" s="57">
        <f t="shared" si="1"/>
        <v>40901.542753986709</v>
      </c>
      <c r="I32" s="57">
        <v>171.79599999999999</v>
      </c>
      <c r="J32" s="58">
        <v>182.9</v>
      </c>
      <c r="K32" s="71"/>
      <c r="L32" s="71"/>
    </row>
    <row r="33" spans="1:13" x14ac:dyDescent="0.2">
      <c r="A33" s="11" t="s">
        <v>22</v>
      </c>
      <c r="B33" s="57">
        <f t="shared" si="2"/>
        <v>171.79599999999999</v>
      </c>
      <c r="C33" s="57">
        <v>41243.914000000004</v>
      </c>
      <c r="D33" s="57">
        <v>140.796088536789</v>
      </c>
      <c r="E33" s="57">
        <f t="shared" si="3"/>
        <v>41556.506088536793</v>
      </c>
      <c r="F33" s="57">
        <f t="shared" si="0"/>
        <v>33194.939385345788</v>
      </c>
      <c r="G33" s="57">
        <v>8047.8017031910049</v>
      </c>
      <c r="H33" s="57">
        <f t="shared" si="1"/>
        <v>41242.741088536794</v>
      </c>
      <c r="I33" s="57">
        <v>313.76499999999999</v>
      </c>
      <c r="J33" s="58">
        <v>174.17</v>
      </c>
    </row>
    <row r="34" spans="1:13" x14ac:dyDescent="0.2">
      <c r="A34" s="11" t="s">
        <v>23</v>
      </c>
      <c r="B34" s="57">
        <f t="shared" si="2"/>
        <v>313.76499999999999</v>
      </c>
      <c r="C34" s="57">
        <v>43031.546570000006</v>
      </c>
      <c r="D34" s="57">
        <v>156.36249016825502</v>
      </c>
      <c r="E34" s="57">
        <f t="shared" si="3"/>
        <v>43501.674060168261</v>
      </c>
      <c r="F34" s="57">
        <f t="shared" si="0"/>
        <v>34354.753536586861</v>
      </c>
      <c r="G34" s="57">
        <v>8803.9515235814033</v>
      </c>
      <c r="H34" s="57">
        <f t="shared" si="1"/>
        <v>43158.705060168264</v>
      </c>
      <c r="I34" s="57">
        <v>342.96899999999999</v>
      </c>
      <c r="J34" s="58">
        <v>205.44</v>
      </c>
    </row>
    <row r="35" spans="1:13" x14ac:dyDescent="0.2">
      <c r="A35" s="11" t="s">
        <v>24</v>
      </c>
      <c r="B35" s="57">
        <f t="shared" si="2"/>
        <v>342.96899999999999</v>
      </c>
      <c r="C35" s="57">
        <f>'tab7'!C20</f>
        <v>42284.076460000004</v>
      </c>
      <c r="D35" s="57">
        <f>'tab7'!D20</f>
        <v>140.62193001265501</v>
      </c>
      <c r="E35" s="57">
        <f t="shared" si="3"/>
        <v>42767.667390012655</v>
      </c>
      <c r="F35" s="57">
        <f t="shared" si="0"/>
        <v>33231.85553778601</v>
      </c>
      <c r="G35" s="57">
        <f>'tab7'!G20</f>
        <v>9241.9678522266495</v>
      </c>
      <c r="H35" s="57">
        <f t="shared" si="1"/>
        <v>42473.823390012658</v>
      </c>
      <c r="I35" s="57">
        <f>'tab7'!I19</f>
        <v>293.84400000000005</v>
      </c>
      <c r="J35" s="58">
        <v>335.94</v>
      </c>
    </row>
    <row r="36" spans="1:13" x14ac:dyDescent="0.2">
      <c r="A36" s="11" t="s">
        <v>25</v>
      </c>
      <c r="B36" s="57">
        <f t="shared" si="2"/>
        <v>293.84400000000005</v>
      </c>
      <c r="C36" s="57">
        <f>'tab7'!C34</f>
        <v>39102.433099999995</v>
      </c>
      <c r="D36" s="57">
        <f>'tab7'!D34</f>
        <v>87.724852550370031</v>
      </c>
      <c r="E36" s="57">
        <f t="shared" si="3"/>
        <v>39484.001952550359</v>
      </c>
      <c r="F36" s="57">
        <f t="shared" si="0"/>
        <v>30752.203793197361</v>
      </c>
      <c r="G36" s="57">
        <f>'tab7'!G34</f>
        <v>8497.0671593529969</v>
      </c>
      <c r="H36" s="57">
        <f t="shared" si="1"/>
        <v>39249.27095255036</v>
      </c>
      <c r="I36" s="57">
        <f>'tab7'!I33</f>
        <v>234.73099999999999</v>
      </c>
      <c r="J36" s="58">
        <v>331.17</v>
      </c>
    </row>
    <row r="37" spans="1:13" x14ac:dyDescent="0.2">
      <c r="A37" s="11" t="s">
        <v>26</v>
      </c>
      <c r="B37" s="57">
        <f t="shared" si="2"/>
        <v>234.73099999999999</v>
      </c>
      <c r="C37" s="57">
        <f>'tab7'!C48</f>
        <v>41706.522250000002</v>
      </c>
      <c r="D37" s="57">
        <f>'tab7'!D48</f>
        <v>160.003937078181</v>
      </c>
      <c r="E37" s="57">
        <f t="shared" si="3"/>
        <v>42101.257187078183</v>
      </c>
      <c r="F37" s="57">
        <f t="shared" si="0"/>
        <v>30640.234987746197</v>
      </c>
      <c r="G37" s="57">
        <f>'tab7'!G48</f>
        <v>11159.468199331988</v>
      </c>
      <c r="H37" s="57">
        <f t="shared" si="1"/>
        <v>41799.703187078187</v>
      </c>
      <c r="I37" s="57">
        <f>'tab7'!I47</f>
        <v>301.55399999999997</v>
      </c>
      <c r="J37" s="58">
        <v>311.27</v>
      </c>
    </row>
    <row r="38" spans="1:13" x14ac:dyDescent="0.2">
      <c r="A38" s="11" t="s">
        <v>27</v>
      </c>
      <c r="B38" s="57">
        <f t="shared" si="2"/>
        <v>301.55399999999997</v>
      </c>
      <c r="C38" s="57">
        <f>'tab7'!C62</f>
        <v>39250.930509999998</v>
      </c>
      <c r="D38" s="57">
        <f>'tab7'!D62</f>
        <v>179.6542058556</v>
      </c>
      <c r="E38" s="57">
        <f t="shared" si="3"/>
        <v>39732.138715855595</v>
      </c>
      <c r="F38" s="57">
        <f t="shared" si="0"/>
        <v>30300.877697032454</v>
      </c>
      <c r="G38" s="57">
        <f>'tab7'!G62</f>
        <v>9081.2610188231411</v>
      </c>
      <c r="H38" s="57">
        <f t="shared" si="1"/>
        <v>39382.138715855595</v>
      </c>
      <c r="I38" s="57">
        <f>'tab7'!I61</f>
        <v>350</v>
      </c>
      <c r="J38" s="58">
        <v>345.52</v>
      </c>
    </row>
    <row r="39" spans="1:13" x14ac:dyDescent="0.2">
      <c r="A39" s="11" t="s">
        <v>28</v>
      </c>
      <c r="B39" s="57">
        <f t="shared" si="2"/>
        <v>350</v>
      </c>
      <c r="C39" s="57">
        <v>41035.722435549993</v>
      </c>
      <c r="D39" s="57">
        <v>215.849014134957</v>
      </c>
      <c r="E39" s="57">
        <f t="shared" si="3"/>
        <v>41601.571449684947</v>
      </c>
      <c r="F39" s="57">
        <f t="shared" si="0"/>
        <v>31551.853705135592</v>
      </c>
      <c r="G39" s="57">
        <v>9749.6833304243519</v>
      </c>
      <c r="H39" s="57">
        <f t="shared" si="1"/>
        <v>41301.537035559944</v>
      </c>
      <c r="I39" s="57">
        <v>300.03441412499996</v>
      </c>
      <c r="J39" s="58">
        <v>395.53</v>
      </c>
    </row>
    <row r="40" spans="1:13" x14ac:dyDescent="0.2">
      <c r="A40" s="11" t="s">
        <v>29</v>
      </c>
      <c r="B40" s="57">
        <f>+I39</f>
        <v>300.03441412499996</v>
      </c>
      <c r="C40" s="57">
        <v>39875.164675500004</v>
      </c>
      <c r="D40" s="57">
        <v>244.78521801734703</v>
      </c>
      <c r="E40" s="57">
        <f t="shared" si="3"/>
        <v>40419.984307642357</v>
      </c>
      <c r="F40" s="57">
        <f t="shared" si="0"/>
        <v>28999.028080074357</v>
      </c>
      <c r="G40" s="57">
        <v>11146</v>
      </c>
      <c r="H40" s="57">
        <f t="shared" si="1"/>
        <v>40145.028080074357</v>
      </c>
      <c r="I40" s="57">
        <v>274.95622756800003</v>
      </c>
      <c r="J40" s="58">
        <v>468.11</v>
      </c>
    </row>
    <row r="41" spans="1:13" x14ac:dyDescent="0.2">
      <c r="A41" s="11" t="s">
        <v>30</v>
      </c>
      <c r="B41" s="57">
        <f t="shared" ref="B41:B46" si="4">I40</f>
        <v>274.95622756800003</v>
      </c>
      <c r="C41" s="57">
        <v>40684.650893000005</v>
      </c>
      <c r="D41" s="57">
        <v>382.64782108858202</v>
      </c>
      <c r="E41" s="57">
        <f t="shared" si="3"/>
        <v>41342.254941656589</v>
      </c>
      <c r="F41" s="57">
        <f t="shared" si="0"/>
        <v>29514.121747508303</v>
      </c>
      <c r="G41" s="57">
        <v>11578.133194148284</v>
      </c>
      <c r="H41" s="57">
        <f t="shared" si="1"/>
        <v>41092.254941656589</v>
      </c>
      <c r="I41" s="57">
        <v>250</v>
      </c>
      <c r="J41" s="58">
        <v>489.94</v>
      </c>
    </row>
    <row r="42" spans="1:13" x14ac:dyDescent="0.2">
      <c r="A42" s="11" t="s">
        <v>31</v>
      </c>
      <c r="B42" s="57">
        <f t="shared" si="4"/>
        <v>250</v>
      </c>
      <c r="C42" s="57">
        <v>45062</v>
      </c>
      <c r="D42" s="57">
        <v>332.95030271640906</v>
      </c>
      <c r="E42" s="57">
        <f t="shared" si="3"/>
        <v>45644.95030271641</v>
      </c>
      <c r="F42" s="57">
        <f t="shared" si="0"/>
        <v>32277.093526243123</v>
      </c>
      <c r="G42" s="57">
        <v>13107.392776473285</v>
      </c>
      <c r="H42" s="57">
        <f t="shared" si="1"/>
        <v>45384.48630271641</v>
      </c>
      <c r="I42" s="57">
        <v>260.464</v>
      </c>
      <c r="J42" s="58">
        <v>368.49</v>
      </c>
    </row>
    <row r="43" spans="1:13" x14ac:dyDescent="0.2">
      <c r="A43" s="11" t="s">
        <v>32</v>
      </c>
      <c r="B43" s="57">
        <f t="shared" si="4"/>
        <v>260.464</v>
      </c>
      <c r="C43" s="57">
        <f>'tab7'!C76</f>
        <v>44671.661999999989</v>
      </c>
      <c r="D43" s="57">
        <f>'tab7'!D76</f>
        <v>394.55847453000007</v>
      </c>
      <c r="E43" s="57">
        <f>+B43+C43+D43</f>
        <v>45326.68447452999</v>
      </c>
      <c r="F43" s="57">
        <f t="shared" si="0"/>
        <v>33110.293318278942</v>
      </c>
      <c r="G43" s="57">
        <f>'tab7'!G76</f>
        <v>11952.505156251051</v>
      </c>
      <c r="H43" s="57">
        <f t="shared" si="1"/>
        <v>45062.798474529991</v>
      </c>
      <c r="I43" s="57">
        <f>'tab7'!I75</f>
        <v>263.88600000000002</v>
      </c>
      <c r="J43" s="58">
        <v>324.56</v>
      </c>
    </row>
    <row r="44" spans="1:13" x14ac:dyDescent="0.2">
      <c r="A44" s="11" t="s">
        <v>33</v>
      </c>
      <c r="B44" s="57">
        <f t="shared" si="4"/>
        <v>263.88600000000002</v>
      </c>
      <c r="C44" s="57">
        <f>'tab7'!C90</f>
        <v>44787.017</v>
      </c>
      <c r="D44" s="57">
        <f>'tab7'!D90</f>
        <v>345.13409828000005</v>
      </c>
      <c r="E44" s="57">
        <f>+B44+C44+D44</f>
        <v>45396.037098280001</v>
      </c>
      <c r="F44" s="57">
        <f t="shared" si="0"/>
        <v>33415.694561790006</v>
      </c>
      <c r="G44" s="57">
        <f>'tab7'!G90</f>
        <v>11579.71253649</v>
      </c>
      <c r="H44" s="57">
        <f t="shared" si="1"/>
        <v>44995.407098280004</v>
      </c>
      <c r="I44" s="57">
        <f>'tab7'!I89</f>
        <v>400.63</v>
      </c>
      <c r="J44" s="58">
        <v>316.88</v>
      </c>
    </row>
    <row r="45" spans="1:13" x14ac:dyDescent="0.2">
      <c r="A45" s="11" t="s">
        <v>34</v>
      </c>
      <c r="B45" s="57">
        <f t="shared" si="4"/>
        <v>400.63</v>
      </c>
      <c r="C45" s="57">
        <f>'tab7'!C104</f>
        <v>49225.606000000007</v>
      </c>
      <c r="D45" s="57">
        <f>'tab7'!D104</f>
        <v>482.78866090000002</v>
      </c>
      <c r="E45" s="57">
        <f>+B45+C45+D45</f>
        <v>50109.024660900002</v>
      </c>
      <c r="F45" s="57">
        <f t="shared" si="0"/>
        <v>35535.104065228283</v>
      </c>
      <c r="G45" s="57">
        <f>'tab7'!G104</f>
        <v>14018.496595671721</v>
      </c>
      <c r="H45" s="57">
        <f t="shared" si="1"/>
        <v>49553.600660900003</v>
      </c>
      <c r="I45" s="57">
        <f>'tab7'!I103</f>
        <v>555.42399999999998</v>
      </c>
      <c r="J45" s="58">
        <v>345.02250000000004</v>
      </c>
      <c r="M45" s="117"/>
    </row>
    <row r="46" spans="1:13" x14ac:dyDescent="0.2">
      <c r="A46" s="11" t="s">
        <v>35</v>
      </c>
      <c r="B46" s="57">
        <f t="shared" si="4"/>
        <v>555.42399999999998</v>
      </c>
      <c r="C46" s="57">
        <f>'tab7'!C118</f>
        <v>48813.759999999995</v>
      </c>
      <c r="D46" s="57">
        <f>'tab7'!D118</f>
        <v>683.25635603000001</v>
      </c>
      <c r="E46" s="57">
        <f>+B46+C46+D46</f>
        <v>50052.440356029991</v>
      </c>
      <c r="F46" s="57">
        <f t="shared" si="0"/>
        <v>36267.669612344333</v>
      </c>
      <c r="G46" s="57">
        <f>'tab7'!G118</f>
        <v>13382.755743685657</v>
      </c>
      <c r="H46" s="57">
        <f t="shared" si="1"/>
        <v>49650.425356029991</v>
      </c>
      <c r="I46" s="57">
        <f>'tab7'!I117</f>
        <v>402.01499999999999</v>
      </c>
      <c r="J46" s="58">
        <v>308.28249999999997</v>
      </c>
      <c r="M46" s="117"/>
    </row>
    <row r="47" spans="1:13" x14ac:dyDescent="0.2">
      <c r="A47" s="11" t="s">
        <v>36</v>
      </c>
      <c r="B47" s="57">
        <f>I46</f>
        <v>402.01499999999999</v>
      </c>
      <c r="C47" s="57">
        <f>'tab7'!C132</f>
        <v>51100.43</v>
      </c>
      <c r="D47" s="57">
        <f>'tab7'!D132</f>
        <v>639.2838314457</v>
      </c>
      <c r="E47" s="57">
        <f>+B47+C47+D47</f>
        <v>52141.728831445696</v>
      </c>
      <c r="F47" s="57">
        <f>+H47-G47</f>
        <v>37967.280967729414</v>
      </c>
      <c r="G47" s="57">
        <f>'tab7'!G132</f>
        <v>13833.111863716282</v>
      </c>
      <c r="H47" s="57">
        <f>+E47-I47</f>
        <v>51800.392831445693</v>
      </c>
      <c r="I47" s="57">
        <f>'tab7'!I131</f>
        <v>341.33600000000001</v>
      </c>
      <c r="J47" s="58">
        <v>299.50083333333328</v>
      </c>
      <c r="M47" s="117"/>
    </row>
    <row r="48" spans="1:13" x14ac:dyDescent="0.2">
      <c r="A48" s="11" t="s">
        <v>37</v>
      </c>
      <c r="B48" s="57">
        <f>I47</f>
        <v>341.33600000000001</v>
      </c>
      <c r="C48" s="57">
        <f>'tab7'!C146</f>
        <v>50564.716999999997</v>
      </c>
      <c r="D48" s="57">
        <f>'tab7'!D146</f>
        <v>784.47108718440006</v>
      </c>
      <c r="E48" s="57">
        <f>B48+C48+D48</f>
        <v>51690.5240871844</v>
      </c>
      <c r="F48" s="57">
        <f>+H48-G48</f>
        <v>37674.373696028109</v>
      </c>
      <c r="G48" s="57">
        <f>'tab7'!G146</f>
        <v>13675.364391156287</v>
      </c>
      <c r="H48" s="57">
        <f>+E48-I48</f>
        <v>51349.7380871844</v>
      </c>
      <c r="I48" s="57">
        <f>'tab7'!I145</f>
        <v>340.786</v>
      </c>
      <c r="J48" s="58">
        <v>392.31</v>
      </c>
      <c r="M48" s="117"/>
    </row>
    <row r="49" spans="1:13" x14ac:dyDescent="0.2">
      <c r="A49" s="11" t="s">
        <v>215</v>
      </c>
      <c r="B49" s="57">
        <f>I48</f>
        <v>340.786</v>
      </c>
      <c r="C49" s="57">
        <f>'tab7'!C160</f>
        <v>51814.455000000002</v>
      </c>
      <c r="D49" s="57">
        <f>'tab7'!D160</f>
        <v>649.11556371690006</v>
      </c>
      <c r="E49" s="57">
        <f>B49+C49+D49</f>
        <v>52804.356563716901</v>
      </c>
      <c r="F49" s="57">
        <f>+H49-G49</f>
        <v>38969.602443662327</v>
      </c>
      <c r="G49" s="57">
        <f>'tab7'!G160</f>
        <v>13523.827120054575</v>
      </c>
      <c r="H49" s="57">
        <f>+E49-I49</f>
        <v>52493.429563716898</v>
      </c>
      <c r="I49" s="57">
        <f>'tab7'!I159</f>
        <v>310.92700000000002</v>
      </c>
      <c r="J49" s="58">
        <v>439.81</v>
      </c>
      <c r="M49" s="117"/>
    </row>
    <row r="50" spans="1:13" x14ac:dyDescent="0.2">
      <c r="A50" s="114" t="s">
        <v>216</v>
      </c>
      <c r="B50" s="61">
        <f>I49</f>
        <v>310.92700000000002</v>
      </c>
      <c r="C50" s="61">
        <v>52539.072999999997</v>
      </c>
      <c r="D50" s="61">
        <v>600</v>
      </c>
      <c r="E50" s="61">
        <f>B50+C50+D50</f>
        <v>53450</v>
      </c>
      <c r="F50" s="61">
        <v>39400</v>
      </c>
      <c r="G50" s="61">
        <v>13700</v>
      </c>
      <c r="H50" s="61">
        <f>SUM(F50:G50)</f>
        <v>53100</v>
      </c>
      <c r="I50" s="61">
        <f>E50-H50</f>
        <v>350</v>
      </c>
      <c r="J50" s="72">
        <v>465</v>
      </c>
    </row>
    <row r="51" spans="1:13" x14ac:dyDescent="0.2">
      <c r="A51" t="s">
        <v>126</v>
      </c>
      <c r="B51" s="57"/>
      <c r="C51" s="57"/>
      <c r="D51" s="57"/>
      <c r="E51" s="57"/>
      <c r="F51" s="57"/>
      <c r="G51" s="57"/>
      <c r="H51" s="57"/>
      <c r="I51" s="57"/>
      <c r="J51" s="57"/>
      <c r="K51" s="58"/>
    </row>
    <row r="52" spans="1:13" x14ac:dyDescent="0.2">
      <c r="A52" s="22" t="s">
        <v>127</v>
      </c>
    </row>
    <row r="53" spans="1:13" x14ac:dyDescent="0.2">
      <c r="A53" s="22" t="s">
        <v>218</v>
      </c>
    </row>
    <row r="54" spans="1:13" x14ac:dyDescent="0.2">
      <c r="A54" s="39" t="s">
        <v>219</v>
      </c>
    </row>
    <row r="55" spans="1:13" x14ac:dyDescent="0.2">
      <c r="J55" s="40" t="s">
        <v>211</v>
      </c>
    </row>
  </sheetData>
  <pageMargins left="0.7" right="0.7" top="0.75" bottom="0.75" header="0.3" footer="0.3"/>
  <pageSetup scale="81" firstPageNumber="4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CEE-157B-4014-86C3-3139AECE9B9D}">
  <sheetPr>
    <pageSetUpPr fitToPage="1"/>
  </sheetPr>
  <dimension ref="A1:K61"/>
  <sheetViews>
    <sheetView zoomScaleNormal="100" zoomScaleSheetLayoutView="9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9.7109375" customWidth="1"/>
    <col min="2" max="6" width="12.7109375" customWidth="1"/>
    <col min="7" max="7" width="14.85546875" customWidth="1"/>
    <col min="8" max="11" width="12.7109375" customWidth="1"/>
  </cols>
  <sheetData>
    <row r="1" spans="1:11" x14ac:dyDescent="0.2">
      <c r="A1" s="25" t="s">
        <v>203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">
      <c r="A2" t="s">
        <v>115</v>
      </c>
      <c r="B2" s="41"/>
      <c r="C2" s="14"/>
      <c r="D2" s="65" t="s">
        <v>75</v>
      </c>
      <c r="E2" s="43"/>
      <c r="F2" s="14"/>
      <c r="G2" s="73" t="s">
        <v>76</v>
      </c>
      <c r="H2" s="14"/>
      <c r="I2" s="43"/>
      <c r="K2" s="27" t="s">
        <v>77</v>
      </c>
    </row>
    <row r="3" spans="1:11" x14ac:dyDescent="0.2">
      <c r="A3" t="s">
        <v>78</v>
      </c>
      <c r="B3" s="45" t="s">
        <v>79</v>
      </c>
      <c r="E3" s="46"/>
      <c r="F3" s="74" t="s">
        <v>121</v>
      </c>
      <c r="G3" s="66"/>
      <c r="I3" s="46"/>
      <c r="J3" s="26" t="s">
        <v>81</v>
      </c>
      <c r="K3" s="26" t="s">
        <v>128</v>
      </c>
    </row>
    <row r="4" spans="1:11" x14ac:dyDescent="0.2">
      <c r="A4" s="13" t="s">
        <v>118</v>
      </c>
      <c r="B4" s="51" t="s">
        <v>84</v>
      </c>
      <c r="C4" s="27" t="s">
        <v>43</v>
      </c>
      <c r="D4" s="75" t="s">
        <v>85</v>
      </c>
      <c r="E4" s="76" t="s">
        <v>10</v>
      </c>
      <c r="F4" s="51" t="s">
        <v>10</v>
      </c>
      <c r="G4" s="43" t="s">
        <v>129</v>
      </c>
      <c r="H4" s="27" t="s">
        <v>88</v>
      </c>
      <c r="I4" s="76" t="s">
        <v>10</v>
      </c>
      <c r="J4" s="27" t="s">
        <v>84</v>
      </c>
      <c r="K4" s="27" t="s">
        <v>122</v>
      </c>
    </row>
    <row r="5" spans="1:11" x14ac:dyDescent="0.2">
      <c r="F5" s="77" t="s">
        <v>130</v>
      </c>
      <c r="K5" s="29" t="s">
        <v>131</v>
      </c>
    </row>
    <row r="6" spans="1:11" x14ac:dyDescent="0.2">
      <c r="K6" s="56"/>
    </row>
    <row r="7" spans="1:11" x14ac:dyDescent="0.2">
      <c r="A7" s="11" t="s">
        <v>94</v>
      </c>
      <c r="B7" s="57">
        <v>1210</v>
      </c>
      <c r="C7" s="57">
        <v>11270.18</v>
      </c>
      <c r="D7" s="57">
        <v>0.01</v>
      </c>
      <c r="E7" s="57">
        <f t="shared" ref="E7:E49" si="0">+B7+C7+D7</f>
        <v>12480.19</v>
      </c>
      <c r="F7" s="57">
        <f t="shared" ref="F7:F27" si="1">+I7-H7</f>
        <v>9113.0720000000001</v>
      </c>
      <c r="G7" s="78" t="s">
        <v>132</v>
      </c>
      <c r="H7" s="57">
        <v>1631</v>
      </c>
      <c r="I7" s="57">
        <f t="shared" ref="I7:I47" si="2">+E7-J7</f>
        <v>10744.072</v>
      </c>
      <c r="J7" s="57">
        <v>1736.1179999999999</v>
      </c>
      <c r="K7" s="58">
        <v>22.73</v>
      </c>
    </row>
    <row r="8" spans="1:11" x14ac:dyDescent="0.2">
      <c r="A8" s="11" t="s">
        <v>95</v>
      </c>
      <c r="B8" s="57">
        <f t="shared" ref="B8:B45" si="3">+J7</f>
        <v>1736.1179999999999</v>
      </c>
      <c r="C8" s="57">
        <v>10979.424999999999</v>
      </c>
      <c r="D8" s="57">
        <v>2.8000000000000001E-2</v>
      </c>
      <c r="E8" s="57">
        <f t="shared" si="0"/>
        <v>12715.571</v>
      </c>
      <c r="F8" s="57">
        <f t="shared" si="1"/>
        <v>9536.0229999999992</v>
      </c>
      <c r="G8" s="78" t="s">
        <v>132</v>
      </c>
      <c r="H8" s="57">
        <v>2077</v>
      </c>
      <c r="I8" s="57">
        <f t="shared" si="2"/>
        <v>11613.022999999999</v>
      </c>
      <c r="J8" s="57">
        <v>1102.548</v>
      </c>
      <c r="K8" s="58">
        <v>18.95</v>
      </c>
    </row>
    <row r="9" spans="1:11" x14ac:dyDescent="0.2">
      <c r="A9" s="11" t="s">
        <v>96</v>
      </c>
      <c r="B9" s="57">
        <f t="shared" si="3"/>
        <v>1102.548</v>
      </c>
      <c r="C9" s="57">
        <v>12040.358</v>
      </c>
      <c r="D9" s="57">
        <v>9.1999999999999998E-2</v>
      </c>
      <c r="E9" s="57">
        <f t="shared" si="0"/>
        <v>13142.998000000001</v>
      </c>
      <c r="F9" s="57">
        <f t="shared" si="1"/>
        <v>9857.0520000000015</v>
      </c>
      <c r="G9" s="78" t="s">
        <v>132</v>
      </c>
      <c r="H9" s="57">
        <v>2025</v>
      </c>
      <c r="I9" s="57">
        <f t="shared" si="2"/>
        <v>11882.052000000001</v>
      </c>
      <c r="J9" s="57">
        <v>1260.9459999999999</v>
      </c>
      <c r="K9" s="58">
        <v>20.62</v>
      </c>
    </row>
    <row r="10" spans="1:11" x14ac:dyDescent="0.2">
      <c r="A10" s="11" t="s">
        <v>97</v>
      </c>
      <c r="B10" s="57">
        <f t="shared" si="3"/>
        <v>1260.9459999999999</v>
      </c>
      <c r="C10" s="57">
        <v>10862.793</v>
      </c>
      <c r="D10" s="57">
        <v>7.9000000000000001E-2</v>
      </c>
      <c r="E10" s="57">
        <f t="shared" si="0"/>
        <v>12123.817999999999</v>
      </c>
      <c r="F10" s="57">
        <f t="shared" si="1"/>
        <v>9579.3089999999993</v>
      </c>
      <c r="G10" s="78" t="s">
        <v>132</v>
      </c>
      <c r="H10" s="57">
        <v>1824</v>
      </c>
      <c r="I10" s="57">
        <f t="shared" si="2"/>
        <v>11403.308999999999</v>
      </c>
      <c r="J10" s="57">
        <v>720.50900000000001</v>
      </c>
      <c r="K10" s="58">
        <v>30.55</v>
      </c>
    </row>
    <row r="11" spans="1:11" x14ac:dyDescent="0.2">
      <c r="A11" s="11" t="s">
        <v>98</v>
      </c>
      <c r="B11" s="57">
        <f t="shared" si="3"/>
        <v>720.50900000000001</v>
      </c>
      <c r="C11" s="57">
        <v>11467.944</v>
      </c>
      <c r="D11" s="57">
        <v>20.401</v>
      </c>
      <c r="E11" s="57">
        <f t="shared" si="0"/>
        <v>12208.853999999999</v>
      </c>
      <c r="F11" s="57">
        <f t="shared" si="1"/>
        <v>9916.3599999999988</v>
      </c>
      <c r="G11" s="78" t="s">
        <v>132</v>
      </c>
      <c r="H11" s="57">
        <v>1660</v>
      </c>
      <c r="I11" s="57">
        <f t="shared" si="2"/>
        <v>11576.359999999999</v>
      </c>
      <c r="J11" s="57">
        <v>632.49400000000003</v>
      </c>
      <c r="K11" s="58">
        <v>29.52</v>
      </c>
    </row>
    <row r="12" spans="1:11" x14ac:dyDescent="0.2">
      <c r="A12" s="11" t="s">
        <v>99</v>
      </c>
      <c r="B12" s="57">
        <f t="shared" si="3"/>
        <v>632.49400000000003</v>
      </c>
      <c r="C12" s="57">
        <v>11617.272000000001</v>
      </c>
      <c r="D12" s="57">
        <v>7.7030000000000003</v>
      </c>
      <c r="E12" s="57">
        <f t="shared" si="0"/>
        <v>12257.469000000001</v>
      </c>
      <c r="F12" s="57">
        <f t="shared" si="1"/>
        <v>10053.876</v>
      </c>
      <c r="G12" s="78" t="s">
        <v>132</v>
      </c>
      <c r="H12" s="57">
        <v>1257</v>
      </c>
      <c r="I12" s="57">
        <f t="shared" si="2"/>
        <v>11310.876</v>
      </c>
      <c r="J12" s="57">
        <v>946.59299999999996</v>
      </c>
      <c r="K12" s="58">
        <v>18.02</v>
      </c>
    </row>
    <row r="13" spans="1:11" x14ac:dyDescent="0.2">
      <c r="A13" s="11" t="s">
        <v>100</v>
      </c>
      <c r="B13" s="57">
        <f t="shared" si="3"/>
        <v>946.59299999999996</v>
      </c>
      <c r="C13" s="57">
        <v>12783.103999999999</v>
      </c>
      <c r="D13" s="57">
        <v>15</v>
      </c>
      <c r="E13" s="57">
        <f t="shared" si="0"/>
        <v>13744.697</v>
      </c>
      <c r="F13" s="57">
        <f t="shared" si="1"/>
        <v>10832.699000000001</v>
      </c>
      <c r="G13" s="78" t="s">
        <v>132</v>
      </c>
      <c r="H13" s="57">
        <v>1187</v>
      </c>
      <c r="I13" s="57">
        <f t="shared" si="2"/>
        <v>12019.699000000001</v>
      </c>
      <c r="J13" s="57">
        <v>1724.998</v>
      </c>
      <c r="K13" s="58">
        <v>15.36</v>
      </c>
    </row>
    <row r="14" spans="1:11" x14ac:dyDescent="0.2">
      <c r="A14" s="11" t="s">
        <v>101</v>
      </c>
      <c r="B14" s="57">
        <f t="shared" si="3"/>
        <v>1724.998</v>
      </c>
      <c r="C14" s="57">
        <v>12974.541999999999</v>
      </c>
      <c r="D14" s="57">
        <v>193.87220000000002</v>
      </c>
      <c r="E14" s="57">
        <f t="shared" si="0"/>
        <v>14893.412199999999</v>
      </c>
      <c r="F14" s="57">
        <f t="shared" si="1"/>
        <v>10927.173199999999</v>
      </c>
      <c r="G14" s="78" t="s">
        <v>132</v>
      </c>
      <c r="H14" s="57">
        <v>1874</v>
      </c>
      <c r="I14" s="57">
        <f t="shared" si="2"/>
        <v>12801.173199999999</v>
      </c>
      <c r="J14" s="57">
        <v>2092.239</v>
      </c>
      <c r="K14" s="58">
        <v>22.67</v>
      </c>
    </row>
    <row r="15" spans="1:11" x14ac:dyDescent="0.2">
      <c r="A15" s="11" t="s">
        <v>102</v>
      </c>
      <c r="B15" s="57">
        <f t="shared" si="3"/>
        <v>2092.239</v>
      </c>
      <c r="C15" s="57">
        <v>11737.045</v>
      </c>
      <c r="D15" s="57">
        <v>137.67225223063201</v>
      </c>
      <c r="E15" s="57">
        <f t="shared" si="0"/>
        <v>13966.956252230631</v>
      </c>
      <c r="F15" s="57">
        <f t="shared" si="1"/>
        <v>10590.539252230632</v>
      </c>
      <c r="G15" s="78" t="s">
        <v>132</v>
      </c>
      <c r="H15" s="57">
        <v>1661</v>
      </c>
      <c r="I15" s="57">
        <f t="shared" si="2"/>
        <v>12251.539252230632</v>
      </c>
      <c r="J15" s="57">
        <v>1715.4169999999999</v>
      </c>
      <c r="K15" s="58">
        <v>21.09</v>
      </c>
    </row>
    <row r="16" spans="1:11" x14ac:dyDescent="0.2">
      <c r="A16" s="11" t="s">
        <v>103</v>
      </c>
      <c r="B16" s="57">
        <f t="shared" si="3"/>
        <v>1715.4169999999999</v>
      </c>
      <c r="C16" s="57">
        <v>13003.582</v>
      </c>
      <c r="D16" s="57">
        <v>21.515940000000004</v>
      </c>
      <c r="E16" s="57">
        <f t="shared" si="0"/>
        <v>14740.514939999999</v>
      </c>
      <c r="F16" s="57">
        <f t="shared" si="1"/>
        <v>12082.49094</v>
      </c>
      <c r="G16" s="78" t="s">
        <v>132</v>
      </c>
      <c r="H16" s="57">
        <v>1353</v>
      </c>
      <c r="I16" s="57">
        <f t="shared" si="2"/>
        <v>13435.49094</v>
      </c>
      <c r="J16" s="57">
        <v>1305.0239999999999</v>
      </c>
      <c r="K16" s="58">
        <v>22.28</v>
      </c>
    </row>
    <row r="17" spans="1:11" x14ac:dyDescent="0.2">
      <c r="A17" s="11" t="s">
        <v>104</v>
      </c>
      <c r="B17" s="57">
        <f t="shared" si="3"/>
        <v>1305.0239999999999</v>
      </c>
      <c r="C17" s="57">
        <v>13408.047</v>
      </c>
      <c r="D17" s="57">
        <v>17.351088417648</v>
      </c>
      <c r="E17" s="57">
        <f t="shared" si="0"/>
        <v>14730.422088417648</v>
      </c>
      <c r="F17" s="57">
        <f t="shared" si="1"/>
        <v>12136.128088417649</v>
      </c>
      <c r="G17" s="78" t="s">
        <v>132</v>
      </c>
      <c r="H17" s="57">
        <v>808</v>
      </c>
      <c r="I17" s="57">
        <f t="shared" si="2"/>
        <v>12944.128088417649</v>
      </c>
      <c r="J17" s="57">
        <v>1786.2940000000001</v>
      </c>
      <c r="K17" s="58">
        <v>20.98</v>
      </c>
    </row>
    <row r="18" spans="1:11" x14ac:dyDescent="0.2">
      <c r="A18" s="11" t="s">
        <v>105</v>
      </c>
      <c r="B18" s="57">
        <f t="shared" si="3"/>
        <v>1786.2940000000001</v>
      </c>
      <c r="C18" s="57">
        <v>14344.699000000001</v>
      </c>
      <c r="D18" s="57">
        <v>0.54088982316800005</v>
      </c>
      <c r="E18" s="57">
        <f t="shared" si="0"/>
        <v>16131.533889823168</v>
      </c>
      <c r="F18" s="57">
        <f t="shared" si="1"/>
        <v>12248.151889823168</v>
      </c>
      <c r="G18" s="78" t="s">
        <v>132</v>
      </c>
      <c r="H18" s="57">
        <v>1644</v>
      </c>
      <c r="I18" s="57">
        <f t="shared" si="2"/>
        <v>13892.151889823168</v>
      </c>
      <c r="J18" s="57">
        <v>2239.3820000000001</v>
      </c>
      <c r="K18" s="58">
        <v>19.13</v>
      </c>
    </row>
    <row r="19" spans="1:11" x14ac:dyDescent="0.2">
      <c r="A19" s="11" t="s">
        <v>106</v>
      </c>
      <c r="B19" s="57">
        <f t="shared" si="3"/>
        <v>2239.3820000000001</v>
      </c>
      <c r="C19" s="57">
        <v>13778.489</v>
      </c>
      <c r="D19" s="57">
        <v>9.949287</v>
      </c>
      <c r="E19" s="57">
        <f t="shared" si="0"/>
        <v>16027.820286999999</v>
      </c>
      <c r="F19" s="57">
        <f t="shared" si="1"/>
        <v>13012.032286999998</v>
      </c>
      <c r="G19" s="78" t="s">
        <v>132</v>
      </c>
      <c r="H19" s="57">
        <v>1461</v>
      </c>
      <c r="I19" s="57">
        <f t="shared" si="2"/>
        <v>14473.032286999998</v>
      </c>
      <c r="J19" s="57">
        <v>1554.788</v>
      </c>
      <c r="K19" s="58">
        <v>21.24</v>
      </c>
    </row>
    <row r="20" spans="1:11" x14ac:dyDescent="0.2">
      <c r="A20" s="11" t="s">
        <v>107</v>
      </c>
      <c r="B20" s="57">
        <f t="shared" si="3"/>
        <v>1554.788</v>
      </c>
      <c r="C20" s="57">
        <v>13951.210999999999</v>
      </c>
      <c r="D20" s="57">
        <v>67.638728</v>
      </c>
      <c r="E20" s="57">
        <f t="shared" si="0"/>
        <v>15573.637728</v>
      </c>
      <c r="F20" s="57">
        <f t="shared" si="1"/>
        <v>12939.544727999999</v>
      </c>
      <c r="G20" s="78" t="s">
        <v>132</v>
      </c>
      <c r="H20" s="57">
        <v>1531</v>
      </c>
      <c r="I20" s="57">
        <f t="shared" si="2"/>
        <v>14470.544727999999</v>
      </c>
      <c r="J20" s="57">
        <v>1103.0930000000001</v>
      </c>
      <c r="K20" s="58">
        <v>26.96</v>
      </c>
    </row>
    <row r="21" spans="1:11" x14ac:dyDescent="0.2">
      <c r="A21" s="11" t="s">
        <v>108</v>
      </c>
      <c r="B21" s="57">
        <f t="shared" si="3"/>
        <v>1103.0930000000001</v>
      </c>
      <c r="C21" s="57">
        <v>15612.856</v>
      </c>
      <c r="D21" s="57">
        <v>17.2667122193</v>
      </c>
      <c r="E21" s="57">
        <f t="shared" si="0"/>
        <v>16733.215712219302</v>
      </c>
      <c r="F21" s="57">
        <f t="shared" si="1"/>
        <v>12913.532712219301</v>
      </c>
      <c r="G21" s="78" t="s">
        <v>132</v>
      </c>
      <c r="H21" s="57">
        <v>2683</v>
      </c>
      <c r="I21" s="57">
        <f t="shared" si="2"/>
        <v>15596.532712219301</v>
      </c>
      <c r="J21" s="57">
        <v>1136.683</v>
      </c>
      <c r="K21" s="58">
        <v>27.51</v>
      </c>
    </row>
    <row r="22" spans="1:11" x14ac:dyDescent="0.2">
      <c r="A22" s="11" t="s">
        <v>109</v>
      </c>
      <c r="B22" s="57">
        <f t="shared" si="3"/>
        <v>1136.683</v>
      </c>
      <c r="C22" s="57">
        <v>15239.949000000001</v>
      </c>
      <c r="D22" s="57">
        <v>95.399291646666015</v>
      </c>
      <c r="E22" s="57">
        <f t="shared" si="0"/>
        <v>16472.031291646668</v>
      </c>
      <c r="F22" s="57">
        <f t="shared" si="1"/>
        <v>13464.780301804049</v>
      </c>
      <c r="G22" s="78" t="s">
        <v>132</v>
      </c>
      <c r="H22" s="57">
        <v>991.80698984262006</v>
      </c>
      <c r="I22" s="57">
        <f t="shared" si="2"/>
        <v>14456.587291646669</v>
      </c>
      <c r="J22" s="57">
        <v>2015.444</v>
      </c>
      <c r="K22" s="58">
        <v>24.7</v>
      </c>
    </row>
    <row r="23" spans="1:11" x14ac:dyDescent="0.2">
      <c r="A23" s="11" t="s">
        <v>110</v>
      </c>
      <c r="B23" s="57">
        <f t="shared" si="3"/>
        <v>2015.444</v>
      </c>
      <c r="C23" s="57">
        <v>15752.1</v>
      </c>
      <c r="D23" s="57">
        <v>53.115589674126007</v>
      </c>
      <c r="E23" s="57">
        <f t="shared" si="0"/>
        <v>17820.659589674127</v>
      </c>
      <c r="F23" s="57">
        <f t="shared" si="1"/>
        <v>14267.137620924283</v>
      </c>
      <c r="G23" s="78" t="s">
        <v>132</v>
      </c>
      <c r="H23" s="57">
        <v>2033.3389687498443</v>
      </c>
      <c r="I23" s="57">
        <f t="shared" si="2"/>
        <v>16300.476589674126</v>
      </c>
      <c r="J23" s="57">
        <v>1520.183</v>
      </c>
      <c r="K23" s="58">
        <v>22.51</v>
      </c>
    </row>
    <row r="24" spans="1:11" x14ac:dyDescent="0.2">
      <c r="A24" s="11" t="s">
        <v>111</v>
      </c>
      <c r="B24" s="57">
        <f t="shared" si="3"/>
        <v>1520.183</v>
      </c>
      <c r="C24" s="57">
        <v>18142.795999999998</v>
      </c>
      <c r="D24" s="57">
        <v>60.375334962978002</v>
      </c>
      <c r="E24" s="57">
        <f t="shared" si="0"/>
        <v>19723.354334962976</v>
      </c>
      <c r="F24" s="57">
        <f t="shared" si="1"/>
        <v>15261.745387379917</v>
      </c>
      <c r="G24" s="78" t="s">
        <v>132</v>
      </c>
      <c r="H24" s="57">
        <v>3079.2119475830586</v>
      </c>
      <c r="I24" s="57">
        <f t="shared" si="2"/>
        <v>18340.957334962975</v>
      </c>
      <c r="J24" s="57">
        <v>1382.3969999999999</v>
      </c>
      <c r="K24" s="58">
        <v>25.83</v>
      </c>
    </row>
    <row r="25" spans="1:11" x14ac:dyDescent="0.2">
      <c r="A25" s="11" t="s">
        <v>112</v>
      </c>
      <c r="B25" s="57">
        <f t="shared" si="3"/>
        <v>1382.3969999999999</v>
      </c>
      <c r="C25" s="57">
        <v>18078.099999999999</v>
      </c>
      <c r="D25" s="57">
        <v>82.652998385160018</v>
      </c>
      <c r="E25" s="57">
        <f t="shared" si="0"/>
        <v>19543.149998385161</v>
      </c>
      <c r="F25" s="57">
        <f t="shared" si="1"/>
        <v>15651.95116538301</v>
      </c>
      <c r="G25" s="78" t="s">
        <v>132</v>
      </c>
      <c r="H25" s="57">
        <v>2371.6228330021499</v>
      </c>
      <c r="I25" s="57">
        <f t="shared" si="2"/>
        <v>18023.57399838516</v>
      </c>
      <c r="J25" s="57">
        <v>1519.576</v>
      </c>
      <c r="K25" s="58">
        <v>19.8</v>
      </c>
    </row>
    <row r="26" spans="1:11" x14ac:dyDescent="0.2">
      <c r="A26" s="11" t="s">
        <v>12</v>
      </c>
      <c r="B26" s="57">
        <f t="shared" si="3"/>
        <v>1519.576</v>
      </c>
      <c r="C26" s="57">
        <v>17824.746999999999</v>
      </c>
      <c r="D26" s="57">
        <v>82.808437463891991</v>
      </c>
      <c r="E26" s="57">
        <f t="shared" si="0"/>
        <v>19427.131437463893</v>
      </c>
      <c r="F26" s="57">
        <f t="shared" si="1"/>
        <v>16059.095925842572</v>
      </c>
      <c r="G26" s="78" t="s">
        <v>132</v>
      </c>
      <c r="H26" s="57">
        <v>1374.592511621322</v>
      </c>
      <c r="I26" s="57">
        <f>+E26-J26</f>
        <v>17433.688437463894</v>
      </c>
      <c r="J26" s="57">
        <v>1993.443</v>
      </c>
      <c r="K26" s="58">
        <v>15.59</v>
      </c>
    </row>
    <row r="27" spans="1:11" x14ac:dyDescent="0.2">
      <c r="A27" s="11" t="s">
        <v>17</v>
      </c>
      <c r="B27" s="57">
        <f t="shared" si="3"/>
        <v>1993.443</v>
      </c>
      <c r="C27" s="57">
        <v>18419.7</v>
      </c>
      <c r="D27" s="57">
        <v>72.998000000000005</v>
      </c>
      <c r="E27" s="57">
        <f t="shared" si="0"/>
        <v>20486.141</v>
      </c>
      <c r="F27" s="57">
        <f t="shared" si="1"/>
        <v>16318.219816251454</v>
      </c>
      <c r="G27" s="78" t="s">
        <v>132</v>
      </c>
      <c r="H27" s="57">
        <v>1401.0221837485442</v>
      </c>
      <c r="I27" s="57">
        <f t="shared" si="2"/>
        <v>17719.241999999998</v>
      </c>
      <c r="J27" s="57">
        <v>2766.8989999999999</v>
      </c>
      <c r="K27" s="58">
        <v>14.09</v>
      </c>
    </row>
    <row r="28" spans="1:11" x14ac:dyDescent="0.2">
      <c r="A28" s="11" t="s">
        <v>18</v>
      </c>
      <c r="B28" s="57">
        <f t="shared" si="3"/>
        <v>2766.8989999999999</v>
      </c>
      <c r="C28" s="57">
        <v>18898.235000000001</v>
      </c>
      <c r="D28" s="57">
        <v>45.957999999999998</v>
      </c>
      <c r="E28" s="57">
        <f t="shared" si="0"/>
        <v>21711.092000000001</v>
      </c>
      <c r="F28" s="57">
        <f>+I28-H28</f>
        <v>16833.150143195951</v>
      </c>
      <c r="G28" s="57">
        <v>91.84682927999998</v>
      </c>
      <c r="H28" s="57">
        <v>2519.341856804052</v>
      </c>
      <c r="I28" s="57">
        <f t="shared" si="2"/>
        <v>19352.492000000002</v>
      </c>
      <c r="J28" s="57">
        <v>2358.6</v>
      </c>
      <c r="K28" s="58">
        <v>16.46</v>
      </c>
    </row>
    <row r="29" spans="1:11" x14ac:dyDescent="0.2">
      <c r="A29" s="11" t="s">
        <v>19</v>
      </c>
      <c r="B29" s="57">
        <f t="shared" si="3"/>
        <v>2358.6</v>
      </c>
      <c r="C29" s="57">
        <v>18430.248</v>
      </c>
      <c r="D29" s="57">
        <v>46.027000000000001</v>
      </c>
      <c r="E29" s="57">
        <f t="shared" si="0"/>
        <v>20834.874999999996</v>
      </c>
      <c r="F29" s="57">
        <f t="shared" ref="F29:F47" si="4">+I29-H29</f>
        <v>17080.895517263172</v>
      </c>
      <c r="G29" s="57">
        <v>120.66962202000001</v>
      </c>
      <c r="H29" s="57">
        <v>2263.3484827368238</v>
      </c>
      <c r="I29" s="57">
        <f t="shared" si="2"/>
        <v>19344.243999999995</v>
      </c>
      <c r="J29" s="57">
        <v>1490.6310000000001</v>
      </c>
      <c r="K29" s="58">
        <v>22.04</v>
      </c>
    </row>
    <row r="30" spans="1:11" x14ac:dyDescent="0.2">
      <c r="A30" s="11" t="s">
        <v>20</v>
      </c>
      <c r="B30" s="57">
        <f t="shared" si="3"/>
        <v>1490.6310000000001</v>
      </c>
      <c r="C30" s="57">
        <v>17080.411</v>
      </c>
      <c r="D30" s="57">
        <v>306.18687396691797</v>
      </c>
      <c r="E30" s="57">
        <f t="shared" si="0"/>
        <v>18877.22887396692</v>
      </c>
      <c r="F30" s="57">
        <f t="shared" si="4"/>
        <v>16865.617739980244</v>
      </c>
      <c r="G30" s="57">
        <v>124.37147027999998</v>
      </c>
      <c r="H30" s="57">
        <v>935.98013398667399</v>
      </c>
      <c r="I30" s="57">
        <f t="shared" si="2"/>
        <v>17801.597873966919</v>
      </c>
      <c r="J30" s="57">
        <v>1075.6310000000001</v>
      </c>
      <c r="K30" s="58">
        <v>29.97</v>
      </c>
    </row>
    <row r="31" spans="1:11" x14ac:dyDescent="0.2">
      <c r="A31" s="11" t="s">
        <v>21</v>
      </c>
      <c r="B31" s="57">
        <f t="shared" si="3"/>
        <v>1075.6310000000001</v>
      </c>
      <c r="C31" s="57">
        <v>19359.734</v>
      </c>
      <c r="D31" s="57">
        <v>26.268284978333998</v>
      </c>
      <c r="E31" s="57">
        <f t="shared" si="0"/>
        <v>20461.633284978336</v>
      </c>
      <c r="F31" s="57">
        <f t="shared" si="4"/>
        <v>17438.951194781061</v>
      </c>
      <c r="G31" s="57">
        <v>445.22957319999995</v>
      </c>
      <c r="H31" s="57">
        <v>1323.6520901972758</v>
      </c>
      <c r="I31" s="57">
        <f t="shared" si="2"/>
        <v>18762.603284978337</v>
      </c>
      <c r="J31" s="57">
        <v>1699.03</v>
      </c>
      <c r="K31" s="58">
        <v>23.01</v>
      </c>
    </row>
    <row r="32" spans="1:11" x14ac:dyDescent="0.2">
      <c r="A32" s="11" t="s">
        <v>22</v>
      </c>
      <c r="B32" s="57">
        <f t="shared" si="3"/>
        <v>1699.03</v>
      </c>
      <c r="C32" s="57">
        <v>20387.420999999998</v>
      </c>
      <c r="D32" s="57">
        <v>35.337008598444001</v>
      </c>
      <c r="E32" s="57">
        <f t="shared" si="0"/>
        <v>22121.78800859844</v>
      </c>
      <c r="F32" s="57">
        <f t="shared" si="4"/>
        <v>17958.607551960602</v>
      </c>
      <c r="G32" s="57">
        <v>1555.0262248400002</v>
      </c>
      <c r="H32" s="57">
        <v>1153.354456637838</v>
      </c>
      <c r="I32" s="57">
        <f t="shared" si="2"/>
        <v>19111.962008598439</v>
      </c>
      <c r="J32" s="57">
        <v>3009.826</v>
      </c>
      <c r="K32" s="58">
        <v>23.41</v>
      </c>
    </row>
    <row r="33" spans="1:11" x14ac:dyDescent="0.2">
      <c r="A33" s="11" t="s">
        <v>23</v>
      </c>
      <c r="B33" s="57">
        <f t="shared" si="3"/>
        <v>3009.826</v>
      </c>
      <c r="C33" s="57">
        <v>20488.99351</v>
      </c>
      <c r="D33" s="57">
        <v>37.473177085344005</v>
      </c>
      <c r="E33" s="57">
        <f t="shared" si="0"/>
        <v>23536.292687085344</v>
      </c>
      <c r="F33" s="57">
        <f t="shared" si="4"/>
        <v>18574.448188614173</v>
      </c>
      <c r="G33" s="57">
        <v>2761.5669999999996</v>
      </c>
      <c r="H33" s="57">
        <v>1876.6194984711722</v>
      </c>
      <c r="I33" s="57">
        <f t="shared" si="2"/>
        <v>20451.067687085346</v>
      </c>
      <c r="J33" s="57">
        <v>3085.2249999999999</v>
      </c>
      <c r="K33" s="58">
        <v>31.02</v>
      </c>
    </row>
    <row r="34" spans="1:11" x14ac:dyDescent="0.2">
      <c r="A34" s="11" t="s">
        <v>24</v>
      </c>
      <c r="B34" s="57">
        <f t="shared" si="3"/>
        <v>3085.2249999999999</v>
      </c>
      <c r="C34" s="57">
        <f>'tab8'!C20/1000</f>
        <v>20579.830779999997</v>
      </c>
      <c r="D34" s="57">
        <f>'tab8'!D20/1000</f>
        <v>65.355102067247998</v>
      </c>
      <c r="E34" s="57">
        <f t="shared" si="0"/>
        <v>23730.410882067245</v>
      </c>
      <c r="F34" s="57">
        <f t="shared" si="4"/>
        <v>18334.765425604342</v>
      </c>
      <c r="G34" s="57">
        <f>'tab8'!G20/1000</f>
        <v>3245.2919999999999</v>
      </c>
      <c r="H34" s="57">
        <f>'tab8'!H20/1000</f>
        <v>2911.0484564629019</v>
      </c>
      <c r="I34" s="57">
        <f t="shared" si="2"/>
        <v>21245.813882067243</v>
      </c>
      <c r="J34" s="57">
        <f>'tab8'!J19/1000</f>
        <v>2484.5970000000002</v>
      </c>
      <c r="K34" s="58">
        <v>52.03</v>
      </c>
    </row>
    <row r="35" spans="1:11" x14ac:dyDescent="0.2">
      <c r="A35" s="11" t="s">
        <v>25</v>
      </c>
      <c r="B35" s="57">
        <f t="shared" si="3"/>
        <v>2484.5970000000002</v>
      </c>
      <c r="C35" s="57">
        <f>'tab8'!C34/1000</f>
        <v>18744.967840000001</v>
      </c>
      <c r="D35" s="57">
        <f>'tab8'!D34/1000</f>
        <v>89.577464760251985</v>
      </c>
      <c r="E35" s="57">
        <f t="shared" si="0"/>
        <v>21319.142304760255</v>
      </c>
      <c r="F35" s="57">
        <f t="shared" si="4"/>
        <v>16265.203884786391</v>
      </c>
      <c r="G35" s="57">
        <f>'tab8'!G34/1000</f>
        <v>2020.952</v>
      </c>
      <c r="H35" s="57">
        <f>'tab8'!H34/1000</f>
        <v>2193.4384199738643</v>
      </c>
      <c r="I35" s="57">
        <f t="shared" si="2"/>
        <v>18458.642304760255</v>
      </c>
      <c r="J35" s="57">
        <f>'tab8'!J33/1000</f>
        <v>2860.5</v>
      </c>
      <c r="K35" s="58">
        <v>32.159999999999997</v>
      </c>
    </row>
    <row r="36" spans="1:11" x14ac:dyDescent="0.2">
      <c r="A36" s="11" t="s">
        <v>26</v>
      </c>
      <c r="B36" s="57">
        <f t="shared" si="3"/>
        <v>2860.5</v>
      </c>
      <c r="C36" s="57">
        <f>'tab8'!C48/1000</f>
        <v>19615.31352</v>
      </c>
      <c r="D36" s="57">
        <f>'tab8'!D48/1000</f>
        <v>102.57960440485799</v>
      </c>
      <c r="E36" s="57">
        <f t="shared" si="0"/>
        <v>22578.393124404858</v>
      </c>
      <c r="F36" s="57">
        <f t="shared" si="4"/>
        <v>15813.946153701158</v>
      </c>
      <c r="G36" s="57">
        <f>'tab8'!G48/1000</f>
        <v>1676.402</v>
      </c>
      <c r="H36" s="57">
        <f>'tab8'!H48/1000</f>
        <v>3358.6669707037017</v>
      </c>
      <c r="I36" s="57">
        <f t="shared" si="2"/>
        <v>19172.613124404859</v>
      </c>
      <c r="J36" s="57">
        <f>'tab8'!J47/1000</f>
        <v>3405.78</v>
      </c>
      <c r="K36" s="58">
        <v>35.950000000000003</v>
      </c>
    </row>
    <row r="37" spans="1:11" x14ac:dyDescent="0.2">
      <c r="A37" s="11" t="s">
        <v>27</v>
      </c>
      <c r="B37" s="57">
        <f t="shared" si="3"/>
        <v>3405.78</v>
      </c>
      <c r="C37" s="57">
        <f>'tab8'!C62/1000</f>
        <v>18887.582520000004</v>
      </c>
      <c r="D37" s="57">
        <f>'tab8'!D62/1000</f>
        <v>159.001291527246</v>
      </c>
      <c r="E37" s="57">
        <f t="shared" si="0"/>
        <v>22452.363811527248</v>
      </c>
      <c r="F37" s="57">
        <f t="shared" si="4"/>
        <v>16544.42941413249</v>
      </c>
      <c r="G37" s="57">
        <f>'tab8'!G62/1000</f>
        <v>2737</v>
      </c>
      <c r="H37" s="57">
        <f>'tab8'!H62/1000</f>
        <v>3232.934397394758</v>
      </c>
      <c r="I37" s="57">
        <f t="shared" si="2"/>
        <v>19777.363811527248</v>
      </c>
      <c r="J37" s="57">
        <v>2675</v>
      </c>
      <c r="K37" s="58">
        <v>53.2</v>
      </c>
    </row>
    <row r="38" spans="1:11" x14ac:dyDescent="0.2">
      <c r="A38" s="11" t="s">
        <v>28</v>
      </c>
      <c r="B38" s="57">
        <f t="shared" si="3"/>
        <v>2675</v>
      </c>
      <c r="C38" s="57">
        <v>19740</v>
      </c>
      <c r="D38" s="57">
        <v>149.136403945788</v>
      </c>
      <c r="E38" s="57">
        <f t="shared" si="0"/>
        <v>22564.136403945788</v>
      </c>
      <c r="F38" s="57">
        <f t="shared" si="4"/>
        <v>18510.023666165198</v>
      </c>
      <c r="G38" s="57">
        <v>4874</v>
      </c>
      <c r="H38" s="57">
        <v>1464.1127377805883</v>
      </c>
      <c r="I38" s="57">
        <f t="shared" si="2"/>
        <v>19974.136403945788</v>
      </c>
      <c r="J38" s="57">
        <v>2590</v>
      </c>
      <c r="K38" s="58">
        <v>51.9</v>
      </c>
    </row>
    <row r="39" spans="1:11" x14ac:dyDescent="0.2">
      <c r="A39" s="11" t="s">
        <v>29</v>
      </c>
      <c r="B39" s="57">
        <f t="shared" si="3"/>
        <v>2590</v>
      </c>
      <c r="C39" s="57">
        <v>19820</v>
      </c>
      <c r="D39" s="57">
        <v>195.5896232903676</v>
      </c>
      <c r="E39" s="57">
        <f t="shared" si="0"/>
        <v>22605.589623290369</v>
      </c>
      <c r="F39" s="57">
        <f t="shared" si="4"/>
        <v>18787.095713116814</v>
      </c>
      <c r="G39" s="57">
        <v>4689</v>
      </c>
      <c r="H39" s="57">
        <v>2163.493910173554</v>
      </c>
      <c r="I39" s="57">
        <f t="shared" si="2"/>
        <v>20950.589623290369</v>
      </c>
      <c r="J39" s="57">
        <v>1655</v>
      </c>
      <c r="K39" s="58">
        <v>47.13</v>
      </c>
    </row>
    <row r="40" spans="1:11" x14ac:dyDescent="0.2">
      <c r="A40" s="11" t="s">
        <v>30</v>
      </c>
      <c r="B40" s="57">
        <f t="shared" si="3"/>
        <v>1655</v>
      </c>
      <c r="C40" s="57">
        <v>20130</v>
      </c>
      <c r="D40" s="57">
        <v>165.03584988615484</v>
      </c>
      <c r="E40" s="57">
        <f t="shared" si="0"/>
        <v>21950.035849886153</v>
      </c>
      <c r="F40" s="57">
        <f t="shared" si="4"/>
        <v>18907.953572597096</v>
      </c>
      <c r="G40" s="57">
        <v>5077.57</v>
      </c>
      <c r="H40" s="57">
        <v>1877.0822772890576</v>
      </c>
      <c r="I40" s="57">
        <f t="shared" si="2"/>
        <v>20785.035849886153</v>
      </c>
      <c r="J40" s="57">
        <v>1165</v>
      </c>
      <c r="K40" s="58">
        <v>38.229999999999997</v>
      </c>
    </row>
    <row r="41" spans="1:11" x14ac:dyDescent="0.2">
      <c r="A41" s="11" t="s">
        <v>31</v>
      </c>
      <c r="B41" s="57">
        <f t="shared" si="3"/>
        <v>1165</v>
      </c>
      <c r="C41" s="57">
        <v>21399</v>
      </c>
      <c r="D41" s="57">
        <v>264.33291896083801</v>
      </c>
      <c r="E41" s="57">
        <f t="shared" si="0"/>
        <v>22828.332918960838</v>
      </c>
      <c r="F41" s="57">
        <f t="shared" si="4"/>
        <v>18959.434800477735</v>
      </c>
      <c r="G41" s="57">
        <v>5038.59</v>
      </c>
      <c r="H41" s="57">
        <v>2014.0801184831043</v>
      </c>
      <c r="I41" s="57">
        <f t="shared" si="2"/>
        <v>20973.514918960838</v>
      </c>
      <c r="J41" s="57">
        <v>1854.818</v>
      </c>
      <c r="K41" s="58">
        <v>31.6</v>
      </c>
    </row>
    <row r="42" spans="1:11" x14ac:dyDescent="0.2">
      <c r="A42" s="11" t="s">
        <v>32</v>
      </c>
      <c r="B42" s="57">
        <f t="shared" si="3"/>
        <v>1854.818</v>
      </c>
      <c r="C42" s="57">
        <f>'tab8'!C76/1000</f>
        <v>21950.231</v>
      </c>
      <c r="D42" s="57">
        <f>'tab8'!D76/1000</f>
        <v>286.55315418454205</v>
      </c>
      <c r="E42" s="57">
        <f t="shared" si="0"/>
        <v>24091.60215418454</v>
      </c>
      <c r="F42" s="57">
        <f t="shared" si="4"/>
        <v>20162.2479225438</v>
      </c>
      <c r="G42" s="57">
        <f>'tab8'!G76/1000</f>
        <v>5670.21</v>
      </c>
      <c r="H42" s="57">
        <f>'tab8'!H76/1000</f>
        <v>2242.5412316407378</v>
      </c>
      <c r="I42" s="57">
        <f t="shared" si="2"/>
        <v>22404.789154184538</v>
      </c>
      <c r="J42" s="57">
        <f>'tab8'!J75/1000</f>
        <v>1686.8130000000001</v>
      </c>
      <c r="K42" s="58">
        <v>29.86</v>
      </c>
    </row>
    <row r="43" spans="1:11" x14ac:dyDescent="0.2">
      <c r="A43" s="11" t="s">
        <v>33</v>
      </c>
      <c r="B43" s="57">
        <f t="shared" si="3"/>
        <v>1686.8130000000001</v>
      </c>
      <c r="C43" s="57">
        <f>'tab8'!C90/1000</f>
        <v>22123.409</v>
      </c>
      <c r="D43" s="57">
        <f>'tab8'!D90/1000</f>
        <v>318.71121470395201</v>
      </c>
      <c r="E43" s="57">
        <f t="shared" si="0"/>
        <v>24128.933214703953</v>
      </c>
      <c r="F43" s="57">
        <f t="shared" si="4"/>
        <v>19862.316982067598</v>
      </c>
      <c r="G43" s="57">
        <f>'tab8'!G90/1000</f>
        <v>6200.3</v>
      </c>
      <c r="H43" s="57">
        <f>'tab8'!H90/1000</f>
        <v>2555.6622326363522</v>
      </c>
      <c r="I43" s="57">
        <f t="shared" si="2"/>
        <v>22417.979214703952</v>
      </c>
      <c r="J43" s="57">
        <f>'tab8'!J89/1000</f>
        <v>1710.954</v>
      </c>
      <c r="K43" s="58">
        <v>32.549999999999997</v>
      </c>
    </row>
    <row r="44" spans="1:11" x14ac:dyDescent="0.2">
      <c r="A44" s="11" t="s">
        <v>34</v>
      </c>
      <c r="B44" s="57">
        <f t="shared" si="3"/>
        <v>1710.954</v>
      </c>
      <c r="C44" s="57">
        <f>'tab8'!C104/1000</f>
        <v>23772.428</v>
      </c>
      <c r="D44" s="57">
        <f>'tab8'!D104/1000</f>
        <v>335.30024347785007</v>
      </c>
      <c r="E44" s="57">
        <f t="shared" si="0"/>
        <v>25818.682243477851</v>
      </c>
      <c r="F44" s="57">
        <f t="shared" si="4"/>
        <v>21380.211273013327</v>
      </c>
      <c r="G44" s="57">
        <f>'tab8'!G104/1000</f>
        <v>7333.71</v>
      </c>
      <c r="H44" s="57">
        <f>'tab8'!H104/1000</f>
        <v>2443.0369704645245</v>
      </c>
      <c r="I44" s="57">
        <f t="shared" si="2"/>
        <v>23823.24824347785</v>
      </c>
      <c r="J44" s="57">
        <f>'tab8'!J103/1000</f>
        <v>1995.434</v>
      </c>
      <c r="K44" s="58">
        <v>30.04</v>
      </c>
    </row>
    <row r="45" spans="1:11" x14ac:dyDescent="0.2">
      <c r="A45" s="11" t="s">
        <v>35</v>
      </c>
      <c r="B45" s="57">
        <f t="shared" si="3"/>
        <v>1995.434</v>
      </c>
      <c r="C45" s="57">
        <f>'tab8'!C118/1000</f>
        <v>24197.199000000001</v>
      </c>
      <c r="D45" s="57">
        <f>'tab8'!D118/1000</f>
        <v>397.26186129000007</v>
      </c>
      <c r="E45" s="57">
        <f t="shared" si="0"/>
        <v>26589.894861290002</v>
      </c>
      <c r="F45" s="57">
        <f t="shared" si="4"/>
        <v>22874.157218534605</v>
      </c>
      <c r="G45" s="57">
        <f>'tab8'!G118/1000</f>
        <v>8663.2947499999991</v>
      </c>
      <c r="H45" s="57">
        <f>'tab8'!H118/1000</f>
        <v>1940.4216427553999</v>
      </c>
      <c r="I45" s="57">
        <f t="shared" si="2"/>
        <v>24814.578861290003</v>
      </c>
      <c r="J45" s="57">
        <f>'tab8'!J117/1000</f>
        <v>1775.316</v>
      </c>
      <c r="K45" s="58">
        <v>28.26</v>
      </c>
    </row>
    <row r="46" spans="1:11" x14ac:dyDescent="0.2">
      <c r="A46" s="11" t="s">
        <v>36</v>
      </c>
      <c r="B46" s="57">
        <f>+J45</f>
        <v>1775.316</v>
      </c>
      <c r="C46" s="57">
        <f>'tab8'!C132/1000</f>
        <v>24911.125</v>
      </c>
      <c r="D46" s="57">
        <f>'tab8'!D132/1000</f>
        <v>319.92945354719996</v>
      </c>
      <c r="E46" s="57">
        <f t="shared" si="0"/>
        <v>27006.370453547199</v>
      </c>
      <c r="F46" s="57">
        <f t="shared" si="4"/>
        <v>22317.0010508946</v>
      </c>
      <c r="G46" s="57">
        <f>'tab8'!G132/1000</f>
        <v>8657.8183000000008</v>
      </c>
      <c r="H46" s="57">
        <f>'tab8'!H132/1000</f>
        <v>2836.6944026525998</v>
      </c>
      <c r="I46" s="57">
        <f t="shared" si="2"/>
        <v>25153.6954535472</v>
      </c>
      <c r="J46" s="57">
        <f>'tab8'!J131/1000</f>
        <v>1852.675</v>
      </c>
      <c r="K46" s="58">
        <v>29.65</v>
      </c>
    </row>
    <row r="47" spans="1:11" x14ac:dyDescent="0.2">
      <c r="A47" s="11" t="s">
        <v>37</v>
      </c>
      <c r="B47" s="57">
        <f>+J46</f>
        <v>1852.675</v>
      </c>
      <c r="C47" s="57">
        <f>'tab8'!C146/1000</f>
        <v>25022.667000000001</v>
      </c>
      <c r="D47" s="57">
        <f>'tab8'!D146/1000</f>
        <v>301.5817074144</v>
      </c>
      <c r="E47" s="57">
        <f t="shared" si="0"/>
        <v>27176.9237074144</v>
      </c>
      <c r="F47" s="57">
        <f t="shared" si="4"/>
        <v>23314.331825683599</v>
      </c>
      <c r="G47" s="57">
        <f>'tab8'!G146/1000</f>
        <v>8920.0000010000003</v>
      </c>
      <c r="H47" s="57">
        <f>'tab8'!H146/1000</f>
        <v>1731.3588817308002</v>
      </c>
      <c r="I47" s="57">
        <f t="shared" si="2"/>
        <v>25045.6907074144</v>
      </c>
      <c r="J47" s="57">
        <f>'tab8'!J145/1000</f>
        <v>2131.2330000000002</v>
      </c>
      <c r="K47" s="58">
        <v>56.87</v>
      </c>
    </row>
    <row r="48" spans="1:11" x14ac:dyDescent="0.2">
      <c r="A48" s="11" t="s">
        <v>215</v>
      </c>
      <c r="B48" s="57">
        <f>+J47</f>
        <v>2131.2330000000002</v>
      </c>
      <c r="C48" s="57">
        <f>'tab8'!C160/1000</f>
        <v>26155.172999999999</v>
      </c>
      <c r="D48" s="57">
        <f>'tab8'!D160/1000</f>
        <v>303.28830530459999</v>
      </c>
      <c r="E48" s="57">
        <f t="shared" si="0"/>
        <v>28589.694305304598</v>
      </c>
      <c r="F48" s="57">
        <f>+I48-H48</f>
        <v>24825.102953291396</v>
      </c>
      <c r="G48" s="57">
        <f>'tab8'!G160/1000</f>
        <v>10348.1917128</v>
      </c>
      <c r="H48" s="57">
        <f>'tab8'!H160/1000</f>
        <v>1773.4433520131997</v>
      </c>
      <c r="I48" s="57">
        <f>+E48-J48</f>
        <v>26598.546305304597</v>
      </c>
      <c r="J48" s="57">
        <f>'tab8'!J159/1000</f>
        <v>1991.1479999999999</v>
      </c>
      <c r="K48" s="58">
        <v>72.98</v>
      </c>
    </row>
    <row r="49" spans="1:11" x14ac:dyDescent="0.2">
      <c r="A49" s="114" t="s">
        <v>216</v>
      </c>
      <c r="B49" s="61">
        <f>J48</f>
        <v>1991.1479999999999</v>
      </c>
      <c r="C49" s="61">
        <v>26195</v>
      </c>
      <c r="D49" s="61">
        <v>300</v>
      </c>
      <c r="E49" s="61">
        <f t="shared" si="0"/>
        <v>28486.148000000001</v>
      </c>
      <c r="F49" s="61">
        <f>+I49-H49</f>
        <v>26050</v>
      </c>
      <c r="G49" s="61">
        <v>11600</v>
      </c>
      <c r="H49" s="61">
        <v>500</v>
      </c>
      <c r="I49" s="61">
        <f>+E49-J49</f>
        <v>26550</v>
      </c>
      <c r="J49" s="61">
        <v>1936.148000000001</v>
      </c>
      <c r="K49" s="72">
        <v>66</v>
      </c>
    </row>
    <row r="50" spans="1:11" x14ac:dyDescent="0.2">
      <c r="A50" s="35" t="s">
        <v>133</v>
      </c>
      <c r="B50" s="57"/>
      <c r="C50" s="57"/>
      <c r="D50" s="57"/>
      <c r="E50" s="57"/>
      <c r="F50" s="57"/>
      <c r="G50" s="57"/>
      <c r="H50" s="57"/>
      <c r="I50" s="57"/>
      <c r="J50" s="57"/>
      <c r="K50" s="58"/>
    </row>
    <row r="51" spans="1:11" x14ac:dyDescent="0.2">
      <c r="A51" t="s">
        <v>134</v>
      </c>
      <c r="B51" s="57"/>
      <c r="C51" s="57"/>
      <c r="D51" s="57"/>
      <c r="E51" s="57"/>
      <c r="F51" s="57"/>
      <c r="G51" s="57"/>
      <c r="H51" s="57"/>
      <c r="I51" s="57"/>
      <c r="J51" s="57"/>
      <c r="K51" s="58"/>
    </row>
    <row r="52" spans="1:11" x14ac:dyDescent="0.2">
      <c r="A52" s="147" t="s">
        <v>220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</row>
    <row r="53" spans="1:11" x14ac:dyDescent="0.2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x14ac:dyDescent="0.2">
      <c r="A54" t="s">
        <v>221</v>
      </c>
    </row>
    <row r="55" spans="1:11" x14ac:dyDescent="0.2">
      <c r="A55" s="11" t="s">
        <v>222</v>
      </c>
      <c r="B55" s="110"/>
      <c r="C55" s="110"/>
      <c r="D55" s="110"/>
      <c r="E55" s="110"/>
      <c r="F55" s="110"/>
      <c r="G55" s="110"/>
      <c r="H55" s="110"/>
      <c r="I55" s="110"/>
      <c r="J55" s="110"/>
    </row>
    <row r="56" spans="1:11" x14ac:dyDescent="0.2">
      <c r="A56" s="22" t="s">
        <v>135</v>
      </c>
    </row>
    <row r="57" spans="1:11" x14ac:dyDescent="0.2">
      <c r="A57" s="22" t="s">
        <v>223</v>
      </c>
    </row>
    <row r="58" spans="1:11" x14ac:dyDescent="0.2">
      <c r="A58" s="39" t="s">
        <v>224</v>
      </c>
    </row>
    <row r="59" spans="1:11" x14ac:dyDescent="0.2">
      <c r="A59" t="s">
        <v>225</v>
      </c>
    </row>
    <row r="60" spans="1:11" x14ac:dyDescent="0.2">
      <c r="K60" s="40" t="s">
        <v>211</v>
      </c>
    </row>
    <row r="61" spans="1:11" x14ac:dyDescent="0.2">
      <c r="A61" s="79"/>
    </row>
  </sheetData>
  <mergeCells count="1">
    <mergeCell ref="A52:K53"/>
  </mergeCells>
  <pageMargins left="0.7" right="0.7" top="0.75" bottom="0.75" header="0.3" footer="0.3"/>
  <pageSetup scale="81" firstPageNumber="5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256A-2545-4C67-807B-32283EA4FF21}">
  <sheetPr>
    <pageSetUpPr fitToPage="1"/>
  </sheetPr>
  <dimension ref="A1:L417"/>
  <sheetViews>
    <sheetView zoomScaleNormal="100" zoomScaleSheetLayoutView="75" workbookViewId="0">
      <pane xSplit="1" ySplit="6" topLeftCell="B231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4.85546875" customWidth="1"/>
    <col min="2" max="3" width="16.85546875" customWidth="1"/>
    <col min="4" max="4" width="15.7109375" customWidth="1"/>
    <col min="5" max="5" width="16.85546875" customWidth="1"/>
    <col min="6" max="8" width="15.7109375" customWidth="1"/>
    <col min="9" max="10" width="16.85546875" customWidth="1"/>
    <col min="12" max="12" width="11.7109375" bestFit="1" customWidth="1"/>
  </cols>
  <sheetData>
    <row r="1" spans="1:10" x14ac:dyDescent="0.2">
      <c r="A1" s="25" t="s">
        <v>204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">
      <c r="B2" s="41"/>
      <c r="C2" s="14"/>
      <c r="D2" s="65" t="s">
        <v>75</v>
      </c>
      <c r="E2" s="43"/>
      <c r="F2" s="14"/>
      <c r="G2" s="14"/>
      <c r="H2" s="42" t="s">
        <v>76</v>
      </c>
      <c r="I2" s="43"/>
    </row>
    <row r="3" spans="1:10" x14ac:dyDescent="0.2">
      <c r="A3" s="26" t="s">
        <v>136</v>
      </c>
      <c r="B3" s="45" t="s">
        <v>79</v>
      </c>
      <c r="C3" s="26"/>
      <c r="D3" s="26"/>
      <c r="E3" s="80"/>
      <c r="F3" s="26"/>
      <c r="G3" s="26"/>
      <c r="H3" s="26"/>
      <c r="I3" s="80"/>
      <c r="J3" s="26" t="s">
        <v>81</v>
      </c>
    </row>
    <row r="4" spans="1:10" x14ac:dyDescent="0.2">
      <c r="A4" s="26" t="s">
        <v>78</v>
      </c>
      <c r="B4" s="48" t="s">
        <v>84</v>
      </c>
      <c r="C4" s="26" t="s">
        <v>43</v>
      </c>
      <c r="D4" s="26" t="s">
        <v>85</v>
      </c>
      <c r="E4" s="49" t="s">
        <v>137</v>
      </c>
      <c r="F4" s="26" t="s">
        <v>87</v>
      </c>
      <c r="G4" s="26" t="s">
        <v>88</v>
      </c>
      <c r="H4" s="26" t="s">
        <v>80</v>
      </c>
      <c r="I4" s="49" t="s">
        <v>137</v>
      </c>
      <c r="J4" s="26" t="s">
        <v>84</v>
      </c>
    </row>
    <row r="5" spans="1:10" x14ac:dyDescent="0.2">
      <c r="A5" s="27" t="s">
        <v>138</v>
      </c>
      <c r="B5" s="51"/>
      <c r="C5" s="27"/>
      <c r="D5" s="27"/>
      <c r="E5" s="53"/>
      <c r="F5" s="27"/>
      <c r="G5" s="27"/>
      <c r="H5" s="27" t="s">
        <v>139</v>
      </c>
      <c r="I5" s="53"/>
      <c r="J5" s="27"/>
    </row>
    <row r="6" spans="1:10" x14ac:dyDescent="0.2">
      <c r="C6" s="26"/>
      <c r="D6" s="26"/>
      <c r="E6" s="26"/>
      <c r="F6" s="29" t="s">
        <v>11</v>
      </c>
      <c r="G6" s="26"/>
      <c r="H6" s="26"/>
      <c r="I6" s="26"/>
      <c r="J6" s="26"/>
    </row>
    <row r="7" spans="1:10" x14ac:dyDescent="0.2">
      <c r="A7" t="s">
        <v>17</v>
      </c>
      <c r="B7" s="81"/>
      <c r="C7" s="81"/>
      <c r="D7" s="81"/>
      <c r="E7" s="81"/>
      <c r="F7" s="81"/>
      <c r="G7" s="81"/>
      <c r="H7" s="81"/>
      <c r="I7" s="81"/>
      <c r="J7" s="81"/>
    </row>
    <row r="8" spans="1:10" x14ac:dyDescent="0.2">
      <c r="A8" t="s">
        <v>140</v>
      </c>
      <c r="B8" s="81">
        <v>290162</v>
      </c>
      <c r="C8" s="81">
        <v>2757810</v>
      </c>
      <c r="D8" s="81">
        <v>901.03367784990019</v>
      </c>
      <c r="E8" s="81">
        <f>SUM(B8:D8)</f>
        <v>3048873.0336778499</v>
      </c>
      <c r="F8" s="81">
        <v>421136.66666666669</v>
      </c>
      <c r="G8" s="81">
        <v>315767.60487929999</v>
      </c>
      <c r="H8" s="81">
        <f>I8-F8-G8</f>
        <v>71977.762131883239</v>
      </c>
      <c r="I8" s="81">
        <f>E8-J8</f>
        <v>808882.03367784992</v>
      </c>
      <c r="J8" s="81">
        <f>'tab01'!D11</f>
        <v>2239991</v>
      </c>
    </row>
    <row r="9" spans="1:10" x14ac:dyDescent="0.2">
      <c r="A9" t="s">
        <v>141</v>
      </c>
      <c r="B9" s="81">
        <f>J8</f>
        <v>2239991</v>
      </c>
      <c r="C9" s="78" t="s">
        <v>142</v>
      </c>
      <c r="D9" s="81">
        <v>800.01951453269999</v>
      </c>
      <c r="E9" s="81">
        <f>SUM(B9:D9)</f>
        <v>2240791.0195145328</v>
      </c>
      <c r="F9" s="81">
        <v>417936.66666666663</v>
      </c>
      <c r="G9" s="81">
        <v>336291.09246390004</v>
      </c>
      <c r="H9" s="81">
        <f>I9-F9-G9</f>
        <v>82655.260383966088</v>
      </c>
      <c r="I9" s="81">
        <f>E9-J9</f>
        <v>836883.01951453276</v>
      </c>
      <c r="J9" s="81">
        <f>'tab01'!D12</f>
        <v>1403908</v>
      </c>
    </row>
    <row r="10" spans="1:10" x14ac:dyDescent="0.2">
      <c r="A10" t="s">
        <v>143</v>
      </c>
      <c r="B10" s="81">
        <f>J9</f>
        <v>1403908</v>
      </c>
      <c r="C10" s="78" t="s">
        <v>142</v>
      </c>
      <c r="D10" s="81">
        <v>813.36670030139999</v>
      </c>
      <c r="E10" s="81">
        <f>SUM(B10:D10)</f>
        <v>1404721.3667003014</v>
      </c>
      <c r="F10" s="81">
        <v>405486.66666666669</v>
      </c>
      <c r="G10" s="81">
        <v>227730.25083480001</v>
      </c>
      <c r="H10" s="81">
        <f>I10-F10-G10</f>
        <v>63324.449198834714</v>
      </c>
      <c r="I10" s="81">
        <f>E10-J10</f>
        <v>696541.36670030141</v>
      </c>
      <c r="J10" s="81">
        <f>'tab01'!D13</f>
        <v>708180</v>
      </c>
    </row>
    <row r="11" spans="1:10" x14ac:dyDescent="0.2">
      <c r="A11" t="s">
        <v>144</v>
      </c>
      <c r="B11" s="81">
        <f>J10</f>
        <v>708180</v>
      </c>
      <c r="C11" s="78" t="s">
        <v>142</v>
      </c>
      <c r="D11" s="81">
        <v>1053.4054292496</v>
      </c>
      <c r="E11" s="81">
        <f>SUM(B11:D11)</f>
        <v>709233.40542924963</v>
      </c>
      <c r="F11" s="81">
        <v>395110</v>
      </c>
      <c r="G11" s="81">
        <v>116082.24027540002</v>
      </c>
      <c r="H11" s="81">
        <f>I11-F11-G11</f>
        <v>-49705.834846150392</v>
      </c>
      <c r="I11" s="81">
        <f>E11-J11</f>
        <v>461486.40542924963</v>
      </c>
      <c r="J11" s="81">
        <f>'tab01'!D14</f>
        <v>247747</v>
      </c>
    </row>
    <row r="12" spans="1:10" x14ac:dyDescent="0.2">
      <c r="A12" t="s">
        <v>145</v>
      </c>
      <c r="B12" s="81"/>
      <c r="C12" s="81">
        <f>SUM(C8:C11)</f>
        <v>2757810</v>
      </c>
      <c r="D12" s="81">
        <f>SUM(D8:D11)</f>
        <v>3567.8253219336002</v>
      </c>
      <c r="E12" s="81">
        <f>B8+D12+C12</f>
        <v>3051539.8253219337</v>
      </c>
      <c r="F12" s="81">
        <f>SUM(F8:F11)</f>
        <v>1639670</v>
      </c>
      <c r="G12" s="81">
        <f>SUM(G8:G11)</f>
        <v>995871.18845340004</v>
      </c>
      <c r="H12" s="81">
        <f>SUM(H8:H11)</f>
        <v>168251.63686853365</v>
      </c>
      <c r="I12" s="81">
        <f>SUM(I8:I11)</f>
        <v>2803792.8253219337</v>
      </c>
      <c r="J12" s="81"/>
    </row>
    <row r="13" spans="1:10" x14ac:dyDescent="0.2">
      <c r="B13" s="81"/>
      <c r="C13" s="81"/>
      <c r="D13" s="81"/>
      <c r="E13" s="81"/>
      <c r="F13" s="81"/>
      <c r="G13" s="81"/>
      <c r="H13" s="81"/>
      <c r="I13" s="81"/>
      <c r="J13" s="81"/>
    </row>
    <row r="14" spans="1:10" x14ac:dyDescent="0.2">
      <c r="A14" t="s">
        <v>18</v>
      </c>
      <c r="B14" s="81"/>
      <c r="C14" s="81"/>
      <c r="D14" s="81"/>
      <c r="E14" s="81"/>
      <c r="F14" s="81"/>
      <c r="G14" s="81"/>
      <c r="H14" s="81"/>
      <c r="I14" s="81"/>
      <c r="J14" s="81"/>
    </row>
    <row r="15" spans="1:10" x14ac:dyDescent="0.2">
      <c r="A15" t="s">
        <v>146</v>
      </c>
      <c r="B15" s="81">
        <f>J11</f>
        <v>247747</v>
      </c>
      <c r="C15" s="81">
        <v>2890682</v>
      </c>
      <c r="D15" s="81">
        <v>845.7440361992999</v>
      </c>
      <c r="E15" s="81">
        <f>SUM(B15:D15)</f>
        <v>3139274.7440361995</v>
      </c>
      <c r="F15" s="81">
        <v>427540</v>
      </c>
      <c r="G15" s="81">
        <v>348619.37543160003</v>
      </c>
      <c r="H15" s="81">
        <f>I15-F15-G15</f>
        <v>87497.368604599498</v>
      </c>
      <c r="I15" s="81">
        <f>E15-J15</f>
        <v>863656.74403619952</v>
      </c>
      <c r="J15" s="81">
        <f>'tab01'!D17</f>
        <v>2275618</v>
      </c>
    </row>
    <row r="16" spans="1:10" x14ac:dyDescent="0.2">
      <c r="A16" t="s">
        <v>147</v>
      </c>
      <c r="B16" s="81">
        <f>J15</f>
        <v>2275618</v>
      </c>
      <c r="C16" s="78" t="s">
        <v>142</v>
      </c>
      <c r="D16" s="81">
        <v>637.56363838650009</v>
      </c>
      <c r="E16" s="81">
        <f>SUM(B16:D16)</f>
        <v>2276255.5636383863</v>
      </c>
      <c r="F16" s="81">
        <v>447596.73333333328</v>
      </c>
      <c r="G16" s="81">
        <v>422449.30020299996</v>
      </c>
      <c r="H16" s="81">
        <f>I16-F16-G16</f>
        <v>70222.530102053075</v>
      </c>
      <c r="I16" s="81">
        <f>E16-J16</f>
        <v>940268.56363838632</v>
      </c>
      <c r="J16" s="81">
        <f>'tab01'!D18</f>
        <v>1335987</v>
      </c>
    </row>
    <row r="17" spans="1:10" x14ac:dyDescent="0.2">
      <c r="A17" t="s">
        <v>143</v>
      </c>
      <c r="B17" s="81">
        <f>J16</f>
        <v>1335987</v>
      </c>
      <c r="C17" s="78" t="s">
        <v>142</v>
      </c>
      <c r="D17" s="81">
        <v>461.73753817170001</v>
      </c>
      <c r="E17" s="81">
        <f>SUM(B17:D17)</f>
        <v>1336448.7375381717</v>
      </c>
      <c r="F17" s="81">
        <v>429615.9</v>
      </c>
      <c r="G17" s="81">
        <v>155298.12989879999</v>
      </c>
      <c r="H17" s="81">
        <f>I17-F17-G17</f>
        <v>66613.707639371685</v>
      </c>
      <c r="I17" s="81">
        <f>E17-J17</f>
        <v>651527.7375381717</v>
      </c>
      <c r="J17" s="81">
        <f>'tab01'!D19</f>
        <v>684921</v>
      </c>
    </row>
    <row r="18" spans="1:10" x14ac:dyDescent="0.2">
      <c r="A18" t="s">
        <v>144</v>
      </c>
      <c r="B18" s="81">
        <f>J17</f>
        <v>684921</v>
      </c>
      <c r="C18" s="78" t="s">
        <v>142</v>
      </c>
      <c r="D18" s="81">
        <v>374.72915470199996</v>
      </c>
      <c r="E18" s="81">
        <f>SUM(B18:D18)</f>
        <v>685295.72915470204</v>
      </c>
      <c r="F18" s="81">
        <v>394988.16666666669</v>
      </c>
      <c r="G18" s="81">
        <v>137284.64120490002</v>
      </c>
      <c r="H18" s="81">
        <f>I18-F18-G18</f>
        <v>-55038.078716864664</v>
      </c>
      <c r="I18" s="81">
        <f>E18-J18</f>
        <v>477234.72915470204</v>
      </c>
      <c r="J18" s="81">
        <f>'tab01'!D20</f>
        <v>208061</v>
      </c>
    </row>
    <row r="19" spans="1:10" x14ac:dyDescent="0.2">
      <c r="A19" t="s">
        <v>145</v>
      </c>
      <c r="B19" s="81"/>
      <c r="C19" s="81">
        <f>SUM(C15:C18)</f>
        <v>2890682</v>
      </c>
      <c r="D19" s="81">
        <f>SUM(D15:D18)</f>
        <v>2319.7743674594999</v>
      </c>
      <c r="E19" s="81">
        <f>B15+D19+C19</f>
        <v>3140748.7743674596</v>
      </c>
      <c r="F19" s="81">
        <f>SUM(F15:F18)</f>
        <v>1699740.8</v>
      </c>
      <c r="G19" s="81">
        <f>SUM(G15:G18)</f>
        <v>1063651.4467383001</v>
      </c>
      <c r="H19" s="81">
        <f>SUM(H15:H18)</f>
        <v>169295.52762915959</v>
      </c>
      <c r="I19" s="81">
        <f>SUM(I15:I18)</f>
        <v>2932687.77436746</v>
      </c>
      <c r="J19" s="81"/>
    </row>
    <row r="20" spans="1:10" x14ac:dyDescent="0.2">
      <c r="B20" s="81"/>
      <c r="C20" s="81"/>
      <c r="D20" s="81"/>
      <c r="E20" s="81"/>
      <c r="F20" s="81"/>
      <c r="G20" s="81"/>
      <c r="H20" s="81"/>
      <c r="I20" s="81"/>
      <c r="J20" s="81"/>
    </row>
    <row r="21" spans="1:10" x14ac:dyDescent="0.2">
      <c r="A21" t="s">
        <v>19</v>
      </c>
      <c r="B21" s="81"/>
      <c r="C21" s="81"/>
      <c r="D21" s="81"/>
      <c r="E21" s="81"/>
      <c r="F21" s="81"/>
      <c r="G21" s="81"/>
      <c r="H21" s="81"/>
      <c r="I21" s="81"/>
      <c r="J21" s="81"/>
    </row>
    <row r="22" spans="1:10" x14ac:dyDescent="0.2">
      <c r="A22" t="s">
        <v>146</v>
      </c>
      <c r="B22" s="81">
        <f>J18</f>
        <v>208061</v>
      </c>
      <c r="C22" s="81">
        <v>2756147</v>
      </c>
      <c r="D22" s="81">
        <v>1412.6551980156</v>
      </c>
      <c r="E22" s="81">
        <f>SUM(B22:D22)</f>
        <v>2965620.6551980157</v>
      </c>
      <c r="F22" s="81">
        <v>417505.5</v>
      </c>
      <c r="G22" s="81">
        <v>320403.85145790002</v>
      </c>
      <c r="H22" s="81">
        <f>I22-F22-G22</f>
        <v>112338.30374011572</v>
      </c>
      <c r="I22" s="81">
        <f>E22-J22</f>
        <v>850247.65519801574</v>
      </c>
      <c r="J22" s="81">
        <f>'tab01'!D23</f>
        <v>2115373</v>
      </c>
    </row>
    <row r="23" spans="1:10" x14ac:dyDescent="0.2">
      <c r="A23" t="s">
        <v>147</v>
      </c>
      <c r="B23" s="81">
        <f>J22</f>
        <v>2115373</v>
      </c>
      <c r="C23" s="78" t="s">
        <v>142</v>
      </c>
      <c r="D23" s="81">
        <v>1094.9477462385</v>
      </c>
      <c r="E23" s="81">
        <f>SUM(B23:D23)</f>
        <v>2116467.9477462387</v>
      </c>
      <c r="F23" s="81">
        <v>422028.2</v>
      </c>
      <c r="G23" s="81">
        <v>425471.32255320007</v>
      </c>
      <c r="H23" s="81">
        <f>I23-F23-G23</f>
        <v>66940.425193038594</v>
      </c>
      <c r="I23" s="81">
        <f>E23-J23</f>
        <v>914439.94774623867</v>
      </c>
      <c r="J23" s="81">
        <f>'tab01'!D24</f>
        <v>1202028</v>
      </c>
    </row>
    <row r="24" spans="1:10" x14ac:dyDescent="0.2">
      <c r="A24" t="s">
        <v>143</v>
      </c>
      <c r="B24" s="81">
        <f>J23</f>
        <v>1202028</v>
      </c>
      <c r="C24" s="78" t="s">
        <v>142</v>
      </c>
      <c r="D24" s="81">
        <v>1242.2369620794</v>
      </c>
      <c r="E24" s="81">
        <f>SUM(B24:D24)</f>
        <v>1203270.2369620793</v>
      </c>
      <c r="F24" s="81">
        <v>399520</v>
      </c>
      <c r="G24" s="81">
        <v>194410.18182599999</v>
      </c>
      <c r="H24" s="81">
        <f>I24-F24-G24</f>
        <v>6978.0551360793179</v>
      </c>
      <c r="I24" s="81">
        <f>E24-J24</f>
        <v>600908.2369620793</v>
      </c>
      <c r="J24" s="81">
        <f>'tab01'!D25</f>
        <v>602362</v>
      </c>
    </row>
    <row r="25" spans="1:10" x14ac:dyDescent="0.2">
      <c r="A25" t="s">
        <v>144</v>
      </c>
      <c r="B25" s="81">
        <f>J24</f>
        <v>602362</v>
      </c>
      <c r="C25" s="78" t="s">
        <v>142</v>
      </c>
      <c r="D25" s="81">
        <v>911.13834232470003</v>
      </c>
      <c r="E25" s="81">
        <f>SUM(B25:D25)</f>
        <v>603273.13834232464</v>
      </c>
      <c r="F25" s="81">
        <v>375733.73333333334</v>
      </c>
      <c r="G25" s="81">
        <v>104086.74499860001</v>
      </c>
      <c r="H25" s="81">
        <f>I25-F25-G25</f>
        <v>-54876.339989608707</v>
      </c>
      <c r="I25" s="81">
        <f>E25-J25</f>
        <v>424944.13834232464</v>
      </c>
      <c r="J25" s="81">
        <f>'tab01'!D26</f>
        <v>178329</v>
      </c>
    </row>
    <row r="26" spans="1:10" x14ac:dyDescent="0.2">
      <c r="A26" t="s">
        <v>148</v>
      </c>
      <c r="B26" s="81"/>
      <c r="C26" s="81">
        <f>SUM(C22:C25)</f>
        <v>2756147</v>
      </c>
      <c r="D26" s="81">
        <f>SUM(D22:D25)</f>
        <v>4660.9782486581998</v>
      </c>
      <c r="E26" s="81">
        <f>B22+D26+C26</f>
        <v>2968868.9782486581</v>
      </c>
      <c r="F26" s="81">
        <f>SUM(F22:F25)</f>
        <v>1614787.4333333333</v>
      </c>
      <c r="G26" s="81">
        <f>SUM(G22:G25)</f>
        <v>1044372.1008357001</v>
      </c>
      <c r="H26" s="81">
        <f>SUM(H22:H25)</f>
        <v>131380.44407962493</v>
      </c>
      <c r="I26" s="81">
        <f>SUM(I22:I25)</f>
        <v>2790539.9782486586</v>
      </c>
      <c r="J26" s="81"/>
    </row>
    <row r="27" spans="1:10" x14ac:dyDescent="0.2">
      <c r="B27" s="81"/>
      <c r="C27" s="81"/>
      <c r="D27" s="81"/>
      <c r="E27" s="81"/>
      <c r="F27" s="81"/>
      <c r="G27" s="81"/>
      <c r="H27" s="81"/>
      <c r="I27" s="81"/>
      <c r="J27" s="81"/>
    </row>
    <row r="28" spans="1:10" x14ac:dyDescent="0.2">
      <c r="A28" t="s">
        <v>20</v>
      </c>
      <c r="B28" s="81"/>
      <c r="C28" s="81"/>
      <c r="D28" s="81"/>
      <c r="E28" s="81"/>
      <c r="F28" s="81"/>
      <c r="G28" s="81"/>
      <c r="H28" s="81"/>
      <c r="I28" s="81"/>
      <c r="J28" s="81"/>
    </row>
    <row r="29" spans="1:10" x14ac:dyDescent="0.2">
      <c r="A29" t="s">
        <v>146</v>
      </c>
      <c r="B29" s="81">
        <f>J25</f>
        <v>178329</v>
      </c>
      <c r="C29" s="81">
        <v>2453845</v>
      </c>
      <c r="D29" s="81">
        <v>2246.2969250022002</v>
      </c>
      <c r="E29" s="81">
        <f>SUM(B29:D29)</f>
        <v>2634420.2969250022</v>
      </c>
      <c r="F29" s="81">
        <v>419401.43333333335</v>
      </c>
      <c r="G29" s="81">
        <v>383501.30889630003</v>
      </c>
      <c r="H29" s="81">
        <f>I29-F29-G29</f>
        <v>142864.55469536886</v>
      </c>
      <c r="I29" s="81">
        <f>E29-J29</f>
        <v>945767.29692500224</v>
      </c>
      <c r="J29" s="81">
        <f>'tab01'!D29</f>
        <v>1688653</v>
      </c>
    </row>
    <row r="30" spans="1:10" x14ac:dyDescent="0.2">
      <c r="A30" t="s">
        <v>147</v>
      </c>
      <c r="B30" s="81">
        <f>J29</f>
        <v>1688653</v>
      </c>
      <c r="C30" s="78" t="s">
        <v>142</v>
      </c>
      <c r="D30" s="81">
        <v>1383.1406372720999</v>
      </c>
      <c r="E30" s="81">
        <f>SUM(B30:D30)</f>
        <v>1690036.140637272</v>
      </c>
      <c r="F30" s="81">
        <v>423116.96666666667</v>
      </c>
      <c r="G30" s="81">
        <v>333885.59265600005</v>
      </c>
      <c r="H30" s="81">
        <f>I30-F30-G30</f>
        <v>27186.581314605311</v>
      </c>
      <c r="I30" s="81">
        <f>E30-J30</f>
        <v>784189.14063727204</v>
      </c>
      <c r="J30" s="81">
        <f>'tab01'!D30</f>
        <v>905847</v>
      </c>
    </row>
    <row r="31" spans="1:10" x14ac:dyDescent="0.2">
      <c r="A31" t="s">
        <v>143</v>
      </c>
      <c r="B31" s="81">
        <f>J30</f>
        <v>905847</v>
      </c>
      <c r="C31" s="78" t="s">
        <v>142</v>
      </c>
      <c r="D31" s="81">
        <v>994.09903980240006</v>
      </c>
      <c r="E31" s="81">
        <f>SUM(B31:D31)</f>
        <v>906841.09903980244</v>
      </c>
      <c r="F31" s="81">
        <v>359570.86666666664</v>
      </c>
      <c r="G31" s="81">
        <v>123367.22995590001</v>
      </c>
      <c r="H31" s="81">
        <f>I31-F31-G31</f>
        <v>13299.002417235795</v>
      </c>
      <c r="I31" s="81">
        <f>E31-J31</f>
        <v>496237.09903980244</v>
      </c>
      <c r="J31" s="81">
        <f>'tab01'!D31</f>
        <v>410604</v>
      </c>
    </row>
    <row r="32" spans="1:10" x14ac:dyDescent="0.2">
      <c r="A32" t="s">
        <v>144</v>
      </c>
      <c r="B32" s="81">
        <f>J31</f>
        <v>410604</v>
      </c>
      <c r="C32" s="78" t="s">
        <v>142</v>
      </c>
      <c r="D32" s="81">
        <v>938.01691003020005</v>
      </c>
      <c r="E32" s="81">
        <f>SUM(B32:D32)</f>
        <v>411542.01691003022</v>
      </c>
      <c r="F32" s="81">
        <v>327609.46666666667</v>
      </c>
      <c r="G32" s="81">
        <v>45796.429087500008</v>
      </c>
      <c r="H32" s="81">
        <f>I32-F32-G32</f>
        <v>-74277.87884413646</v>
      </c>
      <c r="I32" s="81">
        <f>E32-J32</f>
        <v>299128.01691003022</v>
      </c>
      <c r="J32" s="81">
        <f>'tab01'!D32</f>
        <v>112414</v>
      </c>
    </row>
    <row r="33" spans="1:10" x14ac:dyDescent="0.2">
      <c r="A33" t="s">
        <v>148</v>
      </c>
      <c r="B33" s="81"/>
      <c r="C33" s="81">
        <f>SUM(C29:C32)</f>
        <v>2453845</v>
      </c>
      <c r="D33" s="81">
        <f>SUM(D29:D32)</f>
        <v>5561.5535121068997</v>
      </c>
      <c r="E33" s="81">
        <f>B29+D33+C33</f>
        <v>2637735.5535121071</v>
      </c>
      <c r="F33" s="81">
        <f>SUM(F29:F32)</f>
        <v>1529698.7333333334</v>
      </c>
      <c r="G33" s="81">
        <f>SUM(G29:G32)</f>
        <v>886550.56059570005</v>
      </c>
      <c r="H33" s="81">
        <f>SUM(H29:H32)</f>
        <v>109072.25958307352</v>
      </c>
      <c r="I33" s="81">
        <f>SUM(I29:I32)</f>
        <v>2525321.5535121066</v>
      </c>
      <c r="J33" s="81"/>
    </row>
    <row r="34" spans="1:10" x14ac:dyDescent="0.2">
      <c r="B34" s="81"/>
      <c r="C34" s="81"/>
      <c r="D34" s="81"/>
      <c r="E34" s="81"/>
      <c r="F34" s="81"/>
      <c r="G34" s="81"/>
      <c r="H34" s="81"/>
      <c r="I34" s="81"/>
      <c r="J34" s="81"/>
    </row>
    <row r="35" spans="1:10" x14ac:dyDescent="0.2">
      <c r="A35" t="s">
        <v>21</v>
      </c>
      <c r="B35" s="81"/>
      <c r="C35" s="81"/>
      <c r="D35" s="81"/>
      <c r="E35" s="81"/>
      <c r="F35" s="81"/>
      <c r="G35" s="81"/>
      <c r="H35" s="81"/>
      <c r="I35" s="81"/>
      <c r="J35" s="81"/>
    </row>
    <row r="36" spans="1:10" x14ac:dyDescent="0.2">
      <c r="A36" t="s">
        <v>146</v>
      </c>
      <c r="B36" s="81">
        <f>J32</f>
        <v>112414</v>
      </c>
      <c r="C36" s="81">
        <v>3123790</v>
      </c>
      <c r="D36" s="81">
        <v>970.57274682270008</v>
      </c>
      <c r="E36" s="81">
        <f>SUM(B36:D36)</f>
        <v>3237174.5727468226</v>
      </c>
      <c r="F36" s="81">
        <v>427364.03333333333</v>
      </c>
      <c r="G36" s="81">
        <v>405776.25842880004</v>
      </c>
      <c r="H36" s="81">
        <f>I36-F36-G36</f>
        <v>99394.280984689249</v>
      </c>
      <c r="I36" s="81">
        <f>E36-J36</f>
        <v>932534.57274682261</v>
      </c>
      <c r="J36" s="81">
        <f>'tab01'!D35</f>
        <v>2304640</v>
      </c>
    </row>
    <row r="37" spans="1:10" x14ac:dyDescent="0.2">
      <c r="A37" t="s">
        <v>147</v>
      </c>
      <c r="B37" s="81">
        <f>J36</f>
        <v>2304640</v>
      </c>
      <c r="C37" s="78" t="s">
        <v>142</v>
      </c>
      <c r="D37" s="81">
        <v>1377.3180835953001</v>
      </c>
      <c r="E37" s="81">
        <f>SUM(B37:D37)</f>
        <v>2306017.3180835955</v>
      </c>
      <c r="F37" s="81">
        <v>436184.80000000005</v>
      </c>
      <c r="G37" s="81">
        <v>410684.18792520004</v>
      </c>
      <c r="H37" s="81">
        <f>I37-F37-G37</f>
        <v>77784.330158395402</v>
      </c>
      <c r="I37" s="81">
        <f>E37-J37</f>
        <v>924653.31808359548</v>
      </c>
      <c r="J37" s="81">
        <f>'tab01'!D36</f>
        <v>1381364</v>
      </c>
    </row>
    <row r="38" spans="1:10" x14ac:dyDescent="0.2">
      <c r="A38" t="s">
        <v>143</v>
      </c>
      <c r="B38" s="81">
        <f>J37</f>
        <v>1381364</v>
      </c>
      <c r="C38" s="78" t="s">
        <v>142</v>
      </c>
      <c r="D38" s="81">
        <v>969.65595476399994</v>
      </c>
      <c r="E38" s="81">
        <f>SUM(B38:D38)</f>
        <v>1382333.655954764</v>
      </c>
      <c r="F38" s="81">
        <v>430721.9</v>
      </c>
      <c r="G38" s="81">
        <v>197913.1792092</v>
      </c>
      <c r="H38" s="81">
        <f>I38-F38-G38</f>
        <v>54424.576745563973</v>
      </c>
      <c r="I38" s="81">
        <f>E38-J38</f>
        <v>683059.65595476399</v>
      </c>
      <c r="J38" s="81">
        <f>'tab01'!D37</f>
        <v>699274</v>
      </c>
    </row>
    <row r="39" spans="1:10" x14ac:dyDescent="0.2">
      <c r="A39" t="s">
        <v>144</v>
      </c>
      <c r="B39" s="81">
        <f>J38</f>
        <v>699274</v>
      </c>
      <c r="C39" s="78" t="s">
        <v>142</v>
      </c>
      <c r="D39" s="81">
        <v>2260.0176839688002</v>
      </c>
      <c r="E39" s="81">
        <f>SUM(B39:D39)</f>
        <v>701534.01768396876</v>
      </c>
      <c r="F39" s="81">
        <v>401810.49999999994</v>
      </c>
      <c r="G39" s="81">
        <v>82782.674251200006</v>
      </c>
      <c r="H39" s="81">
        <f>I39-F39-G39</f>
        <v>-38797.156567231184</v>
      </c>
      <c r="I39" s="81">
        <f>E39-J39</f>
        <v>445796.01768396876</v>
      </c>
      <c r="J39" s="81">
        <f>'tab01'!D38</f>
        <v>255738</v>
      </c>
    </row>
    <row r="40" spans="1:10" x14ac:dyDescent="0.2">
      <c r="A40" t="s">
        <v>148</v>
      </c>
      <c r="B40" s="81"/>
      <c r="C40" s="81">
        <f>SUM(C36:C39)</f>
        <v>3123790</v>
      </c>
      <c r="D40" s="81">
        <f>SUM(D36:D39)</f>
        <v>5577.5644691508005</v>
      </c>
      <c r="E40" s="81">
        <f>B36+D40+C40</f>
        <v>3241781.5644691507</v>
      </c>
      <c r="F40" s="81">
        <f>SUM(F36:F39)</f>
        <v>1696081.2333333334</v>
      </c>
      <c r="G40" s="81">
        <f>SUM(G36:G39)</f>
        <v>1097156.2998144</v>
      </c>
      <c r="H40" s="81">
        <f>SUM(H36:H39)</f>
        <v>192806.03132141742</v>
      </c>
      <c r="I40" s="81">
        <f>SUM(I36:I39)</f>
        <v>2986043.5644691512</v>
      </c>
      <c r="J40" s="81"/>
    </row>
    <row r="41" spans="1:10" x14ac:dyDescent="0.2">
      <c r="B41" s="81"/>
      <c r="C41" s="81"/>
      <c r="D41" s="81"/>
      <c r="E41" s="81"/>
      <c r="F41" s="81"/>
      <c r="G41" s="81"/>
      <c r="H41" s="81"/>
      <c r="I41" s="81"/>
      <c r="J41" s="81"/>
    </row>
    <row r="42" spans="1:10" x14ac:dyDescent="0.2">
      <c r="A42" t="s">
        <v>22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0" x14ac:dyDescent="0.2">
      <c r="A43" t="s">
        <v>146</v>
      </c>
      <c r="B43" s="81">
        <f>J39</f>
        <v>255738</v>
      </c>
      <c r="C43" s="81">
        <v>3068342</v>
      </c>
      <c r="D43" s="81">
        <v>587.62468781730001</v>
      </c>
      <c r="E43" s="81">
        <f>SUM(B43:D43)</f>
        <v>3324667.6246878174</v>
      </c>
      <c r="F43" s="81">
        <v>442350.63333333342</v>
      </c>
      <c r="G43" s="81">
        <v>312634.2123744</v>
      </c>
      <c r="H43" s="81">
        <f>I43-F43-G43</f>
        <v>68256.778980083996</v>
      </c>
      <c r="I43" s="81">
        <f>E43-J43</f>
        <v>823241.62468781741</v>
      </c>
      <c r="J43" s="81">
        <f>'tab01'!D41</f>
        <v>2501426</v>
      </c>
    </row>
    <row r="44" spans="1:10" x14ac:dyDescent="0.2">
      <c r="A44" t="s">
        <v>147</v>
      </c>
      <c r="B44" s="81">
        <f>J43</f>
        <v>2501426</v>
      </c>
      <c r="C44" s="78" t="s">
        <v>142</v>
      </c>
      <c r="D44" s="81">
        <v>777.73802462160006</v>
      </c>
      <c r="E44" s="81">
        <f>SUM(B44:D44)</f>
        <v>2502203.7380246217</v>
      </c>
      <c r="F44" s="81">
        <v>437154.7</v>
      </c>
      <c r="G44" s="81">
        <v>305219.62766400003</v>
      </c>
      <c r="H44" s="81">
        <f>I44-F44-G44</f>
        <v>90623.410360621696</v>
      </c>
      <c r="I44" s="81">
        <f>E44-J44</f>
        <v>832997.73802462174</v>
      </c>
      <c r="J44" s="81">
        <f>'tab01'!D42</f>
        <v>1669206</v>
      </c>
    </row>
    <row r="45" spans="1:10" x14ac:dyDescent="0.2">
      <c r="A45" t="s">
        <v>143</v>
      </c>
      <c r="B45" s="81">
        <f>J44</f>
        <v>1669206</v>
      </c>
      <c r="C45" s="78" t="s">
        <v>142</v>
      </c>
      <c r="D45" s="81">
        <v>956.18894778959998</v>
      </c>
      <c r="E45" s="81">
        <f>SUM(B45:D45)</f>
        <v>1670162.1889477896</v>
      </c>
      <c r="F45" s="81">
        <v>431251.76666666672</v>
      </c>
      <c r="G45" s="81">
        <v>184313.4172467</v>
      </c>
      <c r="H45" s="81">
        <f>I45-F45-G45</f>
        <v>63898.00503442288</v>
      </c>
      <c r="I45" s="81">
        <f>E45-J45</f>
        <v>679463.1889477896</v>
      </c>
      <c r="J45" s="81">
        <f>'tab01'!D43</f>
        <v>990699</v>
      </c>
    </row>
    <row r="46" spans="1:10" x14ac:dyDescent="0.2">
      <c r="A46" t="s">
        <v>144</v>
      </c>
      <c r="B46" s="81">
        <f>J45</f>
        <v>990699</v>
      </c>
      <c r="C46" s="78" t="s">
        <v>142</v>
      </c>
      <c r="D46" s="81">
        <v>1050.4569310431002</v>
      </c>
      <c r="E46" s="81">
        <f>SUM(B46:D46)</f>
        <v>991749.45693104307</v>
      </c>
      <c r="F46" s="81">
        <v>428094.6333333333</v>
      </c>
      <c r="G46" s="81">
        <v>137711.49276779999</v>
      </c>
      <c r="H46" s="81">
        <f>I46-F46-G46</f>
        <v>-23382.66917009023</v>
      </c>
      <c r="I46" s="81">
        <f>E46-J46</f>
        <v>542423.45693104307</v>
      </c>
      <c r="J46" s="81">
        <f>'tab01'!D44</f>
        <v>449326</v>
      </c>
    </row>
    <row r="47" spans="1:10" x14ac:dyDescent="0.2">
      <c r="A47" t="s">
        <v>148</v>
      </c>
      <c r="B47" s="81"/>
      <c r="C47" s="81">
        <f>SUM(C43:C46)</f>
        <v>3068342</v>
      </c>
      <c r="D47" s="81">
        <f>SUM(D43:D46)</f>
        <v>3372.0085912715999</v>
      </c>
      <c r="E47" s="81">
        <f>B43+D47+C47</f>
        <v>3327452.0085912715</v>
      </c>
      <c r="F47" s="81">
        <f>SUM(F43:F46)</f>
        <v>1738851.7333333334</v>
      </c>
      <c r="G47" s="81">
        <f>SUM(G43:G46)</f>
        <v>939878.75005290005</v>
      </c>
      <c r="H47" s="81">
        <f>SUM(H43:H46)</f>
        <v>199395.52520503834</v>
      </c>
      <c r="I47" s="81">
        <f>SUM(I43:I46)</f>
        <v>2878126.0085912715</v>
      </c>
      <c r="J47" s="81"/>
    </row>
    <row r="48" spans="1:10" x14ac:dyDescent="0.2">
      <c r="B48" s="81"/>
      <c r="C48" s="81"/>
      <c r="D48" s="81"/>
      <c r="E48" s="81"/>
      <c r="F48" s="81"/>
      <c r="G48" s="81"/>
      <c r="H48" s="81"/>
      <c r="I48" s="81"/>
      <c r="J48" s="81"/>
    </row>
    <row r="49" spans="1:10" x14ac:dyDescent="0.2">
      <c r="A49" t="s">
        <v>23</v>
      </c>
      <c r="B49" s="81"/>
      <c r="C49" s="81"/>
      <c r="D49" s="81"/>
      <c r="E49" s="81"/>
      <c r="F49" s="81"/>
      <c r="G49" s="81"/>
      <c r="H49" s="81"/>
      <c r="I49" s="81"/>
      <c r="J49" s="81"/>
    </row>
    <row r="50" spans="1:10" x14ac:dyDescent="0.2">
      <c r="A50" t="s">
        <v>146</v>
      </c>
      <c r="B50" s="81">
        <f>J46</f>
        <v>449326</v>
      </c>
      <c r="C50" s="81">
        <v>3196726</v>
      </c>
      <c r="D50" s="81">
        <v>1520.9606341859999</v>
      </c>
      <c r="E50" s="81">
        <f>SUM(B50:D50)</f>
        <v>3647572.9606341859</v>
      </c>
      <c r="F50" s="81">
        <v>459203.3</v>
      </c>
      <c r="G50" s="81">
        <v>373814.78772750002</v>
      </c>
      <c r="H50" s="81">
        <f>I50-F50-G50</f>
        <v>113188.87290668592</v>
      </c>
      <c r="I50" s="81">
        <f>E50-J50</f>
        <v>946206.96063418593</v>
      </c>
      <c r="J50" s="81">
        <f>'tab01'!D47</f>
        <v>2701366</v>
      </c>
    </row>
    <row r="51" spans="1:10" x14ac:dyDescent="0.2">
      <c r="A51" t="s">
        <v>147</v>
      </c>
      <c r="B51" s="81">
        <f>J50</f>
        <v>2701366</v>
      </c>
      <c r="C51" s="78" t="s">
        <v>142</v>
      </c>
      <c r="D51" s="81">
        <v>1910.4139815579001</v>
      </c>
      <c r="E51" s="81">
        <f>SUM(B51:D51)</f>
        <v>2703276.4139815578</v>
      </c>
      <c r="F51" s="81">
        <v>449817.45299999998</v>
      </c>
      <c r="G51" s="81">
        <v>396317.3644815</v>
      </c>
      <c r="H51" s="81">
        <f>I51-F51-G51</f>
        <v>70254.596500057844</v>
      </c>
      <c r="I51" s="81">
        <f>E51-J51</f>
        <v>916389.41398155782</v>
      </c>
      <c r="J51" s="81">
        <f>'tab01'!D48</f>
        <v>1786887</v>
      </c>
    </row>
    <row r="52" spans="1:10" x14ac:dyDescent="0.2">
      <c r="A52" t="s">
        <v>143</v>
      </c>
      <c r="B52" s="81">
        <f>J51</f>
        <v>1786887</v>
      </c>
      <c r="C52" s="78" t="s">
        <v>142</v>
      </c>
      <c r="D52" s="81">
        <v>2568.6628165527</v>
      </c>
      <c r="E52" s="81">
        <f>SUM(B52:D52)</f>
        <v>1789455.6628165527</v>
      </c>
      <c r="F52" s="81">
        <v>453227.99633333331</v>
      </c>
      <c r="G52" s="81">
        <v>210005.31041699997</v>
      </c>
      <c r="H52" s="81">
        <f>I52-F52-G52</f>
        <v>34037.356066219392</v>
      </c>
      <c r="I52" s="81">
        <f>E52-J52</f>
        <v>697270.66281655268</v>
      </c>
      <c r="J52" s="81">
        <f>'tab01'!D49</f>
        <v>1092185</v>
      </c>
    </row>
    <row r="53" spans="1:10" x14ac:dyDescent="0.2">
      <c r="A53" t="s">
        <v>144</v>
      </c>
      <c r="B53" s="81">
        <f>J52</f>
        <v>1092185</v>
      </c>
      <c r="C53" s="78" t="s">
        <v>142</v>
      </c>
      <c r="D53" s="81">
        <v>3033.7137178718999</v>
      </c>
      <c r="E53" s="81">
        <f>SUM(B53:D53)</f>
        <v>1095218.7137178718</v>
      </c>
      <c r="F53" s="81">
        <v>445456.89300000004</v>
      </c>
      <c r="G53" s="81">
        <v>136358.40601530002</v>
      </c>
      <c r="H53" s="81">
        <f>I53-F53-G53</f>
        <v>-60406.585297428246</v>
      </c>
      <c r="I53" s="81">
        <f>E53-J53</f>
        <v>521408.71371787181</v>
      </c>
      <c r="J53" s="81">
        <f>'tab01'!D50</f>
        <v>573810</v>
      </c>
    </row>
    <row r="54" spans="1:10" x14ac:dyDescent="0.2">
      <c r="A54" t="s">
        <v>148</v>
      </c>
      <c r="B54" s="81"/>
      <c r="C54" s="81">
        <f>SUM(C50:C53)</f>
        <v>3196726</v>
      </c>
      <c r="D54" s="81">
        <f>SUM(D50:D53)</f>
        <v>9033.7511501685003</v>
      </c>
      <c r="E54" s="81">
        <f>B50+D54+C54</f>
        <v>3655085.7511501685</v>
      </c>
      <c r="F54" s="81">
        <f>SUM(F50:F53)</f>
        <v>1807705.6423333334</v>
      </c>
      <c r="G54" s="81">
        <f>SUM(G50:G53)</f>
        <v>1116495.8686412999</v>
      </c>
      <c r="H54" s="81">
        <f>SUM(H50:H53)</f>
        <v>157074.24017553491</v>
      </c>
      <c r="I54" s="81">
        <f>SUM(I50:I53)</f>
        <v>3081275.751150168</v>
      </c>
      <c r="J54" s="81"/>
    </row>
    <row r="55" spans="1:10" x14ac:dyDescent="0.2">
      <c r="B55" s="81"/>
      <c r="C55" s="81"/>
      <c r="D55" s="81"/>
      <c r="E55" s="81"/>
      <c r="F55" s="81"/>
      <c r="G55" s="81"/>
      <c r="H55" s="81"/>
      <c r="I55" s="81"/>
      <c r="J55" s="81"/>
    </row>
    <row r="56" spans="1:10" x14ac:dyDescent="0.2">
      <c r="A56" t="s">
        <v>24</v>
      </c>
      <c r="B56" s="81"/>
      <c r="C56" s="81"/>
      <c r="D56" s="81"/>
      <c r="E56" s="81"/>
      <c r="F56" s="81"/>
      <c r="G56" s="81"/>
      <c r="H56" s="81"/>
      <c r="I56" s="81"/>
      <c r="J56" s="81"/>
    </row>
    <row r="57" spans="1:10" x14ac:dyDescent="0.2">
      <c r="A57" t="s">
        <v>146</v>
      </c>
      <c r="B57" s="81">
        <f>J53</f>
        <v>573810</v>
      </c>
      <c r="C57" s="81">
        <f>'tab02'!E33</f>
        <v>2677117</v>
      </c>
      <c r="D57" s="81">
        <v>1568.7447137250001</v>
      </c>
      <c r="E57" s="81">
        <f>SUM(B57:D57)</f>
        <v>3252495.7447137251</v>
      </c>
      <c r="F57" s="81">
        <v>467364.81099999999</v>
      </c>
      <c r="G57" s="81">
        <v>328060.35668910004</v>
      </c>
      <c r="H57" s="81">
        <f>I57-F57-G57</f>
        <v>96710.577024625032</v>
      </c>
      <c r="I57" s="81">
        <f>E57-J57</f>
        <v>892135.74471372506</v>
      </c>
      <c r="J57" s="81">
        <f>'tab01'!D53</f>
        <v>2360360</v>
      </c>
    </row>
    <row r="58" spans="1:10" x14ac:dyDescent="0.2">
      <c r="A58" t="s">
        <v>147</v>
      </c>
      <c r="B58" s="81">
        <f>J57</f>
        <v>2360360</v>
      </c>
      <c r="C58" s="78" t="s">
        <v>142</v>
      </c>
      <c r="D58" s="81">
        <v>3726.7765839738004</v>
      </c>
      <c r="E58" s="81">
        <f>SUM(B58:D58)</f>
        <v>2364086.7765839738</v>
      </c>
      <c r="F58" s="81">
        <v>471037.22666666668</v>
      </c>
      <c r="G58" s="81">
        <v>431289.32001120003</v>
      </c>
      <c r="H58" s="81">
        <f>I58-F58-G58</f>
        <v>27778.229906107066</v>
      </c>
      <c r="I58" s="81">
        <f>E58-J58</f>
        <v>930104.77658397378</v>
      </c>
      <c r="J58" s="81">
        <f>'tab01'!D54</f>
        <v>1433982</v>
      </c>
    </row>
    <row r="59" spans="1:10" x14ac:dyDescent="0.2">
      <c r="A59" t="s">
        <v>143</v>
      </c>
      <c r="B59" s="81">
        <f>J58</f>
        <v>1433982</v>
      </c>
      <c r="C59" s="78" t="s">
        <v>142</v>
      </c>
      <c r="D59" s="81">
        <v>2237.1732070863</v>
      </c>
      <c r="E59" s="81">
        <f>SUM(B59:D59)</f>
        <v>1436219.1732070863</v>
      </c>
      <c r="F59" s="81">
        <v>456013.5</v>
      </c>
      <c r="G59" s="81">
        <v>243753.14958120001</v>
      </c>
      <c r="H59" s="81">
        <f>I59-F59-G59</f>
        <v>60309.523625886271</v>
      </c>
      <c r="I59" s="81">
        <f>E59-J59</f>
        <v>760076.17320708628</v>
      </c>
      <c r="J59" s="81">
        <f>'tab01'!D55</f>
        <v>676143</v>
      </c>
    </row>
    <row r="60" spans="1:10" x14ac:dyDescent="0.2">
      <c r="A60" t="s">
        <v>144</v>
      </c>
      <c r="B60" s="81">
        <f>J59</f>
        <v>676143</v>
      </c>
      <c r="C60" s="78" t="s">
        <v>142</v>
      </c>
      <c r="D60" s="81">
        <v>2338.1084081922004</v>
      </c>
      <c r="E60" s="81">
        <f>SUM(B60:D60)</f>
        <v>678481.10840819217</v>
      </c>
      <c r="F60" s="81">
        <v>408991.79999999993</v>
      </c>
      <c r="G60" s="81">
        <v>155726.23074750003</v>
      </c>
      <c r="H60" s="81">
        <f>I60-F60-G60</f>
        <v>-91270.922339307785</v>
      </c>
      <c r="I60" s="81">
        <f>E60-J60</f>
        <v>473447.10840819217</v>
      </c>
      <c r="J60" s="81">
        <f>'tab01'!D56</f>
        <v>205034</v>
      </c>
    </row>
    <row r="61" spans="1:10" x14ac:dyDescent="0.2">
      <c r="A61" t="s">
        <v>148</v>
      </c>
      <c r="B61" s="81"/>
      <c r="C61" s="81">
        <f>SUM(C57:C60)</f>
        <v>2677117</v>
      </c>
      <c r="D61" s="81">
        <f>SUM(D57:D60)</f>
        <v>9870.8029129773004</v>
      </c>
      <c r="E61" s="81">
        <f>B57+D61+C61</f>
        <v>3260797.8029129775</v>
      </c>
      <c r="F61" s="81">
        <f>SUM(F57:F60)</f>
        <v>1803407.3376666666</v>
      </c>
      <c r="G61" s="81">
        <f>SUM(G57:G60)</f>
        <v>1158829.057029</v>
      </c>
      <c r="H61" s="81">
        <f>SUM(H57:H60)</f>
        <v>93527.408217310585</v>
      </c>
      <c r="I61" s="81">
        <f>SUM(I57:I60)</f>
        <v>3055763.8029129775</v>
      </c>
      <c r="J61" s="81"/>
    </row>
    <row r="62" spans="1:10" ht="13.2" customHeight="1" x14ac:dyDescent="0.2">
      <c r="B62" s="81"/>
      <c r="C62" s="81"/>
      <c r="D62" s="81"/>
      <c r="E62" s="81"/>
      <c r="F62" s="81"/>
      <c r="G62" s="81"/>
      <c r="H62" s="81"/>
      <c r="I62" s="81"/>
      <c r="J62" s="81"/>
    </row>
    <row r="63" spans="1:10" x14ac:dyDescent="0.2">
      <c r="A63" t="s">
        <v>25</v>
      </c>
      <c r="B63" s="81"/>
      <c r="C63" s="81"/>
      <c r="D63" s="81"/>
      <c r="E63" s="81"/>
      <c r="F63" s="81"/>
      <c r="G63" s="81"/>
      <c r="H63" s="81"/>
      <c r="I63" s="81"/>
      <c r="J63" s="81"/>
    </row>
    <row r="64" spans="1:10" x14ac:dyDescent="0.2">
      <c r="A64" t="s">
        <v>146</v>
      </c>
      <c r="B64" s="81">
        <f>J60</f>
        <v>205034</v>
      </c>
      <c r="C64" s="81">
        <f>'tab02'!E34</f>
        <v>2967007</v>
      </c>
      <c r="D64" s="81">
        <v>2760.0435538011006</v>
      </c>
      <c r="E64" s="81">
        <f>SUM(B64:D64)</f>
        <v>3174801.0435538013</v>
      </c>
      <c r="F64" s="81">
        <v>420422.06666666665</v>
      </c>
      <c r="G64" s="81">
        <v>386933.7216318</v>
      </c>
      <c r="H64" s="81">
        <f>I64-F64-G64</f>
        <v>92013.255255334603</v>
      </c>
      <c r="I64" s="81">
        <f>E64-J64</f>
        <v>899369.04355380125</v>
      </c>
      <c r="J64" s="81">
        <f>'tab01'!D59</f>
        <v>2275432</v>
      </c>
    </row>
    <row r="65" spans="1:10" x14ac:dyDescent="0.2">
      <c r="A65" t="s">
        <v>147</v>
      </c>
      <c r="B65" s="81">
        <f>J64</f>
        <v>2275432</v>
      </c>
      <c r="C65" s="78" t="s">
        <v>142</v>
      </c>
      <c r="D65" s="81">
        <v>4596.0753527766001</v>
      </c>
      <c r="E65" s="81">
        <f>SUM(B65:D65)</f>
        <v>2280028.0753527768</v>
      </c>
      <c r="F65" s="81">
        <v>421926.73333333328</v>
      </c>
      <c r="G65" s="81">
        <v>482875.27018920006</v>
      </c>
      <c r="H65" s="81">
        <f>I65-F65-G65</f>
        <v>73437.071830243454</v>
      </c>
      <c r="I65" s="81">
        <f>E65-J65</f>
        <v>978239.0753527768</v>
      </c>
      <c r="J65" s="81">
        <f>'tab01'!D60</f>
        <v>1301789</v>
      </c>
    </row>
    <row r="66" spans="1:10" x14ac:dyDescent="0.2">
      <c r="A66" t="s">
        <v>143</v>
      </c>
      <c r="B66" s="81">
        <f>J65</f>
        <v>1301789</v>
      </c>
      <c r="C66" s="78" t="s">
        <v>142</v>
      </c>
      <c r="D66" s="81">
        <v>3771.8175993330001</v>
      </c>
      <c r="E66" s="81">
        <f>SUM(B66:D66)</f>
        <v>1305560.8175993329</v>
      </c>
      <c r="F66" s="81">
        <v>430856.66666666663</v>
      </c>
      <c r="G66" s="81">
        <v>243683.37329490003</v>
      </c>
      <c r="H66" s="81">
        <f>I66-F66-G66</f>
        <v>34861.777637766238</v>
      </c>
      <c r="I66" s="81">
        <f>E66-J66</f>
        <v>709401.81759933289</v>
      </c>
      <c r="J66" s="81">
        <f>'tab01'!D61</f>
        <v>596159</v>
      </c>
    </row>
    <row r="67" spans="1:10" x14ac:dyDescent="0.2">
      <c r="A67" t="s">
        <v>149</v>
      </c>
      <c r="B67" s="81">
        <f>J66</f>
        <v>596159</v>
      </c>
      <c r="C67" s="78" t="s">
        <v>142</v>
      </c>
      <c r="D67" s="81">
        <v>2135.1931253835</v>
      </c>
      <c r="E67" s="81">
        <f>SUM(B67:D67)</f>
        <v>598294.19312538346</v>
      </c>
      <c r="F67" s="81">
        <v>388716.6</v>
      </c>
      <c r="G67" s="81">
        <v>165801.2063127</v>
      </c>
      <c r="H67" s="81">
        <f>I67-F67-G67</f>
        <v>-94421.613187316514</v>
      </c>
      <c r="I67" s="81">
        <f>E67-J67</f>
        <v>460096.19312538346</v>
      </c>
      <c r="J67" s="81">
        <f>'tab01'!D62</f>
        <v>138198</v>
      </c>
    </row>
    <row r="68" spans="1:10" x14ac:dyDescent="0.2">
      <c r="A68" t="s">
        <v>148</v>
      </c>
      <c r="B68" s="81"/>
      <c r="C68" s="81">
        <f>SUM(C64:C67)</f>
        <v>2967007</v>
      </c>
      <c r="D68" s="81">
        <f>SUM(D64:D67)</f>
        <v>13263.129631294199</v>
      </c>
      <c r="E68" s="81">
        <f>B64+D68+C68</f>
        <v>3185304.1296312944</v>
      </c>
      <c r="F68" s="81">
        <f>SUM(F64:F67)</f>
        <v>1661922.0666666664</v>
      </c>
      <c r="G68" s="81">
        <f>SUM(G64:G67)</f>
        <v>1279293.5714286</v>
      </c>
      <c r="H68" s="81">
        <f>SUM(H64:H67)</f>
        <v>105890.49153602778</v>
      </c>
      <c r="I68" s="81">
        <f>SUM(I64:I67)</f>
        <v>3047106.1296312944</v>
      </c>
      <c r="J68" s="81"/>
    </row>
    <row r="69" spans="1:10" x14ac:dyDescent="0.2">
      <c r="B69" s="81"/>
      <c r="C69" s="81"/>
      <c r="D69" s="81"/>
      <c r="E69" s="81"/>
      <c r="F69" s="81"/>
      <c r="G69" s="81"/>
      <c r="H69" s="81"/>
      <c r="I69" s="81"/>
      <c r="J69" s="81"/>
    </row>
    <row r="70" spans="1:10" x14ac:dyDescent="0.2">
      <c r="A70" t="s">
        <v>26</v>
      </c>
      <c r="B70" s="81"/>
      <c r="C70" s="81"/>
      <c r="D70" s="81"/>
      <c r="E70" s="81"/>
      <c r="F70" s="81"/>
      <c r="G70" s="81"/>
      <c r="H70" s="81"/>
      <c r="I70" s="81"/>
      <c r="J70" s="81"/>
    </row>
    <row r="71" spans="1:10" x14ac:dyDescent="0.2">
      <c r="A71" t="s">
        <v>146</v>
      </c>
      <c r="B71" s="81">
        <f>J67</f>
        <v>138198</v>
      </c>
      <c r="C71" s="81">
        <f>'tab02'!E35</f>
        <v>3360931</v>
      </c>
      <c r="D71" s="81">
        <v>3171.0505351308002</v>
      </c>
      <c r="E71" s="81">
        <f>SUM(B71:D71)</f>
        <v>3502300.0505351308</v>
      </c>
      <c r="F71" s="81">
        <v>445062.33333333331</v>
      </c>
      <c r="G71" s="81">
        <v>535978.25750910002</v>
      </c>
      <c r="H71" s="81">
        <f>I71-F71-G71</f>
        <v>182709.45969269751</v>
      </c>
      <c r="I71" s="81">
        <f>E71-J71</f>
        <v>1163750.0505351308</v>
      </c>
      <c r="J71" s="81">
        <f>'tab01'!D65</f>
        <v>2338550</v>
      </c>
    </row>
    <row r="72" spans="1:10" x14ac:dyDescent="0.2">
      <c r="A72" t="s">
        <v>147</v>
      </c>
      <c r="B72" s="81">
        <f>J71</f>
        <v>2338550</v>
      </c>
      <c r="C72" s="78" t="s">
        <v>142</v>
      </c>
      <c r="D72" s="81">
        <v>5609.5613607789001</v>
      </c>
      <c r="E72" s="81">
        <f>SUM(B72:D72)</f>
        <v>2344159.5613607788</v>
      </c>
      <c r="F72" s="81">
        <v>494208.20666666667</v>
      </c>
      <c r="G72" s="81">
        <v>622287.15116190002</v>
      </c>
      <c r="H72" s="81">
        <f>I72-F72-G72</f>
        <v>-42403.796467787935</v>
      </c>
      <c r="I72" s="81">
        <f>E72-J72</f>
        <v>1074091.5613607788</v>
      </c>
      <c r="J72" s="81">
        <f>'tab01'!D66</f>
        <v>1270068</v>
      </c>
    </row>
    <row r="73" spans="1:10" x14ac:dyDescent="0.2">
      <c r="A73" t="s">
        <v>143</v>
      </c>
      <c r="B73" s="81">
        <f>J72</f>
        <v>1270068</v>
      </c>
      <c r="C73" s="78" t="s">
        <v>142</v>
      </c>
      <c r="D73" s="81">
        <v>3181.7533502978999</v>
      </c>
      <c r="E73" s="81">
        <f>SUM(B73:D73)</f>
        <v>1273249.7533502979</v>
      </c>
      <c r="F73" s="81">
        <v>425468.53833333333</v>
      </c>
      <c r="G73" s="81">
        <v>218940.71687040001</v>
      </c>
      <c r="H73" s="81">
        <f>I73-F73-G73</f>
        <v>57717.498146564583</v>
      </c>
      <c r="I73" s="81">
        <f>E73-J73</f>
        <v>702126.75335029792</v>
      </c>
      <c r="J73" s="81">
        <f>'tab01'!D67</f>
        <v>571123</v>
      </c>
    </row>
    <row r="74" spans="1:10" x14ac:dyDescent="0.2">
      <c r="A74" t="s">
        <v>144</v>
      </c>
      <c r="B74" s="81">
        <f>J73</f>
        <v>571123</v>
      </c>
      <c r="C74" s="78" t="s">
        <v>142</v>
      </c>
      <c r="D74" s="81">
        <v>2625.7415824436998</v>
      </c>
      <c r="E74" s="81">
        <f>SUM(B74:D74)</f>
        <v>573748.7415824437</v>
      </c>
      <c r="F74" s="81">
        <v>386947.19000000006</v>
      </c>
      <c r="G74" s="81">
        <v>121841.99896890001</v>
      </c>
      <c r="H74" s="81">
        <f>I74-F74-G74</f>
        <v>-85925.447386456362</v>
      </c>
      <c r="I74" s="81">
        <f>E74-J74</f>
        <v>422863.7415824437</v>
      </c>
      <c r="J74" s="81">
        <f>'tab01'!D68</f>
        <v>150885</v>
      </c>
    </row>
    <row r="75" spans="1:10" x14ac:dyDescent="0.2">
      <c r="A75" t="s">
        <v>150</v>
      </c>
      <c r="B75" s="81"/>
      <c r="C75" s="81">
        <f>SUM(C71:C74)</f>
        <v>3360931</v>
      </c>
      <c r="D75" s="81">
        <f>SUM(D71:D74)</f>
        <v>14588.1068286513</v>
      </c>
      <c r="E75" s="81">
        <f>B71+D75+C75</f>
        <v>3513717.1068286514</v>
      </c>
      <c r="F75" s="81">
        <f>SUM(F71:F74)</f>
        <v>1751686.2683333335</v>
      </c>
      <c r="G75" s="81">
        <f>SUM(G71:G74)</f>
        <v>1499048.1245103001</v>
      </c>
      <c r="H75" s="81">
        <f>SUM(H71:H74)</f>
        <v>112097.71398501779</v>
      </c>
      <c r="I75" s="81">
        <f>SUM(I71:I74)</f>
        <v>3362832.1068286514</v>
      </c>
      <c r="J75" s="81"/>
    </row>
    <row r="76" spans="1:10" x14ac:dyDescent="0.2">
      <c r="B76" s="81"/>
      <c r="C76" s="81"/>
      <c r="D76" s="81"/>
      <c r="E76" s="81"/>
      <c r="F76" s="81"/>
      <c r="G76" s="81"/>
      <c r="H76" s="81"/>
      <c r="I76" s="81"/>
      <c r="J76" s="81"/>
    </row>
    <row r="77" spans="1:10" x14ac:dyDescent="0.2">
      <c r="A77" t="s">
        <v>27</v>
      </c>
      <c r="B77" s="81"/>
      <c r="C77" s="81"/>
      <c r="D77" s="81"/>
      <c r="E77" s="81"/>
      <c r="F77" s="81"/>
      <c r="G77" s="81"/>
      <c r="H77" s="81"/>
      <c r="I77" s="81"/>
      <c r="J77" s="81"/>
    </row>
    <row r="78" spans="1:10" x14ac:dyDescent="0.2">
      <c r="A78" t="s">
        <v>146</v>
      </c>
      <c r="B78" s="81">
        <f>J74</f>
        <v>150885</v>
      </c>
      <c r="C78" s="81">
        <f>'tab02'!E36</f>
        <v>3331306</v>
      </c>
      <c r="D78" s="81">
        <v>3739.2416269929004</v>
      </c>
      <c r="E78" s="81">
        <f>SUM(B78:D78)</f>
        <v>3485930.2416269928</v>
      </c>
      <c r="F78" s="81">
        <v>442633.99966666673</v>
      </c>
      <c r="G78" s="81">
        <v>622063.49225999997</v>
      </c>
      <c r="H78" s="81">
        <f>I78-F78-G78</f>
        <v>143148.74970032612</v>
      </c>
      <c r="I78" s="81">
        <f>E78-J78</f>
        <v>1207846.2416269928</v>
      </c>
      <c r="J78" s="81">
        <f>'tab01'!D71</f>
        <v>2278084</v>
      </c>
    </row>
    <row r="79" spans="1:10" x14ac:dyDescent="0.2">
      <c r="A79" t="s">
        <v>147</v>
      </c>
      <c r="B79" s="81">
        <f>J78</f>
        <v>2278084</v>
      </c>
      <c r="C79" s="78" t="s">
        <v>142</v>
      </c>
      <c r="D79" s="81">
        <v>4874.7842171721004</v>
      </c>
      <c r="E79" s="81">
        <f>SUM(B79:D79)</f>
        <v>2282958.7842171723</v>
      </c>
      <c r="F79" s="81">
        <v>430928.32833333337</v>
      </c>
      <c r="G79" s="81">
        <v>550535.00913809997</v>
      </c>
      <c r="H79" s="81">
        <f>I79-F79-G79</f>
        <v>52695.446745738969</v>
      </c>
      <c r="I79" s="81">
        <f>E79-J79</f>
        <v>1034158.7842171723</v>
      </c>
      <c r="J79" s="81">
        <f>'tab01'!D72</f>
        <v>1248800</v>
      </c>
    </row>
    <row r="80" spans="1:10" x14ac:dyDescent="0.2">
      <c r="A80" t="s">
        <v>143</v>
      </c>
      <c r="B80" s="81">
        <f>J79</f>
        <v>1248800</v>
      </c>
      <c r="C80" s="78" t="s">
        <v>142</v>
      </c>
      <c r="D80" s="81">
        <v>2933.2424794659</v>
      </c>
      <c r="E80" s="81">
        <f>SUM(B80:D80)</f>
        <v>1251733.2424794659</v>
      </c>
      <c r="F80" s="81">
        <v>396293.86666666664</v>
      </c>
      <c r="G80" s="81">
        <v>226853.17871579999</v>
      </c>
      <c r="H80" s="81">
        <f>I80-F80-G80</f>
        <v>9303.197096999269</v>
      </c>
      <c r="I80" s="81">
        <f>E80-J80</f>
        <v>632450.2424794659</v>
      </c>
      <c r="J80" s="81">
        <f>'tab01'!D73</f>
        <v>619283</v>
      </c>
    </row>
    <row r="81" spans="1:10" x14ac:dyDescent="0.2">
      <c r="A81" t="s">
        <v>144</v>
      </c>
      <c r="B81" s="81">
        <f>J80</f>
        <v>619283</v>
      </c>
      <c r="C81" s="78" t="s">
        <v>142</v>
      </c>
      <c r="D81" s="81">
        <v>2901.8281592013</v>
      </c>
      <c r="E81" s="81">
        <f>SUM(B81:D81)</f>
        <v>622184.82815920131</v>
      </c>
      <c r="F81" s="81">
        <v>378186.4</v>
      </c>
      <c r="G81" s="81">
        <v>105525.9589839</v>
      </c>
      <c r="H81" s="81">
        <f>I81-F81-G81</f>
        <v>-76540.530824698712</v>
      </c>
      <c r="I81" s="81">
        <f>E81-J81</f>
        <v>407171.82815920131</v>
      </c>
      <c r="J81" s="81">
        <f>'tab01'!D74</f>
        <v>215013</v>
      </c>
    </row>
    <row r="82" spans="1:10" x14ac:dyDescent="0.2">
      <c r="A82" t="s">
        <v>150</v>
      </c>
      <c r="B82" s="81"/>
      <c r="C82" s="81">
        <f>SUM(C78:C81)</f>
        <v>3331306</v>
      </c>
      <c r="D82" s="81">
        <f>SUM(D78:D81)</f>
        <v>14449.096482832199</v>
      </c>
      <c r="E82" s="81">
        <f>B78+D82+C82</f>
        <v>3496640.096482832</v>
      </c>
      <c r="F82" s="81">
        <f>SUM(F78:F81)</f>
        <v>1648042.5946666668</v>
      </c>
      <c r="G82" s="81">
        <f>SUM(G78:G81)</f>
        <v>1504977.6390978</v>
      </c>
      <c r="H82" s="81">
        <f>SUM(H78:H81)</f>
        <v>128606.86271836565</v>
      </c>
      <c r="I82" s="81">
        <f>SUM(I78:I81)</f>
        <v>3281627.0964828325</v>
      </c>
      <c r="J82" s="81"/>
    </row>
    <row r="83" spans="1:10" x14ac:dyDescent="0.2">
      <c r="B83" s="81"/>
      <c r="C83" s="81"/>
      <c r="D83" s="81"/>
      <c r="E83" s="81"/>
      <c r="F83" s="81"/>
      <c r="G83" s="81"/>
      <c r="H83" s="81"/>
      <c r="I83" s="81"/>
      <c r="J83" s="81"/>
    </row>
    <row r="84" spans="1:10" x14ac:dyDescent="0.2">
      <c r="A84" t="s">
        <v>28</v>
      </c>
      <c r="B84" s="81"/>
      <c r="C84" s="81"/>
      <c r="D84" s="81"/>
      <c r="E84" s="81"/>
      <c r="F84" s="81"/>
      <c r="G84" s="81"/>
      <c r="H84" s="81"/>
      <c r="I84" s="81"/>
      <c r="J84" s="81"/>
    </row>
    <row r="85" spans="1:10" x14ac:dyDescent="0.2">
      <c r="A85" t="s">
        <v>146</v>
      </c>
      <c r="B85" s="81">
        <f>J81</f>
        <v>215013</v>
      </c>
      <c r="C85" s="81">
        <f>'tab02'!E37</f>
        <v>3097179</v>
      </c>
      <c r="D85" s="81">
        <v>2844.1205983722002</v>
      </c>
      <c r="E85" s="81">
        <f>SUM(B85:D85)</f>
        <v>3315036.1205983721</v>
      </c>
      <c r="F85" s="78" t="s">
        <v>132</v>
      </c>
      <c r="G85" s="81">
        <v>424831.50450509996</v>
      </c>
      <c r="H85" s="78" t="s">
        <v>132</v>
      </c>
      <c r="I85" s="81">
        <f>E85-J85</f>
        <v>945151.12059837207</v>
      </c>
      <c r="J85" s="81">
        <f>'tab01'!D77</f>
        <v>2369885</v>
      </c>
    </row>
    <row r="86" spans="1:10" x14ac:dyDescent="0.2">
      <c r="A86" t="s">
        <v>147</v>
      </c>
      <c r="B86" s="81">
        <f>J85</f>
        <v>2369885</v>
      </c>
      <c r="C86" s="78" t="s">
        <v>142</v>
      </c>
      <c r="D86" s="81">
        <v>3141.6916574442002</v>
      </c>
      <c r="E86" s="81">
        <f>SUM(B86:D86)</f>
        <v>2373026.691657444</v>
      </c>
      <c r="F86" s="78" t="s">
        <v>132</v>
      </c>
      <c r="G86" s="81">
        <v>479457.93078500731</v>
      </c>
      <c r="H86" s="78" t="s">
        <v>132</v>
      </c>
      <c r="I86" s="81">
        <f>E86-J86</f>
        <v>998538.691657444</v>
      </c>
      <c r="J86" s="81">
        <f>'tab01'!D78</f>
        <v>1374488</v>
      </c>
    </row>
    <row r="87" spans="1:10" x14ac:dyDescent="0.2">
      <c r="A87" t="s">
        <v>143</v>
      </c>
      <c r="B87" s="81">
        <f>J86</f>
        <v>1374488</v>
      </c>
      <c r="C87" s="78" t="s">
        <v>142</v>
      </c>
      <c r="D87" s="81">
        <v>5330.7780169035004</v>
      </c>
      <c r="E87" s="81">
        <f>SUM(B87:D87)</f>
        <v>1379818.7780169034</v>
      </c>
      <c r="F87" s="78" t="s">
        <v>132</v>
      </c>
      <c r="G87" s="81">
        <v>256979.2281147</v>
      </c>
      <c r="H87" s="78" t="s">
        <v>132</v>
      </c>
      <c r="I87" s="81">
        <f>E87-J87</f>
        <v>712353.77801690344</v>
      </c>
      <c r="J87" s="81">
        <f>'tab01'!D79</f>
        <v>667465</v>
      </c>
    </row>
    <row r="88" spans="1:10" x14ac:dyDescent="0.2">
      <c r="A88" t="s">
        <v>144</v>
      </c>
      <c r="B88" s="81">
        <f>J87</f>
        <v>667465</v>
      </c>
      <c r="C88" s="78" t="s">
        <v>142</v>
      </c>
      <c r="D88" s="81">
        <v>4815.411431859</v>
      </c>
      <c r="E88" s="81">
        <f>SUM(B88:D88)</f>
        <v>672280.41143185901</v>
      </c>
      <c r="F88" s="78" t="s">
        <v>132</v>
      </c>
      <c r="G88" s="81">
        <v>203982.31809300242</v>
      </c>
      <c r="H88" s="78" t="s">
        <v>132</v>
      </c>
      <c r="I88" s="81">
        <f>E88-J88</f>
        <v>502910.41143185901</v>
      </c>
      <c r="J88" s="81">
        <f>'tab01'!D80</f>
        <v>169370</v>
      </c>
    </row>
    <row r="89" spans="1:10" x14ac:dyDescent="0.2">
      <c r="A89" t="s">
        <v>150</v>
      </c>
      <c r="B89" s="81"/>
      <c r="C89" s="81">
        <f>SUM(C85:C88)</f>
        <v>3097179</v>
      </c>
      <c r="D89" s="81">
        <f>SUM(D85:D88)</f>
        <v>16132.001704578901</v>
      </c>
      <c r="E89" s="81">
        <f>B85+D89+C89</f>
        <v>3328324.0017045788</v>
      </c>
      <c r="F89" s="81">
        <v>1703019</v>
      </c>
      <c r="G89" s="81">
        <f>SUM(G85:G88)</f>
        <v>1365250.9814978098</v>
      </c>
      <c r="H89" s="81">
        <f>I89-F89-G89</f>
        <v>90684.020206768531</v>
      </c>
      <c r="I89" s="81">
        <f>SUM(I85:I88)</f>
        <v>3158954.0017045783</v>
      </c>
      <c r="J89" s="81"/>
    </row>
    <row r="90" spans="1:10" x14ac:dyDescent="0.2">
      <c r="B90" s="81"/>
      <c r="C90" s="81"/>
      <c r="D90" s="81"/>
      <c r="E90" s="81"/>
      <c r="F90" s="81"/>
      <c r="G90" s="81"/>
      <c r="H90" s="81"/>
      <c r="I90" s="81"/>
      <c r="J90" s="81"/>
    </row>
    <row r="91" spans="1:10" x14ac:dyDescent="0.2">
      <c r="A91" t="s">
        <v>29</v>
      </c>
      <c r="B91" s="81"/>
      <c r="C91" s="81"/>
      <c r="D91" s="81"/>
      <c r="E91" s="81"/>
      <c r="F91" s="81"/>
      <c r="G91" s="81"/>
      <c r="H91" s="81"/>
      <c r="I91" s="81"/>
      <c r="J91" s="81"/>
    </row>
    <row r="92" spans="1:10" x14ac:dyDescent="0.2">
      <c r="A92" t="s">
        <v>146</v>
      </c>
      <c r="B92" s="81">
        <f>J88</f>
        <v>169370</v>
      </c>
      <c r="C92" s="81">
        <f>'tab02'!E38</f>
        <v>3042044</v>
      </c>
      <c r="D92" s="81">
        <v>4286.3493307698</v>
      </c>
      <c r="E92" s="81">
        <f>SUM(B92:D92)</f>
        <v>3215700.3493307699</v>
      </c>
      <c r="F92" s="78" t="s">
        <v>132</v>
      </c>
      <c r="G92" s="81">
        <v>626178</v>
      </c>
      <c r="H92" s="78" t="s">
        <v>132</v>
      </c>
      <c r="I92" s="81">
        <f>E92-J92</f>
        <v>1249539.3493307699</v>
      </c>
      <c r="J92" s="81">
        <f>'tab01'!D83</f>
        <v>1966161</v>
      </c>
    </row>
    <row r="93" spans="1:10" x14ac:dyDescent="0.2">
      <c r="A93" t="s">
        <v>147</v>
      </c>
      <c r="B93" s="81">
        <f>J92</f>
        <v>1966161</v>
      </c>
      <c r="C93" s="78" t="s">
        <v>142</v>
      </c>
      <c r="D93" s="81">
        <v>4718.1036423045007</v>
      </c>
      <c r="E93" s="81">
        <f>SUM(B93:D93)</f>
        <v>1970879.1036423044</v>
      </c>
      <c r="F93" s="78" t="s">
        <v>132</v>
      </c>
      <c r="G93" s="81">
        <v>522187</v>
      </c>
      <c r="H93" s="78" t="s">
        <v>132</v>
      </c>
      <c r="I93" s="81">
        <f>E93-J93</f>
        <v>972859.10364230443</v>
      </c>
      <c r="J93" s="81">
        <f>'tab01'!D84</f>
        <v>998020</v>
      </c>
    </row>
    <row r="94" spans="1:10" x14ac:dyDescent="0.2">
      <c r="A94" t="s">
        <v>143</v>
      </c>
      <c r="B94" s="81">
        <f>J93</f>
        <v>998020</v>
      </c>
      <c r="C94" s="78" t="s">
        <v>142</v>
      </c>
      <c r="D94" s="81">
        <v>7837.8888527835006</v>
      </c>
      <c r="E94" s="81">
        <f>SUM(B94:D94)</f>
        <v>1005857.8888527835</v>
      </c>
      <c r="F94" s="78" t="s">
        <v>132</v>
      </c>
      <c r="G94" s="81">
        <v>128665</v>
      </c>
      <c r="H94" s="78" t="s">
        <v>132</v>
      </c>
      <c r="I94" s="81">
        <f>E94-J94</f>
        <v>571193.88885278348</v>
      </c>
      <c r="J94" s="81">
        <f>'tab01'!D85</f>
        <v>434664</v>
      </c>
    </row>
    <row r="95" spans="1:10" x14ac:dyDescent="0.2">
      <c r="A95" t="s">
        <v>144</v>
      </c>
      <c r="B95" s="81">
        <f>J94</f>
        <v>434664</v>
      </c>
      <c r="C95" s="78" t="s">
        <v>142</v>
      </c>
      <c r="D95" s="81">
        <v>23674</v>
      </c>
      <c r="E95" s="81">
        <f>SUM(B95:D95)</f>
        <v>458338</v>
      </c>
      <c r="F95" s="78" t="s">
        <v>132</v>
      </c>
      <c r="G95" s="81">
        <v>50496</v>
      </c>
      <c r="H95" s="78" t="s">
        <v>132</v>
      </c>
      <c r="I95" s="81">
        <f>E95-J95</f>
        <v>317781</v>
      </c>
      <c r="J95" s="81">
        <f>'tab01'!D86</f>
        <v>140557</v>
      </c>
    </row>
    <row r="96" spans="1:10" x14ac:dyDescent="0.2">
      <c r="A96" t="s">
        <v>150</v>
      </c>
      <c r="B96" s="81"/>
      <c r="C96" s="81">
        <f>SUM(C92:C95)</f>
        <v>3042044</v>
      </c>
      <c r="D96" s="81">
        <f>SUM(D92:D95)</f>
        <v>40516.341825857802</v>
      </c>
      <c r="E96" s="81">
        <f>B92+D96+C96</f>
        <v>3251930.3418258578</v>
      </c>
      <c r="F96" s="81">
        <v>1688903</v>
      </c>
      <c r="G96" s="81">
        <f>SUM(G92:G95)</f>
        <v>1327526</v>
      </c>
      <c r="H96" s="81">
        <f>I96-F96-G96</f>
        <v>94944.341825857759</v>
      </c>
      <c r="I96" s="81">
        <f>SUM(I92:I95)</f>
        <v>3111373.3418258578</v>
      </c>
      <c r="J96" s="81"/>
    </row>
    <row r="97" spans="1:10" x14ac:dyDescent="0.2">
      <c r="B97" s="81"/>
      <c r="C97" s="81"/>
      <c r="D97" s="81"/>
      <c r="E97" s="81"/>
      <c r="F97" s="78"/>
      <c r="G97" s="81"/>
      <c r="H97" s="78"/>
      <c r="I97" s="81"/>
      <c r="J97" s="81"/>
    </row>
    <row r="98" spans="1:10" x14ac:dyDescent="0.2">
      <c r="A98" t="s">
        <v>30</v>
      </c>
      <c r="B98" s="81"/>
      <c r="C98" s="81"/>
      <c r="D98" s="81"/>
      <c r="E98" s="81"/>
      <c r="F98" s="78"/>
      <c r="G98" s="81"/>
      <c r="H98" s="78"/>
      <c r="I98" s="81"/>
      <c r="J98" s="81"/>
    </row>
    <row r="99" spans="1:10" x14ac:dyDescent="0.2">
      <c r="A99" t="s">
        <v>146</v>
      </c>
      <c r="B99" s="81">
        <f>J95</f>
        <v>140557</v>
      </c>
      <c r="C99" s="81">
        <f>'tab02'!E39</f>
        <v>3357004</v>
      </c>
      <c r="D99" s="81">
        <v>7488.2060411865004</v>
      </c>
      <c r="E99" s="81">
        <f>SUM(B99:D99)</f>
        <v>3505049.2060411866</v>
      </c>
      <c r="F99" s="78" t="s">
        <v>132</v>
      </c>
      <c r="G99" s="81">
        <v>676505.78762861853</v>
      </c>
      <c r="H99" s="78" t="s">
        <v>132</v>
      </c>
      <c r="I99" s="81">
        <f>E99-J99</f>
        <v>1351428.2060411866</v>
      </c>
      <c r="J99" s="81">
        <f>'tab01'!D89</f>
        <v>2153621</v>
      </c>
    </row>
    <row r="100" spans="1:10" x14ac:dyDescent="0.2">
      <c r="A100" t="s">
        <v>147</v>
      </c>
      <c r="B100" s="81">
        <f>J99</f>
        <v>2153621</v>
      </c>
      <c r="C100" s="78" t="s">
        <v>142</v>
      </c>
      <c r="D100" s="81">
        <v>8415.7309346565016</v>
      </c>
      <c r="E100" s="81">
        <f>SUM(B100:D100)</f>
        <v>2162036.7309346567</v>
      </c>
      <c r="F100" s="78" t="s">
        <v>132</v>
      </c>
      <c r="G100" s="81">
        <v>712229.04658936174</v>
      </c>
      <c r="H100" s="78" t="s">
        <v>132</v>
      </c>
      <c r="I100" s="81">
        <f>E100-J100</f>
        <v>1168208.7309346567</v>
      </c>
      <c r="J100" s="81">
        <f>'tab01'!D90</f>
        <v>993828</v>
      </c>
    </row>
    <row r="101" spans="1:10" x14ac:dyDescent="0.2">
      <c r="A101" t="s">
        <v>143</v>
      </c>
      <c r="B101" s="81">
        <f>J100</f>
        <v>993828</v>
      </c>
      <c r="C101" s="78" t="s">
        <v>142</v>
      </c>
      <c r="D101" s="81">
        <v>25586.9457776163</v>
      </c>
      <c r="E101" s="81">
        <f>SUM(B101:D101)</f>
        <v>1019414.9457776163</v>
      </c>
      <c r="F101" s="78" t="s">
        <v>132</v>
      </c>
      <c r="G101" s="81">
        <v>192044.2650875175</v>
      </c>
      <c r="H101" s="78" t="s">
        <v>132</v>
      </c>
      <c r="I101" s="81">
        <f>E101-J101</f>
        <v>614369.94577761635</v>
      </c>
      <c r="J101" s="81">
        <f>'tab01'!D91</f>
        <v>405045</v>
      </c>
    </row>
    <row r="102" spans="1:10" x14ac:dyDescent="0.2">
      <c r="A102" t="s">
        <v>144</v>
      </c>
      <c r="B102" s="81">
        <f>J101</f>
        <v>405045</v>
      </c>
      <c r="C102" s="78" t="s">
        <v>142</v>
      </c>
      <c r="D102" s="81">
        <v>30286.1634153267</v>
      </c>
      <c r="E102" s="81">
        <f>SUM(B102:D102)</f>
        <v>435331.16341532668</v>
      </c>
      <c r="F102" s="78" t="s">
        <v>132</v>
      </c>
      <c r="G102" s="81">
        <v>57779.840463681008</v>
      </c>
      <c r="H102" s="78" t="s">
        <v>132</v>
      </c>
      <c r="I102" s="81">
        <f>E102-J102</f>
        <v>343340.16341532668</v>
      </c>
      <c r="J102" s="81">
        <f>'tab01'!D92</f>
        <v>91991</v>
      </c>
    </row>
    <row r="103" spans="1:10" x14ac:dyDescent="0.2">
      <c r="A103" t="s">
        <v>150</v>
      </c>
      <c r="B103" s="81"/>
      <c r="C103" s="81">
        <f>SUM(C99:C102)</f>
        <v>3357004</v>
      </c>
      <c r="D103" s="81">
        <f>SUM(D99:D102)</f>
        <v>71777.046168786008</v>
      </c>
      <c r="E103" s="81">
        <f>B99+D103+C103</f>
        <v>3569338.046168786</v>
      </c>
      <c r="F103" s="81">
        <v>1733888</v>
      </c>
      <c r="G103" s="81">
        <f>SUM(G99:G102)</f>
        <v>1638558.9397691786</v>
      </c>
      <c r="H103" s="81">
        <f>I103-F103-G103</f>
        <v>104900.10639960784</v>
      </c>
      <c r="I103" s="81">
        <f>SUM(I99:I102)</f>
        <v>3477347.0461687865</v>
      </c>
      <c r="J103" s="81"/>
    </row>
    <row r="104" spans="1:10" x14ac:dyDescent="0.2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1:10" x14ac:dyDescent="0.2">
      <c r="A105" t="s">
        <v>31</v>
      </c>
      <c r="B105" s="81"/>
      <c r="C105" s="81"/>
      <c r="D105" s="81"/>
      <c r="E105" s="81"/>
      <c r="F105" s="78"/>
      <c r="G105" s="81"/>
      <c r="H105" s="78"/>
      <c r="I105" s="81"/>
      <c r="J105" s="81"/>
    </row>
    <row r="106" spans="1:10" x14ac:dyDescent="0.2">
      <c r="A106" t="s">
        <v>146</v>
      </c>
      <c r="B106" s="81">
        <f>J102</f>
        <v>91991</v>
      </c>
      <c r="C106" s="81">
        <f>'tab02'!E40</f>
        <v>3928070</v>
      </c>
      <c r="D106" s="81">
        <v>7626.5134432809</v>
      </c>
      <c r="E106" s="81">
        <f>SUM(B106:D106)</f>
        <v>4027687.5134432809</v>
      </c>
      <c r="F106" s="78" t="s">
        <v>132</v>
      </c>
      <c r="G106" s="81">
        <v>812568.94971034233</v>
      </c>
      <c r="H106" s="78" t="s">
        <v>132</v>
      </c>
      <c r="I106" s="81">
        <f>E106-J106</f>
        <v>1499943.5134432809</v>
      </c>
      <c r="J106" s="81">
        <f>'tab01'!D95</f>
        <v>2527744</v>
      </c>
    </row>
    <row r="107" spans="1:10" x14ac:dyDescent="0.2">
      <c r="A107" t="s">
        <v>147</v>
      </c>
      <c r="B107" s="81">
        <f>J106</f>
        <v>2527744</v>
      </c>
      <c r="C107" s="78" t="s">
        <v>142</v>
      </c>
      <c r="D107" s="81">
        <v>8698.9358684151011</v>
      </c>
      <c r="E107" s="81">
        <f>SUM(B107:D107)</f>
        <v>2536442.9358684151</v>
      </c>
      <c r="F107" s="78" t="s">
        <v>132</v>
      </c>
      <c r="G107" s="81">
        <v>725406.55222957116</v>
      </c>
      <c r="H107" s="78" t="s">
        <v>132</v>
      </c>
      <c r="I107" s="81">
        <f>E107-J107</f>
        <v>1209843.9358684151</v>
      </c>
      <c r="J107" s="81">
        <f>'tab01'!D96</f>
        <v>1326599</v>
      </c>
    </row>
    <row r="108" spans="1:10" x14ac:dyDescent="0.2">
      <c r="A108" t="s">
        <v>143</v>
      </c>
      <c r="B108" s="81">
        <f>J107</f>
        <v>1326599</v>
      </c>
      <c r="C108" s="78" t="s">
        <v>142</v>
      </c>
      <c r="D108" s="81">
        <v>8256.0711071055011</v>
      </c>
      <c r="E108" s="81">
        <f>SUM(B108:D108)</f>
        <v>1334855.0711071056</v>
      </c>
      <c r="F108" s="78" t="s">
        <v>132</v>
      </c>
      <c r="G108" s="81">
        <v>187766.04864404941</v>
      </c>
      <c r="H108" s="78" t="s">
        <v>132</v>
      </c>
      <c r="I108" s="81">
        <f>E108-J108</f>
        <v>707787.07110710558</v>
      </c>
      <c r="J108" s="81">
        <f>'tab01'!D97</f>
        <v>627068</v>
      </c>
    </row>
    <row r="109" spans="1:10" x14ac:dyDescent="0.2">
      <c r="A109" t="s">
        <v>144</v>
      </c>
      <c r="B109" s="81">
        <f>J108</f>
        <v>627068</v>
      </c>
      <c r="C109" s="78" t="s">
        <v>142</v>
      </c>
      <c r="D109" s="81">
        <v>8663.3411806578006</v>
      </c>
      <c r="E109" s="81">
        <f>SUM(B109:D109)</f>
        <v>635731.34118065785</v>
      </c>
      <c r="F109" s="81">
        <v>451978.8</v>
      </c>
      <c r="G109" s="81">
        <v>116681.142008928</v>
      </c>
      <c r="H109" s="81">
        <f>I109-F109-G109</f>
        <v>-123538.60082827014</v>
      </c>
      <c r="I109" s="81">
        <f>E109-J109</f>
        <v>445121.34118065785</v>
      </c>
      <c r="J109" s="81">
        <f>'tab01'!D98</f>
        <v>190610</v>
      </c>
    </row>
    <row r="110" spans="1:10" x14ac:dyDescent="0.2">
      <c r="A110" t="s">
        <v>150</v>
      </c>
      <c r="B110" s="81"/>
      <c r="C110" s="81">
        <f>SUM(C106:C109)</f>
        <v>3928070</v>
      </c>
      <c r="D110" s="81">
        <f>SUM(D106:D109)</f>
        <v>33244.861599459298</v>
      </c>
      <c r="E110" s="81">
        <f>B106+D110+C110</f>
        <v>4053305.8615994593</v>
      </c>
      <c r="F110" s="81">
        <v>1873493.7851587886</v>
      </c>
      <c r="G110" s="81">
        <f>SUM(G106:G109)</f>
        <v>1842422.6925928909</v>
      </c>
      <c r="H110" s="81">
        <f>I110-F110-G110</f>
        <v>146779.38384777983</v>
      </c>
      <c r="I110" s="81">
        <f>SUM(I106:I109)</f>
        <v>3862695.8615994593</v>
      </c>
      <c r="J110" s="81"/>
    </row>
    <row r="111" spans="1:10" x14ac:dyDescent="0.2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1:10" x14ac:dyDescent="0.2">
      <c r="A112" t="s">
        <v>32</v>
      </c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1:10" x14ac:dyDescent="0.2">
      <c r="A113" t="s">
        <v>151</v>
      </c>
      <c r="B113" s="81"/>
      <c r="C113" s="81"/>
      <c r="D113" s="81">
        <v>2448.1465302798001</v>
      </c>
      <c r="E113" s="81"/>
      <c r="F113" s="81">
        <f>4036.896*2000/60</f>
        <v>134563.20000000001</v>
      </c>
      <c r="G113" s="81">
        <v>86331.881099419203</v>
      </c>
      <c r="H113" s="81"/>
      <c r="I113" s="81"/>
      <c r="J113" s="81"/>
    </row>
    <row r="114" spans="1:10" x14ac:dyDescent="0.2">
      <c r="A114" t="s">
        <v>152</v>
      </c>
      <c r="B114" s="81"/>
      <c r="C114" s="81"/>
      <c r="D114" s="81">
        <v>2214.0286076621996</v>
      </c>
      <c r="E114" s="81"/>
      <c r="F114" s="81">
        <f>5104.01*2000/60</f>
        <v>170133.66666666666</v>
      </c>
      <c r="G114" s="81">
        <v>368108.32668944256</v>
      </c>
      <c r="H114" s="81"/>
      <c r="I114" s="81"/>
      <c r="J114" s="81"/>
    </row>
    <row r="115" spans="1:10" x14ac:dyDescent="0.2">
      <c r="A115" t="s">
        <v>153</v>
      </c>
      <c r="B115" s="81"/>
      <c r="C115" s="81"/>
      <c r="D115" s="81">
        <v>1842.7726512027002</v>
      </c>
      <c r="E115" s="81"/>
      <c r="F115" s="81">
        <f>4973.534*2000/60</f>
        <v>165784.46666666667</v>
      </c>
      <c r="G115" s="81">
        <v>336912.87593242229</v>
      </c>
      <c r="H115" s="81"/>
      <c r="I115" s="81"/>
      <c r="J115" s="81"/>
    </row>
    <row r="116" spans="1:10" x14ac:dyDescent="0.2">
      <c r="A116" t="s">
        <v>146</v>
      </c>
      <c r="B116" s="81">
        <f>J109</f>
        <v>190610</v>
      </c>
      <c r="C116" s="81">
        <f>'tab02'!E41</f>
        <v>3926779</v>
      </c>
      <c r="D116" s="81">
        <f>D113+D114+D115</f>
        <v>6504.9477891447004</v>
      </c>
      <c r="E116" s="81">
        <f>SUM(B116:D116)</f>
        <v>4123893.9477891447</v>
      </c>
      <c r="F116" s="81">
        <f>F113+F114+F115</f>
        <v>470481.33333333337</v>
      </c>
      <c r="G116" s="81">
        <f>G113+G114+G115</f>
        <v>791353.08372128406</v>
      </c>
      <c r="H116" s="81">
        <f>I116-F116-G116</f>
        <v>147982.53073452727</v>
      </c>
      <c r="I116" s="81">
        <f>E116-J116</f>
        <v>1409816.9477891447</v>
      </c>
      <c r="J116" s="81">
        <f>'tab01'!D101</f>
        <v>2714077</v>
      </c>
    </row>
    <row r="117" spans="1:10" x14ac:dyDescent="0.2">
      <c r="A117" t="s">
        <v>154</v>
      </c>
      <c r="B117" s="81"/>
      <c r="C117" s="81"/>
      <c r="D117" s="81">
        <v>2144.566994409</v>
      </c>
      <c r="E117" s="81"/>
      <c r="F117" s="81">
        <f>5011.324*2000/60</f>
        <v>167044.13333333333</v>
      </c>
      <c r="G117" s="81">
        <v>249794.17784429222</v>
      </c>
      <c r="H117" s="81"/>
      <c r="I117" s="81"/>
      <c r="J117" s="81"/>
    </row>
    <row r="118" spans="1:10" x14ac:dyDescent="0.2">
      <c r="A118" t="s">
        <v>155</v>
      </c>
      <c r="B118" s="81"/>
      <c r="C118" s="81"/>
      <c r="D118" s="81">
        <v>2859.6502864335002</v>
      </c>
      <c r="E118" s="81"/>
      <c r="F118" s="81">
        <f>4814.044*2000/60</f>
        <v>160468.13333333333</v>
      </c>
      <c r="G118" s="81">
        <v>223610.14749283143</v>
      </c>
      <c r="H118" s="81"/>
      <c r="I118" s="81"/>
      <c r="J118" s="81"/>
    </row>
    <row r="119" spans="1:10" x14ac:dyDescent="0.2">
      <c r="A119" t="s">
        <v>156</v>
      </c>
      <c r="B119" s="81"/>
      <c r="C119" s="81"/>
      <c r="D119" s="81">
        <v>1242.3071425464</v>
      </c>
      <c r="E119" s="81"/>
      <c r="F119" s="81">
        <f>4638.663*2000/60</f>
        <v>154622.1</v>
      </c>
      <c r="G119" s="81">
        <v>208885.59333841081</v>
      </c>
      <c r="H119" s="81"/>
      <c r="I119" s="81"/>
      <c r="J119" s="81"/>
    </row>
    <row r="120" spans="1:10" x14ac:dyDescent="0.2">
      <c r="A120" t="s">
        <v>147</v>
      </c>
      <c r="B120" s="81">
        <f>J116</f>
        <v>2714077</v>
      </c>
      <c r="C120" s="78" t="s">
        <v>142</v>
      </c>
      <c r="D120" s="81">
        <f>D117+D118+D119</f>
        <v>6246.5244233889007</v>
      </c>
      <c r="E120" s="81">
        <f>SUM(B120:D120)</f>
        <v>2720323.5244233888</v>
      </c>
      <c r="F120" s="81">
        <f>F117+F118+F119</f>
        <v>482134.3666666667</v>
      </c>
      <c r="G120" s="81">
        <f>G117+G118+G119</f>
        <v>682289.91867553443</v>
      </c>
      <c r="H120" s="81">
        <f>I120-F120-G120</f>
        <v>24993.239081187639</v>
      </c>
      <c r="I120" s="81">
        <f>E120-J120</f>
        <v>1189417.5244233888</v>
      </c>
      <c r="J120" s="81">
        <f>'tab01'!D102</f>
        <v>1530906</v>
      </c>
    </row>
    <row r="121" spans="1:10" x14ac:dyDescent="0.2">
      <c r="A121" t="s">
        <v>157</v>
      </c>
      <c r="B121" s="81"/>
      <c r="C121" s="81"/>
      <c r="D121" s="81">
        <v>2495.6786215242005</v>
      </c>
      <c r="E121" s="81"/>
      <c r="F121" s="81">
        <f>4991.626*2000/60</f>
        <v>166387.53333333333</v>
      </c>
      <c r="G121" s="81">
        <v>97067.288810268015</v>
      </c>
      <c r="H121" s="81"/>
      <c r="I121" s="81"/>
      <c r="J121" s="81"/>
    </row>
    <row r="122" spans="1:10" x14ac:dyDescent="0.2">
      <c r="A122" t="s">
        <v>158</v>
      </c>
      <c r="B122" s="81"/>
      <c r="C122" s="81"/>
      <c r="D122" s="81">
        <v>1828.4996711688002</v>
      </c>
      <c r="E122" s="81"/>
      <c r="F122" s="81">
        <f>4745.09*2000/60</f>
        <v>158169.66666666666</v>
      </c>
      <c r="G122" s="81">
        <v>49977.149319720003</v>
      </c>
      <c r="H122" s="81"/>
      <c r="I122" s="81"/>
      <c r="J122" s="81"/>
    </row>
    <row r="123" spans="1:10" x14ac:dyDescent="0.2">
      <c r="A123" t="s">
        <v>159</v>
      </c>
      <c r="B123" s="81"/>
      <c r="C123" s="81"/>
      <c r="D123" s="81">
        <v>829.71040829250012</v>
      </c>
      <c r="E123" s="81"/>
      <c r="F123" s="81">
        <f>4825.833*2000/60</f>
        <v>160861.1</v>
      </c>
      <c r="G123" s="81">
        <v>32603.907766848606</v>
      </c>
      <c r="H123" s="81"/>
      <c r="I123" s="81"/>
      <c r="J123" s="81"/>
    </row>
    <row r="124" spans="1:10" x14ac:dyDescent="0.2">
      <c r="A124" t="s">
        <v>143</v>
      </c>
      <c r="B124" s="81">
        <f>J120</f>
        <v>1530906</v>
      </c>
      <c r="C124" s="78" t="s">
        <v>142</v>
      </c>
      <c r="D124" s="81">
        <f>D121+D122+D123</f>
        <v>5153.8887009855007</v>
      </c>
      <c r="E124" s="81">
        <f>SUM(B124:D124)</f>
        <v>1536059.8887009856</v>
      </c>
      <c r="F124" s="81">
        <f>F121+F122+F123</f>
        <v>485418.29999999993</v>
      </c>
      <c r="G124" s="81">
        <f>G121+G122+G123</f>
        <v>179648.34589683663</v>
      </c>
      <c r="H124" s="81">
        <f>I124-F124-G124</f>
        <v>-787.75719585097977</v>
      </c>
      <c r="I124" s="81">
        <f>E124-J124</f>
        <v>664278.88870098558</v>
      </c>
      <c r="J124" s="81">
        <f>'tab01'!D103</f>
        <v>871781</v>
      </c>
    </row>
    <row r="125" spans="1:10" x14ac:dyDescent="0.2">
      <c r="A125" t="s">
        <v>163</v>
      </c>
      <c r="B125" s="81"/>
      <c r="C125" s="81"/>
      <c r="D125" s="81">
        <v>2389.5244555014001</v>
      </c>
      <c r="E125" s="81"/>
      <c r="F125" s="81">
        <f>4623.752*2000/60</f>
        <v>154125.06666666668</v>
      </c>
      <c r="G125" s="81">
        <v>38656.994981587501</v>
      </c>
      <c r="H125" s="81"/>
      <c r="I125" s="81"/>
      <c r="J125" s="81"/>
    </row>
    <row r="126" spans="1:10" x14ac:dyDescent="0.2">
      <c r="A126" t="s">
        <v>164</v>
      </c>
      <c r="B126" s="81"/>
      <c r="C126" s="81"/>
      <c r="D126" s="81">
        <v>1433.572357602</v>
      </c>
      <c r="E126" s="81"/>
      <c r="F126" s="81">
        <f>4603.543*2000/60</f>
        <v>153451.43333333332</v>
      </c>
      <c r="G126" s="81">
        <v>97796.743812648303</v>
      </c>
      <c r="H126" s="81"/>
      <c r="I126" s="81"/>
      <c r="J126" s="81"/>
    </row>
    <row r="127" spans="1:10" x14ac:dyDescent="0.2">
      <c r="A127" t="s">
        <v>165</v>
      </c>
      <c r="B127" s="81"/>
      <c r="C127" s="81"/>
      <c r="D127" s="81">
        <v>1812.4517867063998</v>
      </c>
      <c r="E127" s="81"/>
      <c r="F127" s="81">
        <f>4218.789*2000/60</f>
        <v>140626.29999999999</v>
      </c>
      <c r="G127" s="81">
        <v>152893.55709770729</v>
      </c>
      <c r="H127" s="81"/>
      <c r="I127" s="81"/>
      <c r="J127" s="81"/>
    </row>
    <row r="128" spans="1:10" x14ac:dyDescent="0.2">
      <c r="A128" t="s">
        <v>144</v>
      </c>
      <c r="B128" s="81">
        <f>J124</f>
        <v>871781</v>
      </c>
      <c r="C128" s="78" t="s">
        <v>142</v>
      </c>
      <c r="D128" s="81">
        <f>D125+D126+D127</f>
        <v>5635.5485998098002</v>
      </c>
      <c r="E128" s="81">
        <f>SUM(B128:D128)</f>
        <v>877416.54859980976</v>
      </c>
      <c r="F128" s="81">
        <f>F125+F126+F127</f>
        <v>448202.8</v>
      </c>
      <c r="G128" s="81">
        <f>G125+G126+G127</f>
        <v>289347.2958919431</v>
      </c>
      <c r="H128" s="81">
        <f>I128-F128-G128</f>
        <v>-56862.547292133328</v>
      </c>
      <c r="I128" s="81">
        <f>E128-J128</f>
        <v>680687.54859980976</v>
      </c>
      <c r="J128" s="81">
        <f>'tab01'!D104</f>
        <v>196729</v>
      </c>
    </row>
    <row r="129" spans="1:10" x14ac:dyDescent="0.2">
      <c r="A129" t="s">
        <v>150</v>
      </c>
      <c r="B129" s="81"/>
      <c r="C129" s="81">
        <f>SUM(C116:C128)</f>
        <v>3926779</v>
      </c>
      <c r="D129" s="81">
        <f>D116+D120+D124+D128</f>
        <v>23540.909513328901</v>
      </c>
      <c r="E129" s="81">
        <f>B116+D129+C129</f>
        <v>4140929.9095133287</v>
      </c>
      <c r="F129" s="81">
        <f>F116+F120+F124+F128</f>
        <v>1886236.8</v>
      </c>
      <c r="G129" s="81">
        <f>G116+G120+G124+G128</f>
        <v>1942638.6441855982</v>
      </c>
      <c r="H129" s="81">
        <f>H116+H120+H124+H128</f>
        <v>115325.46532773061</v>
      </c>
      <c r="I129" s="81">
        <f>I116+I120+I124+I128</f>
        <v>3944200.9095133287</v>
      </c>
      <c r="J129" s="81"/>
    </row>
    <row r="130" spans="1:10" x14ac:dyDescent="0.2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1:10" x14ac:dyDescent="0.2">
      <c r="A131" t="s">
        <v>33</v>
      </c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1:10" x14ac:dyDescent="0.2">
      <c r="A132" t="s">
        <v>151</v>
      </c>
      <c r="B132" s="81"/>
      <c r="C132" s="81"/>
      <c r="D132" s="81">
        <v>2308.2870008100003</v>
      </c>
      <c r="E132" s="81"/>
      <c r="F132" s="81">
        <f>4148.008*2000/60</f>
        <v>138266.93333333332</v>
      </c>
      <c r="G132" s="81">
        <v>137778.27076817999</v>
      </c>
      <c r="H132" s="81"/>
      <c r="I132" s="81"/>
      <c r="J132" s="81"/>
    </row>
    <row r="133" spans="1:10" x14ac:dyDescent="0.2">
      <c r="A133" t="s">
        <v>152</v>
      </c>
      <c r="B133" s="81"/>
      <c r="C133" s="81"/>
      <c r="D133" s="81">
        <v>1773.0929640899999</v>
      </c>
      <c r="E133" s="81"/>
      <c r="F133" s="81">
        <f>5276.415*2000/60</f>
        <v>175880.5</v>
      </c>
      <c r="G133" s="81">
        <v>410414.89702226996</v>
      </c>
      <c r="H133" s="81"/>
      <c r="I133" s="81"/>
      <c r="J133" s="81"/>
    </row>
    <row r="134" spans="1:10" x14ac:dyDescent="0.2">
      <c r="A134" t="s">
        <v>153</v>
      </c>
      <c r="B134" s="81"/>
      <c r="C134" s="81"/>
      <c r="D134" s="81">
        <v>1382.38617888</v>
      </c>
      <c r="E134" s="81"/>
      <c r="F134" s="81">
        <f>5122.038*2000/60</f>
        <v>170734.6</v>
      </c>
      <c r="G134" s="81">
        <v>380803.73341710004</v>
      </c>
      <c r="H134" s="81"/>
      <c r="I134" s="81"/>
      <c r="J134" s="81"/>
    </row>
    <row r="135" spans="1:10" x14ac:dyDescent="0.2">
      <c r="A135" t="s">
        <v>146</v>
      </c>
      <c r="B135" s="81">
        <f>J128</f>
        <v>196729</v>
      </c>
      <c r="C135" s="81">
        <f>'tab02'!E42</f>
        <v>4296496</v>
      </c>
      <c r="D135" s="81">
        <f>D132+D133+D134</f>
        <v>5463.7661437799998</v>
      </c>
      <c r="E135" s="81">
        <f>SUM(B135:D135)</f>
        <v>4498688.7661437802</v>
      </c>
      <c r="F135" s="81">
        <f>F132+F133+F134</f>
        <v>484882.03333333333</v>
      </c>
      <c r="G135" s="81">
        <f>G132+G133+G134</f>
        <v>928996.90120754996</v>
      </c>
      <c r="H135" s="81">
        <f>I135-F135-G135</f>
        <v>185753.83160289703</v>
      </c>
      <c r="I135" s="81">
        <f>E135-J135</f>
        <v>1599632.7661437802</v>
      </c>
      <c r="J135" s="81">
        <f>'tab01'!D107</f>
        <v>2899056</v>
      </c>
    </row>
    <row r="136" spans="1:10" x14ac:dyDescent="0.2">
      <c r="A136" t="s">
        <v>154</v>
      </c>
      <c r="B136" s="81"/>
      <c r="C136" s="81"/>
      <c r="D136" s="81">
        <v>1171.2421812</v>
      </c>
      <c r="E136" s="81"/>
      <c r="F136" s="81">
        <f>5071.493*2000/60</f>
        <v>169049.76666666666</v>
      </c>
      <c r="G136" s="81">
        <v>293218.92213054001</v>
      </c>
      <c r="H136" s="81"/>
      <c r="I136" s="81"/>
      <c r="J136" s="81"/>
    </row>
    <row r="137" spans="1:10" x14ac:dyDescent="0.2">
      <c r="A137" t="s">
        <v>155</v>
      </c>
      <c r="B137" s="81"/>
      <c r="C137" s="81"/>
      <c r="D137" s="81">
        <v>3212.97568473</v>
      </c>
      <c r="E137" s="81"/>
      <c r="F137" s="81">
        <f>5139.706*2000/60</f>
        <v>171323.53333333333</v>
      </c>
      <c r="G137" s="81">
        <v>257786.95752306</v>
      </c>
      <c r="H137" s="81"/>
      <c r="I137" s="81"/>
      <c r="J137" s="81"/>
    </row>
    <row r="138" spans="1:10" x14ac:dyDescent="0.2">
      <c r="A138" t="s">
        <v>156</v>
      </c>
      <c r="B138" s="81"/>
      <c r="C138" s="81"/>
      <c r="D138" s="81">
        <v>2258.4478461300005</v>
      </c>
      <c r="E138" s="81"/>
      <c r="F138" s="81">
        <f>4542.336*2000/60</f>
        <v>151411.20000000001</v>
      </c>
      <c r="G138" s="81">
        <v>163859.37525509999</v>
      </c>
      <c r="H138" s="81"/>
      <c r="I138" s="81"/>
      <c r="J138" s="81"/>
    </row>
    <row r="139" spans="1:10" x14ac:dyDescent="0.2">
      <c r="A139" t="s">
        <v>147</v>
      </c>
      <c r="B139" s="81">
        <f>J135</f>
        <v>2899056</v>
      </c>
      <c r="C139" s="78" t="s">
        <v>142</v>
      </c>
      <c r="D139" s="81">
        <f>D136+D137+D138</f>
        <v>6642.6657120600003</v>
      </c>
      <c r="E139" s="81">
        <f>SUM(B139:D139)</f>
        <v>2905698.6657120599</v>
      </c>
      <c r="F139" s="81">
        <f>F136+F137+F138</f>
        <v>491784.5</v>
      </c>
      <c r="G139" s="81">
        <f>G136+G137+G138</f>
        <v>714865.25490870001</v>
      </c>
      <c r="H139" s="81">
        <f>I139-F139-G139</f>
        <v>-39884.089196640067</v>
      </c>
      <c r="I139" s="81">
        <f>E139-J139</f>
        <v>1166765.6657120599</v>
      </c>
      <c r="J139" s="81">
        <f>'tab01'!D108</f>
        <v>1738933</v>
      </c>
    </row>
    <row r="140" spans="1:10" x14ac:dyDescent="0.2">
      <c r="A140" t="s">
        <v>157</v>
      </c>
      <c r="B140" s="81"/>
      <c r="C140" s="81"/>
      <c r="D140" s="81">
        <v>2220.4916040300004</v>
      </c>
      <c r="E140" s="81"/>
      <c r="F140" s="81">
        <f>4822.961*2000/60</f>
        <v>160765.36666666667</v>
      </c>
      <c r="G140" s="81">
        <v>118298.73416487001</v>
      </c>
      <c r="H140" s="81"/>
      <c r="I140" s="81"/>
      <c r="J140" s="81"/>
    </row>
    <row r="141" spans="1:10" x14ac:dyDescent="0.2">
      <c r="A141" t="s">
        <v>158</v>
      </c>
      <c r="B141" s="81"/>
      <c r="C141" s="81"/>
      <c r="D141" s="81">
        <v>1603.8478075200001</v>
      </c>
      <c r="E141" s="81"/>
      <c r="F141" s="81">
        <f>4509.463*2000/60</f>
        <v>150315.43333333332</v>
      </c>
      <c r="G141" s="81">
        <v>90342.256950540002</v>
      </c>
      <c r="H141" s="81"/>
      <c r="I141" s="81"/>
      <c r="J141" s="81"/>
    </row>
    <row r="142" spans="1:10" x14ac:dyDescent="0.2">
      <c r="A142" t="s">
        <v>159</v>
      </c>
      <c r="B142" s="81"/>
      <c r="C142" s="81"/>
      <c r="D142" s="81">
        <v>2125.0094252100002</v>
      </c>
      <c r="E142" s="81"/>
      <c r="F142" s="81">
        <f>4739.387*2000/60</f>
        <v>157979.56666666668</v>
      </c>
      <c r="G142" s="81">
        <v>53312.514594780005</v>
      </c>
      <c r="H142" s="81"/>
      <c r="I142" s="81"/>
      <c r="J142" s="81"/>
    </row>
    <row r="143" spans="1:10" x14ac:dyDescent="0.2">
      <c r="A143" t="s">
        <v>143</v>
      </c>
      <c r="B143" s="81">
        <f>J139</f>
        <v>1738933</v>
      </c>
      <c r="C143" s="78" t="s">
        <v>142</v>
      </c>
      <c r="D143" s="81">
        <f>D140+D141+D142</f>
        <v>5949.3488367600003</v>
      </c>
      <c r="E143" s="81">
        <f>SUM(B143:D143)</f>
        <v>1744882.34883676</v>
      </c>
      <c r="F143" s="81">
        <f>F140+F141+F142</f>
        <v>469060.3666666667</v>
      </c>
      <c r="G143" s="81">
        <f>G140+G141+G142</f>
        <v>261953.50571018999</v>
      </c>
      <c r="H143" s="81">
        <f>I143-F143-G143</f>
        <v>48012.476459903351</v>
      </c>
      <c r="I143" s="81">
        <f>E143-J143</f>
        <v>779026.34883676004</v>
      </c>
      <c r="J143" s="81">
        <f>'tab01'!D109</f>
        <v>965856</v>
      </c>
    </row>
    <row r="144" spans="1:10" x14ac:dyDescent="0.2">
      <c r="A144" t="s">
        <v>163</v>
      </c>
      <c r="B144" s="81"/>
      <c r="C144" s="81"/>
      <c r="D144" s="81">
        <v>1053.6917361599999</v>
      </c>
      <c r="E144" s="81"/>
      <c r="F144" s="81">
        <f>4446.863*2000/60</f>
        <v>148228.76666666666</v>
      </c>
      <c r="G144" s="81">
        <v>65633.728074600003</v>
      </c>
      <c r="H144" s="81"/>
      <c r="I144" s="81"/>
      <c r="J144" s="81"/>
    </row>
    <row r="145" spans="1:12" x14ac:dyDescent="0.2">
      <c r="A145" t="s">
        <v>164</v>
      </c>
      <c r="B145" s="81"/>
      <c r="C145" s="81"/>
      <c r="D145" s="81">
        <v>1718.3301536100003</v>
      </c>
      <c r="E145" s="81"/>
      <c r="F145" s="81">
        <f>4668.68*2000/60</f>
        <v>155622.66666666666</v>
      </c>
      <c r="G145" s="81">
        <v>85229.352723690012</v>
      </c>
      <c r="H145" s="81"/>
      <c r="I145" s="81"/>
      <c r="J145" s="81"/>
    </row>
    <row r="146" spans="1:12" x14ac:dyDescent="0.2">
      <c r="A146" t="s">
        <v>165</v>
      </c>
      <c r="B146" s="81"/>
      <c r="C146" s="81"/>
      <c r="D146" s="81">
        <v>1452.90468792</v>
      </c>
      <c r="E146" s="81"/>
      <c r="F146" s="81">
        <f>4548.592*2000/60</f>
        <v>151619.73333333334</v>
      </c>
      <c r="G146" s="81">
        <v>109871.73191652002</v>
      </c>
      <c r="H146" s="81"/>
      <c r="I146" s="81"/>
      <c r="J146" s="81"/>
    </row>
    <row r="147" spans="1:12" x14ac:dyDescent="0.2">
      <c r="A147" t="s">
        <v>144</v>
      </c>
      <c r="B147" s="81">
        <f>J143</f>
        <v>965856</v>
      </c>
      <c r="C147" s="78" t="s">
        <v>142</v>
      </c>
      <c r="D147" s="81">
        <f>D144+D145+D146</f>
        <v>4224.9265776900002</v>
      </c>
      <c r="E147" s="81">
        <f>SUM(B147:D147)</f>
        <v>970080.92657769006</v>
      </c>
      <c r="F147" s="81">
        <f>F144+F145+F146</f>
        <v>455471.16666666669</v>
      </c>
      <c r="G147" s="81">
        <f>G144+G145+G146</f>
        <v>260734.81271481005</v>
      </c>
      <c r="H147" s="81">
        <f>I147-F147-G147</f>
        <v>-47720.052803786675</v>
      </c>
      <c r="I147" s="81">
        <f>E147-J147</f>
        <v>668485.92657769006</v>
      </c>
      <c r="J147" s="81">
        <f>'tab01'!D110</f>
        <v>301595</v>
      </c>
    </row>
    <row r="148" spans="1:12" x14ac:dyDescent="0.2">
      <c r="A148" t="s">
        <v>150</v>
      </c>
      <c r="B148" s="81"/>
      <c r="C148" s="81">
        <f>SUM(C135:C147)</f>
        <v>4296496</v>
      </c>
      <c r="D148" s="82">
        <f>D135+D139+D143+D147</f>
        <v>22280.70727029</v>
      </c>
      <c r="E148" s="81">
        <f>B135+D148+C148</f>
        <v>4515505.7072702898</v>
      </c>
      <c r="F148" s="81">
        <f>F135+F139+F143+F147</f>
        <v>1901198.0666666667</v>
      </c>
      <c r="G148" s="81">
        <f>G135+G139+G143+G147</f>
        <v>2166550.4745412502</v>
      </c>
      <c r="H148" s="81">
        <f>H135+H139+H143+H147</f>
        <v>146162.16606237364</v>
      </c>
      <c r="I148" s="81">
        <f>I135+I139+I143+I147</f>
        <v>4213910.7072702907</v>
      </c>
      <c r="J148" s="81"/>
    </row>
    <row r="149" spans="1:12" x14ac:dyDescent="0.2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1:12" x14ac:dyDescent="0.2">
      <c r="A150" t="s">
        <v>34</v>
      </c>
      <c r="B150" s="81"/>
      <c r="C150" s="81"/>
      <c r="D150" s="81"/>
      <c r="E150" s="81"/>
      <c r="F150" s="81"/>
      <c r="G150" s="81"/>
      <c r="H150" s="81"/>
      <c r="I150" s="81"/>
      <c r="J150" s="81"/>
      <c r="L150" s="59"/>
    </row>
    <row r="151" spans="1:12" x14ac:dyDescent="0.2">
      <c r="A151" t="s">
        <v>151</v>
      </c>
      <c r="B151" s="81"/>
      <c r="C151" s="81"/>
      <c r="D151" s="81">
        <v>1351.7162255999999</v>
      </c>
      <c r="E151" s="81"/>
      <c r="F151" s="81">
        <v>145373.56666666668</v>
      </c>
      <c r="G151" s="81">
        <v>165530.85284159999</v>
      </c>
      <c r="H151" s="81"/>
      <c r="I151" s="81"/>
      <c r="J151" s="81"/>
    </row>
    <row r="152" spans="1:12" x14ac:dyDescent="0.2">
      <c r="A152" t="s">
        <v>152</v>
      </c>
      <c r="B152" s="81"/>
      <c r="C152" s="81"/>
      <c r="D152" s="81">
        <v>2841.7405415999997</v>
      </c>
      <c r="E152" s="81"/>
      <c r="F152" s="81">
        <v>175913.23333333334</v>
      </c>
      <c r="G152" s="81">
        <v>354358.69874640001</v>
      </c>
      <c r="H152" s="81"/>
      <c r="I152" s="81"/>
      <c r="J152" s="81"/>
    </row>
    <row r="153" spans="1:12" x14ac:dyDescent="0.2">
      <c r="A153" t="s">
        <v>153</v>
      </c>
      <c r="B153" s="81"/>
      <c r="C153" s="81"/>
      <c r="D153" s="81">
        <v>1426.4461727999999</v>
      </c>
      <c r="E153" s="81"/>
      <c r="F153" s="81">
        <v>173348.73333333334</v>
      </c>
      <c r="G153" s="81">
        <v>337605.48873600003</v>
      </c>
      <c r="H153" s="81"/>
      <c r="I153" s="81"/>
      <c r="J153" s="81"/>
    </row>
    <row r="154" spans="1:12" x14ac:dyDescent="0.2">
      <c r="A154" t="s">
        <v>146</v>
      </c>
      <c r="B154" s="81">
        <f>J147</f>
        <v>301595</v>
      </c>
      <c r="C154" s="81">
        <f>'tab02'!E43</f>
        <v>4411633</v>
      </c>
      <c r="D154" s="81">
        <f>D151+D152+D153</f>
        <v>5619.902939999999</v>
      </c>
      <c r="E154" s="81">
        <f>SUM(B154:D154)</f>
        <v>4718847.9029400004</v>
      </c>
      <c r="F154" s="81">
        <f>F151+F152+F153</f>
        <v>494635.53333333338</v>
      </c>
      <c r="G154" s="81">
        <f>G151+G152+G153</f>
        <v>857495.04032400006</v>
      </c>
      <c r="H154" s="81">
        <f>I154-F154-G154</f>
        <v>206038.32928266691</v>
      </c>
      <c r="I154" s="81">
        <f>E154-J154</f>
        <v>1558168.9029400004</v>
      </c>
      <c r="J154" s="81">
        <f>'tab01'!D113</f>
        <v>3160679</v>
      </c>
    </row>
    <row r="155" spans="1:12" x14ac:dyDescent="0.2">
      <c r="A155" t="s">
        <v>154</v>
      </c>
      <c r="B155" s="81"/>
      <c r="C155" s="81"/>
      <c r="D155" s="81">
        <v>2327.9932823999998</v>
      </c>
      <c r="E155" s="81"/>
      <c r="F155" s="81">
        <v>176340.5</v>
      </c>
      <c r="G155" s="81">
        <v>228727.94973839997</v>
      </c>
      <c r="H155" s="81"/>
      <c r="I155" s="81"/>
      <c r="J155" s="118"/>
    </row>
    <row r="156" spans="1:12" x14ac:dyDescent="0.2">
      <c r="A156" t="s">
        <v>155</v>
      </c>
      <c r="B156" s="81"/>
      <c r="C156" s="81"/>
      <c r="D156" s="81">
        <v>1463.1019872000002</v>
      </c>
      <c r="E156" s="81"/>
      <c r="F156" s="81">
        <v>174660.9</v>
      </c>
      <c r="G156" s="81">
        <v>213382.82124960003</v>
      </c>
      <c r="H156" s="81"/>
      <c r="I156" s="81"/>
      <c r="J156" s="118"/>
    </row>
    <row r="157" spans="1:12" x14ac:dyDescent="0.2">
      <c r="A157" t="s">
        <v>156</v>
      </c>
      <c r="B157" s="81"/>
      <c r="C157" s="81"/>
      <c r="D157" s="81">
        <v>1176.193812</v>
      </c>
      <c r="E157" s="81"/>
      <c r="F157" s="81">
        <v>164959.06666666668</v>
      </c>
      <c r="G157" s="81">
        <v>155707.3554648</v>
      </c>
      <c r="H157" s="81"/>
      <c r="I157" s="81"/>
      <c r="J157" s="118"/>
    </row>
    <row r="158" spans="1:12" x14ac:dyDescent="0.2">
      <c r="A158" t="s">
        <v>147</v>
      </c>
      <c r="B158" s="81">
        <f>J154</f>
        <v>3160679</v>
      </c>
      <c r="C158" s="78" t="s">
        <v>142</v>
      </c>
      <c r="D158" s="81">
        <f>D155+D156+D157</f>
        <v>4967.2890815999999</v>
      </c>
      <c r="E158" s="81">
        <f>SUM(B158:D158)</f>
        <v>3165646.2890816</v>
      </c>
      <c r="F158" s="81">
        <f>F155+F156+F157</f>
        <v>515960.46666666667</v>
      </c>
      <c r="G158" s="81">
        <f>G155+G156+G157</f>
        <v>597818.1264528</v>
      </c>
      <c r="H158" s="81">
        <f>I158-F158-G158</f>
        <v>-57435.304037866648</v>
      </c>
      <c r="I158" s="81">
        <f>E158-J158</f>
        <v>1056343.2890816</v>
      </c>
      <c r="J158" s="81">
        <f>'tab01'!D114</f>
        <v>2109303</v>
      </c>
    </row>
    <row r="159" spans="1:12" x14ac:dyDescent="0.2">
      <c r="A159" t="s">
        <v>157</v>
      </c>
      <c r="B159" s="81"/>
      <c r="C159" s="81"/>
      <c r="D159" s="81">
        <v>2140.0697687999996</v>
      </c>
      <c r="E159" s="81"/>
      <c r="F159" s="81">
        <v>182174.66666666666</v>
      </c>
      <c r="G159" s="81">
        <v>118372.45315440001</v>
      </c>
      <c r="H159" s="81"/>
      <c r="I159" s="81"/>
      <c r="J159" s="118"/>
    </row>
    <row r="160" spans="1:12" x14ac:dyDescent="0.2">
      <c r="A160" t="s">
        <v>158</v>
      </c>
      <c r="B160" s="81"/>
      <c r="C160" s="81"/>
      <c r="D160" s="81">
        <v>2418.1887792000002</v>
      </c>
      <c r="E160" s="81"/>
      <c r="F160" s="81">
        <v>171638.23333333334</v>
      </c>
      <c r="G160" s="81">
        <v>80632.676056800003</v>
      </c>
      <c r="H160" s="81"/>
      <c r="I160" s="81"/>
      <c r="J160" s="118"/>
    </row>
    <row r="161" spans="1:10" x14ac:dyDescent="0.2">
      <c r="A161" t="s">
        <v>159</v>
      </c>
      <c r="B161" s="81"/>
      <c r="C161" s="81"/>
      <c r="D161" s="81">
        <v>1851.6146712</v>
      </c>
      <c r="E161" s="81"/>
      <c r="F161" s="81">
        <v>172468</v>
      </c>
      <c r="G161" s="81">
        <v>114292.00255919999</v>
      </c>
      <c r="H161" s="81"/>
      <c r="I161" s="81"/>
      <c r="J161" s="118"/>
    </row>
    <row r="162" spans="1:10" x14ac:dyDescent="0.2">
      <c r="A162" t="s">
        <v>143</v>
      </c>
      <c r="B162" s="81">
        <f>J158</f>
        <v>2109303</v>
      </c>
      <c r="C162" s="78" t="s">
        <v>142</v>
      </c>
      <c r="D162" s="81">
        <f>D159+D160+D161</f>
        <v>6409.8732191999998</v>
      </c>
      <c r="E162" s="81">
        <f>SUM(B162:D162)</f>
        <v>2115712.8732191999</v>
      </c>
      <c r="F162" s="81">
        <f>F159+F160+F161</f>
        <v>526280.9</v>
      </c>
      <c r="G162" s="81">
        <f>G159+G160+G161</f>
        <v>313297.13177039998</v>
      </c>
      <c r="H162" s="81">
        <f>I162-F162-G162</f>
        <v>56805.84144879994</v>
      </c>
      <c r="I162" s="81">
        <f>E162-J162</f>
        <v>896383.87321919994</v>
      </c>
      <c r="J162" s="81">
        <f>'tab01'!D115</f>
        <v>1219329</v>
      </c>
    </row>
    <row r="163" spans="1:10" x14ac:dyDescent="0.2">
      <c r="A163" t="s">
        <v>163</v>
      </c>
      <c r="B163" s="81"/>
      <c r="C163" s="81"/>
      <c r="D163" s="81">
        <v>1899.9881472</v>
      </c>
      <c r="E163" s="81"/>
      <c r="F163" s="81">
        <v>169564.7</v>
      </c>
      <c r="G163" s="81">
        <v>114754.79323919999</v>
      </c>
      <c r="H163" s="81"/>
      <c r="I163" s="81"/>
      <c r="J163" s="118"/>
    </row>
    <row r="164" spans="1:10" x14ac:dyDescent="0.2">
      <c r="A164" t="s">
        <v>164</v>
      </c>
      <c r="B164" s="81"/>
      <c r="C164" s="81"/>
      <c r="D164" s="81">
        <v>2162.4284927999997</v>
      </c>
      <c r="E164" s="81"/>
      <c r="F164" s="81">
        <v>178860.93333333332</v>
      </c>
      <c r="G164" s="81">
        <v>125859.08357280001</v>
      </c>
      <c r="H164" s="81"/>
      <c r="I164" s="81"/>
      <c r="J164" s="118"/>
    </row>
    <row r="165" spans="1:10" x14ac:dyDescent="0.2">
      <c r="A165" t="s">
        <v>165</v>
      </c>
      <c r="B165" s="81"/>
      <c r="C165" s="81"/>
      <c r="D165" s="81">
        <v>751.1906616</v>
      </c>
      <c r="E165" s="81"/>
      <c r="F165" s="81">
        <v>169629.46666666667</v>
      </c>
      <c r="G165" s="81">
        <v>124523.5273584</v>
      </c>
      <c r="H165" s="81"/>
      <c r="I165" s="81"/>
      <c r="J165" s="118"/>
    </row>
    <row r="166" spans="1:10" x14ac:dyDescent="0.2">
      <c r="A166" t="s">
        <v>144</v>
      </c>
      <c r="B166" s="81">
        <f>J162</f>
        <v>1219329</v>
      </c>
      <c r="C166" s="78" t="s">
        <v>142</v>
      </c>
      <c r="D166" s="81">
        <f>D163+D164+D165</f>
        <v>4813.6073015999991</v>
      </c>
      <c r="E166" s="81">
        <f>SUM(B166:D166)</f>
        <v>1224142.6073016</v>
      </c>
      <c r="F166" s="81">
        <f>F163+F164+F165</f>
        <v>518055.1</v>
      </c>
      <c r="G166" s="81">
        <f>G163+G164+G165</f>
        <v>365137.4041704</v>
      </c>
      <c r="H166" s="81">
        <f>I166-F166-G166</f>
        <v>-97154.89686879993</v>
      </c>
      <c r="I166" s="81">
        <f>E166-J166</f>
        <v>786037.60730160004</v>
      </c>
      <c r="J166" s="81">
        <f>'tab01'!D116</f>
        <v>438105</v>
      </c>
    </row>
    <row r="167" spans="1:10" x14ac:dyDescent="0.2">
      <c r="A167" t="s">
        <v>150</v>
      </c>
      <c r="B167" s="81"/>
      <c r="C167" s="81">
        <f>SUM(C154:C166)</f>
        <v>4411633</v>
      </c>
      <c r="D167" s="81">
        <f>D154+D158+D162+D166</f>
        <v>21810.672542399996</v>
      </c>
      <c r="E167" s="81">
        <f>B154+D167+C167</f>
        <v>4735038.6725423997</v>
      </c>
      <c r="F167" s="81">
        <f>F154+F158+F162+F166</f>
        <v>2054932</v>
      </c>
      <c r="G167" s="81">
        <f>G154+G158+G162+G166</f>
        <v>2133747.7027175999</v>
      </c>
      <c r="H167" s="81">
        <f>H154+H158+H162+H166</f>
        <v>108253.96982480027</v>
      </c>
      <c r="I167" s="81">
        <f>I154+I158+I162+I166</f>
        <v>4296933.6725424007</v>
      </c>
      <c r="J167" s="81"/>
    </row>
    <row r="168" spans="1:10" x14ac:dyDescent="0.2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1:10" x14ac:dyDescent="0.2">
      <c r="A169" t="s">
        <v>35</v>
      </c>
      <c r="B169" s="81"/>
      <c r="C169" s="81"/>
      <c r="D169" s="81"/>
      <c r="E169" s="81"/>
      <c r="F169" s="81"/>
      <c r="G169" s="81"/>
      <c r="H169" s="81"/>
      <c r="I169" s="81"/>
      <c r="J169" s="81"/>
    </row>
    <row r="170" spans="1:10" x14ac:dyDescent="0.2">
      <c r="A170" t="s">
        <v>151</v>
      </c>
      <c r="B170" s="81"/>
      <c r="C170" s="81"/>
      <c r="D170" s="81">
        <v>1029.9232968000001</v>
      </c>
      <c r="E170" s="81"/>
      <c r="F170" s="81">
        <v>169649.33333333334</v>
      </c>
      <c r="G170" s="81">
        <v>122556.77536319999</v>
      </c>
      <c r="H170" s="81"/>
      <c r="I170" s="81"/>
      <c r="J170" s="81"/>
    </row>
    <row r="171" spans="1:10" x14ac:dyDescent="0.2">
      <c r="A171" t="s">
        <v>152</v>
      </c>
      <c r="B171" s="81"/>
      <c r="C171" s="81"/>
      <c r="D171" s="81">
        <v>776.03327999999999</v>
      </c>
      <c r="E171" s="81"/>
      <c r="F171" s="81">
        <v>183558.43333333332</v>
      </c>
      <c r="G171" s="81">
        <v>200531.76524880002</v>
      </c>
      <c r="H171" s="81"/>
      <c r="I171" s="81"/>
      <c r="J171" s="81"/>
    </row>
    <row r="172" spans="1:10" x14ac:dyDescent="0.2">
      <c r="A172" t="s">
        <v>153</v>
      </c>
      <c r="B172" s="81"/>
      <c r="C172" s="81"/>
      <c r="D172" s="81">
        <v>1836.0793079999999</v>
      </c>
      <c r="E172" s="81"/>
      <c r="F172" s="81">
        <v>178101.76666666666</v>
      </c>
      <c r="G172" s="81">
        <v>179262.9087072</v>
      </c>
      <c r="H172" s="81"/>
      <c r="I172" s="81"/>
      <c r="J172" s="81"/>
    </row>
    <row r="173" spans="1:10" x14ac:dyDescent="0.2">
      <c r="A173" t="s">
        <v>146</v>
      </c>
      <c r="B173" s="81">
        <f>J166</f>
        <v>438105</v>
      </c>
      <c r="C173" s="81">
        <f>'tab02'!E44</f>
        <v>4428150</v>
      </c>
      <c r="D173" s="81">
        <f>D170+D171+D172</f>
        <v>3642.0358848000001</v>
      </c>
      <c r="E173" s="81">
        <f>SUM(B173:D173)</f>
        <v>4869897.0358848004</v>
      </c>
      <c r="F173" s="81">
        <f>F170+F171+F172</f>
        <v>531309.53333333333</v>
      </c>
      <c r="G173" s="81">
        <f>G170+G171+G172</f>
        <v>502351.44931920001</v>
      </c>
      <c r="H173" s="81">
        <f>I173-F173-G173</f>
        <v>90412.053232267033</v>
      </c>
      <c r="I173" s="81">
        <f>E173-J173</f>
        <v>1124073.0358848004</v>
      </c>
      <c r="J173" s="81">
        <f>'tab01'!D119</f>
        <v>3745824</v>
      </c>
    </row>
    <row r="174" spans="1:10" x14ac:dyDescent="0.2">
      <c r="A174" t="s">
        <v>154</v>
      </c>
      <c r="B174" s="81"/>
      <c r="C174" s="81"/>
      <c r="D174" s="81">
        <v>1136.5139664000001</v>
      </c>
      <c r="E174" s="81"/>
      <c r="F174" s="81">
        <v>183775.53333333333</v>
      </c>
      <c r="G174" s="81">
        <v>147066.9707952</v>
      </c>
      <c r="H174" s="81"/>
      <c r="I174" s="81"/>
      <c r="J174" s="81"/>
    </row>
    <row r="175" spans="1:10" x14ac:dyDescent="0.2">
      <c r="A175" t="s">
        <v>155</v>
      </c>
      <c r="B175" s="81"/>
      <c r="C175" s="81"/>
      <c r="D175" s="81">
        <v>1016.6256431999999</v>
      </c>
      <c r="E175" s="81"/>
      <c r="F175" s="81">
        <v>183070.9</v>
      </c>
      <c r="G175" s="81">
        <v>176659.57058639996</v>
      </c>
      <c r="H175" s="81"/>
      <c r="I175" s="81"/>
      <c r="J175" s="81"/>
    </row>
    <row r="176" spans="1:10" x14ac:dyDescent="0.2">
      <c r="A176" t="s">
        <v>156</v>
      </c>
      <c r="B176" s="81"/>
      <c r="C176" s="81"/>
      <c r="D176" s="81">
        <v>1461.7020407999998</v>
      </c>
      <c r="E176" s="81"/>
      <c r="F176" s="81">
        <v>162781.13333333333</v>
      </c>
      <c r="G176" s="81">
        <v>166188.71741760001</v>
      </c>
      <c r="H176" s="81"/>
      <c r="I176" s="81"/>
      <c r="J176" s="81"/>
    </row>
    <row r="177" spans="1:10" x14ac:dyDescent="0.2">
      <c r="A177" t="s">
        <v>147</v>
      </c>
      <c r="B177" s="81">
        <f>J173</f>
        <v>3745824</v>
      </c>
      <c r="C177" s="78" t="s">
        <v>142</v>
      </c>
      <c r="D177" s="81">
        <f>D174+D175+D176</f>
        <v>3614.8416503999997</v>
      </c>
      <c r="E177" s="81">
        <f>SUM(B177:D177)</f>
        <v>3749438.8416503998</v>
      </c>
      <c r="F177" s="81">
        <f>F174+F175+F176</f>
        <v>529627.56666666665</v>
      </c>
      <c r="G177" s="81">
        <f>G174+G175+G176</f>
        <v>489915.25879919995</v>
      </c>
      <c r="H177" s="81">
        <f>I177-F177-G177</f>
        <v>2827.0161845332477</v>
      </c>
      <c r="I177" s="81">
        <f>E177-J177</f>
        <v>1022369.8416503998</v>
      </c>
      <c r="J177" s="81">
        <f>'tab01'!D120</f>
        <v>2727069</v>
      </c>
    </row>
    <row r="178" spans="1:10" x14ac:dyDescent="0.2">
      <c r="A178" t="s">
        <v>157</v>
      </c>
      <c r="B178" s="81"/>
      <c r="C178" s="81"/>
      <c r="D178" s="81">
        <v>1484.7809472000001</v>
      </c>
      <c r="E178" s="81"/>
      <c r="F178" s="81">
        <v>179433.60000000001</v>
      </c>
      <c r="G178" s="81">
        <v>141063.394356</v>
      </c>
      <c r="H178" s="81"/>
      <c r="I178" s="81"/>
      <c r="J178" s="81"/>
    </row>
    <row r="179" spans="1:10" x14ac:dyDescent="0.2">
      <c r="A179" t="s">
        <v>158</v>
      </c>
      <c r="B179" s="81"/>
      <c r="C179" s="81"/>
      <c r="D179" s="81">
        <v>1562.2777176000002</v>
      </c>
      <c r="E179" s="81"/>
      <c r="F179" s="81">
        <v>171546.76666666666</v>
      </c>
      <c r="G179" s="81">
        <v>91209.315201599995</v>
      </c>
      <c r="H179" s="81"/>
      <c r="I179" s="81"/>
      <c r="J179" s="81"/>
    </row>
    <row r="180" spans="1:10" x14ac:dyDescent="0.2">
      <c r="A180" t="s">
        <v>159</v>
      </c>
      <c r="B180" s="81"/>
      <c r="C180" s="81"/>
      <c r="D180" s="81">
        <v>639.05532239999991</v>
      </c>
      <c r="E180" s="81"/>
      <c r="F180" s="81">
        <v>165442.36666666667</v>
      </c>
      <c r="G180" s="81">
        <v>91021.472524800003</v>
      </c>
      <c r="H180" s="81"/>
      <c r="I180" s="81"/>
      <c r="J180" s="81"/>
    </row>
    <row r="181" spans="1:10" x14ac:dyDescent="0.2">
      <c r="A181" t="s">
        <v>143</v>
      </c>
      <c r="B181" s="81">
        <f>J177</f>
        <v>2727069</v>
      </c>
      <c r="C181" s="78" t="s">
        <v>142</v>
      </c>
      <c r="D181" s="81">
        <f>D178+D179+D180</f>
        <v>3686.1139872000003</v>
      </c>
      <c r="E181" s="81">
        <f>SUM(B181:D181)</f>
        <v>2730755.1139872</v>
      </c>
      <c r="F181" s="81">
        <f>F178+F179+F180</f>
        <v>516422.7333333334</v>
      </c>
      <c r="G181" s="81">
        <f>G178+G179+G180</f>
        <v>323294.18208240002</v>
      </c>
      <c r="H181" s="81">
        <f>I181-F181-G181</f>
        <v>107958.19857146655</v>
      </c>
      <c r="I181" s="81">
        <f>E181-J181</f>
        <v>947675.11398719996</v>
      </c>
      <c r="J181" s="81">
        <f>'tab01'!D121</f>
        <v>1783080</v>
      </c>
    </row>
    <row r="182" spans="1:10" x14ac:dyDescent="0.2">
      <c r="A182" t="s">
        <v>163</v>
      </c>
      <c r="B182" s="81"/>
      <c r="C182" s="81"/>
      <c r="D182" s="81">
        <v>745.73417760000007</v>
      </c>
      <c r="E182" s="81"/>
      <c r="F182" s="81">
        <v>157637.9</v>
      </c>
      <c r="G182" s="81">
        <v>120212.11867680002</v>
      </c>
      <c r="H182" s="81"/>
      <c r="I182" s="81"/>
      <c r="J182" s="81"/>
    </row>
    <row r="183" spans="1:10" x14ac:dyDescent="0.2">
      <c r="A183" t="s">
        <v>164</v>
      </c>
      <c r="B183" s="81"/>
      <c r="C183" s="81"/>
      <c r="D183" s="81">
        <v>1313.1901416000001</v>
      </c>
      <c r="E183" s="81"/>
      <c r="F183" s="81">
        <v>179463.2</v>
      </c>
      <c r="G183" s="81">
        <v>136022.76425040001</v>
      </c>
      <c r="H183" s="81"/>
      <c r="I183" s="81"/>
      <c r="J183" s="81"/>
    </row>
    <row r="184" spans="1:10" x14ac:dyDescent="0.2">
      <c r="A184" t="s">
        <v>165</v>
      </c>
      <c r="B184" s="81"/>
      <c r="C184" s="81"/>
      <c r="D184" s="81">
        <v>1055.4787487999999</v>
      </c>
      <c r="E184" s="81"/>
      <c r="F184" s="81">
        <v>177529.33333333334</v>
      </c>
      <c r="G184" s="81">
        <v>181648.02788639997</v>
      </c>
      <c r="H184" s="81"/>
      <c r="I184" s="81"/>
      <c r="J184" s="81"/>
    </row>
    <row r="185" spans="1:10" x14ac:dyDescent="0.2">
      <c r="A185" t="s">
        <v>144</v>
      </c>
      <c r="B185" s="81">
        <f>J181</f>
        <v>1783080</v>
      </c>
      <c r="C185" s="78" t="s">
        <v>142</v>
      </c>
      <c r="D185" s="81">
        <f>D182+D183+D184</f>
        <v>3114.4030680000005</v>
      </c>
      <c r="E185" s="81">
        <f>SUM(B185:D185)</f>
        <v>1786194.403068</v>
      </c>
      <c r="F185" s="81">
        <f>F182+F183+F184</f>
        <v>514630.43333333335</v>
      </c>
      <c r="G185" s="81">
        <f>G182+G183+G184</f>
        <v>437882.9108136</v>
      </c>
      <c r="H185" s="81">
        <f>I185-F185-G185</f>
        <v>-75370.941078933363</v>
      </c>
      <c r="I185" s="81">
        <f>E185-J185</f>
        <v>877142.40306799999</v>
      </c>
      <c r="J185" s="81">
        <f>'tab01'!D122</f>
        <v>909052</v>
      </c>
    </row>
    <row r="186" spans="1:10" x14ac:dyDescent="0.2">
      <c r="A186" t="s">
        <v>150</v>
      </c>
      <c r="B186" s="81"/>
      <c r="C186" s="81">
        <f>SUM(C173:C185)</f>
        <v>4428150</v>
      </c>
      <c r="D186" s="81">
        <f>D173+D177+D181+D185</f>
        <v>14057.394590399999</v>
      </c>
      <c r="E186" s="81">
        <f>B173+D186+C186</f>
        <v>4880312.3945904002</v>
      </c>
      <c r="F186" s="81">
        <f>F173+F177+F181+F185</f>
        <v>2091990.2666666668</v>
      </c>
      <c r="G186" s="81">
        <f>G173+G177+G181+G185</f>
        <v>1753443.8010144001</v>
      </c>
      <c r="H186" s="81">
        <f>H173+H177+H181+H185</f>
        <v>125826.32690933347</v>
      </c>
      <c r="I186" s="81">
        <f>I173+I177+I181+I185</f>
        <v>3971260.3945904002</v>
      </c>
      <c r="J186" s="81"/>
    </row>
    <row r="187" spans="1:10" x14ac:dyDescent="0.2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1:10" x14ac:dyDescent="0.2">
      <c r="A188" t="s">
        <v>36</v>
      </c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1:10" x14ac:dyDescent="0.2">
      <c r="A189" t="s">
        <v>151</v>
      </c>
      <c r="B189" s="81"/>
      <c r="C189" s="81"/>
      <c r="D189" s="81">
        <v>1172.5341096000002</v>
      </c>
      <c r="E189" s="81"/>
      <c r="F189" s="81">
        <v>162334.46666666667</v>
      </c>
      <c r="G189" s="81">
        <v>143747.85220560001</v>
      </c>
      <c r="H189" s="81"/>
      <c r="I189" s="81"/>
      <c r="J189" s="81"/>
    </row>
    <row r="190" spans="1:10" x14ac:dyDescent="0.2">
      <c r="A190" t="s">
        <v>152</v>
      </c>
      <c r="B190" s="81"/>
      <c r="C190" s="81"/>
      <c r="D190" s="81">
        <v>1957.5549720000001</v>
      </c>
      <c r="E190" s="81"/>
      <c r="F190" s="81">
        <v>187187.20000000001</v>
      </c>
      <c r="G190" s="81">
        <v>216572.41356479999</v>
      </c>
      <c r="H190" s="81"/>
      <c r="I190" s="81"/>
      <c r="J190" s="81"/>
    </row>
    <row r="191" spans="1:10" x14ac:dyDescent="0.2">
      <c r="A191" t="s">
        <v>153</v>
      </c>
      <c r="B191" s="81"/>
      <c r="C191" s="81"/>
      <c r="D191" s="81">
        <v>457.55833439999998</v>
      </c>
      <c r="E191" s="81"/>
      <c r="F191" s="81">
        <v>174648.4</v>
      </c>
      <c r="G191" s="81">
        <v>251118.20743919999</v>
      </c>
      <c r="H191" s="81"/>
      <c r="I191" s="81"/>
      <c r="J191" s="81"/>
    </row>
    <row r="192" spans="1:10" x14ac:dyDescent="0.2">
      <c r="A192" t="s">
        <v>146</v>
      </c>
      <c r="B192" s="81">
        <f>J185</f>
        <v>909052</v>
      </c>
      <c r="C192" s="81">
        <f>'tab02'!E45</f>
        <v>3551908</v>
      </c>
      <c r="D192" s="81">
        <f>D189+D190+D191</f>
        <v>3587.6474160000002</v>
      </c>
      <c r="E192" s="81">
        <f>SUM(B192:D192)</f>
        <v>4464547.6474160003</v>
      </c>
      <c r="F192" s="81">
        <f>SUM(F189:F191)</f>
        <v>524170.06666666665</v>
      </c>
      <c r="G192" s="81">
        <f>G189+G190+G191</f>
        <v>611438.47320959996</v>
      </c>
      <c r="H192" s="81">
        <f>I192-F192-G192</f>
        <v>76451.107539733639</v>
      </c>
      <c r="I192" s="81">
        <f>E192-J192</f>
        <v>1212059.6474160003</v>
      </c>
      <c r="J192" s="81">
        <f>'tab01'!D125</f>
        <v>3252488</v>
      </c>
    </row>
    <row r="193" spans="1:10" x14ac:dyDescent="0.2">
      <c r="A193" t="s">
        <v>154</v>
      </c>
      <c r="B193" s="81"/>
      <c r="C193" s="81"/>
      <c r="D193" s="81">
        <v>1389.4633368</v>
      </c>
      <c r="E193" s="81"/>
      <c r="F193" s="81">
        <v>184742.46666666667</v>
      </c>
      <c r="G193" s="81">
        <v>208338.07949039998</v>
      </c>
      <c r="H193" s="81"/>
      <c r="I193" s="81"/>
      <c r="J193" s="81"/>
    </row>
    <row r="194" spans="1:10" x14ac:dyDescent="0.2">
      <c r="A194" t="s">
        <v>155</v>
      </c>
      <c r="B194" s="81"/>
      <c r="C194" s="78"/>
      <c r="D194" s="81">
        <v>1141.8602183999999</v>
      </c>
      <c r="E194" s="81"/>
      <c r="F194" s="81">
        <v>188780.1</v>
      </c>
      <c r="G194" s="81">
        <v>190420.8820248</v>
      </c>
      <c r="H194" s="81"/>
      <c r="I194" s="81"/>
      <c r="J194" s="81"/>
    </row>
    <row r="195" spans="1:10" ht="10.199999999999999" customHeight="1" x14ac:dyDescent="0.2">
      <c r="A195" t="s">
        <v>156</v>
      </c>
      <c r="B195" s="81"/>
      <c r="C195" s="78"/>
      <c r="D195" s="81">
        <v>1519.2321216</v>
      </c>
      <c r="E195" s="81"/>
      <c r="F195" s="81">
        <v>175292.56666666668</v>
      </c>
      <c r="G195" s="81">
        <v>107685.3027552</v>
      </c>
      <c r="H195" s="81"/>
      <c r="I195" s="81"/>
    </row>
    <row r="196" spans="1:10" x14ac:dyDescent="0.2">
      <c r="A196" t="s">
        <v>147</v>
      </c>
      <c r="B196" s="81">
        <f>J192</f>
        <v>3252488</v>
      </c>
      <c r="C196" s="78" t="s">
        <v>142</v>
      </c>
      <c r="D196" s="81">
        <f>D193+D194+D195</f>
        <v>4050.5556767999997</v>
      </c>
      <c r="E196" s="81">
        <f>SUM(B196:D196)</f>
        <v>3256538.5556768002</v>
      </c>
      <c r="F196" s="81">
        <f>SUM(F193:F195)</f>
        <v>548815.1333333333</v>
      </c>
      <c r="G196" s="81">
        <f>G193+G194+G195</f>
        <v>506444.26427039999</v>
      </c>
      <c r="H196" s="81">
        <f>I196-F196-G196</f>
        <v>-53602.841926933092</v>
      </c>
      <c r="I196" s="81">
        <f>E196-J196</f>
        <v>1001656.5556768002</v>
      </c>
      <c r="J196" s="81">
        <f>'tab01'!D126</f>
        <v>2254882</v>
      </c>
    </row>
    <row r="197" spans="1:10" x14ac:dyDescent="0.2">
      <c r="A197" t="s">
        <v>157</v>
      </c>
      <c r="B197" s="81"/>
      <c r="C197" s="81"/>
      <c r="D197" s="81">
        <v>1559.8268927999998</v>
      </c>
      <c r="E197" s="81"/>
      <c r="F197" s="81">
        <v>192162.23333333334</v>
      </c>
      <c r="G197" s="81">
        <v>90951.243717600009</v>
      </c>
      <c r="H197" s="81"/>
      <c r="I197" s="81"/>
      <c r="J197" s="81"/>
    </row>
    <row r="198" spans="1:10" x14ac:dyDescent="0.2">
      <c r="A198" t="s">
        <v>158</v>
      </c>
      <c r="B198" s="81"/>
      <c r="C198" s="81"/>
      <c r="D198" s="81">
        <v>935.6087976</v>
      </c>
      <c r="E198" s="81"/>
      <c r="F198" s="81">
        <v>183394.16666666666</v>
      </c>
      <c r="G198" s="81">
        <v>81653.409679199991</v>
      </c>
      <c r="H198" s="81"/>
      <c r="I198" s="81"/>
      <c r="J198" s="81"/>
    </row>
    <row r="199" spans="1:10" x14ac:dyDescent="0.2">
      <c r="A199" t="s">
        <v>159</v>
      </c>
      <c r="B199" s="81"/>
      <c r="C199" s="81"/>
      <c r="D199" s="81">
        <v>1134.6841152</v>
      </c>
      <c r="E199" s="81"/>
      <c r="F199" s="81">
        <v>179551.13333333333</v>
      </c>
      <c r="G199" s="81">
        <v>70895.971682400006</v>
      </c>
      <c r="H199" s="81"/>
      <c r="I199" s="81"/>
      <c r="J199" s="81"/>
    </row>
    <row r="200" spans="1:10" x14ac:dyDescent="0.2">
      <c r="A200" t="s">
        <v>143</v>
      </c>
      <c r="B200" s="81">
        <f>J196</f>
        <v>2254882</v>
      </c>
      <c r="C200" s="78" t="s">
        <v>142</v>
      </c>
      <c r="D200" s="81">
        <f>D197+D198+D199</f>
        <v>3630.1198055999994</v>
      </c>
      <c r="E200" s="81">
        <f>SUM(B200:D200)</f>
        <v>2258512.1198056</v>
      </c>
      <c r="F200" s="81">
        <f>SUM(F197:F199)</f>
        <v>555107.53333333333</v>
      </c>
      <c r="G200" s="81">
        <f>G197+G198+G199</f>
        <v>243500.62507919999</v>
      </c>
      <c r="H200" s="81">
        <f>I200-F200-G200</f>
        <v>78509.961393066711</v>
      </c>
      <c r="I200" s="81">
        <f>E200-J200</f>
        <v>877118.11980560003</v>
      </c>
      <c r="J200" s="81">
        <f>'tab01'!D127</f>
        <v>1381394</v>
      </c>
    </row>
    <row r="201" spans="1:10" x14ac:dyDescent="0.2">
      <c r="A201" t="s">
        <v>163</v>
      </c>
      <c r="B201" s="81"/>
      <c r="C201" s="78"/>
      <c r="D201" s="81">
        <v>1651.3414992000003</v>
      </c>
      <c r="E201" s="81"/>
      <c r="F201" s="81">
        <v>177280.63333333333</v>
      </c>
      <c r="G201" s="81">
        <v>65403.544701599996</v>
      </c>
      <c r="H201" s="81"/>
      <c r="I201" s="81"/>
      <c r="J201" s="81"/>
    </row>
    <row r="202" spans="1:10" x14ac:dyDescent="0.2">
      <c r="A202" t="s">
        <v>164</v>
      </c>
      <c r="B202" s="81"/>
      <c r="C202" s="78"/>
      <c r="D202" s="81">
        <v>1762.738284</v>
      </c>
      <c r="E202" s="81"/>
      <c r="F202" s="81">
        <v>184506.53333333333</v>
      </c>
      <c r="G202" s="81">
        <v>84699.336628800011</v>
      </c>
      <c r="H202" s="81"/>
      <c r="I202" s="81"/>
      <c r="J202" s="81"/>
    </row>
    <row r="203" spans="1:10" x14ac:dyDescent="0.2">
      <c r="A203" t="s">
        <v>165</v>
      </c>
      <c r="B203" s="81"/>
      <c r="C203" s="81"/>
      <c r="D203" s="81">
        <v>698.22051119999992</v>
      </c>
      <c r="E203" s="81"/>
      <c r="F203" s="81">
        <v>174674.33333333334</v>
      </c>
      <c r="G203" s="81">
        <v>171402.05534639998</v>
      </c>
      <c r="H203" s="81"/>
      <c r="I203" s="81"/>
      <c r="J203" s="81"/>
    </row>
    <row r="204" spans="1:10" x14ac:dyDescent="0.2">
      <c r="A204" t="s">
        <v>144</v>
      </c>
      <c r="B204" s="81">
        <f>J200</f>
        <v>1381394</v>
      </c>
      <c r="C204" s="81"/>
      <c r="D204" s="81">
        <f>D201+D202+D203</f>
        <v>4112.3002944</v>
      </c>
      <c r="E204" s="81">
        <f>SUM(B204:D204)</f>
        <v>1385506.3002944</v>
      </c>
      <c r="F204" s="81">
        <f>SUM(F201:F203)</f>
        <v>536461.5</v>
      </c>
      <c r="G204" s="81">
        <f>G201+G202+G203</f>
        <v>321504.93667680002</v>
      </c>
      <c r="H204" s="81">
        <f>I204-F204-G204</f>
        <v>2998.8636175999418</v>
      </c>
      <c r="I204" s="81">
        <f>E204-J204</f>
        <v>860965.30029439996</v>
      </c>
      <c r="J204" s="81">
        <f>'tab01'!D128</f>
        <v>524541</v>
      </c>
    </row>
    <row r="205" spans="1:10" ht="11.4" customHeight="1" x14ac:dyDescent="0.2">
      <c r="A205" t="s">
        <v>150</v>
      </c>
      <c r="B205" s="81"/>
      <c r="C205" s="81">
        <f>SUM(C192:C204)</f>
        <v>3551908</v>
      </c>
      <c r="D205" s="81">
        <f>D192+D196+D200+D204</f>
        <v>15380.6231928</v>
      </c>
      <c r="E205" s="81">
        <f>B192+D205+C205</f>
        <v>4476340.6231928002</v>
      </c>
      <c r="F205" s="81">
        <f>F192+F196+F200+F204</f>
        <v>2164554.2333333334</v>
      </c>
      <c r="G205" s="81">
        <f>G192+G196+G200+G204</f>
        <v>1682888.2992359998</v>
      </c>
      <c r="H205" s="81">
        <f>H192+H196+H200+H204</f>
        <v>104357.0906234672</v>
      </c>
      <c r="I205" s="81">
        <f>I192+I196+I200+I204</f>
        <v>3951799.6231928002</v>
      </c>
      <c r="J205" s="81"/>
    </row>
    <row r="206" spans="1:10" ht="11.4" customHeight="1" x14ac:dyDescent="0.2">
      <c r="B206" s="81"/>
      <c r="C206" s="81"/>
      <c r="D206" s="81"/>
      <c r="E206" s="81"/>
      <c r="F206" s="81"/>
      <c r="G206" s="81"/>
      <c r="H206" s="81"/>
      <c r="I206" s="81"/>
      <c r="J206" s="81"/>
    </row>
    <row r="207" spans="1:10" x14ac:dyDescent="0.2">
      <c r="A207" t="s">
        <v>37</v>
      </c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1:10" x14ac:dyDescent="0.2">
      <c r="A208" t="s">
        <v>151</v>
      </c>
      <c r="B208" s="81"/>
      <c r="C208" s="81"/>
      <c r="D208" s="81">
        <v>1636.1221343999998</v>
      </c>
      <c r="E208" s="118"/>
      <c r="F208" s="81">
        <v>171055.5</v>
      </c>
      <c r="G208" s="81">
        <v>264267.56592959998</v>
      </c>
      <c r="H208" s="81"/>
      <c r="I208" s="81"/>
      <c r="J208" s="81"/>
    </row>
    <row r="209" spans="1:10" x14ac:dyDescent="0.2">
      <c r="A209" t="s">
        <v>152</v>
      </c>
      <c r="B209" s="81"/>
      <c r="C209" s="78"/>
      <c r="D209" s="81">
        <v>914.15765039999997</v>
      </c>
      <c r="E209" s="118"/>
      <c r="F209" s="81">
        <v>196569.3</v>
      </c>
      <c r="G209" s="81">
        <v>425826.04697760002</v>
      </c>
      <c r="H209" s="81"/>
      <c r="I209" s="81"/>
      <c r="J209" s="81"/>
    </row>
    <row r="210" spans="1:10" x14ac:dyDescent="0.2">
      <c r="A210" t="s">
        <v>153</v>
      </c>
      <c r="B210" s="81"/>
      <c r="C210" s="78"/>
      <c r="D210" s="81">
        <v>456.63973440000001</v>
      </c>
      <c r="E210" s="118"/>
      <c r="F210" s="81">
        <v>191040.23333333334</v>
      </c>
      <c r="G210" s="81">
        <v>399111.80679840001</v>
      </c>
      <c r="H210" s="81"/>
      <c r="I210" s="81"/>
      <c r="J210" s="81"/>
    </row>
    <row r="211" spans="1:10" x14ac:dyDescent="0.2">
      <c r="A211" t="s">
        <v>146</v>
      </c>
      <c r="B211" s="81">
        <f>J204</f>
        <v>524541</v>
      </c>
      <c r="C211" s="78">
        <f>'tab02'!E46</f>
        <v>4216302</v>
      </c>
      <c r="D211" s="81">
        <f>SUM(D208:D210)</f>
        <v>3006.9195192000002</v>
      </c>
      <c r="E211" s="81">
        <f>SUM(B211:D211)</f>
        <v>4743849.9195192</v>
      </c>
      <c r="F211" s="81">
        <f>SUM(F208:F210)</f>
        <v>558665.03333333333</v>
      </c>
      <c r="G211" s="81">
        <f>SUM(G208:G210)</f>
        <v>1089205.4197056</v>
      </c>
      <c r="H211" s="81">
        <f>I211-F211-G211</f>
        <v>149239.46648026677</v>
      </c>
      <c r="I211" s="81">
        <f>E211-J211</f>
        <v>1797109.9195192</v>
      </c>
      <c r="J211" s="81">
        <f>'tab01'!D131</f>
        <v>2946740</v>
      </c>
    </row>
    <row r="212" spans="1:10" x14ac:dyDescent="0.2">
      <c r="A212" t="s">
        <v>154</v>
      </c>
      <c r="B212" s="81"/>
      <c r="C212" s="78"/>
      <c r="D212" s="81">
        <v>860.79433919999997</v>
      </c>
      <c r="E212" s="81"/>
      <c r="F212" s="81">
        <v>193141.1</v>
      </c>
      <c r="G212" s="81">
        <v>386448.27747600002</v>
      </c>
      <c r="H212" s="81"/>
      <c r="I212" s="81"/>
      <c r="J212" s="81"/>
    </row>
    <row r="213" spans="1:10" x14ac:dyDescent="0.2">
      <c r="A213" t="s">
        <v>155</v>
      </c>
      <c r="B213" s="81"/>
      <c r="C213" s="78"/>
      <c r="D213" s="81">
        <v>721.83220560000007</v>
      </c>
      <c r="E213" s="81"/>
      <c r="F213" s="81">
        <v>196512</v>
      </c>
      <c r="G213" s="81">
        <v>331816.88674320001</v>
      </c>
      <c r="H213" s="81"/>
      <c r="I213" s="81"/>
      <c r="J213" s="81"/>
    </row>
    <row r="214" spans="1:10" x14ac:dyDescent="0.2">
      <c r="A214" t="s">
        <v>156</v>
      </c>
      <c r="B214" s="81"/>
      <c r="C214" s="78"/>
      <c r="D214" s="81">
        <v>828.59189760000004</v>
      </c>
      <c r="E214" s="81"/>
      <c r="F214" s="81">
        <v>164349.96666666667</v>
      </c>
      <c r="G214" s="81">
        <v>164699.43533039998</v>
      </c>
      <c r="H214" s="81"/>
      <c r="I214" s="81"/>
      <c r="J214" s="81"/>
    </row>
    <row r="215" spans="1:10" x14ac:dyDescent="0.2">
      <c r="A215" t="s">
        <v>147</v>
      </c>
      <c r="B215" s="81">
        <f>J211</f>
        <v>2946740</v>
      </c>
      <c r="C215" s="78" t="s">
        <v>142</v>
      </c>
      <c r="D215" s="81">
        <f>SUM(D212:D214)</f>
        <v>2411.2184423999997</v>
      </c>
      <c r="E215" s="81">
        <f>SUM(B215:D215)</f>
        <v>2949151.2184424</v>
      </c>
      <c r="F215" s="81">
        <f>SUM(F212:F214)</f>
        <v>554003.06666666665</v>
      </c>
      <c r="G215" s="81">
        <f>SUM(G212:G214)</f>
        <v>882964.59954960004</v>
      </c>
      <c r="H215" s="81">
        <f>I215-F215-G215</f>
        <v>-49500.447773866705</v>
      </c>
      <c r="I215" s="81">
        <f>E215-J215</f>
        <v>1387467.2184424</v>
      </c>
      <c r="J215" s="81">
        <f>'tab01'!D132</f>
        <v>1561684</v>
      </c>
    </row>
    <row r="216" spans="1:10" x14ac:dyDescent="0.2">
      <c r="A216" t="s">
        <v>157</v>
      </c>
      <c r="B216" s="81"/>
      <c r="C216" s="78"/>
      <c r="D216" s="81">
        <v>960.74536799999998</v>
      </c>
      <c r="E216" s="81"/>
      <c r="F216" s="81">
        <v>188224.26666666666</v>
      </c>
      <c r="G216" s="81">
        <v>83173.306867199994</v>
      </c>
      <c r="H216" s="81"/>
      <c r="I216" s="81"/>
      <c r="J216" s="81"/>
    </row>
    <row r="217" spans="1:10" x14ac:dyDescent="0.2">
      <c r="A217" t="s">
        <v>158</v>
      </c>
      <c r="B217" s="81"/>
      <c r="C217" s="78"/>
      <c r="D217" s="81">
        <v>1269.0312023999998</v>
      </c>
      <c r="E217" s="81"/>
      <c r="F217" s="81">
        <v>169854.36666666667</v>
      </c>
      <c r="G217" s="81">
        <v>49868.670196799998</v>
      </c>
      <c r="H217" s="81"/>
      <c r="I217" s="81"/>
      <c r="J217" s="81"/>
    </row>
    <row r="218" spans="1:10" x14ac:dyDescent="0.2">
      <c r="A218" t="s">
        <v>159</v>
      </c>
      <c r="B218" s="81"/>
      <c r="C218" s="78"/>
      <c r="D218" s="81">
        <v>1867.6203576</v>
      </c>
      <c r="E218" s="81"/>
      <c r="F218" s="81">
        <v>173501.06666666668</v>
      </c>
      <c r="G218" s="81">
        <v>49178.500295999998</v>
      </c>
      <c r="H218" s="81"/>
      <c r="I218" s="81"/>
      <c r="J218" s="81"/>
    </row>
    <row r="219" spans="1:10" x14ac:dyDescent="0.2">
      <c r="A219" t="s">
        <v>143</v>
      </c>
      <c r="B219" s="81">
        <f>J215</f>
        <v>1561684</v>
      </c>
      <c r="C219" s="78" t="s">
        <v>142</v>
      </c>
      <c r="D219" s="81">
        <f>SUM(D216:D218)</f>
        <v>4097.3969280000001</v>
      </c>
      <c r="E219" s="81">
        <f>SUM(B219:D219)</f>
        <v>1565781.396928</v>
      </c>
      <c r="F219" s="81">
        <f>SUM(F216:F218)</f>
        <v>531579.69999999995</v>
      </c>
      <c r="G219" s="81">
        <f>SUM(G216:G218)</f>
        <v>182220.47735999996</v>
      </c>
      <c r="H219" s="81">
        <f>I219-F219-G219</f>
        <v>82941.219568000117</v>
      </c>
      <c r="I219" s="81">
        <f>E219-J219</f>
        <v>796741.39692800003</v>
      </c>
      <c r="J219" s="81">
        <f>'tab01'!D133</f>
        <v>769040</v>
      </c>
    </row>
    <row r="220" spans="1:10" x14ac:dyDescent="0.2">
      <c r="A220" t="s">
        <v>163</v>
      </c>
      <c r="B220" s="81"/>
      <c r="C220" s="78"/>
      <c r="D220" s="81">
        <v>7548.1435487999997</v>
      </c>
      <c r="E220" s="81"/>
      <c r="F220" s="81">
        <v>161744.46666666667</v>
      </c>
      <c r="G220" s="81">
        <v>33979.741531200001</v>
      </c>
      <c r="H220" s="81"/>
      <c r="I220" s="81"/>
      <c r="J220" s="81"/>
    </row>
    <row r="221" spans="1:10" x14ac:dyDescent="0.2">
      <c r="A221" t="s">
        <v>164</v>
      </c>
      <c r="B221" s="81"/>
      <c r="C221" s="78"/>
      <c r="D221" s="81">
        <v>2195.2886519999997</v>
      </c>
      <c r="E221" s="81"/>
      <c r="F221" s="81">
        <v>166333.20000000001</v>
      </c>
      <c r="G221" s="81">
        <v>34825.015204799995</v>
      </c>
      <c r="H221" s="81"/>
      <c r="I221" s="81"/>
      <c r="J221" s="81"/>
    </row>
    <row r="222" spans="1:10" x14ac:dyDescent="0.2">
      <c r="A222" t="s">
        <v>165</v>
      </c>
      <c r="B222" s="81"/>
      <c r="C222" s="78"/>
      <c r="D222" s="81">
        <v>556.17555600000003</v>
      </c>
      <c r="E222" s="81"/>
      <c r="F222" s="81">
        <v>168259.20000000001</v>
      </c>
      <c r="G222" s="81">
        <v>42626.409424800004</v>
      </c>
      <c r="H222" s="81"/>
      <c r="I222" s="81"/>
      <c r="J222" s="81"/>
    </row>
    <row r="223" spans="1:10" x14ac:dyDescent="0.2">
      <c r="A223" t="s">
        <v>144</v>
      </c>
      <c r="B223" s="81">
        <f>J219</f>
        <v>769040</v>
      </c>
      <c r="C223" s="78" t="s">
        <v>142</v>
      </c>
      <c r="D223" s="81">
        <f>SUM(D220:D222)</f>
        <v>10299.6077568</v>
      </c>
      <c r="E223" s="81">
        <f>SUM(B223:D223)</f>
        <v>779339.60775680002</v>
      </c>
      <c r="F223" s="81">
        <f>SUM(F220:F222)</f>
        <v>496336.8666666667</v>
      </c>
      <c r="G223" s="81">
        <f>SUM(G220:G222)</f>
        <v>111431.1661608</v>
      </c>
      <c r="H223" s="81">
        <f>I223-F223-G223</f>
        <v>-85407.425070666679</v>
      </c>
      <c r="I223" s="81">
        <f>E223-J223</f>
        <v>522360.60775680002</v>
      </c>
      <c r="J223" s="81">
        <f>'tab01'!D134</f>
        <v>256979</v>
      </c>
    </row>
    <row r="224" spans="1:10" x14ac:dyDescent="0.2">
      <c r="A224" t="s">
        <v>150</v>
      </c>
      <c r="B224" s="81"/>
      <c r="C224" s="81">
        <f>SUM(C211:C223)</f>
        <v>4216302</v>
      </c>
      <c r="D224" s="81">
        <f>SUM(D223,D219,D215,D211)</f>
        <v>19815.1426464</v>
      </c>
      <c r="E224" s="81">
        <f>B211+D224+C224</f>
        <v>4760658.1426464003</v>
      </c>
      <c r="F224" s="81">
        <f>SUM(F223,F219,F215,F211)</f>
        <v>2140584.6666666665</v>
      </c>
      <c r="G224" s="81">
        <f>SUM(G223,G219,G215,G211)</f>
        <v>2265821.6627759999</v>
      </c>
      <c r="H224" s="81">
        <f>H211+H215+H219+H223</f>
        <v>97272.813203733502</v>
      </c>
      <c r="I224" s="81">
        <f>I211+I215+I219+I223</f>
        <v>4503679.1426464003</v>
      </c>
      <c r="J224" s="118"/>
    </row>
    <row r="225" spans="1:10" x14ac:dyDescent="0.2">
      <c r="B225" s="81"/>
      <c r="C225" s="78"/>
      <c r="D225" s="81"/>
      <c r="E225" s="81"/>
      <c r="F225" s="81"/>
      <c r="G225" s="81"/>
      <c r="H225" s="81"/>
      <c r="I225" s="81"/>
      <c r="J225" s="118"/>
    </row>
    <row r="226" spans="1:10" x14ac:dyDescent="0.2">
      <c r="A226" t="s">
        <v>38</v>
      </c>
      <c r="B226" s="81"/>
      <c r="C226" s="78"/>
      <c r="D226" s="81"/>
      <c r="E226" s="81"/>
      <c r="F226" s="81"/>
      <c r="G226" s="81"/>
      <c r="H226" s="81"/>
      <c r="I226" s="81"/>
      <c r="J226" s="118"/>
    </row>
    <row r="227" spans="1:10" x14ac:dyDescent="0.2">
      <c r="A227" t="s">
        <v>151</v>
      </c>
      <c r="B227" s="81"/>
      <c r="C227" s="81"/>
      <c r="D227" s="81">
        <v>899.80911839999987</v>
      </c>
      <c r="E227" s="81"/>
      <c r="F227" s="81">
        <v>164152.46666666667</v>
      </c>
      <c r="G227" s="81">
        <v>77114.287406400006</v>
      </c>
      <c r="H227" s="81"/>
      <c r="I227" s="81"/>
      <c r="J227" s="118"/>
    </row>
    <row r="228" spans="1:10" x14ac:dyDescent="0.2">
      <c r="A228" t="s">
        <v>152</v>
      </c>
      <c r="B228" s="81"/>
      <c r="C228" s="81"/>
      <c r="D228" s="81">
        <v>706.56507360000001</v>
      </c>
      <c r="E228" s="81"/>
      <c r="F228" s="81">
        <v>196938.56666666668</v>
      </c>
      <c r="G228" s="81">
        <v>394984.2467208</v>
      </c>
      <c r="H228" s="81"/>
      <c r="I228" s="81"/>
      <c r="J228" s="118"/>
    </row>
    <row r="229" spans="1:10" x14ac:dyDescent="0.2">
      <c r="A229" t="s">
        <v>153</v>
      </c>
      <c r="B229" s="81"/>
      <c r="C229" s="81"/>
      <c r="D229" s="81">
        <v>1282.1488103999998</v>
      </c>
      <c r="E229" s="81"/>
      <c r="F229" s="81">
        <v>190598.1</v>
      </c>
      <c r="G229" s="81">
        <v>388805.19930959999</v>
      </c>
      <c r="H229" s="81"/>
      <c r="I229" s="81"/>
      <c r="J229" s="118"/>
    </row>
    <row r="230" spans="1:10" x14ac:dyDescent="0.2">
      <c r="A230" t="s">
        <v>146</v>
      </c>
      <c r="B230" s="81">
        <f>J223</f>
        <v>256979</v>
      </c>
      <c r="C230" s="81">
        <f>'tab02'!E47</f>
        <v>4465382</v>
      </c>
      <c r="D230" s="81">
        <f>SUM(D227:D229)</f>
        <v>2888.5230023999993</v>
      </c>
      <c r="E230" s="81">
        <f>SUM(B230:D230)</f>
        <v>4725249.5230024001</v>
      </c>
      <c r="F230" s="81">
        <f>SUM(F227:F229)</f>
        <v>551689.1333333333</v>
      </c>
      <c r="G230" s="81">
        <f>SUM(G227:G229)</f>
        <v>860903.73343680007</v>
      </c>
      <c r="H230" s="81">
        <f>I230-F230-G230</f>
        <v>176132.65623226669</v>
      </c>
      <c r="I230" s="81">
        <f>E230-J230</f>
        <v>1588725.5230024001</v>
      </c>
      <c r="J230" s="81">
        <f>'tab01'!D137</f>
        <v>3136524</v>
      </c>
    </row>
    <row r="231" spans="1:10" x14ac:dyDescent="0.2">
      <c r="A231" t="s">
        <v>154</v>
      </c>
      <c r="B231" s="81"/>
      <c r="C231" s="81"/>
      <c r="D231" s="81">
        <v>1024.5990912</v>
      </c>
      <c r="E231" s="81"/>
      <c r="F231" s="81">
        <v>198240.73333333334</v>
      </c>
      <c r="G231" s="81">
        <v>291773.14326480002</v>
      </c>
      <c r="H231" s="81"/>
      <c r="I231" s="81"/>
      <c r="J231" s="81"/>
    </row>
    <row r="232" spans="1:10" x14ac:dyDescent="0.2">
      <c r="A232" t="s">
        <v>155</v>
      </c>
      <c r="B232" s="81"/>
      <c r="C232" s="78"/>
      <c r="D232" s="81">
        <v>879.92326560000004</v>
      </c>
      <c r="E232" s="81"/>
      <c r="F232" s="81">
        <v>194299.13333333333</v>
      </c>
      <c r="G232" s="81">
        <v>234871.62737520001</v>
      </c>
      <c r="H232" s="81"/>
      <c r="I232" s="81"/>
      <c r="J232" s="81"/>
    </row>
    <row r="233" spans="1:10" x14ac:dyDescent="0.2">
      <c r="A233" t="s">
        <v>156</v>
      </c>
      <c r="B233" s="81"/>
      <c r="C233" s="78"/>
      <c r="D233" s="81">
        <v>1736.1062327999998</v>
      </c>
      <c r="E233" s="81"/>
      <c r="F233" s="81">
        <v>174415.1</v>
      </c>
      <c r="G233" s="81">
        <v>139305.89944080001</v>
      </c>
      <c r="H233" s="81"/>
      <c r="I233" s="81"/>
    </row>
    <row r="234" spans="1:10" x14ac:dyDescent="0.2">
      <c r="A234" t="s">
        <v>147</v>
      </c>
      <c r="B234" s="81">
        <f>J230</f>
        <v>3136524</v>
      </c>
      <c r="C234" s="78" t="s">
        <v>142</v>
      </c>
      <c r="D234" s="81">
        <f>SUM(D231:D233)</f>
        <v>3640.6285895999999</v>
      </c>
      <c r="E234" s="81">
        <f>SUM(B234:D234)</f>
        <v>3140164.6285895999</v>
      </c>
      <c r="F234" s="81">
        <f>SUM(F231:F233)</f>
        <v>566954.96666666667</v>
      </c>
      <c r="G234" s="81">
        <f>SUM(G231:G233)</f>
        <v>665950.67008080008</v>
      </c>
      <c r="H234" s="81">
        <f>I234-F234-G234</f>
        <v>-24558.008157866891</v>
      </c>
      <c r="I234" s="81">
        <f>E234-J234</f>
        <v>1208347.6285895999</v>
      </c>
      <c r="J234" s="81">
        <f>'tab01'!D138</f>
        <v>1931817</v>
      </c>
    </row>
    <row r="235" spans="1:10" x14ac:dyDescent="0.2">
      <c r="A235" t="s">
        <v>157</v>
      </c>
      <c r="B235" s="81"/>
      <c r="C235" s="78"/>
      <c r="D235" s="81">
        <v>1237.0198296000001</v>
      </c>
      <c r="E235" s="81"/>
      <c r="F235" s="81">
        <v>192871.96666666667</v>
      </c>
      <c r="G235" s="81">
        <v>117008.35787519999</v>
      </c>
      <c r="H235" s="81"/>
      <c r="I235" s="81"/>
      <c r="J235" s="81"/>
    </row>
    <row r="236" spans="1:10" x14ac:dyDescent="0.2">
      <c r="A236" t="s">
        <v>158</v>
      </c>
      <c r="B236" s="81"/>
      <c r="C236" s="78"/>
      <c r="D236" s="81">
        <v>1807.4594064</v>
      </c>
      <c r="E236" s="81"/>
      <c r="F236" s="81">
        <v>180890.4</v>
      </c>
      <c r="G236" s="81">
        <v>134381.938884</v>
      </c>
      <c r="H236" s="81"/>
      <c r="I236" s="81"/>
      <c r="J236" s="81"/>
    </row>
    <row r="237" spans="1:10" x14ac:dyDescent="0.2">
      <c r="A237" t="s">
        <v>159</v>
      </c>
      <c r="B237" s="81"/>
      <c r="C237" s="78"/>
      <c r="D237" s="81">
        <v>1122.6614783999999</v>
      </c>
      <c r="E237" s="81"/>
      <c r="F237" s="81">
        <v>180905.33333333334</v>
      </c>
      <c r="G237" s="81">
        <v>88698.641774399992</v>
      </c>
      <c r="H237" s="81"/>
      <c r="I237" s="81"/>
      <c r="J237" s="81"/>
    </row>
    <row r="238" spans="1:10" x14ac:dyDescent="0.2">
      <c r="A238" t="s">
        <v>143</v>
      </c>
      <c r="B238" s="81">
        <f>J234</f>
        <v>1931817</v>
      </c>
      <c r="C238" s="78" t="s">
        <v>142</v>
      </c>
      <c r="D238" s="81">
        <f>SUM(D235:D237)</f>
        <v>4167.1407144000004</v>
      </c>
      <c r="E238" s="81">
        <f>SUM(B238:D238)</f>
        <v>1935984.1407144</v>
      </c>
      <c r="F238" s="81">
        <f>SUM(F235:F237)</f>
        <v>554667.70000000007</v>
      </c>
      <c r="G238" s="81">
        <f>SUM(G235:G237)</f>
        <v>340088.93853359995</v>
      </c>
      <c r="H238" s="81">
        <f>I238-F238-G238</f>
        <v>73702.502180799958</v>
      </c>
      <c r="I238" s="81">
        <f>E238-J238</f>
        <v>968459.14071439998</v>
      </c>
      <c r="J238" s="81">
        <f>'tab01'!D139</f>
        <v>967525</v>
      </c>
    </row>
    <row r="239" spans="1:10" x14ac:dyDescent="0.2">
      <c r="A239" t="s">
        <v>163</v>
      </c>
      <c r="B239" s="81"/>
      <c r="C239" s="78"/>
      <c r="D239" s="81">
        <v>776.57709120000004</v>
      </c>
      <c r="E239" s="81"/>
      <c r="F239" s="81">
        <v>174080.4</v>
      </c>
      <c r="G239" s="81">
        <v>83447.101108800009</v>
      </c>
      <c r="H239" s="81"/>
      <c r="I239" s="81"/>
      <c r="J239" s="81"/>
    </row>
    <row r="240" spans="1:10" x14ac:dyDescent="0.2">
      <c r="A240" t="s">
        <v>164</v>
      </c>
      <c r="B240" s="81"/>
      <c r="C240" s="78"/>
      <c r="D240" s="81">
        <v>2207.5427760000002</v>
      </c>
      <c r="E240" s="81"/>
      <c r="F240" s="81">
        <v>181334.76666666666</v>
      </c>
      <c r="G240" s="81">
        <v>85359.527099999992</v>
      </c>
      <c r="H240" s="81"/>
      <c r="I240" s="81"/>
      <c r="J240" s="81"/>
    </row>
    <row r="241" spans="1:10" x14ac:dyDescent="0.2">
      <c r="A241" t="s">
        <v>165</v>
      </c>
      <c r="B241" s="81"/>
      <c r="C241" s="78"/>
      <c r="D241" s="81">
        <v>2229.7655472000001</v>
      </c>
      <c r="E241" s="81"/>
      <c r="F241" s="81">
        <v>175087.3</v>
      </c>
      <c r="G241" s="81">
        <v>121896.72084480002</v>
      </c>
      <c r="H241" s="81"/>
      <c r="I241" s="81"/>
      <c r="J241" s="81"/>
    </row>
    <row r="242" spans="1:10" x14ac:dyDescent="0.2">
      <c r="A242" t="s">
        <v>144</v>
      </c>
      <c r="B242" s="81">
        <f>J238</f>
        <v>967525</v>
      </c>
      <c r="C242" s="78" t="s">
        <v>142</v>
      </c>
      <c r="D242" s="81">
        <f>SUM(D239:D241)</f>
        <v>5213.8854143999997</v>
      </c>
      <c r="E242" s="81">
        <f>SUM(B242:D242)</f>
        <v>972738.88541440002</v>
      </c>
      <c r="F242" s="81">
        <f>SUM(F239:F241)</f>
        <v>530502.46666666656</v>
      </c>
      <c r="G242" s="81">
        <f>SUM(G239:G241)</f>
        <v>290703.34905359999</v>
      </c>
      <c r="H242" s="81">
        <f>I242-F242-G242</f>
        <v>-122860.93030586652</v>
      </c>
      <c r="I242" s="81">
        <f>E242-J242</f>
        <v>698344.88541440002</v>
      </c>
      <c r="J242" s="81">
        <f>'tab01'!D140</f>
        <v>274394</v>
      </c>
    </row>
    <row r="243" spans="1:10" x14ac:dyDescent="0.2">
      <c r="A243" t="s">
        <v>150</v>
      </c>
      <c r="B243" s="81"/>
      <c r="C243" s="81">
        <f>SUM(C230:C242)</f>
        <v>4465382</v>
      </c>
      <c r="D243" s="81">
        <f>SUM(D242,D238,D234,D230)</f>
        <v>15910.1777208</v>
      </c>
      <c r="E243" s="81">
        <f>B230+D243+C243</f>
        <v>4738271.1777208</v>
      </c>
      <c r="F243" s="81">
        <f>SUM(F230,F234,F238,F242)</f>
        <v>2203814.2666666666</v>
      </c>
      <c r="G243" s="81">
        <f>SUM(G242,G238,G234,G230)</f>
        <v>2157646.6911048</v>
      </c>
      <c r="H243" s="81">
        <f>H230+H234+H238+H242</f>
        <v>102416.21994933323</v>
      </c>
      <c r="I243" s="81">
        <f>I230+I234+I238+I242</f>
        <v>4463877.1777208</v>
      </c>
      <c r="J243" s="81"/>
    </row>
    <row r="244" spans="1:10" x14ac:dyDescent="0.2">
      <c r="B244" s="81"/>
      <c r="C244" s="78"/>
      <c r="D244" s="81"/>
      <c r="E244" s="81"/>
      <c r="F244" s="81"/>
      <c r="G244" s="81"/>
      <c r="H244" s="81"/>
      <c r="I244" s="81"/>
      <c r="J244" s="81"/>
    </row>
    <row r="245" spans="1:10" x14ac:dyDescent="0.2">
      <c r="A245" t="s">
        <v>209</v>
      </c>
      <c r="B245" s="81"/>
      <c r="C245" s="78"/>
      <c r="D245" s="81"/>
      <c r="E245" s="81"/>
      <c r="F245" s="81"/>
      <c r="G245" s="81"/>
      <c r="H245" s="81"/>
      <c r="I245" s="81"/>
      <c r="J245" s="81"/>
    </row>
    <row r="246" spans="1:10" x14ac:dyDescent="0.2">
      <c r="A246" t="s">
        <v>151</v>
      </c>
      <c r="B246" s="81"/>
      <c r="C246" s="81"/>
      <c r="D246" s="81">
        <v>1167.0225095999999</v>
      </c>
      <c r="E246" s="81"/>
      <c r="F246" s="81">
        <v>167609.56666666668</v>
      </c>
      <c r="G246" s="81">
        <v>78005.645404800016</v>
      </c>
      <c r="H246" s="81"/>
      <c r="I246" s="81"/>
      <c r="J246" s="81"/>
    </row>
    <row r="247" spans="1:10" x14ac:dyDescent="0.2">
      <c r="A247" t="s">
        <v>152</v>
      </c>
      <c r="B247" s="81"/>
      <c r="C247" s="81"/>
      <c r="D247" s="81">
        <v>1243.6484472</v>
      </c>
      <c r="E247" s="81"/>
      <c r="F247" s="81">
        <v>196656.46666666667</v>
      </c>
      <c r="G247" s="81">
        <v>359387.42379600002</v>
      </c>
      <c r="H247" s="81"/>
      <c r="I247" s="81"/>
      <c r="J247" s="81"/>
    </row>
    <row r="248" spans="1:10" x14ac:dyDescent="0.2">
      <c r="A248" t="s">
        <v>153</v>
      </c>
      <c r="B248" s="81"/>
      <c r="C248" s="81"/>
      <c r="D248" s="81">
        <v>1285.0074936000001</v>
      </c>
      <c r="E248" s="81"/>
      <c r="F248" s="81">
        <v>189483.06666666668</v>
      </c>
      <c r="G248" s="81">
        <v>355225.95268079994</v>
      </c>
      <c r="H248" s="81"/>
      <c r="I248" s="81"/>
      <c r="J248" s="81"/>
    </row>
    <row r="249" spans="1:10" x14ac:dyDescent="0.2">
      <c r="A249" s="13" t="s">
        <v>146</v>
      </c>
      <c r="B249" s="83">
        <f>J242</f>
        <v>274394</v>
      </c>
      <c r="C249" s="83">
        <f>'tab02'!E48</f>
        <v>4276123</v>
      </c>
      <c r="D249" s="83">
        <f>SUM(D246:D248)</f>
        <v>3695.6784503999997</v>
      </c>
      <c r="E249" s="83">
        <f>SUM(B249,C249,D249)</f>
        <v>4554212.6784504</v>
      </c>
      <c r="F249" s="83">
        <f>SUM(F246:F248)</f>
        <v>553749.1</v>
      </c>
      <c r="G249" s="83">
        <f>SUM(G246:G248)</f>
        <v>792619.02188159991</v>
      </c>
      <c r="H249" s="83">
        <f>I249-F249-G249</f>
        <v>185800.55656880012</v>
      </c>
      <c r="I249" s="83">
        <f>E249-J249</f>
        <v>1532168.6784504</v>
      </c>
      <c r="J249" s="83">
        <f>'tab01'!D143</f>
        <v>3022044</v>
      </c>
    </row>
    <row r="250" spans="1:10" x14ac:dyDescent="0.2">
      <c r="A250" t="s">
        <v>226</v>
      </c>
      <c r="B250" s="81"/>
      <c r="C250" s="81"/>
      <c r="D250" s="81"/>
      <c r="E250" s="81"/>
      <c r="F250" s="81"/>
      <c r="G250" s="81"/>
      <c r="H250" s="81"/>
      <c r="I250" s="81"/>
      <c r="J250" s="81"/>
    </row>
    <row r="251" spans="1:10" x14ac:dyDescent="0.2">
      <c r="A251" t="s">
        <v>227</v>
      </c>
      <c r="B251" s="81"/>
      <c r="C251" s="81"/>
      <c r="D251" s="81"/>
      <c r="E251" s="81"/>
      <c r="F251" s="81"/>
      <c r="G251" s="81"/>
      <c r="H251" s="81"/>
      <c r="I251" s="81"/>
    </row>
    <row r="252" spans="1:10" x14ac:dyDescent="0.2">
      <c r="B252" s="81"/>
      <c r="C252" s="81"/>
      <c r="D252" s="81"/>
      <c r="E252" s="81"/>
      <c r="F252" s="81"/>
      <c r="G252" s="81"/>
      <c r="H252" s="81"/>
      <c r="I252" s="81"/>
      <c r="J252" s="40" t="s">
        <v>211</v>
      </c>
    </row>
    <row r="253" spans="1:10" x14ac:dyDescent="0.2">
      <c r="B253" s="81"/>
      <c r="C253" s="78"/>
      <c r="D253" s="81"/>
      <c r="E253" s="81"/>
      <c r="F253" s="81"/>
      <c r="G253" s="81"/>
      <c r="H253" s="81"/>
      <c r="I253" s="81"/>
      <c r="J253" s="81"/>
    </row>
    <row r="254" spans="1:10" x14ac:dyDescent="0.2">
      <c r="B254" s="81"/>
      <c r="C254" s="78"/>
      <c r="D254" s="81"/>
      <c r="E254" s="81"/>
      <c r="F254" s="81"/>
      <c r="G254" s="81"/>
      <c r="H254" s="81"/>
      <c r="I254" s="81"/>
      <c r="J254" s="81"/>
    </row>
    <row r="255" spans="1:10" x14ac:dyDescent="0.2">
      <c r="B255" s="81"/>
      <c r="C255" s="78"/>
      <c r="D255" s="81"/>
      <c r="E255" s="81"/>
      <c r="F255" s="81"/>
      <c r="G255" s="81"/>
      <c r="H255" s="81"/>
      <c r="I255" s="81"/>
      <c r="J255" s="81"/>
    </row>
    <row r="256" spans="1:10" x14ac:dyDescent="0.2">
      <c r="B256" s="81"/>
      <c r="C256" s="81"/>
      <c r="D256" s="81"/>
      <c r="E256" s="81"/>
      <c r="F256" s="81"/>
      <c r="G256" s="81"/>
      <c r="H256" s="81"/>
      <c r="I256" s="81"/>
      <c r="J256" s="81"/>
    </row>
    <row r="257" spans="2:10" x14ac:dyDescent="0.2">
      <c r="B257" s="81"/>
      <c r="C257" s="81"/>
      <c r="D257" s="81"/>
      <c r="E257" s="81"/>
      <c r="F257" s="81"/>
      <c r="G257" s="81"/>
      <c r="H257" s="81"/>
      <c r="I257" s="81"/>
      <c r="J257" s="81"/>
    </row>
    <row r="258" spans="2:10" x14ac:dyDescent="0.2">
      <c r="B258" s="81"/>
      <c r="C258" s="81"/>
      <c r="D258" s="81"/>
      <c r="E258" s="81"/>
      <c r="F258" s="81"/>
      <c r="G258" s="81"/>
      <c r="H258" s="81"/>
      <c r="I258" s="81"/>
      <c r="J258" s="81"/>
    </row>
    <row r="259" spans="2:10" x14ac:dyDescent="0.2">
      <c r="B259" s="81"/>
      <c r="C259" s="81"/>
      <c r="D259" s="81"/>
      <c r="E259" s="81"/>
      <c r="F259" s="81"/>
      <c r="G259" s="81"/>
      <c r="H259" s="81"/>
      <c r="I259" s="81"/>
      <c r="J259" s="81"/>
    </row>
    <row r="260" spans="2:10" x14ac:dyDescent="0.2">
      <c r="B260" s="81"/>
      <c r="C260" s="78"/>
      <c r="D260" s="81"/>
      <c r="E260" s="81"/>
      <c r="F260" s="81"/>
      <c r="G260" s="81"/>
      <c r="H260" s="81"/>
      <c r="I260" s="81"/>
      <c r="J260" s="81"/>
    </row>
    <row r="261" spans="2:10" x14ac:dyDescent="0.2">
      <c r="B261" s="81"/>
      <c r="C261" s="78"/>
      <c r="D261" s="81"/>
      <c r="E261" s="81"/>
      <c r="F261" s="81"/>
      <c r="G261" s="81"/>
      <c r="H261" s="81"/>
      <c r="I261" s="81"/>
      <c r="J261" s="81"/>
    </row>
    <row r="262" spans="2:10" x14ac:dyDescent="0.2">
      <c r="B262" s="81"/>
      <c r="C262" s="78"/>
      <c r="D262" s="81"/>
      <c r="E262" s="81"/>
      <c r="F262" s="81"/>
      <c r="G262" s="81"/>
      <c r="H262" s="81"/>
      <c r="I262" s="81"/>
      <c r="J262" s="81"/>
    </row>
    <row r="263" spans="2:10" x14ac:dyDescent="0.2">
      <c r="B263" s="81"/>
      <c r="C263" s="81"/>
      <c r="D263" s="81"/>
      <c r="E263" s="81"/>
      <c r="F263" s="81"/>
      <c r="G263" s="81"/>
      <c r="H263" s="81"/>
      <c r="I263" s="81"/>
      <c r="J263" s="81"/>
    </row>
    <row r="264" spans="2:10" x14ac:dyDescent="0.2">
      <c r="B264" s="81"/>
      <c r="C264" s="81"/>
      <c r="D264" s="81"/>
      <c r="E264" s="81"/>
      <c r="F264" s="81"/>
      <c r="G264" s="81"/>
      <c r="H264" s="81"/>
      <c r="I264" s="81"/>
      <c r="J264" s="81"/>
    </row>
    <row r="265" spans="2:10" x14ac:dyDescent="0.2">
      <c r="B265" s="81"/>
      <c r="C265" s="81"/>
      <c r="D265" s="81"/>
      <c r="E265" s="81"/>
      <c r="F265" s="81"/>
      <c r="G265" s="81"/>
      <c r="H265" s="81"/>
      <c r="I265" s="81"/>
      <c r="J265" s="81"/>
    </row>
    <row r="266" spans="2:10" x14ac:dyDescent="0.2">
      <c r="B266" s="81"/>
      <c r="C266" s="81"/>
      <c r="D266" s="81"/>
      <c r="E266" s="81"/>
      <c r="F266" s="81"/>
      <c r="G266" s="81"/>
      <c r="H266" s="81"/>
      <c r="I266" s="81"/>
      <c r="J266" s="81"/>
    </row>
    <row r="267" spans="2:10" x14ac:dyDescent="0.2">
      <c r="B267" s="81"/>
      <c r="C267" s="78"/>
      <c r="D267" s="81"/>
      <c r="E267" s="81"/>
      <c r="F267" s="81"/>
      <c r="G267" s="81"/>
      <c r="H267" s="81"/>
      <c r="I267" s="81"/>
      <c r="J267" s="81"/>
    </row>
    <row r="268" spans="2:10" x14ac:dyDescent="0.2">
      <c r="B268" s="81"/>
      <c r="C268" s="78"/>
      <c r="D268" s="81"/>
      <c r="E268" s="81"/>
      <c r="F268" s="81"/>
      <c r="G268" s="81"/>
      <c r="H268" s="81"/>
      <c r="I268" s="81"/>
      <c r="J268" s="81"/>
    </row>
    <row r="269" spans="2:10" x14ac:dyDescent="0.2">
      <c r="B269" s="81"/>
      <c r="C269" s="78"/>
      <c r="D269" s="81"/>
      <c r="E269" s="81"/>
      <c r="F269" s="81"/>
      <c r="G269" s="81"/>
      <c r="H269" s="81"/>
      <c r="I269" s="81"/>
      <c r="J269" s="81"/>
    </row>
    <row r="270" spans="2:10" x14ac:dyDescent="0.2">
      <c r="B270" s="81"/>
      <c r="C270" s="81"/>
      <c r="D270" s="81"/>
      <c r="E270" s="81"/>
      <c r="F270" s="81"/>
      <c r="G270" s="81"/>
      <c r="H270" s="81"/>
      <c r="I270" s="81"/>
      <c r="J270" s="81"/>
    </row>
    <row r="271" spans="2:10" x14ac:dyDescent="0.2">
      <c r="B271" s="81"/>
      <c r="C271" s="81"/>
      <c r="D271" s="81"/>
      <c r="E271" s="81"/>
      <c r="F271" s="81"/>
      <c r="G271" s="81"/>
      <c r="H271" s="81"/>
      <c r="I271" s="81"/>
      <c r="J271" s="81"/>
    </row>
    <row r="272" spans="2:10" x14ac:dyDescent="0.2">
      <c r="B272" s="81"/>
      <c r="C272" s="81"/>
      <c r="D272" s="81"/>
      <c r="E272" s="81"/>
      <c r="F272" s="81"/>
      <c r="G272" s="81"/>
      <c r="H272" s="81"/>
      <c r="I272" s="81"/>
      <c r="J272" s="81"/>
    </row>
    <row r="273" spans="2:10" x14ac:dyDescent="0.2">
      <c r="B273" s="81"/>
      <c r="C273" s="81"/>
      <c r="D273" s="81"/>
      <c r="E273" s="81"/>
      <c r="F273" s="81"/>
      <c r="G273" s="81"/>
      <c r="H273" s="81"/>
      <c r="I273" s="81"/>
      <c r="J273" s="81"/>
    </row>
    <row r="274" spans="2:10" x14ac:dyDescent="0.2">
      <c r="B274" s="81"/>
      <c r="C274" s="78"/>
      <c r="D274" s="81"/>
      <c r="E274" s="81"/>
      <c r="F274" s="81"/>
      <c r="G274" s="81"/>
      <c r="H274" s="81"/>
      <c r="I274" s="81"/>
      <c r="J274" s="81"/>
    </row>
    <row r="275" spans="2:10" x14ac:dyDescent="0.2">
      <c r="B275" s="81"/>
      <c r="C275" s="78"/>
      <c r="D275" s="81"/>
      <c r="E275" s="81"/>
      <c r="F275" s="81"/>
      <c r="G275" s="81"/>
      <c r="H275" s="81"/>
      <c r="I275" s="81"/>
      <c r="J275" s="81"/>
    </row>
    <row r="276" spans="2:10" x14ac:dyDescent="0.2">
      <c r="B276" s="81"/>
      <c r="C276" s="78"/>
      <c r="D276" s="81"/>
      <c r="E276" s="81"/>
      <c r="F276" s="81"/>
      <c r="G276" s="81"/>
      <c r="H276" s="81"/>
      <c r="I276" s="81"/>
      <c r="J276" s="81"/>
    </row>
    <row r="277" spans="2:10" x14ac:dyDescent="0.2">
      <c r="B277" s="81"/>
      <c r="C277" s="81"/>
      <c r="D277" s="81"/>
      <c r="E277" s="81"/>
      <c r="F277" s="81"/>
      <c r="G277" s="81"/>
      <c r="H277" s="81"/>
      <c r="I277" s="81"/>
      <c r="J277" s="81"/>
    </row>
    <row r="278" spans="2:10" x14ac:dyDescent="0.2">
      <c r="B278" s="81"/>
      <c r="C278" s="81"/>
      <c r="D278" s="81"/>
      <c r="E278" s="81"/>
      <c r="F278" s="81"/>
      <c r="G278" s="81"/>
      <c r="H278" s="81"/>
      <c r="I278" s="81"/>
      <c r="J278" s="81"/>
    </row>
    <row r="279" spans="2:10" x14ac:dyDescent="0.2">
      <c r="B279" s="81"/>
      <c r="C279" s="81"/>
      <c r="D279" s="81"/>
      <c r="E279" s="81"/>
      <c r="F279" s="81"/>
      <c r="G279" s="81"/>
      <c r="H279" s="81"/>
      <c r="I279" s="81"/>
      <c r="J279" s="81"/>
    </row>
    <row r="280" spans="2:10" x14ac:dyDescent="0.2">
      <c r="B280" s="81"/>
      <c r="C280" s="81"/>
      <c r="D280" s="81"/>
      <c r="E280" s="81"/>
      <c r="F280" s="81"/>
      <c r="G280" s="81"/>
      <c r="H280" s="81"/>
      <c r="I280" s="81"/>
      <c r="J280" s="81"/>
    </row>
    <row r="281" spans="2:10" x14ac:dyDescent="0.2">
      <c r="B281" s="81"/>
      <c r="C281" s="78"/>
      <c r="D281" s="81"/>
      <c r="E281" s="81"/>
      <c r="F281" s="81"/>
      <c r="G281" s="81"/>
      <c r="H281" s="81"/>
      <c r="I281" s="81"/>
      <c r="J281" s="81"/>
    </row>
    <row r="282" spans="2:10" x14ac:dyDescent="0.2">
      <c r="B282" s="81"/>
      <c r="C282" s="78"/>
      <c r="D282" s="81"/>
      <c r="E282" s="81"/>
      <c r="F282" s="81"/>
      <c r="G282" s="81"/>
      <c r="H282" s="81"/>
      <c r="I282" s="81"/>
      <c r="J282" s="81"/>
    </row>
    <row r="283" spans="2:10" x14ac:dyDescent="0.2">
      <c r="B283" s="81"/>
      <c r="C283" s="78"/>
      <c r="D283" s="81"/>
      <c r="E283" s="81"/>
      <c r="F283" s="81"/>
      <c r="G283" s="81"/>
      <c r="H283" s="81"/>
      <c r="I283" s="81"/>
      <c r="J283" s="81"/>
    </row>
    <row r="284" spans="2:10" x14ac:dyDescent="0.2">
      <c r="B284" s="81"/>
      <c r="C284" s="81"/>
      <c r="D284" s="81"/>
      <c r="E284" s="81"/>
      <c r="F284" s="81"/>
      <c r="G284" s="81"/>
      <c r="H284" s="81"/>
      <c r="I284" s="81"/>
      <c r="J284" s="81"/>
    </row>
    <row r="285" spans="2:10" x14ac:dyDescent="0.2">
      <c r="B285" s="81"/>
      <c r="C285" s="81"/>
      <c r="D285" s="81"/>
      <c r="E285" s="81"/>
      <c r="F285" s="81"/>
      <c r="G285" s="81"/>
      <c r="H285" s="81"/>
      <c r="I285" s="81"/>
      <c r="J285" s="81"/>
    </row>
    <row r="286" spans="2:10" x14ac:dyDescent="0.2">
      <c r="B286" s="81"/>
      <c r="C286" s="81"/>
      <c r="D286" s="81"/>
      <c r="E286" s="81"/>
      <c r="F286" s="81"/>
      <c r="G286" s="81"/>
      <c r="H286" s="81"/>
      <c r="I286" s="81"/>
      <c r="J286" s="81"/>
    </row>
    <row r="287" spans="2:10" x14ac:dyDescent="0.2">
      <c r="B287" s="81"/>
      <c r="C287" s="81"/>
      <c r="D287" s="81"/>
      <c r="E287" s="81"/>
      <c r="F287" s="81"/>
      <c r="G287" s="81"/>
      <c r="H287" s="81"/>
      <c r="I287" s="81"/>
      <c r="J287" s="81"/>
    </row>
    <row r="288" spans="2:10" x14ac:dyDescent="0.2">
      <c r="B288" s="81"/>
      <c r="C288" s="78"/>
      <c r="D288" s="81"/>
      <c r="E288" s="81"/>
      <c r="F288" s="81"/>
      <c r="G288" s="81"/>
      <c r="H288" s="81"/>
      <c r="I288" s="81"/>
      <c r="J288" s="81"/>
    </row>
    <row r="289" spans="2:10" x14ac:dyDescent="0.2">
      <c r="B289" s="81"/>
      <c r="C289" s="78"/>
      <c r="D289" s="81"/>
      <c r="E289" s="81"/>
      <c r="F289" s="81"/>
      <c r="G289" s="81"/>
      <c r="H289" s="81"/>
      <c r="I289" s="81"/>
      <c r="J289" s="81"/>
    </row>
    <row r="290" spans="2:10" x14ac:dyDescent="0.2">
      <c r="B290" s="81"/>
      <c r="C290" s="78"/>
      <c r="D290" s="81"/>
      <c r="E290" s="81"/>
      <c r="F290" s="81"/>
      <c r="G290" s="81"/>
      <c r="H290" s="81"/>
      <c r="I290" s="81"/>
      <c r="J290" s="81"/>
    </row>
    <row r="291" spans="2:10" x14ac:dyDescent="0.2">
      <c r="B291" s="81"/>
      <c r="C291" s="81"/>
      <c r="D291" s="81"/>
      <c r="E291" s="81"/>
      <c r="F291" s="81"/>
      <c r="G291" s="81"/>
      <c r="H291" s="81"/>
      <c r="I291" s="81"/>
      <c r="J291" s="81"/>
    </row>
    <row r="292" spans="2:10" x14ac:dyDescent="0.2">
      <c r="B292" s="81"/>
      <c r="C292" s="81"/>
      <c r="D292" s="81"/>
      <c r="E292" s="81"/>
      <c r="F292" s="81"/>
      <c r="G292" s="81"/>
      <c r="H292" s="81"/>
      <c r="I292" s="81"/>
      <c r="J292" s="81"/>
    </row>
    <row r="293" spans="2:10" x14ac:dyDescent="0.2">
      <c r="B293" s="81"/>
      <c r="C293" s="81"/>
      <c r="D293" s="81"/>
      <c r="E293" s="81"/>
      <c r="F293" s="81"/>
      <c r="G293" s="81"/>
      <c r="H293" s="81"/>
      <c r="I293" s="81"/>
      <c r="J293" s="81"/>
    </row>
    <row r="294" spans="2:10" x14ac:dyDescent="0.2">
      <c r="B294" s="81"/>
      <c r="C294" s="81"/>
      <c r="D294" s="81"/>
      <c r="E294" s="81"/>
      <c r="F294" s="81"/>
      <c r="G294" s="81"/>
      <c r="H294" s="81"/>
      <c r="I294" s="81"/>
      <c r="J294" s="81"/>
    </row>
    <row r="295" spans="2:10" x14ac:dyDescent="0.2">
      <c r="B295" s="81"/>
      <c r="C295" s="78"/>
      <c r="D295" s="81"/>
      <c r="E295" s="81"/>
      <c r="F295" s="81"/>
      <c r="G295" s="81"/>
      <c r="H295" s="81"/>
      <c r="I295" s="81"/>
      <c r="J295" s="81"/>
    </row>
    <row r="296" spans="2:10" x14ac:dyDescent="0.2">
      <c r="B296" s="81"/>
      <c r="C296" s="78"/>
      <c r="D296" s="81"/>
      <c r="E296" s="81"/>
      <c r="F296" s="81"/>
      <c r="G296" s="81"/>
      <c r="H296" s="81"/>
      <c r="I296" s="81"/>
      <c r="J296" s="81"/>
    </row>
    <row r="297" spans="2:10" x14ac:dyDescent="0.2">
      <c r="B297" s="81"/>
      <c r="C297" s="78"/>
      <c r="D297" s="81"/>
      <c r="E297" s="81"/>
      <c r="F297" s="81"/>
      <c r="G297" s="81"/>
      <c r="H297" s="81"/>
      <c r="I297" s="81"/>
      <c r="J297" s="81"/>
    </row>
    <row r="298" spans="2:10" x14ac:dyDescent="0.2">
      <c r="B298" s="81"/>
      <c r="C298" s="81"/>
      <c r="D298" s="81"/>
      <c r="E298" s="81"/>
      <c r="F298" s="81"/>
      <c r="G298" s="81"/>
      <c r="H298" s="81"/>
      <c r="I298" s="81"/>
      <c r="J298" s="81"/>
    </row>
    <row r="299" spans="2:10" x14ac:dyDescent="0.2">
      <c r="B299" s="81"/>
      <c r="C299" s="81"/>
      <c r="D299" s="81"/>
      <c r="E299" s="81"/>
      <c r="F299" s="81"/>
      <c r="G299" s="81"/>
      <c r="H299" s="81"/>
      <c r="I299" s="81"/>
      <c r="J299" s="81"/>
    </row>
    <row r="300" spans="2:10" x14ac:dyDescent="0.2">
      <c r="B300" s="81"/>
      <c r="C300" s="81"/>
      <c r="D300" s="81"/>
      <c r="E300" s="81"/>
      <c r="F300" s="81"/>
      <c r="G300" s="81"/>
      <c r="H300" s="81"/>
      <c r="I300" s="81"/>
      <c r="J300" s="81"/>
    </row>
    <row r="301" spans="2:10" x14ac:dyDescent="0.2">
      <c r="B301" s="81"/>
      <c r="C301" s="81"/>
      <c r="D301" s="81"/>
      <c r="E301" s="81"/>
      <c r="F301" s="81"/>
      <c r="G301" s="81"/>
      <c r="H301" s="81"/>
      <c r="I301" s="81"/>
      <c r="J301" s="81"/>
    </row>
    <row r="302" spans="2:10" x14ac:dyDescent="0.2">
      <c r="B302" s="81"/>
      <c r="C302" s="78"/>
      <c r="D302" s="81"/>
      <c r="E302" s="81"/>
      <c r="F302" s="81"/>
      <c r="G302" s="81"/>
      <c r="H302" s="81"/>
      <c r="I302" s="81"/>
      <c r="J302" s="81"/>
    </row>
    <row r="303" spans="2:10" x14ac:dyDescent="0.2">
      <c r="B303" s="81"/>
      <c r="C303" s="78"/>
      <c r="D303" s="81"/>
      <c r="E303" s="81"/>
      <c r="F303" s="81"/>
      <c r="G303" s="81"/>
      <c r="H303" s="81"/>
      <c r="I303" s="81"/>
      <c r="J303" s="81"/>
    </row>
    <row r="304" spans="2:10" x14ac:dyDescent="0.2">
      <c r="B304" s="81"/>
      <c r="C304" s="78"/>
      <c r="D304" s="81"/>
      <c r="E304" s="81"/>
      <c r="F304" s="81"/>
      <c r="G304" s="81"/>
      <c r="H304" s="81"/>
      <c r="I304" s="81"/>
      <c r="J304" s="81"/>
    </row>
    <row r="305" spans="2:10" x14ac:dyDescent="0.2">
      <c r="B305" s="81"/>
      <c r="C305" s="81"/>
      <c r="D305" s="81"/>
      <c r="E305" s="81"/>
      <c r="F305" s="81"/>
      <c r="G305" s="81"/>
      <c r="H305" s="81"/>
      <c r="I305" s="81"/>
      <c r="J305" s="81"/>
    </row>
    <row r="306" spans="2:10" x14ac:dyDescent="0.2">
      <c r="B306" s="81"/>
      <c r="C306" s="81"/>
      <c r="D306" s="81"/>
      <c r="E306" s="81"/>
      <c r="F306" s="81"/>
      <c r="G306" s="81"/>
      <c r="H306" s="81"/>
      <c r="I306" s="81"/>
      <c r="J306" s="81"/>
    </row>
    <row r="307" spans="2:10" x14ac:dyDescent="0.2">
      <c r="B307" s="81"/>
      <c r="C307" s="81"/>
      <c r="D307" s="81"/>
      <c r="E307" s="81"/>
      <c r="F307" s="81"/>
      <c r="G307" s="81"/>
      <c r="H307" s="81"/>
      <c r="I307" s="81"/>
      <c r="J307" s="81"/>
    </row>
    <row r="308" spans="2:10" x14ac:dyDescent="0.2">
      <c r="B308" s="81"/>
      <c r="C308" s="81"/>
      <c r="D308" s="81"/>
      <c r="E308" s="81"/>
      <c r="F308" s="81"/>
      <c r="G308" s="81"/>
      <c r="H308" s="81"/>
      <c r="I308" s="81"/>
      <c r="J308" s="81"/>
    </row>
    <row r="309" spans="2:10" x14ac:dyDescent="0.2">
      <c r="B309" s="81"/>
      <c r="C309" s="78"/>
      <c r="D309" s="81"/>
      <c r="E309" s="81"/>
      <c r="F309" s="81"/>
      <c r="G309" s="81"/>
      <c r="H309" s="81"/>
      <c r="I309" s="81"/>
      <c r="J309" s="81"/>
    </row>
    <row r="310" spans="2:10" x14ac:dyDescent="0.2">
      <c r="B310" s="81"/>
      <c r="C310" s="78"/>
      <c r="D310" s="81"/>
      <c r="E310" s="81"/>
      <c r="F310" s="81"/>
      <c r="G310" s="81"/>
      <c r="H310" s="81"/>
      <c r="I310" s="81"/>
      <c r="J310" s="81"/>
    </row>
    <row r="311" spans="2:10" x14ac:dyDescent="0.2">
      <c r="B311" s="81"/>
      <c r="C311" s="78"/>
      <c r="D311" s="81"/>
      <c r="E311" s="81"/>
      <c r="F311" s="81"/>
      <c r="G311" s="81"/>
      <c r="H311" s="81"/>
      <c r="I311" s="81"/>
      <c r="J311" s="81"/>
    </row>
    <row r="312" spans="2:10" x14ac:dyDescent="0.2">
      <c r="B312" s="81"/>
      <c r="C312" s="81"/>
      <c r="D312" s="81"/>
      <c r="E312" s="81"/>
      <c r="F312" s="81"/>
      <c r="G312" s="81"/>
      <c r="H312" s="81"/>
      <c r="I312" s="81"/>
      <c r="J312" s="81"/>
    </row>
    <row r="313" spans="2:10" x14ac:dyDescent="0.2">
      <c r="B313" s="81"/>
      <c r="C313" s="81"/>
      <c r="D313" s="81"/>
      <c r="E313" s="81"/>
      <c r="F313" s="81"/>
      <c r="G313" s="81"/>
      <c r="H313" s="81"/>
      <c r="I313" s="81"/>
      <c r="J313" s="81"/>
    </row>
    <row r="314" spans="2:10" x14ac:dyDescent="0.2">
      <c r="B314" s="81"/>
      <c r="C314" s="81"/>
      <c r="D314" s="81"/>
      <c r="E314" s="81"/>
      <c r="F314" s="81"/>
      <c r="G314" s="81"/>
      <c r="H314" s="81"/>
      <c r="I314" s="81"/>
      <c r="J314" s="81"/>
    </row>
    <row r="315" spans="2:10" x14ac:dyDescent="0.2">
      <c r="B315" s="81"/>
      <c r="C315" s="81"/>
      <c r="D315" s="81"/>
      <c r="E315" s="81"/>
      <c r="F315" s="81"/>
      <c r="G315" s="81"/>
      <c r="H315" s="81"/>
      <c r="I315" s="81"/>
      <c r="J315" s="81"/>
    </row>
    <row r="316" spans="2:10" x14ac:dyDescent="0.2">
      <c r="B316" s="81"/>
      <c r="C316" s="78"/>
      <c r="D316" s="81"/>
      <c r="E316" s="81"/>
      <c r="F316" s="81"/>
      <c r="G316" s="81"/>
      <c r="H316" s="81"/>
      <c r="I316" s="81"/>
      <c r="J316" s="81"/>
    </row>
    <row r="317" spans="2:10" x14ac:dyDescent="0.2">
      <c r="B317" s="81"/>
      <c r="C317" s="78"/>
      <c r="D317" s="81"/>
      <c r="E317" s="81"/>
      <c r="F317" s="81"/>
      <c r="G317" s="81"/>
      <c r="H317" s="81"/>
      <c r="I317" s="81"/>
      <c r="J317" s="81"/>
    </row>
    <row r="318" spans="2:10" x14ac:dyDescent="0.2">
      <c r="B318" s="81"/>
      <c r="C318" s="78"/>
      <c r="D318" s="81"/>
      <c r="E318" s="81"/>
      <c r="F318" s="81"/>
      <c r="G318" s="81"/>
      <c r="H318" s="81"/>
      <c r="I318" s="81"/>
      <c r="J318" s="81"/>
    </row>
    <row r="319" spans="2:10" x14ac:dyDescent="0.2">
      <c r="B319" s="81"/>
      <c r="C319" s="81"/>
      <c r="D319" s="81"/>
      <c r="E319" s="81"/>
      <c r="F319" s="81"/>
      <c r="G319" s="81"/>
      <c r="H319" s="81"/>
      <c r="I319" s="81"/>
      <c r="J319" s="81"/>
    </row>
    <row r="320" spans="2:10" x14ac:dyDescent="0.2">
      <c r="B320" s="81"/>
      <c r="C320" s="81"/>
      <c r="D320" s="81"/>
      <c r="E320" s="81"/>
      <c r="F320" s="81"/>
      <c r="G320" s="81"/>
      <c r="H320" s="81"/>
      <c r="I320" s="81"/>
      <c r="J320" s="81"/>
    </row>
    <row r="407" spans="2:2" x14ac:dyDescent="0.2">
      <c r="B407" s="81"/>
    </row>
    <row r="408" spans="2:2" x14ac:dyDescent="0.2">
      <c r="B408" s="81"/>
    </row>
    <row r="417" spans="2:2" x14ac:dyDescent="0.2">
      <c r="B417" s="81"/>
    </row>
  </sheetData>
  <pageMargins left="0.25" right="0.25" top="0.75" bottom="0.75" header="0.3" footer="0.3"/>
  <pageSetup scale="72" firstPageNumber="6" orientation="portrait" useFirstPageNumber="1" r:id="rId1"/>
  <headerFooter alignWithMargins="0">
    <oddFooter>&amp;C&amp;P
Oil Crops Yearbook/OCS-2020
March 2020
Economic Research Service, USDA</oddFooter>
  </headerFooter>
  <rowBreaks count="1" manualBreakCount="1">
    <brk id="312" max="9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82D9-45C6-46ED-82AB-FEA0A8F69D17}">
  <sheetPr>
    <pageSetUpPr fitToPage="1"/>
  </sheetPr>
  <dimension ref="A1:U170"/>
  <sheetViews>
    <sheetView zoomScale="110" zoomScaleNormal="110" zoomScaleSheetLayoutView="100" workbookViewId="0">
      <pane xSplit="1" ySplit="6" topLeftCell="B135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5.140625" customWidth="1"/>
    <col min="2" max="3" width="12.7109375" customWidth="1"/>
    <col min="4" max="4" width="16.28515625" customWidth="1"/>
    <col min="5" max="5" width="21.28515625" bestFit="1" customWidth="1"/>
    <col min="6" max="9" width="12.7109375" customWidth="1"/>
  </cols>
  <sheetData>
    <row r="1" spans="1:9" x14ac:dyDescent="0.2">
      <c r="A1" s="25" t="s">
        <v>205</v>
      </c>
      <c r="B1" s="13"/>
      <c r="C1" s="13"/>
      <c r="D1" s="13"/>
      <c r="E1" s="13"/>
      <c r="F1" s="13"/>
      <c r="G1" s="13"/>
      <c r="H1" s="13"/>
      <c r="I1" s="13"/>
    </row>
    <row r="2" spans="1:9" x14ac:dyDescent="0.2">
      <c r="B2" s="41"/>
      <c r="C2" s="14"/>
      <c r="D2" s="65" t="s">
        <v>75</v>
      </c>
      <c r="E2" s="43"/>
      <c r="G2" s="84" t="s">
        <v>116</v>
      </c>
      <c r="H2" s="43"/>
    </row>
    <row r="3" spans="1:9" x14ac:dyDescent="0.2">
      <c r="A3" t="s">
        <v>136</v>
      </c>
      <c r="B3" s="45" t="s">
        <v>79</v>
      </c>
      <c r="F3" s="45" t="s">
        <v>121</v>
      </c>
      <c r="H3" s="46"/>
      <c r="I3" s="26" t="s">
        <v>81</v>
      </c>
    </row>
    <row r="4" spans="1:9" x14ac:dyDescent="0.2">
      <c r="A4" t="s">
        <v>78</v>
      </c>
      <c r="B4" s="48" t="s">
        <v>84</v>
      </c>
      <c r="C4" s="26" t="s">
        <v>120</v>
      </c>
      <c r="D4" s="85" t="s">
        <v>85</v>
      </c>
      <c r="E4" s="85" t="s">
        <v>10</v>
      </c>
      <c r="F4" s="48" t="s">
        <v>160</v>
      </c>
      <c r="G4" s="26" t="s">
        <v>88</v>
      </c>
      <c r="H4" s="67" t="s">
        <v>10</v>
      </c>
      <c r="I4" s="26" t="s">
        <v>84</v>
      </c>
    </row>
    <row r="5" spans="1:9" x14ac:dyDescent="0.2">
      <c r="A5" s="13" t="s">
        <v>161</v>
      </c>
      <c r="B5" s="68"/>
      <c r="C5" s="13"/>
      <c r="D5" s="13"/>
      <c r="E5" s="13"/>
      <c r="F5" s="68"/>
      <c r="G5" s="13"/>
      <c r="H5" s="52"/>
      <c r="I5" s="13"/>
    </row>
    <row r="6" spans="1:9" x14ac:dyDescent="0.2">
      <c r="C6" s="16"/>
      <c r="D6" s="16"/>
      <c r="E6" s="86" t="s">
        <v>124</v>
      </c>
      <c r="F6" s="16"/>
      <c r="G6" s="16"/>
      <c r="H6" s="16"/>
      <c r="I6" s="16"/>
    </row>
    <row r="7" spans="1:9" x14ac:dyDescent="0.2">
      <c r="A7" t="s">
        <v>24</v>
      </c>
      <c r="C7" s="87"/>
      <c r="D7" s="87"/>
      <c r="E7" s="87"/>
      <c r="F7" s="87"/>
      <c r="G7" s="87"/>
      <c r="H7" s="87"/>
      <c r="I7" s="87"/>
    </row>
    <row r="8" spans="1:9" x14ac:dyDescent="0.2">
      <c r="A8" t="s">
        <v>152</v>
      </c>
      <c r="B8" s="87">
        <f>308.205+34.764</f>
        <v>342.96899999999999</v>
      </c>
      <c r="C8" s="87">
        <f>3587.55509+281.92317</f>
        <v>3869.4782599999999</v>
      </c>
      <c r="D8" s="87">
        <f>(7928.249+2242+1077.358)*2.204622/2000</f>
        <v>12.398360919777</v>
      </c>
      <c r="E8" s="87">
        <f t="shared" ref="E8:E19" si="0">B8+C8+D8</f>
        <v>4224.8456209197766</v>
      </c>
      <c r="F8" s="87">
        <f t="shared" ref="F8:F19" si="1">H8-G8</f>
        <v>3210.5927098682037</v>
      </c>
      <c r="G8" s="87">
        <f>((529.163932+6.5+107.626311))*(2.204622/2)</f>
        <v>709.10591105157312</v>
      </c>
      <c r="H8" s="87">
        <f t="shared" ref="H8:H19" si="2">E8-I8</f>
        <v>3919.6986209197767</v>
      </c>
      <c r="I8" s="87">
        <f>274.757+30.39</f>
        <v>305.14699999999999</v>
      </c>
    </row>
    <row r="9" spans="1:9" x14ac:dyDescent="0.2">
      <c r="A9" t="s">
        <v>153</v>
      </c>
      <c r="B9" s="87">
        <f>+I8</f>
        <v>305.14699999999999</v>
      </c>
      <c r="C9" s="87">
        <f>3434.1827+275.2598</f>
        <v>3709.4424999999997</v>
      </c>
      <c r="D9" s="87">
        <f>(7477.211+1890+1626.705)*2.204622/2000</f>
        <v>12.118714539876001</v>
      </c>
      <c r="E9" s="87">
        <f t="shared" si="0"/>
        <v>4026.7082145398754</v>
      </c>
      <c r="F9" s="87">
        <f t="shared" si="1"/>
        <v>2829.0393881243926</v>
      </c>
      <c r="G9" s="87">
        <f>((682.816496+31.632+104.014557))*(2.204622/2)</f>
        <v>902.20082641548299</v>
      </c>
      <c r="H9" s="87">
        <f t="shared" si="2"/>
        <v>3731.2402145398755</v>
      </c>
      <c r="I9" s="87">
        <f>266.814+28.654</f>
        <v>295.46800000000002</v>
      </c>
    </row>
    <row r="10" spans="1:9" x14ac:dyDescent="0.2">
      <c r="A10" t="s">
        <v>154</v>
      </c>
      <c r="B10" s="87">
        <f t="shared" ref="B10:B19" si="3">+I9</f>
        <v>295.46800000000002</v>
      </c>
      <c r="C10" s="87">
        <f>3604.53275+283.0072</f>
        <v>3887.5399499999999</v>
      </c>
      <c r="D10" s="87">
        <f>(6437.678+2223+1298.018)*2.204622/2000</f>
        <v>10.977580146456001</v>
      </c>
      <c r="E10" s="87">
        <f t="shared" si="0"/>
        <v>4193.9855301464559</v>
      </c>
      <c r="F10" s="87">
        <f t="shared" si="1"/>
        <v>3009.3667435990637</v>
      </c>
      <c r="G10" s="87">
        <f>((584.639907+9.653+97.878165))*(2.204622/2)</f>
        <v>762.98778654739203</v>
      </c>
      <c r="H10" s="87">
        <f t="shared" si="2"/>
        <v>3772.354530146456</v>
      </c>
      <c r="I10" s="87">
        <f>380.865+40.766</f>
        <v>421.63100000000003</v>
      </c>
    </row>
    <row r="11" spans="1:9" x14ac:dyDescent="0.2">
      <c r="A11" t="s">
        <v>155</v>
      </c>
      <c r="B11" s="87">
        <f t="shared" si="3"/>
        <v>421.63100000000003</v>
      </c>
      <c r="C11" s="87">
        <f>3515.10339+276.07502</f>
        <v>3791.1784100000004</v>
      </c>
      <c r="D11" s="87">
        <f>(6022.254+1776+1092.036)*2.204622/2000</f>
        <v>9.7998644601900011</v>
      </c>
      <c r="E11" s="87">
        <f t="shared" si="0"/>
        <v>4222.609274460191</v>
      </c>
      <c r="F11" s="87">
        <f t="shared" si="1"/>
        <v>3096.5572079297381</v>
      </c>
      <c r="G11" s="87">
        <f>((632.982622+2.539+125.322701))*(2.204622/2)</f>
        <v>838.68706653045308</v>
      </c>
      <c r="H11" s="87">
        <f t="shared" si="2"/>
        <v>3935.2442744601913</v>
      </c>
      <c r="I11" s="87">
        <f>259.496+27.869</f>
        <v>287.36500000000001</v>
      </c>
    </row>
    <row r="12" spans="1:9" x14ac:dyDescent="0.2">
      <c r="A12" t="s">
        <v>156</v>
      </c>
      <c r="B12" s="87">
        <f t="shared" si="3"/>
        <v>287.36500000000001</v>
      </c>
      <c r="C12" s="87">
        <f>3223.9013+249.76185</f>
        <v>3473.6631499999999</v>
      </c>
      <c r="D12" s="87">
        <f>(6015.809+2334+2573.124)*2.204622/2000</f>
        <v>12.040469198163002</v>
      </c>
      <c r="E12" s="87">
        <f t="shared" si="0"/>
        <v>3773.0686191981631</v>
      </c>
      <c r="F12" s="87">
        <f t="shared" si="1"/>
        <v>2528.6396734961863</v>
      </c>
      <c r="G12" s="87">
        <f>((686.266975+2.15+139.950832))*(2.204622/2)</f>
        <v>913.11894570197705</v>
      </c>
      <c r="H12" s="87">
        <f t="shared" si="2"/>
        <v>3441.7586191981632</v>
      </c>
      <c r="I12" s="87">
        <f>306.554+24.756</f>
        <v>331.30999999999995</v>
      </c>
    </row>
    <row r="13" spans="1:9" x14ac:dyDescent="0.2">
      <c r="A13" t="s">
        <v>157</v>
      </c>
      <c r="B13" s="87">
        <f t="shared" si="3"/>
        <v>331.30999999999995</v>
      </c>
      <c r="C13" s="87">
        <f>3428.23247+272.87347</f>
        <v>3701.1059399999999</v>
      </c>
      <c r="D13" s="87">
        <f>(5798.892+2406+1554.696)*2.204622/2000</f>
        <v>10.758101207868</v>
      </c>
      <c r="E13" s="87">
        <f t="shared" si="0"/>
        <v>4043.174041207868</v>
      </c>
      <c r="F13" s="87">
        <f t="shared" si="1"/>
        <v>2849.3586140572461</v>
      </c>
      <c r="G13" s="87">
        <f>((590.659488+7.91+125.716514))*(2.204622/2)</f>
        <v>798.38842715062196</v>
      </c>
      <c r="H13" s="87">
        <f t="shared" si="2"/>
        <v>3647.7470412078678</v>
      </c>
      <c r="I13" s="87">
        <f>359.669+35.758</f>
        <v>395.42699999999996</v>
      </c>
    </row>
    <row r="14" spans="1:9" x14ac:dyDescent="0.2">
      <c r="A14" t="s">
        <v>158</v>
      </c>
      <c r="B14" s="87">
        <f t="shared" si="3"/>
        <v>395.42699999999996</v>
      </c>
      <c r="C14" s="87">
        <f>3245.8437+254.80026</f>
        <v>3500.6439599999999</v>
      </c>
      <c r="D14" s="87">
        <f>(7784.718+2514+2158.008)*2.204622/2000</f>
        <v>13.731186093786002</v>
      </c>
      <c r="E14" s="87">
        <f t="shared" si="0"/>
        <v>3909.8021460937862</v>
      </c>
      <c r="F14" s="87">
        <f t="shared" si="1"/>
        <v>2712.829971547375</v>
      </c>
      <c r="G14" s="87">
        <f>((625.771284+6.087+145.624817))*(2.204622/2)</f>
        <v>857.02817454641104</v>
      </c>
      <c r="H14" s="87">
        <f t="shared" si="2"/>
        <v>3569.8581460937862</v>
      </c>
      <c r="I14" s="87">
        <f>304.583+35.361</f>
        <v>339.94400000000002</v>
      </c>
    </row>
    <row r="15" spans="1:9" x14ac:dyDescent="0.2">
      <c r="A15" t="s">
        <v>162</v>
      </c>
      <c r="B15" s="87">
        <f t="shared" si="3"/>
        <v>339.94400000000002</v>
      </c>
      <c r="C15" s="87">
        <f>3366.8766+266.8909</f>
        <v>3633.7674999999999</v>
      </c>
      <c r="D15" s="87">
        <f>(7738+2535+1834.332)*2.204622/2000</f>
        <v>13.346045244252</v>
      </c>
      <c r="E15" s="87">
        <f t="shared" si="0"/>
        <v>3987.0575452442517</v>
      </c>
      <c r="F15" s="87">
        <f t="shared" si="1"/>
        <v>2830.0320771549846</v>
      </c>
      <c r="G15" s="87">
        <f>((563.135399+9.306+84.352798))*(2.204622/2)</f>
        <v>723.99146808926707</v>
      </c>
      <c r="H15" s="87">
        <f t="shared" si="2"/>
        <v>3554.0235452442516</v>
      </c>
      <c r="I15" s="87">
        <f>388.197+44.837</f>
        <v>433.03399999999999</v>
      </c>
    </row>
    <row r="16" spans="1:9" x14ac:dyDescent="0.2">
      <c r="A16" t="s">
        <v>163</v>
      </c>
      <c r="B16" s="87">
        <f t="shared" si="3"/>
        <v>433.03399999999999</v>
      </c>
      <c r="C16" s="87">
        <f>3098.01928+254.25166</f>
        <v>3352.2709399999999</v>
      </c>
      <c r="D16" s="87">
        <f>(7300.966+2104+1422.621)*2.204622/2000</f>
        <v>11.935368253557</v>
      </c>
      <c r="E16" s="87">
        <f t="shared" si="0"/>
        <v>3797.240308253557</v>
      </c>
      <c r="F16" s="87">
        <f t="shared" si="1"/>
        <v>2524.8626547604813</v>
      </c>
      <c r="G16" s="87">
        <f>((594.908585+15.117+159.349531))*(2.204622/2)</f>
        <v>848.09065349307593</v>
      </c>
      <c r="H16" s="87">
        <f t="shared" si="2"/>
        <v>3372.9533082535572</v>
      </c>
      <c r="I16" s="87">
        <f>379.424+44.863</f>
        <v>424.28699999999998</v>
      </c>
    </row>
    <row r="17" spans="1:9" x14ac:dyDescent="0.2">
      <c r="A17" t="s">
        <v>164</v>
      </c>
      <c r="B17" s="87">
        <f t="shared" si="3"/>
        <v>424.28699999999998</v>
      </c>
      <c r="C17" s="87">
        <f>3072.3696+243.9096</f>
        <v>3316.2791999999999</v>
      </c>
      <c r="D17" s="87">
        <f>(6877.055+1111+995.184)*2.204622/2000</f>
        <v>9.9023231653290011</v>
      </c>
      <c r="E17" s="87">
        <f t="shared" si="0"/>
        <v>3750.4685231653289</v>
      </c>
      <c r="F17" s="87">
        <f t="shared" si="1"/>
        <v>2703.5052122596549</v>
      </c>
      <c r="G17" s="87">
        <f>((553.074368+29.929+97.032766))*(2.204622/2)</f>
        <v>749.61131090567415</v>
      </c>
      <c r="H17" s="87">
        <f t="shared" si="2"/>
        <v>3453.116523165329</v>
      </c>
      <c r="I17" s="87">
        <f>268.155+29.197</f>
        <v>297.35199999999998</v>
      </c>
    </row>
    <row r="18" spans="1:9" x14ac:dyDescent="0.2">
      <c r="A18" t="s">
        <v>165</v>
      </c>
      <c r="B18" s="87">
        <f t="shared" si="3"/>
        <v>297.35199999999998</v>
      </c>
      <c r="C18" s="87">
        <f>2821.738+230.64505</f>
        <v>3052.3830499999999</v>
      </c>
      <c r="D18" s="87">
        <f>(6123.554+1972+1883.773)*2.204622/2000</f>
        <v>11.000321924696999</v>
      </c>
      <c r="E18" s="87">
        <f t="shared" si="0"/>
        <v>3360.7353719246967</v>
      </c>
      <c r="F18" s="87">
        <f t="shared" si="1"/>
        <v>2365.0915341430568</v>
      </c>
      <c r="G18" s="87">
        <f>((440.510518+3.928+82.118722))*(2.204622/2)</f>
        <v>580.42983778164</v>
      </c>
      <c r="H18" s="87">
        <f t="shared" si="2"/>
        <v>2945.5213719246967</v>
      </c>
      <c r="I18" s="87">
        <f>375.852+39.362</f>
        <v>415.214</v>
      </c>
    </row>
    <row r="19" spans="1:9" x14ac:dyDescent="0.2">
      <c r="A19" t="s">
        <v>151</v>
      </c>
      <c r="B19" s="87">
        <f t="shared" si="3"/>
        <v>415.214</v>
      </c>
      <c r="C19" s="87">
        <f>2772.8303+223.4933</f>
        <v>2996.3236000000002</v>
      </c>
      <c r="D19" s="87">
        <f>(6717.858+2063+2662.006)*2.204622/2000</f>
        <v>12.613594858703999</v>
      </c>
      <c r="E19" s="87">
        <f t="shared" si="0"/>
        <v>3424.151194858704</v>
      </c>
      <c r="F19" s="87">
        <f t="shared" si="1"/>
        <v>2571.979750845624</v>
      </c>
      <c r="G19" s="87">
        <f>((404.991459+14.273+87.241821))*(2.204622/2)</f>
        <v>558.32744401308014</v>
      </c>
      <c r="H19" s="87">
        <f t="shared" si="2"/>
        <v>3130.307194858704</v>
      </c>
      <c r="I19" s="87">
        <f>259.886+33.958</f>
        <v>293.84400000000005</v>
      </c>
    </row>
    <row r="20" spans="1:9" x14ac:dyDescent="0.2">
      <c r="A20" t="s">
        <v>150</v>
      </c>
      <c r="C20" s="87">
        <f>SUM(C8:C19)</f>
        <v>42284.076460000004</v>
      </c>
      <c r="D20" s="87">
        <f>SUM(D8:D19)</f>
        <v>140.62193001265501</v>
      </c>
      <c r="E20" s="87">
        <f>B8+C20+D20</f>
        <v>42767.667390012655</v>
      </c>
      <c r="F20" s="87">
        <f>SUM(F8:F19)</f>
        <v>33231.855537786003</v>
      </c>
      <c r="G20" s="87">
        <f>SUM(G8:G19)</f>
        <v>9241.9678522266495</v>
      </c>
      <c r="H20" s="87">
        <f>SUM(H8:H19)</f>
        <v>42473.823390012658</v>
      </c>
      <c r="I20" s="87"/>
    </row>
    <row r="21" spans="1:9" x14ac:dyDescent="0.2">
      <c r="A21" t="s">
        <v>25</v>
      </c>
      <c r="C21" s="87"/>
      <c r="D21" s="87"/>
      <c r="E21" s="87"/>
      <c r="F21" s="87"/>
      <c r="G21" s="87"/>
      <c r="H21" s="87"/>
      <c r="I21" s="87"/>
    </row>
    <row r="22" spans="1:9" x14ac:dyDescent="0.2">
      <c r="A22" t="s">
        <v>152</v>
      </c>
      <c r="B22" s="87">
        <f>+I19</f>
        <v>293.84400000000005</v>
      </c>
      <c r="C22" s="87">
        <f>3267.43129+252.01493</f>
        <v>3519.4462199999998</v>
      </c>
      <c r="D22" s="87">
        <f>(5799.907+2280+168.321)*2.204622/2000</f>
        <v>9.0921124549080012</v>
      </c>
      <c r="E22" s="87">
        <f t="shared" ref="E22:E33" si="4">B22+C22+D22</f>
        <v>3822.382332454908</v>
      </c>
      <c r="F22" s="87">
        <f t="shared" ref="F22:F33" si="5">H22-G22</f>
        <v>2780.1005339050562</v>
      </c>
      <c r="G22" s="87">
        <f>((478.22002+3.343+126.473912))*(2.204622/2)</f>
        <v>670.245798549852</v>
      </c>
      <c r="H22" s="87">
        <f t="shared" ref="H22:H33" si="6">E22-I22</f>
        <v>3450.346332454908</v>
      </c>
      <c r="I22" s="87">
        <f>335.488+36.548</f>
        <v>372.036</v>
      </c>
    </row>
    <row r="23" spans="1:9" x14ac:dyDescent="0.2">
      <c r="A23" t="s">
        <v>153</v>
      </c>
      <c r="B23" s="87">
        <f>+I22</f>
        <v>372.036</v>
      </c>
      <c r="C23" s="87">
        <f>3158.033+255.442</f>
        <v>3413.4749999999999</v>
      </c>
      <c r="D23" s="87">
        <f>(4862.172+1859+513.416)*2.204622/2000</f>
        <v>7.9747659328680003</v>
      </c>
      <c r="E23" s="87">
        <f t="shared" si="4"/>
        <v>3793.4857659328682</v>
      </c>
      <c r="F23" s="87">
        <f t="shared" si="5"/>
        <v>2401.0978619448092</v>
      </c>
      <c r="G23" s="87">
        <f>((611.447686+7.956+99.318983))*(2.204622/2)</f>
        <v>792.255903988059</v>
      </c>
      <c r="H23" s="87">
        <f t="shared" si="6"/>
        <v>3193.3537659328681</v>
      </c>
      <c r="I23" s="87">
        <f>543.932+56.2</f>
        <v>600.13200000000006</v>
      </c>
    </row>
    <row r="24" spans="1:9" x14ac:dyDescent="0.2">
      <c r="A24" t="s">
        <v>154</v>
      </c>
      <c r="B24" s="87">
        <f t="shared" ref="B24:B33" si="7">+I23</f>
        <v>600.13200000000006</v>
      </c>
      <c r="C24" s="87">
        <f>3101.79875+244.15355</f>
        <v>3345.9522999999999</v>
      </c>
      <c r="D24" s="87">
        <f>(5711.755+2422+844.082)*2.204622/2000</f>
        <v>9.8963684813070003</v>
      </c>
      <c r="E24" s="87">
        <f t="shared" si="4"/>
        <v>3955.980668481307</v>
      </c>
      <c r="F24" s="87">
        <f t="shared" si="5"/>
        <v>2922.8361538259824</v>
      </c>
      <c r="G24" s="87">
        <f>((462.315357+19.782+79.664718))*(2.204622/2)</f>
        <v>619.23651465532498</v>
      </c>
      <c r="H24" s="87">
        <f t="shared" si="6"/>
        <v>3542.0726684813071</v>
      </c>
      <c r="I24" s="87">
        <f>372.337+41.571</f>
        <v>413.90800000000002</v>
      </c>
    </row>
    <row r="25" spans="1:9" x14ac:dyDescent="0.2">
      <c r="A25" t="s">
        <v>155</v>
      </c>
      <c r="B25" s="87">
        <f t="shared" si="7"/>
        <v>413.90800000000002</v>
      </c>
      <c r="C25" s="87">
        <f>3184.5717+254.61388</f>
        <v>3439.1855799999998</v>
      </c>
      <c r="D25" s="87">
        <f>(3280.341+1707+1036.079)*2.204622/2000</f>
        <v>6.6396821236200001</v>
      </c>
      <c r="E25" s="87">
        <f t="shared" si="4"/>
        <v>3859.7332621236196</v>
      </c>
      <c r="F25" s="87">
        <f t="shared" si="5"/>
        <v>2537.5555986505647</v>
      </c>
      <c r="G25" s="87">
        <f>((675.293541+8.295+111.957964))*(2.204622/2)</f>
        <v>876.93966347305502</v>
      </c>
      <c r="H25" s="87">
        <f t="shared" si="6"/>
        <v>3414.4952621236198</v>
      </c>
      <c r="I25" s="87">
        <f>400.217+45.021</f>
        <v>445.238</v>
      </c>
    </row>
    <row r="26" spans="1:9" x14ac:dyDescent="0.2">
      <c r="A26" t="s">
        <v>156</v>
      </c>
      <c r="B26" s="87">
        <f t="shared" si="7"/>
        <v>445.238</v>
      </c>
      <c r="C26" s="87">
        <f>2972.2+230.916</f>
        <v>3203.116</v>
      </c>
      <c r="D26" s="87">
        <f>(3516.779+1724+123.246)*2.204622/2000</f>
        <v>5.9128237617750008</v>
      </c>
      <c r="E26" s="87">
        <f t="shared" si="4"/>
        <v>3654.266823761775</v>
      </c>
      <c r="F26" s="87">
        <f t="shared" si="5"/>
        <v>2497.8638813801226</v>
      </c>
      <c r="G26" s="87">
        <f>((564.409067+6.434+81.747665))*(2.204622/2)</f>
        <v>719.35794238165204</v>
      </c>
      <c r="H26" s="87">
        <f t="shared" si="6"/>
        <v>3217.2218237617749</v>
      </c>
      <c r="I26" s="87">
        <f>393.1+43.945</f>
        <v>437.04500000000002</v>
      </c>
    </row>
    <row r="27" spans="1:9" x14ac:dyDescent="0.2">
      <c r="A27" t="s">
        <v>157</v>
      </c>
      <c r="B27" s="87">
        <f t="shared" si="7"/>
        <v>437.04500000000002</v>
      </c>
      <c r="C27" s="87">
        <f>3171+253.799</f>
        <v>3424.799</v>
      </c>
      <c r="D27" s="87">
        <f>(6267.251+2012+529.749)*2.204622/2000</f>
        <v>9.7102575990000002</v>
      </c>
      <c r="E27" s="87">
        <f t="shared" si="4"/>
        <v>3871.5542575990003</v>
      </c>
      <c r="F27" s="87">
        <f t="shared" si="5"/>
        <v>2710.3518114791964</v>
      </c>
      <c r="G27" s="87">
        <f>((567.758833+5.071+153.343131))*(2.204622/2)</f>
        <v>800.46844611980396</v>
      </c>
      <c r="H27" s="87">
        <f t="shared" si="6"/>
        <v>3510.8202575990003</v>
      </c>
      <c r="I27" s="87">
        <f>313+47.734</f>
        <v>360.73399999999998</v>
      </c>
    </row>
    <row r="28" spans="1:9" x14ac:dyDescent="0.2">
      <c r="A28" t="s">
        <v>158</v>
      </c>
      <c r="B28" s="87">
        <f t="shared" si="7"/>
        <v>360.73399999999998</v>
      </c>
      <c r="C28" s="87">
        <f>3092.5+243.4</f>
        <v>3335.9</v>
      </c>
      <c r="D28" s="87">
        <f>(4578.88+1915+316.826)*2.204622/2000</f>
        <v>7.5075161415660006</v>
      </c>
      <c r="E28" s="87">
        <f t="shared" si="4"/>
        <v>3704.1415161415662</v>
      </c>
      <c r="F28" s="87">
        <f t="shared" si="5"/>
        <v>2422.3890670421315</v>
      </c>
      <c r="G28" s="87">
        <f>((654.41196+9.797+115.564125))*(2.204622/2)</f>
        <v>859.55244909943508</v>
      </c>
      <c r="H28" s="87">
        <f t="shared" si="6"/>
        <v>3281.9415161415664</v>
      </c>
      <c r="I28" s="87">
        <f>375.9+46.3</f>
        <v>422.2</v>
      </c>
    </row>
    <row r="29" spans="1:9" x14ac:dyDescent="0.2">
      <c r="A29" t="s">
        <v>162</v>
      </c>
      <c r="B29" s="87">
        <f t="shared" si="7"/>
        <v>422.2</v>
      </c>
      <c r="C29" s="87">
        <f>3245+255.4</f>
        <v>3500.4</v>
      </c>
      <c r="D29" s="87">
        <f>(4413.963+1525+576.704)*2.204622/2000</f>
        <v>7.1822914064369998</v>
      </c>
      <c r="E29" s="87">
        <f t="shared" si="4"/>
        <v>3929.7822914064368</v>
      </c>
      <c r="F29" s="87">
        <f t="shared" si="5"/>
        <v>2607.373871881563</v>
      </c>
      <c r="G29" s="87">
        <f>((611.364439+10.367+54.491895))*(2.204622/2)</f>
        <v>745.40841952487392</v>
      </c>
      <c r="H29" s="87">
        <f t="shared" si="6"/>
        <v>3352.7822914064368</v>
      </c>
      <c r="I29" s="87">
        <f>517.2+59.8</f>
        <v>577</v>
      </c>
    </row>
    <row r="30" spans="1:9" x14ac:dyDescent="0.2">
      <c r="A30" t="s">
        <v>163</v>
      </c>
      <c r="B30" s="87">
        <f t="shared" si="7"/>
        <v>577</v>
      </c>
      <c r="C30" s="87">
        <f>3082.209+241.001</f>
        <v>3323.21</v>
      </c>
      <c r="D30" s="87">
        <f>(3672.476+952+495.243)*2.204622/2000</f>
        <v>5.6435225706090018</v>
      </c>
      <c r="E30" s="87">
        <f t="shared" si="4"/>
        <v>3905.8535225706091</v>
      </c>
      <c r="F30" s="87">
        <f t="shared" si="5"/>
        <v>2514.5244600143051</v>
      </c>
      <c r="G30" s="87">
        <f>((768.743109+24.765+81.936355))*(2.204622/2)</f>
        <v>965.01206255630404</v>
      </c>
      <c r="H30" s="87">
        <f t="shared" si="6"/>
        <v>3479.5365225706091</v>
      </c>
      <c r="I30" s="87">
        <f>385.917+40.4</f>
        <v>426.31699999999995</v>
      </c>
    </row>
    <row r="31" spans="1:9" x14ac:dyDescent="0.2">
      <c r="A31" t="s">
        <v>164</v>
      </c>
      <c r="B31" s="87">
        <f t="shared" si="7"/>
        <v>426.31699999999995</v>
      </c>
      <c r="C31" s="87">
        <f>2836.244+230.471</f>
        <v>3066.7150000000001</v>
      </c>
      <c r="D31" s="87">
        <f>(4297.567+1965+411.382)*2.204622/2000</f>
        <v>7.3567673961390003</v>
      </c>
      <c r="E31" s="87">
        <f t="shared" si="4"/>
        <v>3500.388767396139</v>
      </c>
      <c r="F31" s="87">
        <f t="shared" si="5"/>
        <v>2539.0878538352108</v>
      </c>
      <c r="G31" s="87">
        <f>((472.871369+18.307+82.971679))*(2.204622/2)</f>
        <v>632.89191356092795</v>
      </c>
      <c r="H31" s="87">
        <f t="shared" si="6"/>
        <v>3171.9797673961389</v>
      </c>
      <c r="I31" s="87">
        <f>298.821+29.588</f>
        <v>328.40900000000005</v>
      </c>
    </row>
    <row r="32" spans="1:9" x14ac:dyDescent="0.2">
      <c r="A32" t="s">
        <v>165</v>
      </c>
      <c r="B32" s="87">
        <f t="shared" si="7"/>
        <v>328.40900000000005</v>
      </c>
      <c r="C32" s="87">
        <f>2630.7+216</f>
        <v>2846.7</v>
      </c>
      <c r="D32" s="87">
        <f>(3540.812+1534+459.515)*2.204622/2000</f>
        <v>6.100549529697</v>
      </c>
      <c r="E32" s="87">
        <f t="shared" si="4"/>
        <v>3181.2095495296971</v>
      </c>
      <c r="F32" s="87">
        <f t="shared" si="5"/>
        <v>2454.1814414951709</v>
      </c>
      <c r="G32" s="87">
        <f>((315.506679+6.527+50.028387))*(2.204622/2)</f>
        <v>410.12810803452601</v>
      </c>
      <c r="H32" s="87">
        <f t="shared" si="6"/>
        <v>2864.3095495296971</v>
      </c>
      <c r="I32" s="87">
        <f>283.1+33.8</f>
        <v>316.90000000000003</v>
      </c>
    </row>
    <row r="33" spans="1:9" x14ac:dyDescent="0.2">
      <c r="A33" t="s">
        <v>151</v>
      </c>
      <c r="B33" s="87">
        <f t="shared" si="7"/>
        <v>316.90000000000003</v>
      </c>
      <c r="C33" s="87">
        <f>2482.657+200.877</f>
        <v>2683.5340000000001</v>
      </c>
      <c r="D33" s="87">
        <f>(2696.115+1527+48.089)*2.204622/2000</f>
        <v>4.7081951524440004</v>
      </c>
      <c r="E33" s="87">
        <f t="shared" si="4"/>
        <v>3005.1421951524444</v>
      </c>
      <c r="F33" s="87">
        <f t="shared" si="5"/>
        <v>2364.8412577432628</v>
      </c>
      <c r="G33" s="87">
        <f>((282.368791+11.853+73.705171))*(2.204622/2)</f>
        <v>405.56993740918205</v>
      </c>
      <c r="H33" s="87">
        <f t="shared" si="6"/>
        <v>2770.4111951524446</v>
      </c>
      <c r="I33" s="87">
        <f>206.808+27.923</f>
        <v>234.73099999999999</v>
      </c>
    </row>
    <row r="34" spans="1:9" x14ac:dyDescent="0.2">
      <c r="A34" t="s">
        <v>150</v>
      </c>
      <c r="C34" s="87">
        <f>SUM(C22:C33)</f>
        <v>39102.433099999995</v>
      </c>
      <c r="D34" s="87">
        <f>SUM(D22:D33)</f>
        <v>87.724852550370031</v>
      </c>
      <c r="E34" s="87">
        <f>B22+C34+D34</f>
        <v>39484.001952550359</v>
      </c>
      <c r="F34" s="87">
        <f>SUM(F22:F33)</f>
        <v>30752.203793197375</v>
      </c>
      <c r="G34" s="87">
        <f>SUM(G22:G33)</f>
        <v>8497.0671593529969</v>
      </c>
      <c r="H34" s="87">
        <f>SUM(H22:H33)</f>
        <v>39249.270952550367</v>
      </c>
      <c r="I34" s="87"/>
    </row>
    <row r="35" spans="1:9" x14ac:dyDescent="0.2">
      <c r="A35" s="22" t="s">
        <v>26</v>
      </c>
      <c r="C35" s="87"/>
      <c r="D35" s="87"/>
      <c r="E35" s="87"/>
      <c r="F35" s="87"/>
      <c r="G35" s="87"/>
      <c r="H35" s="87"/>
      <c r="I35" s="87"/>
    </row>
    <row r="36" spans="1:9" x14ac:dyDescent="0.2">
      <c r="A36" t="s">
        <v>152</v>
      </c>
      <c r="B36" s="87">
        <f>+I33</f>
        <v>234.73099999999999</v>
      </c>
      <c r="C36" s="87">
        <f>3578.656+267</f>
        <v>3845.6559999999999</v>
      </c>
      <c r="D36" s="87">
        <f>(9330.821+1735+55.218)*2.204622/2000</f>
        <v>12.258843621129001</v>
      </c>
      <c r="E36" s="87">
        <f t="shared" ref="E36:E47" si="8">B36+C36+D36</f>
        <v>4092.6458436211287</v>
      </c>
      <c r="F36" s="87">
        <f t="shared" ref="F36:F47" si="9">H36-G36</f>
        <v>2890.8732605172177</v>
      </c>
      <c r="G36" s="87">
        <f>((577.107071+13.622+95.73653))*(2.204622/2)</f>
        <v>756.69858310391101</v>
      </c>
      <c r="H36" s="87">
        <f t="shared" ref="H36:H47" si="10">E36-I36</f>
        <v>3647.5718436211287</v>
      </c>
      <c r="I36" s="87">
        <f>401+44.074</f>
        <v>445.07400000000001</v>
      </c>
    </row>
    <row r="37" spans="1:9" x14ac:dyDescent="0.2">
      <c r="A37" t="s">
        <v>153</v>
      </c>
      <c r="B37" s="87">
        <f>+I36</f>
        <v>445.07400000000001</v>
      </c>
      <c r="C37" s="87">
        <f>3696.36+280.185</f>
        <v>3976.5450000000001</v>
      </c>
      <c r="D37" s="87">
        <f>(3807.985+1708+83.15)*2.204622/2000</f>
        <v>6.1719881009850006</v>
      </c>
      <c r="E37" s="87">
        <f t="shared" si="8"/>
        <v>4427.7909881009846</v>
      </c>
      <c r="F37" s="87">
        <f t="shared" si="9"/>
        <v>2407.1856888049169</v>
      </c>
      <c r="G37" s="87">
        <f>((1147.49778+2.764+113.664008))*(2.204622/2)</f>
        <v>1393.2392992960679</v>
      </c>
      <c r="H37" s="87">
        <f t="shared" si="10"/>
        <v>3800.4249881009846</v>
      </c>
      <c r="I37" s="87">
        <f>569.374+57.992</f>
        <v>627.36599999999999</v>
      </c>
    </row>
    <row r="38" spans="1:9" x14ac:dyDescent="0.2">
      <c r="A38" t="s">
        <v>154</v>
      </c>
      <c r="B38" s="87">
        <f t="shared" ref="B38:B47" si="11">+I37</f>
        <v>627.36599999999999</v>
      </c>
      <c r="C38" s="87">
        <f>3785.027+291.062</f>
        <v>4076.0889999999999</v>
      </c>
      <c r="D38" s="87">
        <f>(6508.166+1943+139.184)*2.204622/2000</f>
        <v>9.4692372988500004</v>
      </c>
      <c r="E38" s="87">
        <f t="shared" si="8"/>
        <v>4712.9242372988501</v>
      </c>
      <c r="F38" s="87">
        <f t="shared" si="9"/>
        <v>2861.5990323501856</v>
      </c>
      <c r="G38" s="87">
        <f>((1030.196141+25.082+108.195874))*(2.204622/2)</f>
        <v>1282.510204948665</v>
      </c>
      <c r="H38" s="87">
        <f t="shared" si="10"/>
        <v>4144.1092372988505</v>
      </c>
      <c r="I38" s="87">
        <f>533.578+35.237</f>
        <v>568.81499999999994</v>
      </c>
    </row>
    <row r="39" spans="1:9" x14ac:dyDescent="0.2">
      <c r="A39" t="s">
        <v>155</v>
      </c>
      <c r="B39" s="87">
        <f t="shared" si="11"/>
        <v>568.81499999999994</v>
      </c>
      <c r="C39" s="87">
        <f>3656.43296+276.80069</f>
        <v>3933.2336500000001</v>
      </c>
      <c r="D39" s="87">
        <f>(13052.96+2267+1229.95)*2.204622/2000</f>
        <v>18.24314784201</v>
      </c>
      <c r="E39" s="87">
        <f t="shared" si="8"/>
        <v>4520.2917978420101</v>
      </c>
      <c r="F39" s="87">
        <f t="shared" si="9"/>
        <v>2389.7699442823678</v>
      </c>
      <c r="G39" s="87">
        <f>((1262.585357+13.519+84.756465))*(2.204622/2)</f>
        <v>1500.091853559642</v>
      </c>
      <c r="H39" s="87">
        <f t="shared" si="10"/>
        <v>3889.8617978420098</v>
      </c>
      <c r="I39" s="87">
        <f>585.82+44.61</f>
        <v>630.43000000000006</v>
      </c>
    </row>
    <row r="40" spans="1:9" x14ac:dyDescent="0.2">
      <c r="A40" t="s">
        <v>156</v>
      </c>
      <c r="B40" s="87">
        <f t="shared" si="11"/>
        <v>630.43000000000006</v>
      </c>
      <c r="C40" s="87">
        <f>3375.214+260.295</f>
        <v>3635.509</v>
      </c>
      <c r="D40" s="87">
        <f>(17818.894+2064+137.16)*2.204622/2000</f>
        <v>22.068325744794002</v>
      </c>
      <c r="E40" s="87">
        <f t="shared" si="8"/>
        <v>4288.0073257447939</v>
      </c>
      <c r="F40" s="87">
        <f t="shared" si="9"/>
        <v>2253.3381986525264</v>
      </c>
      <c r="G40" s="87">
        <f>((1087.4166535+8.844+112.382939))*(2.204622/2)</f>
        <v>1332.3011270922677</v>
      </c>
      <c r="H40" s="87">
        <f t="shared" si="10"/>
        <v>3585.639325744794</v>
      </c>
      <c r="I40" s="87">
        <f>654.224+48.144</f>
        <v>702.36800000000005</v>
      </c>
    </row>
    <row r="41" spans="1:9" x14ac:dyDescent="0.2">
      <c r="A41" t="s">
        <v>157</v>
      </c>
      <c r="B41" s="87">
        <f t="shared" si="11"/>
        <v>702.36800000000005</v>
      </c>
      <c r="C41" s="87">
        <f>3415.26438+264.84859</f>
        <v>3680.1129700000001</v>
      </c>
      <c r="D41" s="87">
        <f>(11140.661+2301+986.65)*2.204622/2000</f>
        <v>15.904485926721</v>
      </c>
      <c r="E41" s="87">
        <f t="shared" si="8"/>
        <v>4398.3854559267211</v>
      </c>
      <c r="F41" s="87">
        <f t="shared" si="9"/>
        <v>2676.8390445672248</v>
      </c>
      <c r="G41" s="87">
        <f>((1148.94249+8.929+75.681846))*(2.204622/2)</f>
        <v>1359.759411359496</v>
      </c>
      <c r="H41" s="87">
        <f t="shared" si="10"/>
        <v>4036.5984559267208</v>
      </c>
      <c r="I41" s="87">
        <f>328.144+33.643</f>
        <v>361.78700000000003</v>
      </c>
    </row>
    <row r="42" spans="1:9" x14ac:dyDescent="0.2">
      <c r="A42" t="s">
        <v>158</v>
      </c>
      <c r="B42" s="87">
        <f t="shared" si="11"/>
        <v>361.78700000000003</v>
      </c>
      <c r="C42" s="87">
        <f>2981.51176+230.30494</f>
        <v>3211.8166999999999</v>
      </c>
      <c r="D42" s="87">
        <f>(3301.123+2722+4120.029)*2.204622/2000</f>
        <v>11.180908024272002</v>
      </c>
      <c r="E42" s="87">
        <f t="shared" si="8"/>
        <v>3584.7846080242716</v>
      </c>
      <c r="F42" s="87">
        <f t="shared" si="9"/>
        <v>2437.4971793552309</v>
      </c>
      <c r="G42" s="87">
        <f>((640.480156+13.766+117.997275))*(2.204622/2)</f>
        <v>851.25242866904091</v>
      </c>
      <c r="H42" s="87">
        <f t="shared" si="10"/>
        <v>3288.7496080242718</v>
      </c>
      <c r="I42" s="87">
        <f>265.076+30.959</f>
        <v>296.03500000000003</v>
      </c>
    </row>
    <row r="43" spans="1:9" x14ac:dyDescent="0.2">
      <c r="A43" t="s">
        <v>162</v>
      </c>
      <c r="B43" s="87">
        <f t="shared" si="11"/>
        <v>296.03500000000003</v>
      </c>
      <c r="C43" s="87">
        <f>2921.0122+223.45025</f>
        <v>3144.46245</v>
      </c>
      <c r="D43" s="87">
        <f>(3892.835+2338+163.914)*2.204622/2000</f>
        <v>7.049002164939</v>
      </c>
      <c r="E43" s="87">
        <f t="shared" si="8"/>
        <v>3447.5464521649387</v>
      </c>
      <c r="F43" s="87">
        <f t="shared" si="9"/>
        <v>2390.3807663674379</v>
      </c>
      <c r="G43" s="87">
        <f>((474.32093+3.322+57.132361))*(2.204622/2)</f>
        <v>589.48868579750092</v>
      </c>
      <c r="H43" s="87">
        <f t="shared" si="10"/>
        <v>2979.8694521649386</v>
      </c>
      <c r="I43" s="87">
        <f>423.871+43.806</f>
        <v>467.67699999999996</v>
      </c>
    </row>
    <row r="44" spans="1:9" x14ac:dyDescent="0.2">
      <c r="A44" t="s">
        <v>163</v>
      </c>
      <c r="B44" s="87">
        <f t="shared" si="11"/>
        <v>467.67699999999996</v>
      </c>
      <c r="C44" s="87">
        <f>2839.78764+216.92932</f>
        <v>3056.7169600000002</v>
      </c>
      <c r="D44" s="87">
        <f>(2032.182+1026+61.794)*2.204622/2000</f>
        <v>3.439183864536</v>
      </c>
      <c r="E44" s="87">
        <f t="shared" si="8"/>
        <v>3527.8331438645364</v>
      </c>
      <c r="F44" s="87">
        <f t="shared" si="9"/>
        <v>2626.7552267324795</v>
      </c>
      <c r="G44" s="87">
        <f>((438.486583+3.889+63.345504))*(2.204622/2)</f>
        <v>557.46191713205701</v>
      </c>
      <c r="H44" s="87">
        <f t="shared" si="10"/>
        <v>3184.2171438645364</v>
      </c>
      <c r="I44" s="87">
        <f>307.603+36.013</f>
        <v>343.61599999999999</v>
      </c>
    </row>
    <row r="45" spans="1:9" x14ac:dyDescent="0.2">
      <c r="A45" t="s">
        <v>164</v>
      </c>
      <c r="B45" s="87">
        <f t="shared" si="11"/>
        <v>343.61599999999999</v>
      </c>
      <c r="C45" s="87">
        <f>2837.93716+218.17026</f>
        <v>3056.1074199999998</v>
      </c>
      <c r="D45" s="87">
        <f>(5996.836+1860+321.137)*2.204622/2000</f>
        <v>9.0146695956029994</v>
      </c>
      <c r="E45" s="87">
        <f t="shared" si="8"/>
        <v>3408.738089595603</v>
      </c>
      <c r="F45" s="87">
        <f t="shared" si="9"/>
        <v>2496.4924356280967</v>
      </c>
      <c r="G45" s="87">
        <f>((382.033545+10.641+49.334701))*(2.204622/2)</f>
        <v>487.23165396750602</v>
      </c>
      <c r="H45" s="87">
        <f t="shared" si="10"/>
        <v>2983.7240895956029</v>
      </c>
      <c r="I45" s="87">
        <f>386.502+38.512</f>
        <v>425.01400000000001</v>
      </c>
    </row>
    <row r="46" spans="1:9" x14ac:dyDescent="0.2">
      <c r="A46" t="s">
        <v>165</v>
      </c>
      <c r="B46" s="87">
        <f t="shared" si="11"/>
        <v>425.01400000000001</v>
      </c>
      <c r="C46" s="87">
        <f>2806.1809+224.409</f>
        <v>3030.5898999999999</v>
      </c>
      <c r="D46" s="87">
        <f>(9593.463+2212+7915.844)*2.204622/2000</f>
        <v>21.739013640477001</v>
      </c>
      <c r="E46" s="87">
        <f t="shared" si="8"/>
        <v>3477.342913640477</v>
      </c>
      <c r="F46" s="87">
        <f t="shared" si="9"/>
        <v>2629.5331658086416</v>
      </c>
      <c r="G46" s="87">
        <f>((448.125421+10.071+63.705064))*(2.204622/2)</f>
        <v>575.29774783183507</v>
      </c>
      <c r="H46" s="87">
        <f t="shared" si="10"/>
        <v>3204.8309136404769</v>
      </c>
      <c r="I46" s="87">
        <f>241.288+31.224</f>
        <v>272.512</v>
      </c>
    </row>
    <row r="47" spans="1:9" x14ac:dyDescent="0.2">
      <c r="A47" t="s">
        <v>151</v>
      </c>
      <c r="B47" s="87">
        <f t="shared" si="11"/>
        <v>272.512</v>
      </c>
      <c r="C47" s="87">
        <f>2836.0385+223.6447</f>
        <v>3059.6831999999999</v>
      </c>
      <c r="D47" s="87">
        <f>(14093.621+1906+5287.594)*2.204622/2000</f>
        <v>23.465131253865003</v>
      </c>
      <c r="E47" s="87">
        <f t="shared" si="8"/>
        <v>3355.660331253865</v>
      </c>
      <c r="F47" s="87">
        <f t="shared" si="9"/>
        <v>2579.9710446798667</v>
      </c>
      <c r="G47" s="87">
        <f>((364.731719+9.365+56.031699))*(2.204622/2)</f>
        <v>474.13528657399803</v>
      </c>
      <c r="H47" s="87">
        <f t="shared" si="10"/>
        <v>3054.1063312538649</v>
      </c>
      <c r="I47" s="87">
        <f>273.085+28.469</f>
        <v>301.55399999999997</v>
      </c>
    </row>
    <row r="48" spans="1:9" x14ac:dyDescent="0.2">
      <c r="A48" t="s">
        <v>150</v>
      </c>
      <c r="C48" s="87">
        <f>SUM(C36:C47)</f>
        <v>41706.522250000002</v>
      </c>
      <c r="D48" s="87">
        <f>SUM(D36:D47)</f>
        <v>160.003937078181</v>
      </c>
      <c r="E48" s="87">
        <f>B36+C48+D48</f>
        <v>42101.257187078183</v>
      </c>
      <c r="F48" s="87">
        <f>SUM(F36:F47)</f>
        <v>30640.234987746193</v>
      </c>
      <c r="G48" s="87">
        <f>SUM(G36:G47)</f>
        <v>11159.468199331988</v>
      </c>
      <c r="H48" s="87">
        <f>SUM(H36:H47)</f>
        <v>41799.703187078187</v>
      </c>
      <c r="I48" s="87"/>
    </row>
    <row r="49" spans="1:9" x14ac:dyDescent="0.2">
      <c r="A49" s="22" t="s">
        <v>27</v>
      </c>
      <c r="C49" s="87"/>
      <c r="D49" s="87"/>
      <c r="E49" s="87"/>
      <c r="F49" s="87"/>
      <c r="G49" s="87"/>
      <c r="H49" s="87"/>
      <c r="I49" s="87"/>
    </row>
    <row r="50" spans="1:9" x14ac:dyDescent="0.2">
      <c r="A50" t="s">
        <v>152</v>
      </c>
      <c r="B50" s="87">
        <f>+I47</f>
        <v>301.55399999999997</v>
      </c>
      <c r="C50" s="87">
        <f>3475.80273+262.26737</f>
        <v>3738.0700999999999</v>
      </c>
      <c r="D50" s="87">
        <f>(9930.223+2377+644.728)*2.204622/2000</f>
        <v>14.277078058760999</v>
      </c>
      <c r="E50" s="87">
        <f t="shared" ref="E50:E61" si="12">B50+C50+D50</f>
        <v>4053.9011780587612</v>
      </c>
      <c r="F50" s="87">
        <f t="shared" ref="F50:F61" si="13">H50-G50</f>
        <v>2803.9630813615072</v>
      </c>
      <c r="G50" s="87">
        <f>((581.892513+8.315+75.128401))*(2.204622/2)</f>
        <v>733.40709669725402</v>
      </c>
      <c r="H50" s="87">
        <f t="shared" ref="H50:H61" si="14">E50-I50</f>
        <v>3537.3701780587612</v>
      </c>
      <c r="I50" s="87">
        <f>471.806+44.725</f>
        <v>516.53099999999995</v>
      </c>
    </row>
    <row r="51" spans="1:9" x14ac:dyDescent="0.2">
      <c r="A51" t="s">
        <v>153</v>
      </c>
      <c r="B51" s="87">
        <f>+I50</f>
        <v>516.53099999999995</v>
      </c>
      <c r="C51" s="87">
        <f>3447.6493+272.3998</f>
        <v>3720.0491000000002</v>
      </c>
      <c r="D51" s="87">
        <f>(9702.118+1997+339.383)*2.204622/2000</f>
        <v>13.270172075811001</v>
      </c>
      <c r="E51" s="87">
        <f t="shared" si="12"/>
        <v>4249.8502720758115</v>
      </c>
      <c r="F51" s="87">
        <f t="shared" si="13"/>
        <v>2723.3759903611253</v>
      </c>
      <c r="G51" s="87">
        <f>((804.493079+11.232+129.663547))*(2.204622/2)</f>
        <v>1042.1122817146859</v>
      </c>
      <c r="H51" s="87">
        <f t="shared" si="14"/>
        <v>3765.4882720758114</v>
      </c>
      <c r="I51" s="87">
        <f>445.037+39.325</f>
        <v>484.36199999999997</v>
      </c>
    </row>
    <row r="52" spans="1:9" x14ac:dyDescent="0.2">
      <c r="A52" t="s">
        <v>154</v>
      </c>
      <c r="B52" s="87">
        <f t="shared" ref="B52:B61" si="15">+I51</f>
        <v>484.36199999999997</v>
      </c>
      <c r="C52" s="87">
        <f>3397.76335+277.7805</f>
        <v>3675.54385</v>
      </c>
      <c r="D52" s="87">
        <f>(10330.299+2239+2482.86)*2.204622/2000</f>
        <v>16.592160439449003</v>
      </c>
      <c r="E52" s="87">
        <f t="shared" si="12"/>
        <v>4176.498010439449</v>
      </c>
      <c r="F52" s="87">
        <f t="shared" si="13"/>
        <v>2767.0337216476373</v>
      </c>
      <c r="G52" s="87">
        <f>((707.680305+16.967+90.699987))*(2.204622/2)</f>
        <v>898.76628879181192</v>
      </c>
      <c r="H52" s="87">
        <f t="shared" si="14"/>
        <v>3665.8000104394491</v>
      </c>
      <c r="I52" s="87">
        <f>473.178+37.52</f>
        <v>510.69799999999998</v>
      </c>
    </row>
    <row r="53" spans="1:9" x14ac:dyDescent="0.2">
      <c r="A53" t="s">
        <v>155</v>
      </c>
      <c r="B53" s="87">
        <f t="shared" si="15"/>
        <v>510.69799999999998</v>
      </c>
      <c r="C53" s="87">
        <f>3298.36+271.099</f>
        <v>3569.4590000000003</v>
      </c>
      <c r="D53" s="87">
        <f>(12279.597+2214+269.321)*2.204622/2000</f>
        <v>16.273326903497999</v>
      </c>
      <c r="E53" s="87">
        <f t="shared" si="12"/>
        <v>4096.4303269034981</v>
      </c>
      <c r="F53" s="87">
        <f t="shared" si="13"/>
        <v>2476.5456944231264</v>
      </c>
      <c r="G53" s="87">
        <f>((967.927585+17.265+76.925667))*(2.204622/2)</f>
        <v>1170.784632480372</v>
      </c>
      <c r="H53" s="87">
        <f t="shared" si="14"/>
        <v>3647.3303269034982</v>
      </c>
      <c r="I53" s="87">
        <f>408.208+40.892</f>
        <v>449.1</v>
      </c>
    </row>
    <row r="54" spans="1:9" x14ac:dyDescent="0.2">
      <c r="A54" t="s">
        <v>156</v>
      </c>
      <c r="B54" s="87">
        <f t="shared" si="15"/>
        <v>449.1</v>
      </c>
      <c r="C54" s="87">
        <f>2889.211+236.939</f>
        <v>3126.1499999999996</v>
      </c>
      <c r="D54" s="87">
        <f>(13443.229+2315+606.302)*2.204622/2000</f>
        <v>18.038802531140998</v>
      </c>
      <c r="E54" s="87">
        <f t="shared" si="12"/>
        <v>3593.2888025311404</v>
      </c>
      <c r="F54" s="87">
        <f t="shared" si="13"/>
        <v>2194.7277542177144</v>
      </c>
      <c r="G54" s="87">
        <f>((775.643585+8.026+61.802381))*(2.204622/2)</f>
        <v>931.97304831342603</v>
      </c>
      <c r="H54" s="87">
        <f t="shared" si="14"/>
        <v>3126.7008025311407</v>
      </c>
      <c r="I54" s="87">
        <f>428.609+37.979</f>
        <v>466.58799999999997</v>
      </c>
    </row>
    <row r="55" spans="1:9" x14ac:dyDescent="0.2">
      <c r="A55" t="s">
        <v>157</v>
      </c>
      <c r="B55" s="87">
        <f t="shared" si="15"/>
        <v>466.58799999999997</v>
      </c>
      <c r="C55" s="87">
        <f>3111.911+259.694</f>
        <v>3371.605</v>
      </c>
      <c r="D55" s="87">
        <f>(11553.316+3327+448.348)*2.204622/2000</f>
        <v>16.896954942504003</v>
      </c>
      <c r="E55" s="87">
        <f t="shared" si="12"/>
        <v>3855.0899549425044</v>
      </c>
      <c r="F55" s="87">
        <f t="shared" si="13"/>
        <v>2655.7529544888635</v>
      </c>
      <c r="G55" s="87">
        <f>((668.207438+22.372+102.482593))*(2.204622/2)</f>
        <v>874.20100045364097</v>
      </c>
      <c r="H55" s="87">
        <f t="shared" si="14"/>
        <v>3529.9539549425044</v>
      </c>
      <c r="I55" s="87">
        <f>294.551+30.585</f>
        <v>325.13599999999997</v>
      </c>
    </row>
    <row r="56" spans="1:9" x14ac:dyDescent="0.2">
      <c r="A56" t="s">
        <v>158</v>
      </c>
      <c r="B56" s="87">
        <f t="shared" si="15"/>
        <v>325.13599999999997</v>
      </c>
      <c r="C56" s="87">
        <f>2873.217+239.721</f>
        <v>3112.9380000000001</v>
      </c>
      <c r="D56" s="87">
        <f>(10232.088+2853+389.238)*2.204622/2000</f>
        <v>14.852897767385999</v>
      </c>
      <c r="E56" s="87">
        <f t="shared" si="12"/>
        <v>3452.926897767386</v>
      </c>
      <c r="F56" s="87">
        <f t="shared" si="13"/>
        <v>2323.4563076678669</v>
      </c>
      <c r="G56" s="87">
        <f>((522.741849+10.232+89.83368))*(2.204622/2)</f>
        <v>686.52759009951899</v>
      </c>
      <c r="H56" s="87">
        <f t="shared" si="14"/>
        <v>3009.9838977673858</v>
      </c>
      <c r="I56" s="87">
        <f>403.992+38.951</f>
        <v>442.94300000000004</v>
      </c>
    </row>
    <row r="57" spans="1:9" x14ac:dyDescent="0.2">
      <c r="A57" t="s">
        <v>162</v>
      </c>
      <c r="B57" s="87">
        <f t="shared" si="15"/>
        <v>442.94300000000004</v>
      </c>
      <c r="C57" s="87">
        <f>2865.776+234.746</f>
        <v>3100.5219999999999</v>
      </c>
      <c r="D57" s="87">
        <f>(9617.155+2757+254.197)*2.204622/2000</f>
        <v>13.920371321472</v>
      </c>
      <c r="E57" s="87">
        <f t="shared" si="12"/>
        <v>3557.3853713214721</v>
      </c>
      <c r="F57" s="87">
        <f t="shared" si="13"/>
        <v>2593.0223224727083</v>
      </c>
      <c r="G57" s="87">
        <f>((447.841521+15.423+71.435803))*(2.204622/2)</f>
        <v>589.40604884876404</v>
      </c>
      <c r="H57" s="87">
        <f t="shared" si="14"/>
        <v>3182.4283713214722</v>
      </c>
      <c r="I57" s="87">
        <f>333.547+41.41</f>
        <v>374.95699999999999</v>
      </c>
    </row>
    <row r="58" spans="1:9" x14ac:dyDescent="0.2">
      <c r="A58" t="s">
        <v>163</v>
      </c>
      <c r="B58" s="87">
        <f t="shared" si="15"/>
        <v>374.95699999999999</v>
      </c>
      <c r="C58" s="87">
        <f>2746.586+226.906</f>
        <v>2973.4919999999997</v>
      </c>
      <c r="D58" s="87">
        <f>(9604.305+2563+444.972)*2.204622/2000</f>
        <v>13.902651672147</v>
      </c>
      <c r="E58" s="87">
        <f t="shared" si="12"/>
        <v>3362.3516516721465</v>
      </c>
      <c r="F58" s="87">
        <f t="shared" si="13"/>
        <v>2569.6409053451584</v>
      </c>
      <c r="G58" s="87">
        <f>((397.016151+8.204+56.003357))*(2.204622/2)</f>
        <v>508.41174632698801</v>
      </c>
      <c r="H58" s="87">
        <f t="shared" si="14"/>
        <v>3078.0526516721466</v>
      </c>
      <c r="I58" s="87">
        <f>256.329+27.97</f>
        <v>284.29899999999998</v>
      </c>
    </row>
    <row r="59" spans="1:9" x14ac:dyDescent="0.2">
      <c r="A59" t="s">
        <v>164</v>
      </c>
      <c r="B59" s="87">
        <f t="shared" si="15"/>
        <v>284.29899999999998</v>
      </c>
      <c r="C59" s="87">
        <f>2857.622+239.432</f>
        <v>3097.0539999999996</v>
      </c>
      <c r="D59" s="87">
        <f>(7486.208+1505+441.838)*2.204622/2000</f>
        <v>10.398150369305998</v>
      </c>
      <c r="E59" s="87">
        <f t="shared" si="12"/>
        <v>3391.7511503693058</v>
      </c>
      <c r="F59" s="87">
        <f t="shared" si="13"/>
        <v>2411.9593755349656</v>
      </c>
      <c r="G59" s="87">
        <f>((436.692722+21.883+47.067218))*(2.204622/2)</f>
        <v>557.37577483433995</v>
      </c>
      <c r="H59" s="87">
        <f t="shared" si="14"/>
        <v>2969.3351503693057</v>
      </c>
      <c r="I59" s="87">
        <f>387.461+34.955</f>
        <v>422.416</v>
      </c>
    </row>
    <row r="60" spans="1:9" x14ac:dyDescent="0.2">
      <c r="A60" t="s">
        <v>165</v>
      </c>
      <c r="B60" s="87">
        <f t="shared" si="15"/>
        <v>422.416</v>
      </c>
      <c r="C60" s="87">
        <v>3001.875</v>
      </c>
      <c r="D60" s="87">
        <f>(10782.674+3118+190.811)*2.204622/2000</f>
        <v>15.533198921835002</v>
      </c>
      <c r="E60" s="87">
        <f t="shared" si="12"/>
        <v>3439.824198921835</v>
      </c>
      <c r="F60" s="87">
        <f t="shared" si="13"/>
        <v>2471.269891543428</v>
      </c>
      <c r="G60" s="87">
        <f>((433.342843+19.612+62.829094))*(2.204622/2)</f>
        <v>568.55430737840709</v>
      </c>
      <c r="H60" s="87">
        <f t="shared" si="14"/>
        <v>3039.824198921835</v>
      </c>
      <c r="I60" s="87">
        <v>400</v>
      </c>
    </row>
    <row r="61" spans="1:9" x14ac:dyDescent="0.2">
      <c r="A61" t="s">
        <v>151</v>
      </c>
      <c r="B61" s="87">
        <f t="shared" si="15"/>
        <v>400</v>
      </c>
      <c r="C61" s="87">
        <v>2764.1724599999998</v>
      </c>
      <c r="D61" s="87">
        <f>(11031.226+3006+204.164)*2.204622/2000</f>
        <v>15.698440852290002</v>
      </c>
      <c r="E61" s="87">
        <f t="shared" si="12"/>
        <v>3179.8709008522897</v>
      </c>
      <c r="F61" s="87">
        <f t="shared" si="13"/>
        <v>2310.1296979683584</v>
      </c>
      <c r="G61" s="87">
        <f>((339.348188+10.756+121.397233))*(2.204622/2)</f>
        <v>519.74120288393112</v>
      </c>
      <c r="H61" s="87">
        <f t="shared" si="14"/>
        <v>2829.8709008522897</v>
      </c>
      <c r="I61" s="87">
        <v>350</v>
      </c>
    </row>
    <row r="62" spans="1:9" x14ac:dyDescent="0.2">
      <c r="A62" t="s">
        <v>150</v>
      </c>
      <c r="C62" s="87">
        <f>SUM(C50:C61)</f>
        <v>39250.930509999998</v>
      </c>
      <c r="D62" s="87">
        <f>SUM(D50:D61)</f>
        <v>179.6542058556</v>
      </c>
      <c r="E62" s="87">
        <f>B50+C62+D62</f>
        <v>39732.138715855595</v>
      </c>
      <c r="F62" s="87">
        <f>SUM(F50:F61)</f>
        <v>30300.877697032458</v>
      </c>
      <c r="G62" s="87">
        <f>SUM(G50:G61)</f>
        <v>9081.2610188231411</v>
      </c>
      <c r="H62" s="87">
        <f>SUM(H50:H61)</f>
        <v>39382.138715855603</v>
      </c>
      <c r="I62" s="87"/>
    </row>
    <row r="63" spans="1:9" x14ac:dyDescent="0.2">
      <c r="A63" s="22" t="s">
        <v>32</v>
      </c>
      <c r="C63" s="87"/>
      <c r="D63" s="87"/>
      <c r="E63" s="87"/>
      <c r="F63" s="87"/>
      <c r="G63" s="87"/>
      <c r="H63" s="87"/>
      <c r="I63" s="87"/>
    </row>
    <row r="64" spans="1:9" x14ac:dyDescent="0.2">
      <c r="A64" t="s">
        <v>152</v>
      </c>
      <c r="B64" s="87">
        <f>233.715+30.171</f>
        <v>263.88600000000002</v>
      </c>
      <c r="C64" s="87">
        <f>3742.412+258.909</f>
        <v>4001.3209999999999</v>
      </c>
      <c r="D64" s="87">
        <v>35.145512740000001</v>
      </c>
      <c r="E64" s="87">
        <f t="shared" ref="E64:E75" si="16">B64+C64+D64</f>
        <v>4300.3525127400007</v>
      </c>
      <c r="F64" s="87">
        <f t="shared" ref="F64:F75" si="17">H64-G64</f>
        <v>3014.858078034139</v>
      </c>
      <c r="G64" s="87">
        <f>((655.886028+2.098+150.976814))*(2.204622/2)</f>
        <v>891.72643470586195</v>
      </c>
      <c r="H64" s="87">
        <f t="shared" ref="H64:H75" si="18">E64-I64</f>
        <v>3906.5845127400007</v>
      </c>
      <c r="I64" s="87">
        <f>360.253+33.515</f>
        <v>393.76799999999997</v>
      </c>
    </row>
    <row r="65" spans="1:9" x14ac:dyDescent="0.2">
      <c r="A65" t="s">
        <v>153</v>
      </c>
      <c r="B65" s="87">
        <f>+I64</f>
        <v>393.76799999999997</v>
      </c>
      <c r="C65" s="87">
        <f>3655.75+251.965</f>
        <v>3907.7150000000001</v>
      </c>
      <c r="D65" s="87">
        <v>30.486311100000002</v>
      </c>
      <c r="E65" s="87">
        <f t="shared" si="16"/>
        <v>4331.9693111000006</v>
      </c>
      <c r="F65" s="87">
        <f t="shared" si="17"/>
        <v>2766.6977218993952</v>
      </c>
      <c r="G65" s="87">
        <f>((844.248393+15.814+213.576162))*(2.204622/2)</f>
        <v>1183.4835892006051</v>
      </c>
      <c r="H65" s="87">
        <f t="shared" si="18"/>
        <v>3950.1813111000006</v>
      </c>
      <c r="I65" s="87">
        <f>342.962+38.826</f>
        <v>381.78800000000001</v>
      </c>
    </row>
    <row r="66" spans="1:9" x14ac:dyDescent="0.2">
      <c r="A66" t="s">
        <v>154</v>
      </c>
      <c r="B66" s="87">
        <f t="shared" ref="B66:B75" si="19">+I65</f>
        <v>381.78800000000001</v>
      </c>
      <c r="C66" s="87">
        <f>3669.213+262.266</f>
        <v>3931.4790000000003</v>
      </c>
      <c r="D66" s="87">
        <v>33.79673846</v>
      </c>
      <c r="E66" s="87">
        <f t="shared" si="16"/>
        <v>4347.0637384599995</v>
      </c>
      <c r="F66" s="87">
        <f t="shared" si="17"/>
        <v>2975.7072899098248</v>
      </c>
      <c r="G66" s="87">
        <f>((745.244112+4.957+219.587313))*(2.204622/2)</f>
        <v>1069.008448550175</v>
      </c>
      <c r="H66" s="87">
        <f t="shared" si="18"/>
        <v>4044.7157384599996</v>
      </c>
      <c r="I66" s="87">
        <f>270.421+31.927</f>
        <v>302.34800000000001</v>
      </c>
    </row>
    <row r="67" spans="1:9" x14ac:dyDescent="0.2">
      <c r="A67" t="s">
        <v>155</v>
      </c>
      <c r="B67" s="87">
        <f t="shared" si="19"/>
        <v>302.34800000000001</v>
      </c>
      <c r="C67" s="87">
        <f>3539.791+256.884</f>
        <v>3796.6750000000002</v>
      </c>
      <c r="D67" s="87">
        <v>33.389438610000006</v>
      </c>
      <c r="E67" s="87">
        <f t="shared" si="16"/>
        <v>4132.4124386100002</v>
      </c>
      <c r="F67" s="87">
        <f t="shared" si="17"/>
        <v>2621.7437109998464</v>
      </c>
      <c r="G67" s="87">
        <f>((725.903927+8.801+263.534887))*(2.204622/2)</f>
        <v>1100.3707276101541</v>
      </c>
      <c r="H67" s="87">
        <f t="shared" si="18"/>
        <v>3722.1144386100004</v>
      </c>
      <c r="I67" s="87">
        <f>368.063+42.235</f>
        <v>410.298</v>
      </c>
    </row>
    <row r="68" spans="1:9" x14ac:dyDescent="0.2">
      <c r="A68" t="s">
        <v>156</v>
      </c>
      <c r="B68" s="87">
        <f t="shared" si="19"/>
        <v>410.298</v>
      </c>
      <c r="C68" s="87">
        <f>3425.236+241.078</f>
        <v>3666.3139999999999</v>
      </c>
      <c r="D68" s="87">
        <v>32.970013460000004</v>
      </c>
      <c r="E68" s="87">
        <f t="shared" si="16"/>
        <v>4109.5820134599999</v>
      </c>
      <c r="F68" s="87">
        <f t="shared" si="17"/>
        <v>2539.5409280270019</v>
      </c>
      <c r="G68" s="87">
        <f>((895.545031+8.529+191.523387))*(2.204622/2)</f>
        <v>1207.6890854329981</v>
      </c>
      <c r="H68" s="87">
        <f t="shared" si="18"/>
        <v>3747.23001346</v>
      </c>
      <c r="I68" s="87">
        <f>330.057+32.295</f>
        <v>362.35200000000003</v>
      </c>
    </row>
    <row r="69" spans="1:9" x14ac:dyDescent="0.2">
      <c r="A69" t="s">
        <v>157</v>
      </c>
      <c r="B69" s="87">
        <f t="shared" si="19"/>
        <v>362.35200000000003</v>
      </c>
      <c r="C69" s="87">
        <f>3677.248+260.298</f>
        <v>3937.5460000000003</v>
      </c>
      <c r="D69" s="87">
        <v>37.026697920000004</v>
      </c>
      <c r="E69" s="87">
        <f t="shared" si="16"/>
        <v>4336.9246979199997</v>
      </c>
      <c r="F69" s="87">
        <f t="shared" si="17"/>
        <v>2992.8513509525487</v>
      </c>
      <c r="G69" s="87">
        <f>((715.645611+4.575+192.38513))*(2.204622/2)</f>
        <v>1005.9753469674512</v>
      </c>
      <c r="H69" s="87">
        <f t="shared" si="18"/>
        <v>3998.8266979199998</v>
      </c>
      <c r="I69" s="87">
        <f>302.672+35.426</f>
        <v>338.09800000000001</v>
      </c>
    </row>
    <row r="70" spans="1:9" x14ac:dyDescent="0.2">
      <c r="A70" t="s">
        <v>158</v>
      </c>
      <c r="B70" s="87">
        <f t="shared" si="19"/>
        <v>338.09800000000001</v>
      </c>
      <c r="C70" s="87">
        <f>3502.911+243.761</f>
        <v>3746.672</v>
      </c>
      <c r="D70" s="87">
        <v>46.938799980000006</v>
      </c>
      <c r="E70" s="87">
        <f t="shared" si="16"/>
        <v>4131.7087999799996</v>
      </c>
      <c r="F70" s="87">
        <f t="shared" si="17"/>
        <v>2657.5636254746364</v>
      </c>
      <c r="G70" s="87">
        <f>((803.22493+5.187+154.906203))*(2.204622/2)</f>
        <v>1061.876174505363</v>
      </c>
      <c r="H70" s="87">
        <f t="shared" si="18"/>
        <v>3719.4397999799994</v>
      </c>
      <c r="I70" s="87">
        <f>365.653+46.616</f>
        <v>412.26900000000001</v>
      </c>
    </row>
    <row r="71" spans="1:9" x14ac:dyDescent="0.2">
      <c r="A71" t="s">
        <v>162</v>
      </c>
      <c r="B71" s="87">
        <f t="shared" si="19"/>
        <v>412.26900000000001</v>
      </c>
      <c r="C71" s="87">
        <f>3561.181+246.358</f>
        <v>3807.5390000000002</v>
      </c>
      <c r="D71" s="87">
        <v>30.067878020000002</v>
      </c>
      <c r="E71" s="87">
        <f t="shared" si="16"/>
        <v>4249.8758780199996</v>
      </c>
      <c r="F71" s="87">
        <f t="shared" si="17"/>
        <v>2810.6062942094636</v>
      </c>
      <c r="G71" s="87">
        <f>((812.336895+6.89+133.179081))*(2.204622/2)</f>
        <v>1049.847583810536</v>
      </c>
      <c r="H71" s="87">
        <f t="shared" si="18"/>
        <v>3860.4538780199996</v>
      </c>
      <c r="I71" s="87">
        <f>343.411+46.011</f>
        <v>389.42200000000003</v>
      </c>
    </row>
    <row r="72" spans="1:9" x14ac:dyDescent="0.2">
      <c r="A72" t="s">
        <v>163</v>
      </c>
      <c r="B72" s="87">
        <f t="shared" si="19"/>
        <v>389.42200000000003</v>
      </c>
      <c r="C72" s="87">
        <f>3411.099+235.294</f>
        <v>3646.393</v>
      </c>
      <c r="D72" s="87">
        <v>25.56068355</v>
      </c>
      <c r="E72" s="87">
        <f t="shared" si="16"/>
        <v>4061.3756835499998</v>
      </c>
      <c r="F72" s="87">
        <f t="shared" si="17"/>
        <v>2990.2551798252316</v>
      </c>
      <c r="G72" s="87">
        <f>((589.035911+8.573+91.818577))*(2.204622/2)</f>
        <v>759.96350372476809</v>
      </c>
      <c r="H72" s="87">
        <f t="shared" si="18"/>
        <v>3750.2186835499997</v>
      </c>
      <c r="I72" s="87">
        <f>281.038+30.119</f>
        <v>311.15700000000004</v>
      </c>
    </row>
    <row r="73" spans="1:9" x14ac:dyDescent="0.2">
      <c r="A73" t="s">
        <v>164</v>
      </c>
      <c r="B73" s="87">
        <f t="shared" si="19"/>
        <v>311.15700000000004</v>
      </c>
      <c r="C73" s="87">
        <f>3403.386+240.805</f>
        <v>3644.1909999999998</v>
      </c>
      <c r="D73" s="87">
        <v>26.059474300000002</v>
      </c>
      <c r="E73" s="87">
        <f t="shared" si="16"/>
        <v>3981.4074743000001</v>
      </c>
      <c r="F73" s="87">
        <f t="shared" si="17"/>
        <v>2543.2251715548819</v>
      </c>
      <c r="G73" s="87">
        <f>((776.598669+7.542+103.583669))*(2.204622/2)</f>
        <v>978.54830274511801</v>
      </c>
      <c r="H73" s="87">
        <f t="shared" si="18"/>
        <v>3521.7734743000001</v>
      </c>
      <c r="I73" s="87">
        <f>419.802+39.832</f>
        <v>459.63400000000001</v>
      </c>
    </row>
    <row r="74" spans="1:9" x14ac:dyDescent="0.2">
      <c r="A74" t="s">
        <v>165</v>
      </c>
      <c r="B74" s="87">
        <f t="shared" si="19"/>
        <v>459.63400000000001</v>
      </c>
      <c r="C74" s="87">
        <f>3111.301+217.058</f>
        <v>3328.3589999999999</v>
      </c>
      <c r="D74" s="87">
        <v>31.120684749999999</v>
      </c>
      <c r="E74" s="87">
        <f t="shared" si="16"/>
        <v>3819.1136847499997</v>
      </c>
      <c r="F74" s="87">
        <f t="shared" si="17"/>
        <v>2788.8706305399855</v>
      </c>
      <c r="G74" s="87">
        <f>((600.564703+6.676+78.208371))*(2.204622/2)</f>
        <v>755.5780542100141</v>
      </c>
      <c r="H74" s="87">
        <f t="shared" si="18"/>
        <v>3544.4486847499998</v>
      </c>
      <c r="I74" s="87">
        <f>247.799+26.866</f>
        <v>274.66500000000002</v>
      </c>
    </row>
    <row r="75" spans="1:9" x14ac:dyDescent="0.2">
      <c r="A75" t="s">
        <v>151</v>
      </c>
      <c r="B75" s="87">
        <f t="shared" si="19"/>
        <v>274.66500000000002</v>
      </c>
      <c r="C75" s="87">
        <f>3042.315+215.143</f>
        <v>3257.4580000000001</v>
      </c>
      <c r="D75" s="87">
        <v>31.996241640000001</v>
      </c>
      <c r="E75" s="87">
        <f t="shared" si="16"/>
        <v>3564.1192416399999</v>
      </c>
      <c r="F75" s="87">
        <f t="shared" si="17"/>
        <v>2411.7953368519929</v>
      </c>
      <c r="G75" s="87">
        <f>((677.122957+2.925+125.92958))*(2.204622/2)</f>
        <v>888.43790478800702</v>
      </c>
      <c r="H75" s="87">
        <f t="shared" si="18"/>
        <v>3300.23324164</v>
      </c>
      <c r="I75" s="87">
        <f>233.715+30.171</f>
        <v>263.88600000000002</v>
      </c>
    </row>
    <row r="76" spans="1:9" x14ac:dyDescent="0.2">
      <c r="A76" t="s">
        <v>150</v>
      </c>
      <c r="C76" s="87">
        <f>SUM(C64:C75)</f>
        <v>44671.661999999989</v>
      </c>
      <c r="D76" s="87">
        <f>SUM(D64:D75)</f>
        <v>394.55847453000007</v>
      </c>
      <c r="E76" s="87">
        <f>B64+C76+D76</f>
        <v>45330.106474529988</v>
      </c>
      <c r="F76" s="87">
        <f>SUM(F64:F75)</f>
        <v>33113.715318278948</v>
      </c>
      <c r="G76" s="87">
        <f>SUM(G64:G75)</f>
        <v>11952.505156251051</v>
      </c>
      <c r="H76" s="87">
        <f>SUM(H64:H75)</f>
        <v>45066.220474530004</v>
      </c>
      <c r="I76" s="87"/>
    </row>
    <row r="77" spans="1:9" x14ac:dyDescent="0.2">
      <c r="A77" s="22" t="s">
        <v>33</v>
      </c>
      <c r="C77" s="87"/>
      <c r="D77" s="87"/>
      <c r="E77" s="87"/>
      <c r="F77" s="87"/>
      <c r="G77" s="87"/>
      <c r="H77" s="87"/>
      <c r="I77" s="87"/>
    </row>
    <row r="78" spans="1:9" x14ac:dyDescent="0.2">
      <c r="A78" t="s">
        <v>152</v>
      </c>
      <c r="B78" s="87">
        <f>I75</f>
        <v>263.88600000000002</v>
      </c>
      <c r="C78" s="87">
        <f>3830.125+273.917</f>
        <v>4104.0420000000004</v>
      </c>
      <c r="D78" s="87">
        <v>26.211371240000002</v>
      </c>
      <c r="E78" s="87">
        <f t="shared" ref="E78:E89" si="20">B78+C78+D78</f>
        <v>4394.1393712400004</v>
      </c>
      <c r="F78" s="87">
        <f t="shared" ref="F78:F89" si="21">H78-G78</f>
        <v>3083.9756259600003</v>
      </c>
      <c r="G78" s="87">
        <v>932.53874528000006</v>
      </c>
      <c r="H78" s="87">
        <f t="shared" ref="H78:H89" si="22">E78-I78</f>
        <v>4016.5143712400004</v>
      </c>
      <c r="I78" s="87">
        <f>335.413+42.212</f>
        <v>377.625</v>
      </c>
    </row>
    <row r="79" spans="1:9" x14ac:dyDescent="0.2">
      <c r="A79" t="s">
        <v>153</v>
      </c>
      <c r="B79" s="87">
        <f>+I78</f>
        <v>377.625</v>
      </c>
      <c r="C79" s="87">
        <f>3739.093+273.414</f>
        <v>4012.5069999999996</v>
      </c>
      <c r="D79" s="87">
        <v>27.943635690000001</v>
      </c>
      <c r="E79" s="87">
        <f t="shared" si="20"/>
        <v>4418.0756356899992</v>
      </c>
      <c r="F79" s="87">
        <f t="shared" si="21"/>
        <v>2997.5384187499994</v>
      </c>
      <c r="G79" s="87">
        <v>1012.5042169400001</v>
      </c>
      <c r="H79" s="87">
        <f t="shared" si="22"/>
        <v>4010.0426356899993</v>
      </c>
      <c r="I79" s="87">
        <f>361.959+46.074</f>
        <v>408.03300000000002</v>
      </c>
    </row>
    <row r="80" spans="1:9" x14ac:dyDescent="0.2">
      <c r="A80" t="s">
        <v>154</v>
      </c>
      <c r="B80" s="87">
        <f t="shared" ref="B80:B89" si="23">+I79</f>
        <v>408.03300000000002</v>
      </c>
      <c r="C80" s="87">
        <f>3690.668+273.479</f>
        <v>3964.1469999999999</v>
      </c>
      <c r="D80" s="87">
        <v>25.7155567</v>
      </c>
      <c r="E80" s="87">
        <f t="shared" si="20"/>
        <v>4397.8955567000003</v>
      </c>
      <c r="F80" s="87">
        <f t="shared" si="21"/>
        <v>3011.8811786500005</v>
      </c>
      <c r="G80" s="87">
        <v>939.60437805000004</v>
      </c>
      <c r="H80" s="87">
        <f t="shared" si="22"/>
        <v>3951.4855567000004</v>
      </c>
      <c r="I80" s="87">
        <f>403.901+42.509</f>
        <v>446.41</v>
      </c>
    </row>
    <row r="81" spans="1:21" x14ac:dyDescent="0.2">
      <c r="A81" t="s">
        <v>155</v>
      </c>
      <c r="B81" s="87">
        <f t="shared" si="23"/>
        <v>446.41</v>
      </c>
      <c r="C81" s="87">
        <f>3763.462+261.739</f>
        <v>4025.201</v>
      </c>
      <c r="D81" s="87">
        <v>36.22422352000001</v>
      </c>
      <c r="E81" s="87">
        <f t="shared" si="20"/>
        <v>4507.83522352</v>
      </c>
      <c r="F81" s="87">
        <f t="shared" si="21"/>
        <v>2765.4075701799998</v>
      </c>
      <c r="G81" s="87">
        <v>1307.5546533400002</v>
      </c>
      <c r="H81" s="87">
        <f t="shared" si="22"/>
        <v>4072.96222352</v>
      </c>
      <c r="I81" s="87">
        <f>394.425+40.448</f>
        <v>434.87299999999999</v>
      </c>
    </row>
    <row r="82" spans="1:21" x14ac:dyDescent="0.2">
      <c r="A82" t="s">
        <v>156</v>
      </c>
      <c r="B82" s="87">
        <f t="shared" si="23"/>
        <v>434.87299999999999</v>
      </c>
      <c r="C82" s="87">
        <f>3331.018+228.174</f>
        <v>3559.192</v>
      </c>
      <c r="D82" s="87">
        <v>35.596022750000003</v>
      </c>
      <c r="E82" s="87">
        <f t="shared" si="20"/>
        <v>4029.66102275</v>
      </c>
      <c r="F82" s="87">
        <f t="shared" si="21"/>
        <v>2570.3397904000003</v>
      </c>
      <c r="G82" s="87">
        <v>1054.50923235</v>
      </c>
      <c r="H82" s="87">
        <f t="shared" si="22"/>
        <v>3624.8490227500001</v>
      </c>
      <c r="I82" s="87">
        <f>372.404+32.408</f>
        <v>404.81200000000001</v>
      </c>
    </row>
    <row r="83" spans="1:21" x14ac:dyDescent="0.2">
      <c r="A83" t="s">
        <v>157</v>
      </c>
      <c r="B83" s="87">
        <f t="shared" si="23"/>
        <v>404.81200000000001</v>
      </c>
      <c r="C83" s="87">
        <f>3528.733+244.932</f>
        <v>3773.665</v>
      </c>
      <c r="D83" s="87">
        <v>25.82424348</v>
      </c>
      <c r="E83" s="87">
        <f t="shared" si="20"/>
        <v>4204.3012434800003</v>
      </c>
      <c r="F83" s="87">
        <f t="shared" si="21"/>
        <v>2406.8028567000001</v>
      </c>
      <c r="G83" s="87">
        <v>1443.0193867800003</v>
      </c>
      <c r="H83" s="87">
        <f t="shared" si="22"/>
        <v>3849.8222434800005</v>
      </c>
      <c r="I83" s="87">
        <f>318.123+36.356</f>
        <v>354.47899999999998</v>
      </c>
    </row>
    <row r="84" spans="1:21" x14ac:dyDescent="0.2">
      <c r="A84" t="s">
        <v>158</v>
      </c>
      <c r="B84" s="87">
        <f t="shared" si="23"/>
        <v>354.47899999999998</v>
      </c>
      <c r="C84" s="87">
        <f>3300.745+222.754</f>
        <v>3523.4989999999998</v>
      </c>
      <c r="D84" s="87">
        <v>28.728252830000002</v>
      </c>
      <c r="E84" s="87">
        <f t="shared" si="20"/>
        <v>3906.7062528299998</v>
      </c>
      <c r="F84" s="87">
        <f t="shared" si="21"/>
        <v>2566.6701516099997</v>
      </c>
      <c r="G84" s="87">
        <v>909.9061012200001</v>
      </c>
      <c r="H84" s="87">
        <f t="shared" si="22"/>
        <v>3476.5762528299997</v>
      </c>
      <c r="I84" s="87">
        <f>387.207+42.923</f>
        <v>430.13</v>
      </c>
    </row>
    <row r="85" spans="1:21" x14ac:dyDescent="0.2">
      <c r="A85" t="s">
        <v>162</v>
      </c>
      <c r="B85" s="87">
        <f t="shared" si="23"/>
        <v>430.13</v>
      </c>
      <c r="C85" s="87">
        <f>3491.318+240.712</f>
        <v>3732.03</v>
      </c>
      <c r="D85" s="87">
        <v>34.646942450000004</v>
      </c>
      <c r="E85" s="87">
        <f t="shared" si="20"/>
        <v>4196.80694245</v>
      </c>
      <c r="F85" s="87">
        <f t="shared" si="21"/>
        <v>2970.5598161599996</v>
      </c>
      <c r="G85" s="87">
        <v>798.25512629000002</v>
      </c>
      <c r="H85" s="87">
        <f t="shared" si="22"/>
        <v>3768.8149424499998</v>
      </c>
      <c r="I85" s="87">
        <f>375.156+52.836</f>
        <v>427.99200000000002</v>
      </c>
    </row>
    <row r="86" spans="1:21" x14ac:dyDescent="0.2">
      <c r="A86" t="s">
        <v>163</v>
      </c>
      <c r="B86" s="87">
        <f t="shared" si="23"/>
        <v>427.99200000000002</v>
      </c>
      <c r="C86" s="87">
        <f>3268.397+221.13</f>
        <v>3489.527</v>
      </c>
      <c r="D86" s="87">
        <v>30.459304750000005</v>
      </c>
      <c r="E86" s="87">
        <f t="shared" si="20"/>
        <v>3947.9783047500005</v>
      </c>
      <c r="F86" s="87">
        <f t="shared" si="21"/>
        <v>2746.9403550100005</v>
      </c>
      <c r="G86" s="87">
        <v>851.05694974000005</v>
      </c>
      <c r="H86" s="87">
        <f t="shared" si="22"/>
        <v>3597.9973047500007</v>
      </c>
      <c r="I86" s="87">
        <f>314.965+35.016</f>
        <v>349.98099999999999</v>
      </c>
    </row>
    <row r="87" spans="1:21" x14ac:dyDescent="0.2">
      <c r="A87" t="s">
        <v>164</v>
      </c>
      <c r="B87" s="87">
        <f t="shared" si="23"/>
        <v>349.98099999999999</v>
      </c>
      <c r="C87" s="87">
        <f>3400.652+237.432</f>
        <v>3638.0839999999998</v>
      </c>
      <c r="D87" s="87">
        <v>17.686513730000001</v>
      </c>
      <c r="E87" s="87">
        <f t="shared" si="20"/>
        <v>4005.7515137299997</v>
      </c>
      <c r="F87" s="87">
        <f t="shared" si="21"/>
        <v>2809.1355166199996</v>
      </c>
      <c r="G87" s="87">
        <v>772.91699711000001</v>
      </c>
      <c r="H87" s="87">
        <f t="shared" si="22"/>
        <v>3582.0525137299996</v>
      </c>
      <c r="I87" s="87">
        <f>385.868+37.831</f>
        <v>423.69900000000001</v>
      </c>
    </row>
    <row r="88" spans="1:21" x14ac:dyDescent="0.2">
      <c r="A88" t="s">
        <v>165</v>
      </c>
      <c r="B88" s="87">
        <f t="shared" si="23"/>
        <v>423.69900000000001</v>
      </c>
      <c r="C88" s="87">
        <f>3319.155+237.324</f>
        <v>3556.4790000000003</v>
      </c>
      <c r="D88" s="87">
        <v>29.978591720000004</v>
      </c>
      <c r="E88" s="87">
        <f t="shared" si="20"/>
        <v>4010.1565917200005</v>
      </c>
      <c r="F88" s="87">
        <f t="shared" si="21"/>
        <v>2810.6362526200005</v>
      </c>
      <c r="G88" s="87">
        <v>873.0403391000001</v>
      </c>
      <c r="H88" s="87">
        <f t="shared" si="22"/>
        <v>3683.6765917200005</v>
      </c>
      <c r="I88" s="87">
        <f>290.921+35.559</f>
        <v>326.48</v>
      </c>
    </row>
    <row r="89" spans="1:21" x14ac:dyDescent="0.2">
      <c r="A89" t="s">
        <v>151</v>
      </c>
      <c r="B89" s="87">
        <f t="shared" si="23"/>
        <v>326.48</v>
      </c>
      <c r="C89" s="87">
        <f>3188.771+219.873</f>
        <v>3408.6440000000002</v>
      </c>
      <c r="D89" s="87">
        <v>26.119439420000003</v>
      </c>
      <c r="E89" s="87">
        <f t="shared" si="20"/>
        <v>3761.2434394200004</v>
      </c>
      <c r="F89" s="87">
        <f t="shared" si="21"/>
        <v>2675.80702913</v>
      </c>
      <c r="G89" s="87">
        <v>684.80641029000003</v>
      </c>
      <c r="H89" s="87">
        <f t="shared" si="22"/>
        <v>3360.6134394200003</v>
      </c>
      <c r="I89" s="87">
        <f>353.758+46.872</f>
        <v>400.63</v>
      </c>
    </row>
    <row r="90" spans="1:21" x14ac:dyDescent="0.2">
      <c r="A90" t="s">
        <v>150</v>
      </c>
      <c r="C90" s="87">
        <f>SUM(C78:C89)</f>
        <v>44787.017</v>
      </c>
      <c r="D90" s="87">
        <f>SUM(D78:D89)</f>
        <v>345.13409828000005</v>
      </c>
      <c r="E90" s="87">
        <f>B78+C90+D90</f>
        <v>45396.037098280001</v>
      </c>
      <c r="F90" s="87">
        <f>SUM(F78:F89)</f>
        <v>33415.694561789998</v>
      </c>
      <c r="G90" s="87">
        <f>SUM(G78:G89)</f>
        <v>11579.71253649</v>
      </c>
      <c r="H90" s="87">
        <f>SUM(H78:H89)</f>
        <v>44995.407098280004</v>
      </c>
    </row>
    <row r="91" spans="1:21" x14ac:dyDescent="0.2">
      <c r="A91" t="s">
        <v>34</v>
      </c>
      <c r="C91" s="87"/>
      <c r="D91" s="87"/>
      <c r="E91" s="87"/>
      <c r="F91" s="87"/>
      <c r="G91" s="87"/>
      <c r="H91" s="87"/>
    </row>
    <row r="92" spans="1:21" ht="11.25" customHeight="1" x14ac:dyDescent="0.3">
      <c r="A92" t="s">
        <v>152</v>
      </c>
      <c r="B92" s="87">
        <f>I89</f>
        <v>400.63</v>
      </c>
      <c r="C92" s="87">
        <f>3847.77+276.055</f>
        <v>4123.8249999999998</v>
      </c>
      <c r="D92" s="87">
        <v>29.508901690000002</v>
      </c>
      <c r="E92" s="87">
        <f>B92+C92+D92</f>
        <v>4553.9639016900001</v>
      </c>
      <c r="F92" s="87">
        <f t="shared" ref="F92:F103" si="24">H92-G92</f>
        <v>3378.2286493521142</v>
      </c>
      <c r="G92" s="87">
        <v>782.43225233788587</v>
      </c>
      <c r="H92" s="87">
        <f>E92-I92</f>
        <v>4160.6609016900002</v>
      </c>
      <c r="I92" s="87">
        <f>350.935+42.368</f>
        <v>393.303</v>
      </c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</row>
    <row r="93" spans="1:21" ht="11.25" customHeight="1" x14ac:dyDescent="0.2">
      <c r="A93" t="s">
        <v>153</v>
      </c>
      <c r="B93" s="87">
        <f>I92</f>
        <v>393.303</v>
      </c>
      <c r="C93" s="87">
        <f>3829.14+272.552</f>
        <v>4101.692</v>
      </c>
      <c r="D93" s="87">
        <v>31.61705044</v>
      </c>
      <c r="E93" s="87">
        <f t="shared" ref="E93:E103" si="25">B93+C93+D93</f>
        <v>4526.6120504399996</v>
      </c>
      <c r="F93" s="87">
        <f t="shared" si="24"/>
        <v>3025.3470060502104</v>
      </c>
      <c r="G93" s="87">
        <v>1112.157044389789</v>
      </c>
      <c r="H93" s="87">
        <f t="shared" ref="H93:H103" si="26">E93-I93</f>
        <v>4137.5040504399994</v>
      </c>
      <c r="I93" s="87">
        <f>354.998+34.11</f>
        <v>389.108</v>
      </c>
    </row>
    <row r="94" spans="1:21" x14ac:dyDescent="0.2">
      <c r="A94" t="s">
        <v>154</v>
      </c>
      <c r="B94" s="87">
        <f t="shared" ref="B94:B103" si="27">I93</f>
        <v>389.108</v>
      </c>
      <c r="C94" s="87">
        <f>3904.161+268.856</f>
        <v>4173.0169999999998</v>
      </c>
      <c r="D94" s="87">
        <v>32.084866560000002</v>
      </c>
      <c r="E94" s="87">
        <f t="shared" si="25"/>
        <v>4594.2098665599997</v>
      </c>
      <c r="F94" s="87">
        <f t="shared" si="24"/>
        <v>2858.1361512965786</v>
      </c>
      <c r="G94" s="87">
        <v>1181.191715263421</v>
      </c>
      <c r="H94" s="87">
        <f t="shared" si="26"/>
        <v>4039.3278665599996</v>
      </c>
      <c r="I94" s="87">
        <f>506.203+48.679</f>
        <v>554.88199999999995</v>
      </c>
    </row>
    <row r="95" spans="1:21" x14ac:dyDescent="0.2">
      <c r="A95" t="s">
        <v>155</v>
      </c>
      <c r="B95" s="87">
        <f t="shared" si="27"/>
        <v>554.88199999999995</v>
      </c>
      <c r="C95" s="87">
        <f>3859.849+268.466</f>
        <v>4128.3150000000005</v>
      </c>
      <c r="D95" s="87">
        <v>47.442110159999999</v>
      </c>
      <c r="E95" s="87">
        <f t="shared" si="25"/>
        <v>4730.6391101600002</v>
      </c>
      <c r="F95" s="87">
        <f t="shared" si="24"/>
        <v>3142.7934839911836</v>
      </c>
      <c r="G95" s="87">
        <v>1177.8346261688162</v>
      </c>
      <c r="H95" s="87">
        <f t="shared" si="26"/>
        <v>4320.6281101599998</v>
      </c>
      <c r="I95" s="87">
        <f>379.359+30.652</f>
        <v>410.01099999999997</v>
      </c>
    </row>
    <row r="96" spans="1:21" x14ac:dyDescent="0.2">
      <c r="A96" t="s">
        <v>156</v>
      </c>
      <c r="B96" s="87">
        <f t="shared" si="27"/>
        <v>410.01099999999997</v>
      </c>
      <c r="C96" s="87">
        <f>3651.786+247.786</f>
        <v>3899.5720000000001</v>
      </c>
      <c r="D96" s="87">
        <v>48.122449720000006</v>
      </c>
      <c r="E96" s="87">
        <f t="shared" si="25"/>
        <v>4357.7054497200006</v>
      </c>
      <c r="F96" s="87">
        <f t="shared" si="24"/>
        <v>2661.1779639620477</v>
      </c>
      <c r="G96" s="87">
        <v>1240.735485757953</v>
      </c>
      <c r="H96" s="87">
        <f t="shared" si="26"/>
        <v>3901.9134497200007</v>
      </c>
      <c r="I96" s="87">
        <f>415.077+40.715</f>
        <v>455.79200000000003</v>
      </c>
    </row>
    <row r="97" spans="1:9" x14ac:dyDescent="0.2">
      <c r="A97" t="s">
        <v>157</v>
      </c>
      <c r="B97" s="87">
        <f t="shared" si="27"/>
        <v>455.79200000000003</v>
      </c>
      <c r="C97" s="87">
        <f>4029.272+277.277</f>
        <v>4306.549</v>
      </c>
      <c r="D97" s="87">
        <v>54.553157690000006</v>
      </c>
      <c r="E97" s="87">
        <f t="shared" si="25"/>
        <v>4816.8941576900006</v>
      </c>
      <c r="F97" s="87">
        <f t="shared" si="24"/>
        <v>2941.8055513353011</v>
      </c>
      <c r="G97" s="87">
        <v>1330.8976063547</v>
      </c>
      <c r="H97" s="87">
        <f t="shared" si="26"/>
        <v>4272.7031576900008</v>
      </c>
      <c r="I97" s="87">
        <f>492.224+51.967</f>
        <v>544.19100000000003</v>
      </c>
    </row>
    <row r="98" spans="1:9" x14ac:dyDescent="0.2">
      <c r="A98" t="s">
        <v>158</v>
      </c>
      <c r="B98" s="87">
        <f t="shared" si="27"/>
        <v>544.19100000000003</v>
      </c>
      <c r="C98" s="87">
        <f>3822.338+257.585</f>
        <v>4079.9230000000002</v>
      </c>
      <c r="D98" s="87">
        <v>37.893105720000008</v>
      </c>
      <c r="E98" s="87">
        <f t="shared" si="25"/>
        <v>4662.0071057200003</v>
      </c>
      <c r="F98" s="87">
        <f t="shared" si="24"/>
        <v>2992.0766714505844</v>
      </c>
      <c r="G98" s="87">
        <v>1217.8044342694159</v>
      </c>
      <c r="H98" s="87">
        <f t="shared" si="26"/>
        <v>4209.8811057200001</v>
      </c>
      <c r="I98" s="87">
        <f>404.468+47.658</f>
        <v>452.12600000000003</v>
      </c>
    </row>
    <row r="99" spans="1:9" x14ac:dyDescent="0.2">
      <c r="A99" t="s">
        <v>162</v>
      </c>
      <c r="B99" s="87">
        <f t="shared" si="27"/>
        <v>452.12600000000003</v>
      </c>
      <c r="C99" s="87">
        <f>3846.687+262.574</f>
        <v>4109.2609999999995</v>
      </c>
      <c r="D99" s="87">
        <v>40.56508092</v>
      </c>
      <c r="E99" s="87">
        <f t="shared" si="25"/>
        <v>4601.9520809199994</v>
      </c>
      <c r="F99" s="87">
        <f t="shared" si="24"/>
        <v>2889.4579929917863</v>
      </c>
      <c r="G99" s="87">
        <v>1279.3670879282129</v>
      </c>
      <c r="H99" s="87">
        <f t="shared" si="26"/>
        <v>4168.825080919999</v>
      </c>
      <c r="I99" s="87">
        <f>391.812+41.315</f>
        <v>433.12700000000001</v>
      </c>
    </row>
    <row r="100" spans="1:9" x14ac:dyDescent="0.2">
      <c r="A100" t="s">
        <v>163</v>
      </c>
      <c r="B100" s="87">
        <f t="shared" si="27"/>
        <v>433.12700000000001</v>
      </c>
      <c r="C100" s="87">
        <f>3778.127+254.192</f>
        <v>4032.319</v>
      </c>
      <c r="D100" s="87">
        <v>41.48572188</v>
      </c>
      <c r="E100" s="87">
        <f t="shared" si="25"/>
        <v>4506.9317218799997</v>
      </c>
      <c r="F100" s="87">
        <f t="shared" si="24"/>
        <v>2726.159124012107</v>
      </c>
      <c r="G100" s="87">
        <v>1382.243597867893</v>
      </c>
      <c r="H100" s="87">
        <f t="shared" si="26"/>
        <v>4108.4027218800002</v>
      </c>
      <c r="I100" s="87">
        <f>359.823+38.706</f>
        <v>398.529</v>
      </c>
    </row>
    <row r="101" spans="1:9" x14ac:dyDescent="0.2">
      <c r="A101" t="s">
        <v>164</v>
      </c>
      <c r="B101" s="87">
        <f t="shared" si="27"/>
        <v>398.529</v>
      </c>
      <c r="C101" s="87">
        <f>3979.12+265.562</f>
        <v>4244.6819999999998</v>
      </c>
      <c r="D101" s="87">
        <v>39.955839709999999</v>
      </c>
      <c r="E101" s="87">
        <f t="shared" si="25"/>
        <v>4683.1668397099993</v>
      </c>
      <c r="F101" s="87">
        <f t="shared" si="24"/>
        <v>3100.2269984610584</v>
      </c>
      <c r="G101" s="87">
        <v>1070.510841248941</v>
      </c>
      <c r="H101" s="87">
        <f t="shared" si="26"/>
        <v>4170.7378397099992</v>
      </c>
      <c r="I101" s="87">
        <f>462.35+50.079</f>
        <v>512.42899999999997</v>
      </c>
    </row>
    <row r="102" spans="1:9" x14ac:dyDescent="0.2">
      <c r="A102" t="s">
        <v>165</v>
      </c>
      <c r="B102" s="87">
        <f t="shared" si="27"/>
        <v>512.42899999999997</v>
      </c>
      <c r="C102" s="87">
        <f>3771.727+259.078</f>
        <v>4030.8049999999998</v>
      </c>
      <c r="D102" s="87">
        <v>45.653628409999996</v>
      </c>
      <c r="E102" s="87">
        <f t="shared" si="25"/>
        <v>4588.8876284099997</v>
      </c>
      <c r="F102" s="87">
        <f t="shared" si="24"/>
        <v>2985.4648673343345</v>
      </c>
      <c r="G102" s="87">
        <v>1202.3697610756651</v>
      </c>
      <c r="H102" s="87">
        <f t="shared" si="26"/>
        <v>4187.8346284099998</v>
      </c>
      <c r="I102" s="87">
        <f>359.936+41.117</f>
        <v>401.053</v>
      </c>
    </row>
    <row r="103" spans="1:9" x14ac:dyDescent="0.2">
      <c r="A103" t="s">
        <v>151</v>
      </c>
      <c r="B103" s="87">
        <f t="shared" si="27"/>
        <v>401.053</v>
      </c>
      <c r="C103" s="87">
        <f>3740.681+254.965</f>
        <v>3995.6460000000002</v>
      </c>
      <c r="D103" s="87">
        <v>33.906748</v>
      </c>
      <c r="E103" s="87">
        <f t="shared" si="25"/>
        <v>4430.6057480000009</v>
      </c>
      <c r="F103" s="87">
        <f t="shared" si="24"/>
        <v>2834.2296049909719</v>
      </c>
      <c r="G103" s="87">
        <v>1040.952143009029</v>
      </c>
      <c r="H103" s="87">
        <f t="shared" si="26"/>
        <v>3875.1817480000009</v>
      </c>
      <c r="I103" s="87">
        <f>501.299+54.125</f>
        <v>555.42399999999998</v>
      </c>
    </row>
    <row r="104" spans="1:9" x14ac:dyDescent="0.2">
      <c r="A104" t="s">
        <v>150</v>
      </c>
      <c r="C104" s="87">
        <f>SUM(C92:C103)</f>
        <v>49225.606000000007</v>
      </c>
      <c r="D104" s="87">
        <f>SUM(D92:D103)</f>
        <v>482.78866090000002</v>
      </c>
      <c r="E104" s="87">
        <f>B92+C104+D104</f>
        <v>50109.024660900002</v>
      </c>
      <c r="F104" s="87">
        <f>SUM(F92:F103)</f>
        <v>35535.104065228275</v>
      </c>
      <c r="G104" s="87">
        <f>SUM(G92:G103)</f>
        <v>14018.496595671721</v>
      </c>
      <c r="H104" s="87">
        <f>SUM(H92:H103)</f>
        <v>49553.600660899989</v>
      </c>
    </row>
    <row r="105" spans="1:9" x14ac:dyDescent="0.2">
      <c r="A105" t="s">
        <v>35</v>
      </c>
      <c r="C105" s="87"/>
      <c r="D105" s="87"/>
      <c r="E105" s="87"/>
      <c r="F105" s="87"/>
      <c r="G105" s="87"/>
      <c r="H105" s="87"/>
    </row>
    <row r="106" spans="1:9" x14ac:dyDescent="0.2">
      <c r="A106" t="s">
        <v>152</v>
      </c>
      <c r="B106" s="87">
        <f>I103</f>
        <v>555.42399999999998</v>
      </c>
      <c r="C106" s="87">
        <f>4020.038+270.986</f>
        <v>4291.0240000000003</v>
      </c>
      <c r="D106" s="87">
        <v>53.307999609999996</v>
      </c>
      <c r="E106" s="87">
        <f>B106+C106+D106</f>
        <v>4899.7559996099999</v>
      </c>
      <c r="F106" s="87">
        <f t="shared" ref="F106:F117" si="28">H106-G106</f>
        <v>3354.2959408007437</v>
      </c>
      <c r="G106" s="87">
        <v>1100.5890588092559</v>
      </c>
      <c r="H106" s="87">
        <f t="shared" ref="H106:H117" si="29">E106-I106</f>
        <v>4454.8849996099998</v>
      </c>
      <c r="I106" s="87">
        <f>399.414+45.457</f>
        <v>444.87099999999998</v>
      </c>
    </row>
    <row r="107" spans="1:9" x14ac:dyDescent="0.2">
      <c r="A107" t="s">
        <v>153</v>
      </c>
      <c r="B107" s="87">
        <f>I106</f>
        <v>444.87099999999998</v>
      </c>
      <c r="C107" s="87">
        <f>3889.342+265.758</f>
        <v>4155.1000000000004</v>
      </c>
      <c r="D107" s="87">
        <v>38.340859979999998</v>
      </c>
      <c r="E107" s="87">
        <f t="shared" ref="E107:E117" si="30">B107+C107+D107</f>
        <v>4638.31185998</v>
      </c>
      <c r="F107" s="87">
        <f t="shared" si="28"/>
        <v>3150.9639179495935</v>
      </c>
      <c r="G107" s="87">
        <v>1151.8929420304069</v>
      </c>
      <c r="H107" s="87">
        <f t="shared" si="29"/>
        <v>4302.8568599800001</v>
      </c>
      <c r="I107" s="87">
        <f>294.996+40.459</f>
        <v>335.45499999999998</v>
      </c>
    </row>
    <row r="108" spans="1:9" x14ac:dyDescent="0.2">
      <c r="A108" t="s">
        <v>154</v>
      </c>
      <c r="B108" s="87">
        <f t="shared" ref="B108:B117" si="31">I107</f>
        <v>335.45499999999998</v>
      </c>
      <c r="C108" s="87">
        <f>4016.547+279.141</f>
        <v>4295.6880000000001</v>
      </c>
      <c r="D108" s="87">
        <v>59.493886750000009</v>
      </c>
      <c r="E108" s="87">
        <f t="shared" si="30"/>
        <v>4690.6368867500005</v>
      </c>
      <c r="F108" s="87">
        <f t="shared" si="28"/>
        <v>3110.3485955126116</v>
      </c>
      <c r="G108" s="87">
        <v>1145.1822912373889</v>
      </c>
      <c r="H108" s="87">
        <f t="shared" si="29"/>
        <v>4255.5308867500007</v>
      </c>
      <c r="I108" s="87">
        <f>394.444+40.662</f>
        <v>435.10599999999999</v>
      </c>
    </row>
    <row r="109" spans="1:9" x14ac:dyDescent="0.2">
      <c r="A109" t="s">
        <v>155</v>
      </c>
      <c r="B109" s="87">
        <f t="shared" si="31"/>
        <v>435.10599999999999</v>
      </c>
      <c r="C109" s="87">
        <f>3988.737+280.766</f>
        <v>4269.5029999999997</v>
      </c>
      <c r="D109" s="87">
        <v>63.069637720000003</v>
      </c>
      <c r="E109" s="87">
        <f t="shared" si="30"/>
        <v>4767.6786377199996</v>
      </c>
      <c r="F109" s="87">
        <f t="shared" si="28"/>
        <v>2781.3488634283894</v>
      </c>
      <c r="G109" s="87">
        <v>1566.5287742916098</v>
      </c>
      <c r="H109" s="87">
        <f t="shared" si="29"/>
        <v>4347.8776377199993</v>
      </c>
      <c r="I109" s="87">
        <f>380.224+39.577</f>
        <v>419.80099999999999</v>
      </c>
    </row>
    <row r="110" spans="1:9" x14ac:dyDescent="0.2">
      <c r="A110" t="s">
        <v>156</v>
      </c>
      <c r="B110" s="87">
        <f t="shared" si="31"/>
        <v>419.80099999999999</v>
      </c>
      <c r="C110" s="87">
        <f>3583.222+253.395</f>
        <v>3836.6170000000002</v>
      </c>
      <c r="D110" s="87">
        <v>59.013945330000006</v>
      </c>
      <c r="E110" s="87">
        <f t="shared" si="30"/>
        <v>4315.4319453300004</v>
      </c>
      <c r="F110" s="87">
        <f t="shared" si="28"/>
        <v>2935.1884591788094</v>
      </c>
      <c r="G110" s="87">
        <v>1085.3644861511909</v>
      </c>
      <c r="H110" s="87">
        <f t="shared" si="29"/>
        <v>4020.5529453300005</v>
      </c>
      <c r="I110" s="87">
        <f>263.515+31.364</f>
        <v>294.87899999999996</v>
      </c>
    </row>
    <row r="111" spans="1:9" x14ac:dyDescent="0.2">
      <c r="A111" t="s">
        <v>157</v>
      </c>
      <c r="B111" s="87">
        <f t="shared" si="31"/>
        <v>294.87899999999996</v>
      </c>
      <c r="C111" s="87">
        <f>3926.558+274.26</f>
        <v>4200.8180000000002</v>
      </c>
      <c r="D111" s="87">
        <v>73.513379069999999</v>
      </c>
      <c r="E111" s="87">
        <f t="shared" si="30"/>
        <v>4569.2103790700003</v>
      </c>
      <c r="F111" s="87">
        <f t="shared" si="28"/>
        <v>2887.6002092499257</v>
      </c>
      <c r="G111" s="87">
        <v>1171.517169820075</v>
      </c>
      <c r="H111" s="87">
        <f t="shared" si="29"/>
        <v>4059.1173790700004</v>
      </c>
      <c r="I111" s="87">
        <f>465.159+44.934</f>
        <v>510.09299999999996</v>
      </c>
    </row>
    <row r="112" spans="1:9" x14ac:dyDescent="0.2">
      <c r="A112" t="s">
        <v>158</v>
      </c>
      <c r="B112" s="87">
        <f t="shared" si="31"/>
        <v>510.09299999999996</v>
      </c>
      <c r="C112" s="87">
        <f>3763.527+259.021</f>
        <v>4022.5480000000002</v>
      </c>
      <c r="D112" s="87">
        <v>74.511621950000006</v>
      </c>
      <c r="E112" s="87">
        <f t="shared" si="30"/>
        <v>4607.1526219500001</v>
      </c>
      <c r="F112" s="87">
        <f t="shared" si="28"/>
        <v>2839.2449443935025</v>
      </c>
      <c r="G112" s="87">
        <v>1382.7346775564979</v>
      </c>
      <c r="H112" s="87">
        <f t="shared" si="29"/>
        <v>4221.9796219500004</v>
      </c>
      <c r="I112" s="87">
        <f>337.326+47.847</f>
        <v>385.173</v>
      </c>
    </row>
    <row r="113" spans="1:11" x14ac:dyDescent="0.2">
      <c r="A113" t="s">
        <v>162</v>
      </c>
      <c r="B113" s="87">
        <f t="shared" si="31"/>
        <v>385.173</v>
      </c>
      <c r="C113" s="87">
        <f>3660.325+249.227</f>
        <v>3909.5519999999997</v>
      </c>
      <c r="D113" s="87">
        <v>68.872806299999993</v>
      </c>
      <c r="E113" s="87">
        <f t="shared" si="30"/>
        <v>4363.5978062999993</v>
      </c>
      <c r="F113" s="87">
        <f t="shared" si="28"/>
        <v>2984.6680940716983</v>
      </c>
      <c r="G113" s="87">
        <v>1066.824712228301</v>
      </c>
      <c r="H113" s="87">
        <f t="shared" si="29"/>
        <v>4051.4928062999993</v>
      </c>
      <c r="I113" s="87">
        <f>276.276+35.829</f>
        <v>312.10500000000002</v>
      </c>
    </row>
    <row r="114" spans="1:11" x14ac:dyDescent="0.2">
      <c r="A114" t="s">
        <v>163</v>
      </c>
      <c r="B114" s="87">
        <f t="shared" si="31"/>
        <v>312.10500000000002</v>
      </c>
      <c r="C114" s="87">
        <f>3453.178+243.145</f>
        <v>3696.3229999999999</v>
      </c>
      <c r="D114" s="87">
        <v>42.894461280000002</v>
      </c>
      <c r="E114" s="87">
        <f t="shared" si="30"/>
        <v>4051.32246128</v>
      </c>
      <c r="F114" s="87">
        <f t="shared" si="28"/>
        <v>2808.8262466951837</v>
      </c>
      <c r="G114" s="87">
        <v>818.04021458481589</v>
      </c>
      <c r="H114" s="87">
        <f t="shared" si="29"/>
        <v>3626.8664612799998</v>
      </c>
      <c r="I114" s="87">
        <f>376.025+48.431</f>
        <v>424.45599999999996</v>
      </c>
    </row>
    <row r="115" spans="1:11" x14ac:dyDescent="0.2">
      <c r="A115" t="s">
        <v>164</v>
      </c>
      <c r="B115" s="87">
        <f t="shared" si="31"/>
        <v>424.45599999999996</v>
      </c>
      <c r="C115" s="87">
        <f>3918.907+267.367</f>
        <v>4186.2740000000003</v>
      </c>
      <c r="D115" s="87">
        <v>54.497050620000003</v>
      </c>
      <c r="E115" s="87">
        <f t="shared" si="30"/>
        <v>4665.2270506200002</v>
      </c>
      <c r="F115" s="87">
        <f t="shared" si="28"/>
        <v>3375.6902057024936</v>
      </c>
      <c r="G115" s="87">
        <v>904.32484491750688</v>
      </c>
      <c r="H115" s="87">
        <f t="shared" si="29"/>
        <v>4280.0150506200007</v>
      </c>
      <c r="I115" s="87">
        <f>345.45+39.762</f>
        <v>385.21199999999999</v>
      </c>
    </row>
    <row r="116" spans="1:11" x14ac:dyDescent="0.2">
      <c r="A116" t="s">
        <v>165</v>
      </c>
      <c r="B116" s="87">
        <f t="shared" si="31"/>
        <v>385.21199999999999</v>
      </c>
      <c r="C116" s="87">
        <f>3880.5+270.264</f>
        <v>4150.7640000000001</v>
      </c>
      <c r="D116" s="87">
        <v>56.547108159999993</v>
      </c>
      <c r="E116" s="87">
        <f t="shared" si="30"/>
        <v>4592.5231081600004</v>
      </c>
      <c r="F116" s="87">
        <f t="shared" si="28"/>
        <v>3121.2980215929992</v>
      </c>
      <c r="G116" s="87">
        <v>1037.9110865670009</v>
      </c>
      <c r="H116" s="87">
        <f t="shared" si="29"/>
        <v>4159.2091081600001</v>
      </c>
      <c r="I116" s="87">
        <f>384.976+48.338</f>
        <v>433.31400000000002</v>
      </c>
    </row>
    <row r="117" spans="1:11" x14ac:dyDescent="0.2">
      <c r="A117" t="s">
        <v>151</v>
      </c>
      <c r="B117" s="87">
        <f t="shared" si="31"/>
        <v>433.31400000000002</v>
      </c>
      <c r="C117" s="87">
        <f>3553.484+246.065</f>
        <v>3799.549</v>
      </c>
      <c r="D117" s="87">
        <v>39.193599259999992</v>
      </c>
      <c r="E117" s="87">
        <f t="shared" si="30"/>
        <v>4272.0565992600004</v>
      </c>
      <c r="F117" s="87">
        <f t="shared" si="28"/>
        <v>2918.1961137683938</v>
      </c>
      <c r="G117" s="87">
        <v>951.84548549160684</v>
      </c>
      <c r="H117" s="87">
        <f t="shared" si="29"/>
        <v>3870.0415992600006</v>
      </c>
      <c r="I117" s="87">
        <f>360.387+41.628</f>
        <v>402.01499999999999</v>
      </c>
    </row>
    <row r="118" spans="1:11" x14ac:dyDescent="0.2">
      <c r="A118" t="s">
        <v>150</v>
      </c>
      <c r="C118" s="87">
        <f>SUM(C106:C117)</f>
        <v>48813.759999999995</v>
      </c>
      <c r="D118" s="87">
        <f>SUM(D106:D117)</f>
        <v>683.25635603000001</v>
      </c>
      <c r="E118" s="87">
        <f>B106+C118+D118</f>
        <v>50052.440356029991</v>
      </c>
      <c r="F118" s="87">
        <f>SUM(F106:F117)</f>
        <v>36267.66961234434</v>
      </c>
      <c r="G118" s="87">
        <f>SUM(G106:G117)</f>
        <v>13382.755743685657</v>
      </c>
      <c r="H118" s="87">
        <f>SUM(H106:H117)</f>
        <v>49650.425356029999</v>
      </c>
    </row>
    <row r="119" spans="1:11" ht="13.2" customHeight="1" x14ac:dyDescent="0.2">
      <c r="A119" t="s">
        <v>36</v>
      </c>
    </row>
    <row r="120" spans="1:11" ht="13.2" customHeight="1" x14ac:dyDescent="0.2">
      <c r="A120" t="s">
        <v>152</v>
      </c>
      <c r="B120" s="87">
        <f>I117</f>
        <v>402.01499999999999</v>
      </c>
      <c r="C120" s="87">
        <f>4105.453+276.379</f>
        <v>4381.8320000000003</v>
      </c>
      <c r="D120" s="87">
        <v>47.701406214000002</v>
      </c>
      <c r="E120" s="87">
        <f>B120+C120+D120</f>
        <v>4831.5484062140004</v>
      </c>
      <c r="F120" s="87">
        <f>H120-G120</f>
        <v>3335.8555790157043</v>
      </c>
      <c r="G120" s="87">
        <v>1130.3338271982959</v>
      </c>
      <c r="H120" s="87">
        <f>E120-I120</f>
        <v>4466.189406214</v>
      </c>
      <c r="I120" s="87">
        <f>335.183+30.176</f>
        <v>365.35899999999998</v>
      </c>
    </row>
    <row r="121" spans="1:11" ht="10.199999999999999" customHeight="1" x14ac:dyDescent="0.2">
      <c r="A121" t="s">
        <v>153</v>
      </c>
      <c r="B121" s="87">
        <f>I120</f>
        <v>365.35899999999998</v>
      </c>
      <c r="C121" s="87">
        <f>3855.827+255.945</f>
        <v>4111.7719999999999</v>
      </c>
      <c r="D121" s="87">
        <v>36.381443861699999</v>
      </c>
      <c r="E121" s="87">
        <f t="shared" ref="E121:E131" si="32">B121+C121+D121</f>
        <v>4513.5124438617004</v>
      </c>
      <c r="F121" s="87">
        <f t="shared" ref="F121:F131" si="33">H121-G121</f>
        <v>2808.0358504880564</v>
      </c>
      <c r="G121" s="87">
        <v>1238.0635933736439</v>
      </c>
      <c r="H121" s="87">
        <f t="shared" ref="H121:H131" si="34">E121-I121</f>
        <v>4046.0994438617004</v>
      </c>
      <c r="I121" s="87">
        <f>426.332+41.081</f>
        <v>467.41300000000001</v>
      </c>
    </row>
    <row r="122" spans="1:11" x14ac:dyDescent="0.2">
      <c r="A122" t="s">
        <v>154</v>
      </c>
      <c r="B122" s="87">
        <f t="shared" ref="B122:B131" si="35">I121</f>
        <v>467.41300000000001</v>
      </c>
      <c r="C122" s="87">
        <f>4062.929+274.643</f>
        <v>4337.5720000000001</v>
      </c>
      <c r="D122" s="87">
        <v>52.497120450600001</v>
      </c>
      <c r="E122" s="87">
        <f t="shared" si="32"/>
        <v>4857.4821204506006</v>
      </c>
      <c r="F122" s="87">
        <f t="shared" si="33"/>
        <v>3394.5901592661176</v>
      </c>
      <c r="G122" s="87">
        <v>1085.819961184483</v>
      </c>
      <c r="H122" s="87">
        <f t="shared" si="34"/>
        <v>4480.4101204506005</v>
      </c>
      <c r="I122" s="87">
        <f>342.085+34.987</f>
        <v>377.072</v>
      </c>
    </row>
    <row r="123" spans="1:11" x14ac:dyDescent="0.2">
      <c r="A123" t="s">
        <v>155</v>
      </c>
      <c r="B123" s="87">
        <f t="shared" si="35"/>
        <v>377.072</v>
      </c>
      <c r="C123" s="87">
        <f>4144.355+281.394</f>
        <v>4425.7489999999998</v>
      </c>
      <c r="D123" s="87">
        <v>61.006299984000002</v>
      </c>
      <c r="E123" s="87">
        <f t="shared" si="32"/>
        <v>4863.8272999840001</v>
      </c>
      <c r="F123" s="87">
        <f t="shared" si="33"/>
        <v>3443.2347830683111</v>
      </c>
      <c r="G123" s="87">
        <v>1075.659516915689</v>
      </c>
      <c r="H123" s="87">
        <f t="shared" si="34"/>
        <v>4518.8942999840001</v>
      </c>
      <c r="I123" s="87">
        <f>302.321+42.612</f>
        <v>344.93300000000005</v>
      </c>
    </row>
    <row r="124" spans="1:11" x14ac:dyDescent="0.2">
      <c r="A124" t="s">
        <v>156</v>
      </c>
      <c r="B124" s="87">
        <f t="shared" si="35"/>
        <v>344.93300000000005</v>
      </c>
      <c r="C124" s="87">
        <f>3863.475+259.153</f>
        <v>4122.6279999999997</v>
      </c>
      <c r="D124" s="87">
        <v>50.316859523699996</v>
      </c>
      <c r="E124" s="87">
        <f t="shared" si="32"/>
        <v>4517.8778595237</v>
      </c>
      <c r="F124" s="87">
        <f t="shared" si="33"/>
        <v>2732.8425927840262</v>
      </c>
      <c r="G124" s="87">
        <v>1342.687266739674</v>
      </c>
      <c r="H124" s="87">
        <f t="shared" si="34"/>
        <v>4075.5298595237</v>
      </c>
      <c r="I124" s="87">
        <f>396.511+45.837</f>
        <v>442.34800000000001</v>
      </c>
    </row>
    <row r="125" spans="1:11" x14ac:dyDescent="0.2">
      <c r="A125" t="s">
        <v>157</v>
      </c>
      <c r="B125" s="87">
        <f t="shared" si="35"/>
        <v>442.34800000000001</v>
      </c>
      <c r="C125" s="87">
        <f>4234.605+283.308</f>
        <v>4517.9129999999996</v>
      </c>
      <c r="D125" s="87">
        <v>63.440753827500004</v>
      </c>
      <c r="E125" s="87">
        <f t="shared" si="32"/>
        <v>5023.7017538274995</v>
      </c>
      <c r="F125" s="87">
        <f t="shared" si="33"/>
        <v>3241.8006185500058</v>
      </c>
      <c r="G125" s="87">
        <v>1366.8521352774937</v>
      </c>
      <c r="H125" s="87">
        <f t="shared" si="34"/>
        <v>4608.6527538274995</v>
      </c>
      <c r="I125" s="87">
        <f>368.552+46.497</f>
        <v>415.04900000000004</v>
      </c>
    </row>
    <row r="126" spans="1:11" x14ac:dyDescent="0.2">
      <c r="A126" t="s">
        <v>158</v>
      </c>
      <c r="B126" s="87">
        <f t="shared" si="35"/>
        <v>415.04900000000004</v>
      </c>
      <c r="C126" s="87">
        <f>4038.22+273.957</f>
        <v>4312.1769999999997</v>
      </c>
      <c r="D126" s="87">
        <v>53.258596889400003</v>
      </c>
      <c r="E126" s="87">
        <f t="shared" si="32"/>
        <v>4780.4845968893997</v>
      </c>
      <c r="F126" s="87">
        <f t="shared" si="33"/>
        <v>3182.9966415989265</v>
      </c>
      <c r="G126" s="87">
        <v>1211.2949552904731</v>
      </c>
      <c r="H126" s="87">
        <f t="shared" si="34"/>
        <v>4394.2915968893994</v>
      </c>
      <c r="I126" s="87">
        <f>341.681+44.512</f>
        <v>386.19299999999998</v>
      </c>
    </row>
    <row r="127" spans="1:11" x14ac:dyDescent="0.2">
      <c r="A127" t="s">
        <v>162</v>
      </c>
      <c r="B127" s="87">
        <f t="shared" si="35"/>
        <v>386.19299999999998</v>
      </c>
      <c r="C127" s="87">
        <f>3970.047+270.933</f>
        <v>4240.9799999999996</v>
      </c>
      <c r="D127" s="87">
        <v>45.268826299200001</v>
      </c>
      <c r="E127" s="87">
        <f t="shared" si="32"/>
        <v>4672.4418262991994</v>
      </c>
      <c r="F127" s="87">
        <f t="shared" si="33"/>
        <v>3091.2505460858456</v>
      </c>
      <c r="G127" s="87">
        <v>1083.3442802133538</v>
      </c>
      <c r="H127" s="87">
        <f t="shared" si="34"/>
        <v>4174.5948262991997</v>
      </c>
      <c r="I127" s="87">
        <f>442.173+55.674</f>
        <v>497.84699999999998</v>
      </c>
    </row>
    <row r="128" spans="1:11" x14ac:dyDescent="0.2">
      <c r="A128" t="s">
        <v>163</v>
      </c>
      <c r="B128" s="87">
        <f t="shared" si="35"/>
        <v>497.84699999999998</v>
      </c>
      <c r="C128" s="87">
        <f>3904.725+262.751</f>
        <v>4167.4759999999997</v>
      </c>
      <c r="D128" s="87">
        <v>40.053241802699993</v>
      </c>
      <c r="E128" s="87">
        <f t="shared" si="32"/>
        <v>4705.376241802699</v>
      </c>
      <c r="F128" s="87">
        <f t="shared" si="33"/>
        <v>3149.2410206303502</v>
      </c>
      <c r="G128" s="87">
        <v>1093.8322211723491</v>
      </c>
      <c r="H128" s="87">
        <f t="shared" si="34"/>
        <v>4243.0732418026992</v>
      </c>
      <c r="I128" s="87">
        <f>420.426+41.877</f>
        <v>462.303</v>
      </c>
      <c r="K128" s="120"/>
    </row>
    <row r="129" spans="1:9" x14ac:dyDescent="0.2">
      <c r="A129" t="s">
        <v>164</v>
      </c>
      <c r="B129" s="87">
        <f t="shared" si="35"/>
        <v>462.303</v>
      </c>
      <c r="C129" s="87">
        <f>4080.746+280.424</f>
        <v>4361.17</v>
      </c>
      <c r="D129" s="87">
        <v>57.713697027000002</v>
      </c>
      <c r="E129" s="87">
        <f t="shared" si="32"/>
        <v>4881.1866970270003</v>
      </c>
      <c r="F129" s="87">
        <f t="shared" si="33"/>
        <v>3328.9320060732607</v>
      </c>
      <c r="G129" s="87">
        <v>1101.7346909537389</v>
      </c>
      <c r="H129" s="87">
        <f t="shared" si="34"/>
        <v>4430.6666970269998</v>
      </c>
      <c r="I129" s="87">
        <f>411.925+38.595</f>
        <v>450.52</v>
      </c>
    </row>
    <row r="130" spans="1:9" x14ac:dyDescent="0.2">
      <c r="A130" t="s">
        <v>165</v>
      </c>
      <c r="B130" s="87">
        <f t="shared" si="35"/>
        <v>450.52</v>
      </c>
      <c r="C130" s="87">
        <f>3851.205+260.54</f>
        <v>4111.7449999999999</v>
      </c>
      <c r="D130" s="87">
        <v>60.527676547800006</v>
      </c>
      <c r="E130" s="87">
        <f t="shared" si="32"/>
        <v>4622.7926765477996</v>
      </c>
      <c r="F130" s="87">
        <f t="shared" si="33"/>
        <v>3084.5045968675031</v>
      </c>
      <c r="G130" s="87">
        <v>1117.1910796802968</v>
      </c>
      <c r="H130" s="87">
        <f t="shared" si="34"/>
        <v>4201.6956765477998</v>
      </c>
      <c r="I130" s="87">
        <f>388.138+32.959</f>
        <v>421.09699999999998</v>
      </c>
    </row>
    <row r="131" spans="1:9" x14ac:dyDescent="0.2">
      <c r="A131" t="s">
        <v>151</v>
      </c>
      <c r="B131" s="87">
        <f t="shared" si="35"/>
        <v>421.09699999999998</v>
      </c>
      <c r="C131" s="87">
        <f>3754.168+255.248</f>
        <v>4009.4160000000002</v>
      </c>
      <c r="D131" s="87">
        <v>71.118019249200003</v>
      </c>
      <c r="E131" s="87">
        <f t="shared" si="32"/>
        <v>4501.6310192492001</v>
      </c>
      <c r="F131" s="87">
        <f t="shared" si="33"/>
        <v>3173.9966835324121</v>
      </c>
      <c r="G131" s="87">
        <v>986.29833571678796</v>
      </c>
      <c r="H131" s="87">
        <f t="shared" si="34"/>
        <v>4160.2950192491999</v>
      </c>
      <c r="I131" s="87">
        <f>312.944+28.392</f>
        <v>341.33600000000001</v>
      </c>
    </row>
    <row r="132" spans="1:9" x14ac:dyDescent="0.2">
      <c r="A132" t="s">
        <v>150</v>
      </c>
      <c r="B132" s="87"/>
      <c r="C132" s="87">
        <f>SUM(C120:C131)</f>
        <v>51100.43</v>
      </c>
      <c r="D132" s="87">
        <v>639.2838314457</v>
      </c>
      <c r="E132" s="87">
        <f>B120+C132+D132</f>
        <v>52141.728831445696</v>
      </c>
      <c r="F132" s="87">
        <f>SUM(F120:F131)</f>
        <v>37967.281077960521</v>
      </c>
      <c r="G132" s="87">
        <f>SUM(G120:G131)</f>
        <v>13833.111863716282</v>
      </c>
      <c r="H132" s="87">
        <f>SUM(H120:H131)</f>
        <v>51800.392941676801</v>
      </c>
      <c r="I132" s="87"/>
    </row>
    <row r="133" spans="1:9" x14ac:dyDescent="0.2">
      <c r="A133" t="s">
        <v>37</v>
      </c>
      <c r="B133" s="87"/>
      <c r="C133" s="87"/>
      <c r="D133" s="87"/>
      <c r="E133" s="87"/>
      <c r="F133" s="87"/>
      <c r="G133" s="87"/>
      <c r="H133" s="87"/>
      <c r="I133" s="87"/>
    </row>
    <row r="134" spans="1:9" x14ac:dyDescent="0.2">
      <c r="A134" t="s">
        <v>152</v>
      </c>
      <c r="B134" s="87">
        <f>I131</f>
        <v>341.33600000000001</v>
      </c>
      <c r="C134" s="87">
        <f>4335.054+280.538</f>
        <v>4615.5920000000006</v>
      </c>
      <c r="D134" s="87">
        <v>69.6606538761</v>
      </c>
      <c r="E134" s="87">
        <f>B134+C134+D134</f>
        <v>5026.5886538761006</v>
      </c>
      <c r="F134" s="87">
        <f>H134-G134</f>
        <v>3544.4673588459391</v>
      </c>
      <c r="G134" s="87">
        <v>1107.9222950301619</v>
      </c>
      <c r="H134" s="87">
        <f>E134-I134</f>
        <v>4652.389653876101</v>
      </c>
      <c r="I134" s="87">
        <f>342.914+31.285</f>
        <v>374.19900000000001</v>
      </c>
    </row>
    <row r="135" spans="1:9" x14ac:dyDescent="0.2">
      <c r="A135" t="s">
        <v>153</v>
      </c>
      <c r="B135" s="87">
        <f>I134</f>
        <v>374.19900000000001</v>
      </c>
      <c r="C135" s="87">
        <f>4230.274+286.02</f>
        <v>4516.2939999999999</v>
      </c>
      <c r="D135" s="87">
        <v>67.439166517800018</v>
      </c>
      <c r="E135" s="87">
        <f t="shared" ref="E135:E145" si="36">B135+C135+D135</f>
        <v>4957.9321665177995</v>
      </c>
      <c r="F135" s="87">
        <f t="shared" ref="F135:F145" si="37">H135-G135</f>
        <v>3222.3213955683823</v>
      </c>
      <c r="G135" s="87">
        <v>1277.1937709494168</v>
      </c>
      <c r="H135" s="87">
        <f t="shared" ref="H135:H145" si="38">E135-I135</f>
        <v>4499.5151665177991</v>
      </c>
      <c r="I135" s="87">
        <f>415.107+43.31</f>
        <v>458.41700000000003</v>
      </c>
    </row>
    <row r="136" spans="1:9" x14ac:dyDescent="0.2">
      <c r="A136" t="s">
        <v>154</v>
      </c>
      <c r="B136" s="87">
        <f t="shared" ref="B136:B145" si="39">I135</f>
        <v>458.41700000000003</v>
      </c>
      <c r="C136" s="87">
        <f>4235.822+305.109</f>
        <v>4540.9310000000005</v>
      </c>
      <c r="D136" s="87">
        <v>64.48276841580001</v>
      </c>
      <c r="E136" s="87">
        <f t="shared" si="36"/>
        <v>5063.8307684158008</v>
      </c>
      <c r="F136" s="87">
        <f t="shared" si="37"/>
        <v>3255.1800363055058</v>
      </c>
      <c r="G136" s="87">
        <v>1449.2577321102949</v>
      </c>
      <c r="H136" s="87">
        <f t="shared" si="38"/>
        <v>4704.4377684158007</v>
      </c>
      <c r="I136" s="87">
        <f>308.933+50.46</f>
        <v>359.39299999999997</v>
      </c>
    </row>
    <row r="137" spans="1:9" x14ac:dyDescent="0.2">
      <c r="A137" t="s">
        <v>155</v>
      </c>
      <c r="B137" s="87">
        <f t="shared" si="39"/>
        <v>359.39299999999997</v>
      </c>
      <c r="C137" s="87">
        <f>4353.068+312.586</f>
        <v>4665.6540000000005</v>
      </c>
      <c r="D137" s="87">
        <v>68.3959724658</v>
      </c>
      <c r="E137" s="87">
        <f t="shared" si="36"/>
        <v>5093.4429724658003</v>
      </c>
      <c r="F137" s="87">
        <f t="shared" si="37"/>
        <v>3127.8626143146439</v>
      </c>
      <c r="G137" s="87">
        <v>1409.776358151156</v>
      </c>
      <c r="H137" s="87">
        <f t="shared" si="38"/>
        <v>4537.6389724658002</v>
      </c>
      <c r="I137" s="87">
        <f>512.396+43.408</f>
        <v>555.80399999999997</v>
      </c>
    </row>
    <row r="138" spans="1:9" x14ac:dyDescent="0.2">
      <c r="A138" t="s">
        <v>156</v>
      </c>
      <c r="B138" s="87">
        <f t="shared" si="39"/>
        <v>555.80399999999997</v>
      </c>
      <c r="C138" s="87">
        <f>3652.574+266.097</f>
        <v>3918.6710000000003</v>
      </c>
      <c r="D138" s="87">
        <v>67.120378176599999</v>
      </c>
      <c r="E138" s="87">
        <f t="shared" si="36"/>
        <v>4541.5953781766002</v>
      </c>
      <c r="F138" s="87">
        <f t="shared" si="37"/>
        <v>2672.9081471487352</v>
      </c>
      <c r="G138" s="87">
        <v>1284.6242310278649</v>
      </c>
      <c r="H138" s="87">
        <f t="shared" si="38"/>
        <v>3957.5323781766001</v>
      </c>
      <c r="I138" s="87">
        <f>544.178+39.885</f>
        <v>584.06299999999999</v>
      </c>
    </row>
    <row r="139" spans="1:9" x14ac:dyDescent="0.2">
      <c r="A139" t="s">
        <v>157</v>
      </c>
      <c r="B139" s="87">
        <f t="shared" si="39"/>
        <v>584.06299999999999</v>
      </c>
      <c r="C139" s="87">
        <f>4181.3+295.287</f>
        <v>4476.5870000000004</v>
      </c>
      <c r="D139" s="87">
        <v>73.236220066800001</v>
      </c>
      <c r="E139" s="87">
        <f t="shared" si="36"/>
        <v>5133.8862200668009</v>
      </c>
      <c r="F139" s="87">
        <f t="shared" si="37"/>
        <v>3372.064593208413</v>
      </c>
      <c r="G139" s="87">
        <v>1314.0816268583881</v>
      </c>
      <c r="H139" s="87">
        <f t="shared" si="38"/>
        <v>4686.1462200668011</v>
      </c>
      <c r="I139" s="87">
        <f>415.418+32.322</f>
        <v>447.74</v>
      </c>
    </row>
    <row r="140" spans="1:9" x14ac:dyDescent="0.2">
      <c r="A140" t="s">
        <v>158</v>
      </c>
      <c r="B140" s="87">
        <f t="shared" si="39"/>
        <v>447.74</v>
      </c>
      <c r="C140" s="87">
        <f>3773.943+270.766</f>
        <v>4044.7090000000003</v>
      </c>
      <c r="D140" s="87">
        <v>68.0702395653</v>
      </c>
      <c r="E140" s="87">
        <f t="shared" si="36"/>
        <v>4560.5192395653003</v>
      </c>
      <c r="F140" s="87">
        <f t="shared" si="37"/>
        <v>3053.2925584973691</v>
      </c>
      <c r="G140" s="87">
        <v>1055.2206810679311</v>
      </c>
      <c r="H140" s="87">
        <f t="shared" si="38"/>
        <v>4108.5132395653</v>
      </c>
      <c r="I140" s="87">
        <f>417.603+34.403</f>
        <v>452.00600000000003</v>
      </c>
    </row>
    <row r="141" spans="1:9" x14ac:dyDescent="0.2">
      <c r="A141" t="s">
        <v>162</v>
      </c>
      <c r="B141" s="87">
        <f t="shared" si="39"/>
        <v>452.00600000000003</v>
      </c>
      <c r="C141" s="87">
        <f>3849.675+273.209</f>
        <v>4122.884</v>
      </c>
      <c r="D141" s="87">
        <v>65.527428550500005</v>
      </c>
      <c r="E141" s="87">
        <f t="shared" si="36"/>
        <v>4640.4174285505005</v>
      </c>
      <c r="F141" s="87">
        <f t="shared" si="37"/>
        <v>2945.1734373318186</v>
      </c>
      <c r="G141" s="87">
        <v>1053.789991218682</v>
      </c>
      <c r="H141" s="87">
        <f t="shared" si="38"/>
        <v>3998.9634285505003</v>
      </c>
      <c r="I141" s="87">
        <f>592.86+48.594</f>
        <v>641.45400000000006</v>
      </c>
    </row>
    <row r="142" spans="1:9" x14ac:dyDescent="0.2">
      <c r="A142" t="s">
        <v>163</v>
      </c>
      <c r="B142" s="87">
        <f t="shared" si="39"/>
        <v>641.45400000000006</v>
      </c>
      <c r="C142" s="87">
        <f>3579.777+254.174</f>
        <v>3833.951</v>
      </c>
      <c r="D142" s="87">
        <v>63.559252260000001</v>
      </c>
      <c r="E142" s="87">
        <f t="shared" si="36"/>
        <v>4538.9642522599997</v>
      </c>
      <c r="F142" s="87">
        <f t="shared" si="37"/>
        <v>3229.4202885930977</v>
      </c>
      <c r="G142" s="87">
        <v>870.54396366690196</v>
      </c>
      <c r="H142" s="87">
        <f t="shared" si="38"/>
        <v>4099.9642522599997</v>
      </c>
      <c r="I142" s="87">
        <f>390.755+48.245</f>
        <v>439</v>
      </c>
    </row>
    <row r="143" spans="1:9" x14ac:dyDescent="0.2">
      <c r="A143" t="s">
        <v>164</v>
      </c>
      <c r="B143" s="87">
        <f t="shared" si="39"/>
        <v>439</v>
      </c>
      <c r="C143" s="87">
        <f>3698.749+267.75</f>
        <v>3966.4989999999998</v>
      </c>
      <c r="D143" s="87">
        <v>88.683124571999997</v>
      </c>
      <c r="E143" s="87">
        <f t="shared" si="36"/>
        <v>4494.1821245720002</v>
      </c>
      <c r="F143" s="87">
        <f t="shared" si="37"/>
        <v>2937.5251309658784</v>
      </c>
      <c r="G143" s="87">
        <v>1079.8309936061219</v>
      </c>
      <c r="H143" s="87">
        <f t="shared" si="38"/>
        <v>4017.3561245720002</v>
      </c>
      <c r="I143" s="87">
        <f>442.29+34.536</f>
        <v>476.82600000000002</v>
      </c>
    </row>
    <row r="144" spans="1:9" x14ac:dyDescent="0.2">
      <c r="A144" t="s">
        <v>165</v>
      </c>
      <c r="B144" s="87">
        <f t="shared" si="39"/>
        <v>476.82600000000002</v>
      </c>
      <c r="C144" s="87">
        <f>3728.116+267.178</f>
        <v>3995.2939999999999</v>
      </c>
      <c r="D144" s="87">
        <v>47.225869248599999</v>
      </c>
      <c r="E144" s="87">
        <f t="shared" si="36"/>
        <v>4519.3458692486001</v>
      </c>
      <c r="F144" s="87">
        <f t="shared" si="37"/>
        <v>3202.4825219916493</v>
      </c>
      <c r="G144" s="87">
        <v>933.35134725695093</v>
      </c>
      <c r="H144" s="87">
        <f t="shared" si="38"/>
        <v>4135.8338692486004</v>
      </c>
      <c r="I144" s="87">
        <f>344.741+38.771</f>
        <v>383.512</v>
      </c>
    </row>
    <row r="145" spans="1:10" x14ac:dyDescent="0.2">
      <c r="A145" t="s">
        <v>151</v>
      </c>
      <c r="B145" s="87">
        <f t="shared" si="39"/>
        <v>383.512</v>
      </c>
      <c r="C145" s="87">
        <f>3604.266+263.385</f>
        <v>3867.6509999999998</v>
      </c>
      <c r="D145" s="87">
        <v>41.070013469099997</v>
      </c>
      <c r="E145" s="87">
        <f t="shared" si="36"/>
        <v>4292.2330134690992</v>
      </c>
      <c r="F145" s="87">
        <f t="shared" si="37"/>
        <v>3111.6756132566811</v>
      </c>
      <c r="G145" s="87">
        <v>839.77140021241803</v>
      </c>
      <c r="H145" s="87">
        <f t="shared" si="38"/>
        <v>3951.4470134690991</v>
      </c>
      <c r="I145" s="87">
        <f>306.923+33.863</f>
        <v>340.786</v>
      </c>
    </row>
    <row r="146" spans="1:10" x14ac:dyDescent="0.2">
      <c r="A146" t="s">
        <v>150</v>
      </c>
      <c r="B146" s="87"/>
      <c r="C146" s="87">
        <f>SUM(C134:C145)</f>
        <v>50564.716999999997</v>
      </c>
      <c r="D146" s="58">
        <f>SUM(D134:D145)</f>
        <v>784.47108718440006</v>
      </c>
      <c r="E146" s="58">
        <f>B134+C146+D146</f>
        <v>51690.5240871844</v>
      </c>
      <c r="F146" s="87">
        <f>SUM(F134:F145)</f>
        <v>37674.373696028109</v>
      </c>
      <c r="G146" s="87">
        <f>SUM(G134:G145)</f>
        <v>13675.364391156287</v>
      </c>
      <c r="H146" s="87">
        <f>SUM(H134:H145)</f>
        <v>51349.7380871844</v>
      </c>
      <c r="I146" s="87"/>
    </row>
    <row r="147" spans="1:10" x14ac:dyDescent="0.2">
      <c r="A147" t="s">
        <v>38</v>
      </c>
      <c r="B147" s="87"/>
      <c r="C147" s="87"/>
      <c r="D147" s="58"/>
      <c r="E147" s="58"/>
      <c r="F147" s="87"/>
      <c r="G147" s="87"/>
      <c r="H147" s="87"/>
      <c r="I147" s="87"/>
    </row>
    <row r="148" spans="1:10" x14ac:dyDescent="0.2">
      <c r="A148" t="s">
        <v>152</v>
      </c>
      <c r="B148" s="87">
        <f>I145</f>
        <v>340.786</v>
      </c>
      <c r="C148" s="87">
        <f>4284.256+307.383</f>
        <v>4591.6390000000001</v>
      </c>
      <c r="D148" s="58">
        <v>62.329955032800001</v>
      </c>
      <c r="E148" s="87">
        <f>B148+C148+D148</f>
        <v>4994.7549550328004</v>
      </c>
      <c r="F148" s="87">
        <f>H148-G148</f>
        <v>3492.8223021859594</v>
      </c>
      <c r="G148" s="87">
        <v>1090.4516528468409</v>
      </c>
      <c r="H148" s="87">
        <f>E148-I148</f>
        <v>4583.2739550328006</v>
      </c>
      <c r="I148" s="87">
        <f>363.969+47.512</f>
        <v>411.48099999999999</v>
      </c>
    </row>
    <row r="149" spans="1:10" x14ac:dyDescent="0.2">
      <c r="A149" t="s">
        <v>153</v>
      </c>
      <c r="B149" s="87">
        <f>I148</f>
        <v>411.48099999999999</v>
      </c>
      <c r="C149" s="87">
        <f>4164.959+291.811</f>
        <v>4456.7699999999995</v>
      </c>
      <c r="D149" s="58">
        <v>37.1757691683</v>
      </c>
      <c r="E149" s="87">
        <f t="shared" ref="E149:E159" si="40">B149+C149+D149</f>
        <v>4905.426769168299</v>
      </c>
      <c r="F149" s="87">
        <f t="shared" ref="F149:F159" si="41">H149-G149</f>
        <v>3282.1189591056127</v>
      </c>
      <c r="G149" s="87">
        <v>1247.695810062686</v>
      </c>
      <c r="H149" s="87">
        <f t="shared" ref="H149:H159" si="42">E149-I149</f>
        <v>4529.8147691682989</v>
      </c>
      <c r="I149" s="87">
        <f>333.525+42.087</f>
        <v>375.61199999999997</v>
      </c>
    </row>
    <row r="150" spans="1:10" x14ac:dyDescent="0.2">
      <c r="A150" t="s">
        <v>154</v>
      </c>
      <c r="B150" s="87">
        <f t="shared" ref="B150:B159" si="43">I149</f>
        <v>375.61199999999997</v>
      </c>
      <c r="C150" s="87">
        <f>4322.245+307.307</f>
        <v>4629.5519999999997</v>
      </c>
      <c r="D150" s="58">
        <v>37.006343967599996</v>
      </c>
      <c r="E150" s="87">
        <f t="shared" si="40"/>
        <v>5042.1703439675994</v>
      </c>
      <c r="F150" s="87">
        <f t="shared" si="41"/>
        <v>3224.4859469011863</v>
      </c>
      <c r="G150" s="87">
        <v>1406.3753970664129</v>
      </c>
      <c r="H150" s="87">
        <f t="shared" si="42"/>
        <v>4630.8613439675992</v>
      </c>
      <c r="I150" s="87">
        <f>372.832+38.477</f>
        <v>411.30899999999997</v>
      </c>
    </row>
    <row r="151" spans="1:10" x14ac:dyDescent="0.2">
      <c r="A151" t="s">
        <v>155</v>
      </c>
      <c r="B151" s="87">
        <f t="shared" si="43"/>
        <v>411.30899999999997</v>
      </c>
      <c r="C151" s="87">
        <f>4231.017+302.136</f>
        <v>4533.1530000000002</v>
      </c>
      <c r="D151" s="58">
        <v>44.276966861400005</v>
      </c>
      <c r="E151" s="87">
        <f t="shared" si="40"/>
        <v>4988.7389668614005</v>
      </c>
      <c r="F151" s="87">
        <f t="shared" si="41"/>
        <v>3259.9602679312584</v>
      </c>
      <c r="G151" s="87">
        <v>1298.024698930142</v>
      </c>
      <c r="H151" s="87">
        <f t="shared" si="42"/>
        <v>4557.9849668614006</v>
      </c>
      <c r="I151" s="87">
        <f>396.462+34.292</f>
        <v>430.75400000000002</v>
      </c>
    </row>
    <row r="152" spans="1:10" x14ac:dyDescent="0.2">
      <c r="A152" t="s">
        <v>156</v>
      </c>
      <c r="B152" s="87">
        <f t="shared" si="43"/>
        <v>430.75400000000002</v>
      </c>
      <c r="C152" s="87">
        <f>3817.784+272.171</f>
        <v>4089.9549999999999</v>
      </c>
      <c r="D152" s="58">
        <v>51.563463033599994</v>
      </c>
      <c r="E152" s="87">
        <f t="shared" si="40"/>
        <v>4572.2724630335997</v>
      </c>
      <c r="F152" s="87">
        <f t="shared" si="41"/>
        <v>3104.2069641486014</v>
      </c>
      <c r="G152" s="87">
        <v>1082.1894988849981</v>
      </c>
      <c r="H152" s="87">
        <f t="shared" si="42"/>
        <v>4186.3964630335995</v>
      </c>
      <c r="I152" s="87">
        <f>347.16+38.716</f>
        <v>385.87600000000003</v>
      </c>
    </row>
    <row r="153" spans="1:10" x14ac:dyDescent="0.2">
      <c r="A153" t="s">
        <v>157</v>
      </c>
      <c r="B153" s="87">
        <f t="shared" si="43"/>
        <v>385.87600000000003</v>
      </c>
      <c r="C153" s="87">
        <f>4249.054+300.577</f>
        <v>4549.6310000000003</v>
      </c>
      <c r="D153" s="58">
        <v>40.342818902400005</v>
      </c>
      <c r="E153" s="87">
        <f t="shared" si="40"/>
        <v>4975.8498189024003</v>
      </c>
      <c r="F153" s="87">
        <f t="shared" si="41"/>
        <v>3397.5349597730128</v>
      </c>
      <c r="G153" s="87">
        <v>1197.3468591293879</v>
      </c>
      <c r="H153" s="87">
        <f t="shared" si="42"/>
        <v>4594.8818189024005</v>
      </c>
      <c r="I153" s="87">
        <f>347.191+33.777</f>
        <v>380.96799999999996</v>
      </c>
      <c r="J153" s="121"/>
    </row>
    <row r="154" spans="1:10" x14ac:dyDescent="0.2">
      <c r="A154" t="s">
        <v>158</v>
      </c>
      <c r="B154" s="87">
        <f t="shared" si="43"/>
        <v>380.96799999999996</v>
      </c>
      <c r="C154" s="87">
        <f>3975.098+279.447</f>
        <v>4254.5450000000001</v>
      </c>
      <c r="D154" s="58">
        <v>60.726202758900008</v>
      </c>
      <c r="E154" s="87">
        <f t="shared" si="40"/>
        <v>4696.2392027589003</v>
      </c>
      <c r="F154" s="87">
        <f t="shared" si="41"/>
        <v>3065.571866628613</v>
      </c>
      <c r="G154" s="87">
        <v>1185.651336130288</v>
      </c>
      <c r="H154" s="87">
        <f t="shared" si="42"/>
        <v>4251.2232027589007</v>
      </c>
      <c r="I154" s="122">
        <f>406.867+38.149</f>
        <v>445.01600000000002</v>
      </c>
    </row>
    <row r="155" spans="1:10" x14ac:dyDescent="0.2">
      <c r="A155" t="s">
        <v>162</v>
      </c>
      <c r="B155" s="87">
        <f t="shared" si="43"/>
        <v>445.01600000000002</v>
      </c>
      <c r="C155" s="87">
        <f>3978.135+281.954</f>
        <v>4260.0889999999999</v>
      </c>
      <c r="D155" s="58">
        <v>72.971665426800016</v>
      </c>
      <c r="E155" s="87">
        <f t="shared" si="40"/>
        <v>4778.0766654268</v>
      </c>
      <c r="F155" s="87">
        <f t="shared" si="41"/>
        <v>3171.936599369667</v>
      </c>
      <c r="G155" s="87">
        <v>1142.3850660571329</v>
      </c>
      <c r="H155" s="87">
        <f t="shared" si="42"/>
        <v>4314.3216654267999</v>
      </c>
      <c r="I155" s="87">
        <f>414.543+49.212</f>
        <v>463.755</v>
      </c>
    </row>
    <row r="156" spans="1:10" x14ac:dyDescent="0.2">
      <c r="A156" t="s">
        <v>163</v>
      </c>
      <c r="B156" s="87">
        <f t="shared" si="43"/>
        <v>463.755</v>
      </c>
      <c r="C156" s="87">
        <f>3837.474+269.091</f>
        <v>4106.5650000000005</v>
      </c>
      <c r="D156" s="58">
        <v>61.787397558599999</v>
      </c>
      <c r="E156" s="87">
        <f t="shared" si="40"/>
        <v>4632.1073975586005</v>
      </c>
      <c r="F156" s="87">
        <f t="shared" si="41"/>
        <v>3129.3445364135323</v>
      </c>
      <c r="G156" s="87">
        <v>1145.4588611450679</v>
      </c>
      <c r="H156" s="87">
        <f t="shared" si="42"/>
        <v>4274.8033975586004</v>
      </c>
      <c r="I156" s="87">
        <f>324.073+33.231</f>
        <v>357.30399999999997</v>
      </c>
    </row>
    <row r="157" spans="1:10" x14ac:dyDescent="0.2">
      <c r="A157" t="s">
        <v>164</v>
      </c>
      <c r="B157" s="87">
        <f t="shared" si="43"/>
        <v>357.30399999999997</v>
      </c>
      <c r="C157" s="122">
        <f>3988.429+281.851</f>
        <v>4270.28</v>
      </c>
      <c r="D157" s="58">
        <v>74.284738290000007</v>
      </c>
      <c r="E157" s="87">
        <f t="shared" si="40"/>
        <v>4701.8687382899998</v>
      </c>
      <c r="F157" s="87">
        <f t="shared" si="41"/>
        <v>3260.6798497827549</v>
      </c>
      <c r="G157" s="87">
        <v>914.46588850724504</v>
      </c>
      <c r="H157" s="87">
        <f t="shared" si="42"/>
        <v>4175.1457382899998</v>
      </c>
      <c r="I157" s="122">
        <f>479.121+47.602</f>
        <v>526.72299999999996</v>
      </c>
    </row>
    <row r="158" spans="1:10" x14ac:dyDescent="0.2">
      <c r="A158" t="s">
        <v>165</v>
      </c>
      <c r="B158" s="87">
        <f t="shared" si="43"/>
        <v>526.72299999999996</v>
      </c>
      <c r="C158" s="87">
        <f>3870.512+276.725</f>
        <v>4147.2370000000001</v>
      </c>
      <c r="D158" s="58">
        <v>50.285553891300005</v>
      </c>
      <c r="E158" s="87">
        <f t="shared" si="40"/>
        <v>4724.2455538913</v>
      </c>
      <c r="F158" s="87">
        <f t="shared" si="41"/>
        <v>3463.4586933636201</v>
      </c>
      <c r="G158" s="87">
        <v>912.85486052767988</v>
      </c>
      <c r="H158" s="87">
        <f t="shared" si="42"/>
        <v>4376.3135538913002</v>
      </c>
      <c r="I158" s="87">
        <f>308.67+39.262</f>
        <v>347.93200000000002</v>
      </c>
    </row>
    <row r="159" spans="1:10" x14ac:dyDescent="0.2">
      <c r="A159" t="s">
        <v>151</v>
      </c>
      <c r="B159" s="87">
        <f t="shared" si="43"/>
        <v>347.93200000000002</v>
      </c>
      <c r="C159" s="87">
        <f>3666.107+258.932</f>
        <v>3925.0389999999998</v>
      </c>
      <c r="D159" s="58">
        <v>56.364688825199998</v>
      </c>
      <c r="E159" s="87">
        <f t="shared" si="40"/>
        <v>4329.3356888251992</v>
      </c>
      <c r="F159" s="87">
        <f t="shared" si="41"/>
        <v>3117.4814980585052</v>
      </c>
      <c r="G159" s="87">
        <v>900.92719076669403</v>
      </c>
      <c r="H159" s="87">
        <f t="shared" si="42"/>
        <v>4018.4086888251991</v>
      </c>
      <c r="I159" s="87">
        <f>276.973+33.954</f>
        <v>310.92700000000002</v>
      </c>
    </row>
    <row r="160" spans="1:10" x14ac:dyDescent="0.2">
      <c r="A160" s="13" t="s">
        <v>150</v>
      </c>
      <c r="B160" s="88"/>
      <c r="C160" s="88">
        <f>SUM(C148:C159)</f>
        <v>51814.455000000002</v>
      </c>
      <c r="D160" s="72">
        <f>SUM(D148:D159)</f>
        <v>649.11556371690006</v>
      </c>
      <c r="E160" s="72">
        <f>B148+C160+D160</f>
        <v>52804.356563716901</v>
      </c>
      <c r="F160" s="88">
        <f>SUM(F148:F159)</f>
        <v>38969.602443662327</v>
      </c>
      <c r="G160" s="88">
        <f>SUM(G148:G159)</f>
        <v>13523.827120054575</v>
      </c>
      <c r="H160" s="88">
        <f>SUM(H148:H159)</f>
        <v>52493.429563716898</v>
      </c>
      <c r="I160" s="88"/>
    </row>
    <row r="161" spans="1:9" x14ac:dyDescent="0.2">
      <c r="A161" t="s">
        <v>126</v>
      </c>
      <c r="B161" s="87"/>
      <c r="C161" s="87"/>
      <c r="D161" s="58"/>
      <c r="E161" s="58"/>
      <c r="F161" s="87"/>
      <c r="G161" s="87"/>
      <c r="H161" s="87"/>
      <c r="I161" s="87"/>
    </row>
    <row r="162" spans="1:9" x14ac:dyDescent="0.2">
      <c r="A162" s="22" t="s">
        <v>166</v>
      </c>
    </row>
    <row r="163" spans="1:9" x14ac:dyDescent="0.2">
      <c r="A163" t="s">
        <v>228</v>
      </c>
    </row>
    <row r="164" spans="1:9" x14ac:dyDescent="0.2">
      <c r="A164" t="s">
        <v>167</v>
      </c>
    </row>
    <row r="165" spans="1:9" x14ac:dyDescent="0.2">
      <c r="H165" s="123"/>
      <c r="I165" s="124" t="s">
        <v>211</v>
      </c>
    </row>
    <row r="166" spans="1:9" x14ac:dyDescent="0.2">
      <c r="E166" s="58"/>
      <c r="F166" s="87"/>
      <c r="G166" s="87"/>
    </row>
    <row r="167" spans="1:9" x14ac:dyDescent="0.2">
      <c r="F167" s="59"/>
    </row>
    <row r="170" spans="1:9" x14ac:dyDescent="0.2">
      <c r="E170" s="87"/>
    </row>
  </sheetData>
  <pageMargins left="0.7" right="0.7" top="0.75" bottom="0.75" header="0.3" footer="0.3"/>
  <pageSetup scale="98" firstPageNumber="7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F4D5-3704-4E49-BF6D-53AF3B6850A4}">
  <sheetPr>
    <pageSetUpPr fitToPage="1"/>
  </sheetPr>
  <dimension ref="A1:N170"/>
  <sheetViews>
    <sheetView zoomScaleNormal="100" zoomScaleSheetLayoutView="100" workbookViewId="0">
      <pane xSplit="1" ySplit="6" topLeftCell="B145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20.85546875" customWidth="1"/>
    <col min="2" max="10" width="13.85546875" customWidth="1"/>
  </cols>
  <sheetData>
    <row r="1" spans="1:10" x14ac:dyDescent="0.2">
      <c r="A1" s="125" t="s">
        <v>206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B2" s="41"/>
      <c r="C2" s="14"/>
      <c r="D2" s="65" t="s">
        <v>75</v>
      </c>
      <c r="E2" s="43"/>
      <c r="G2" s="14"/>
      <c r="H2" s="89" t="s">
        <v>76</v>
      </c>
      <c r="I2" s="43"/>
    </row>
    <row r="3" spans="1:10" x14ac:dyDescent="0.2">
      <c r="A3" t="s">
        <v>136</v>
      </c>
      <c r="B3" s="45" t="s">
        <v>79</v>
      </c>
      <c r="F3" s="45" t="s">
        <v>121</v>
      </c>
      <c r="I3" s="46"/>
      <c r="J3" s="26" t="s">
        <v>81</v>
      </c>
    </row>
    <row r="4" spans="1:10" x14ac:dyDescent="0.2">
      <c r="A4" t="s">
        <v>78</v>
      </c>
      <c r="B4" s="48" t="s">
        <v>84</v>
      </c>
      <c r="C4" s="26" t="s">
        <v>43</v>
      </c>
      <c r="D4" s="90" t="s">
        <v>85</v>
      </c>
      <c r="E4" s="26" t="s">
        <v>10</v>
      </c>
      <c r="F4" s="48" t="s">
        <v>10</v>
      </c>
      <c r="G4" s="26" t="s">
        <v>129</v>
      </c>
      <c r="H4" s="91" t="s">
        <v>88</v>
      </c>
      <c r="I4" s="49" t="s">
        <v>10</v>
      </c>
      <c r="J4" s="26" t="s">
        <v>84</v>
      </c>
    </row>
    <row r="5" spans="1:10" x14ac:dyDescent="0.2">
      <c r="A5" s="13" t="s">
        <v>161</v>
      </c>
      <c r="B5" s="68"/>
      <c r="C5" s="13"/>
      <c r="D5" s="13"/>
      <c r="E5" s="13"/>
      <c r="F5" s="68"/>
      <c r="G5" s="13"/>
      <c r="H5" s="13"/>
      <c r="I5" s="52"/>
      <c r="J5" s="13"/>
    </row>
    <row r="6" spans="1:10" x14ac:dyDescent="0.2">
      <c r="C6" s="16"/>
      <c r="D6" s="16"/>
      <c r="E6" s="16"/>
      <c r="F6" s="15" t="s">
        <v>168</v>
      </c>
      <c r="G6" s="16"/>
      <c r="H6" s="16"/>
      <c r="I6" s="16"/>
      <c r="J6" s="16"/>
    </row>
    <row r="7" spans="1:10" x14ac:dyDescent="0.2">
      <c r="A7" t="s">
        <v>24</v>
      </c>
      <c r="B7" s="92"/>
      <c r="C7" s="92"/>
      <c r="D7" s="92"/>
      <c r="E7" s="92"/>
      <c r="F7" s="92"/>
      <c r="G7" s="92"/>
      <c r="H7" s="92"/>
      <c r="I7" s="92"/>
      <c r="J7" s="92"/>
    </row>
    <row r="8" spans="1:10" x14ac:dyDescent="0.2">
      <c r="A8" t="s">
        <v>152</v>
      </c>
      <c r="B8" s="92">
        <f>2725150+360075</f>
        <v>3085225</v>
      </c>
      <c r="C8" s="92">
        <v>1868608.08</v>
      </c>
      <c r="D8" s="93">
        <f>(779.179+0+1059.491+19.983)*2.204622</f>
        <v>4097.627294166</v>
      </c>
      <c r="E8" s="92">
        <f t="shared" ref="E8:E19" si="0">SUM(B8:D8)</f>
        <v>4957930.7072941661</v>
      </c>
      <c r="F8" s="92">
        <f t="shared" ref="F8:F19" si="1">I8-H8</f>
        <v>1600124.8627896982</v>
      </c>
      <c r="G8" s="92">
        <v>246789</v>
      </c>
      <c r="H8" s="92">
        <f>(39723.893+235.167+15374.729+4951.305)*2.204622</f>
        <v>132905.844504468</v>
      </c>
      <c r="I8" s="92">
        <f t="shared" ref="I8:I19" si="2">(E8-J8)</f>
        <v>1733030.7072941661</v>
      </c>
      <c r="J8" s="92">
        <f>2877600+347300</f>
        <v>3224900</v>
      </c>
    </row>
    <row r="9" spans="1:10" x14ac:dyDescent="0.2">
      <c r="A9" t="s">
        <v>153</v>
      </c>
      <c r="B9" s="92">
        <f>+J8</f>
        <v>3224900</v>
      </c>
      <c r="C9" s="92">
        <v>1805433.7</v>
      </c>
      <c r="D9" s="93">
        <f>(924.204+0+426.674+41.43)*2.204622</f>
        <v>3069.5128475760002</v>
      </c>
      <c r="E9" s="92">
        <f t="shared" si="0"/>
        <v>5033403.2128475765</v>
      </c>
      <c r="F9" s="92">
        <f t="shared" si="1"/>
        <v>1600176.1480099745</v>
      </c>
      <c r="G9" s="92">
        <v>219093.00000000003</v>
      </c>
      <c r="H9" s="92">
        <f>(69743.935+2067.867+12865.534+5146.255)*2.204622</f>
        <v>198027.064837602</v>
      </c>
      <c r="I9" s="92">
        <f t="shared" si="2"/>
        <v>1798203.2128475765</v>
      </c>
      <c r="J9" s="92">
        <f>2917800+317400</f>
        <v>3235200</v>
      </c>
    </row>
    <row r="10" spans="1:10" x14ac:dyDescent="0.2">
      <c r="A10" t="s">
        <v>154</v>
      </c>
      <c r="B10" s="92">
        <f t="shared" ref="B10:B19" si="3">+J9</f>
        <v>3235200</v>
      </c>
      <c r="C10" s="92">
        <v>1879439.8</v>
      </c>
      <c r="D10" s="93">
        <f>(693.076+0+796.479+1.129)*2.204622</f>
        <v>3286.3947414479999</v>
      </c>
      <c r="E10" s="92">
        <f t="shared" si="0"/>
        <v>5117926.1947414475</v>
      </c>
      <c r="F10" s="92">
        <f t="shared" si="1"/>
        <v>1449593.1660758755</v>
      </c>
      <c r="G10" s="92">
        <v>219310</v>
      </c>
      <c r="H10" s="92">
        <f>(140589.659+1102.594+27351.804+8461.669)*2.204622</f>
        <v>391333.02866557206</v>
      </c>
      <c r="I10" s="92">
        <f t="shared" si="2"/>
        <v>1840926.1947414475</v>
      </c>
      <c r="J10" s="92">
        <f>2916100+360900</f>
        <v>3277000</v>
      </c>
    </row>
    <row r="11" spans="1:10" x14ac:dyDescent="0.2">
      <c r="A11" t="s">
        <v>155</v>
      </c>
      <c r="B11" s="92">
        <f t="shared" si="3"/>
        <v>3277000</v>
      </c>
      <c r="C11" s="92">
        <v>1845226.93</v>
      </c>
      <c r="D11" s="93">
        <f>(678.914+0+2050.537+0)*2.204622</f>
        <v>6017.4077225219999</v>
      </c>
      <c r="E11" s="92">
        <f t="shared" si="0"/>
        <v>5128244.3377225213</v>
      </c>
      <c r="F11" s="92">
        <f t="shared" si="1"/>
        <v>1562526.8647112532</v>
      </c>
      <c r="G11" s="92">
        <v>289000</v>
      </c>
      <c r="H11" s="92">
        <f>(56435.197+137.352+12325.444+2626.501)*2.204622</f>
        <v>157684.47301126801</v>
      </c>
      <c r="I11" s="92">
        <f t="shared" si="2"/>
        <v>1720211.3377225213</v>
      </c>
      <c r="J11" s="92">
        <f>3030542+377491</f>
        <v>3408033</v>
      </c>
    </row>
    <row r="12" spans="1:10" x14ac:dyDescent="0.2">
      <c r="A12" t="s">
        <v>156</v>
      </c>
      <c r="B12" s="92">
        <f t="shared" si="3"/>
        <v>3408033</v>
      </c>
      <c r="C12" s="92">
        <v>1687694.5</v>
      </c>
      <c r="D12" s="93">
        <f>(1376.998+0+1736.654+18.845)*2.204622</f>
        <v>6905.9718011340001</v>
      </c>
      <c r="E12" s="92">
        <f t="shared" si="0"/>
        <v>5102633.4718011338</v>
      </c>
      <c r="F12" s="92">
        <f t="shared" si="1"/>
        <v>1314387.6890689977</v>
      </c>
      <c r="G12" s="92">
        <v>247460</v>
      </c>
      <c r="H12" s="92">
        <f>(193315.826+72.804+35357.907+2549.251)*2.204622</f>
        <v>509919.78273213602</v>
      </c>
      <c r="I12" s="92">
        <f t="shared" si="2"/>
        <v>1824307.4718011338</v>
      </c>
      <c r="J12" s="92">
        <f>2899937+378389</f>
        <v>3278326</v>
      </c>
    </row>
    <row r="13" spans="1:10" x14ac:dyDescent="0.2">
      <c r="A13" t="s">
        <v>157</v>
      </c>
      <c r="B13" s="92">
        <f t="shared" si="3"/>
        <v>3278326</v>
      </c>
      <c r="C13" s="92">
        <v>1827761.46</v>
      </c>
      <c r="D13" s="93">
        <f>(2039.507+0+391.555+0)*2.204622</f>
        <v>5359.5727685640004</v>
      </c>
      <c r="E13" s="92">
        <f t="shared" si="0"/>
        <v>5111447.0327685643</v>
      </c>
      <c r="F13" s="92">
        <f t="shared" si="1"/>
        <v>1642450.6141207581</v>
      </c>
      <c r="G13" s="92">
        <v>259520</v>
      </c>
      <c r="H13" s="92">
        <f>(149346.116+268.079+22468.655+2780.423)*2.204622</f>
        <v>385507.41864780604</v>
      </c>
      <c r="I13" s="92">
        <f t="shared" si="2"/>
        <v>2027958.0327685643</v>
      </c>
      <c r="J13" s="92">
        <f>2720543+362946</f>
        <v>3083489</v>
      </c>
    </row>
    <row r="14" spans="1:10" x14ac:dyDescent="0.2">
      <c r="A14" t="s">
        <v>158</v>
      </c>
      <c r="B14" s="92">
        <f t="shared" si="3"/>
        <v>3083489</v>
      </c>
      <c r="C14" s="92">
        <v>1707011.36</v>
      </c>
      <c r="D14" s="93">
        <f>(2235.449+0+1631.076+25.012)*2.204622</f>
        <v>8579.3680840140005</v>
      </c>
      <c r="E14" s="92">
        <f t="shared" si="0"/>
        <v>4799079.7280840147</v>
      </c>
      <c r="F14" s="92">
        <f t="shared" si="1"/>
        <v>1446246.1862078346</v>
      </c>
      <c r="G14" s="92">
        <v>266460</v>
      </c>
      <c r="H14" s="92">
        <f>(168742.41+3136.858+19361.092+2468.83)*2.204622</f>
        <v>427055.54187618004</v>
      </c>
      <c r="I14" s="92">
        <f t="shared" si="2"/>
        <v>1873301.7280840147</v>
      </c>
      <c r="J14" s="92">
        <f>2581100+344678</f>
        <v>2925778</v>
      </c>
    </row>
    <row r="15" spans="1:10" x14ac:dyDescent="0.2">
      <c r="A15" t="s">
        <v>159</v>
      </c>
      <c r="B15" s="92">
        <f t="shared" si="3"/>
        <v>2925778</v>
      </c>
      <c r="C15" s="92">
        <v>1756417.8</v>
      </c>
      <c r="D15" s="93">
        <f>(1064.721+0+1328.946+38.355)*2.204622</f>
        <v>5361.6892056839997</v>
      </c>
      <c r="E15" s="92">
        <f t="shared" si="0"/>
        <v>4687557.4892056836</v>
      </c>
      <c r="F15" s="92">
        <f t="shared" si="1"/>
        <v>1535213.0848976115</v>
      </c>
      <c r="G15" s="92">
        <v>269800</v>
      </c>
      <c r="H15" s="92">
        <f>(52455.149+1633.824+16512.44+3513.063)*2.204622</f>
        <v>163394.404308072</v>
      </c>
      <c r="I15" s="92">
        <f t="shared" si="2"/>
        <v>1698607.4892056836</v>
      </c>
      <c r="J15" s="92">
        <f>2641757+347193</f>
        <v>2988950</v>
      </c>
    </row>
    <row r="16" spans="1:10" x14ac:dyDescent="0.2">
      <c r="A16" t="s">
        <v>163</v>
      </c>
      <c r="B16" s="92">
        <f t="shared" si="3"/>
        <v>2988950</v>
      </c>
      <c r="C16" s="92">
        <v>1632790.52</v>
      </c>
      <c r="D16" s="93">
        <f>(519.277+0+703.719+44.432)*2.204622</f>
        <v>2794.1996522160002</v>
      </c>
      <c r="E16" s="92">
        <f t="shared" si="0"/>
        <v>4624534.719652216</v>
      </c>
      <c r="F16" s="92">
        <f t="shared" si="1"/>
        <v>1546862.1851731921</v>
      </c>
      <c r="G16" s="92">
        <v>298800</v>
      </c>
      <c r="H16" s="92">
        <f>(63019.537+1434.17+12183.167+1241.118)*2.204622</f>
        <v>171691.53447902401</v>
      </c>
      <c r="I16" s="92">
        <f t="shared" si="2"/>
        <v>1718553.719652216</v>
      </c>
      <c r="J16" s="92">
        <f>2565131+340850</f>
        <v>2905981</v>
      </c>
    </row>
    <row r="17" spans="1:10" x14ac:dyDescent="0.2">
      <c r="A17" t="s">
        <v>164</v>
      </c>
      <c r="B17" s="92">
        <f t="shared" si="3"/>
        <v>2905981</v>
      </c>
      <c r="C17" s="92">
        <v>1616379.28</v>
      </c>
      <c r="D17" s="93">
        <f>(1446.196+0+925.748+26.787)*2.204622</f>
        <v>5288.295134682</v>
      </c>
      <c r="E17" s="92">
        <f t="shared" si="0"/>
        <v>4527648.5751346825</v>
      </c>
      <c r="F17" s="92">
        <f t="shared" si="1"/>
        <v>1608898.5870767245</v>
      </c>
      <c r="G17" s="92">
        <v>319100</v>
      </c>
      <c r="H17" s="92">
        <f>(39363.929+822.274+14049.273+2694.913)*2.204622</f>
        <v>125509.98805795799</v>
      </c>
      <c r="I17" s="92">
        <f t="shared" si="2"/>
        <v>1734408.5751346825</v>
      </c>
      <c r="J17" s="92">
        <f>2492182+301058</f>
        <v>2793240</v>
      </c>
    </row>
    <row r="18" spans="1:10" x14ac:dyDescent="0.2">
      <c r="A18" t="s">
        <v>165</v>
      </c>
      <c r="B18" s="92">
        <f t="shared" si="3"/>
        <v>2793240</v>
      </c>
      <c r="C18" s="92">
        <v>1507544.65</v>
      </c>
      <c r="D18" s="93">
        <f>(1807.496+0+2411.757+39.086)*2.204622</f>
        <v>9388.0278428580023</v>
      </c>
      <c r="E18" s="92">
        <f t="shared" si="0"/>
        <v>4310172.6778428582</v>
      </c>
      <c r="F18" s="92">
        <f t="shared" si="1"/>
        <v>1558993.1408341683</v>
      </c>
      <c r="G18" s="92">
        <v>331860</v>
      </c>
      <c r="H18" s="92">
        <f>(62275.894+2252.12+15599.52+3249.361)*2.204622</f>
        <v>183814.53700869001</v>
      </c>
      <c r="I18" s="92">
        <f t="shared" si="2"/>
        <v>1742807.6778428582</v>
      </c>
      <c r="J18" s="92">
        <f>2271966+295399</f>
        <v>2567365</v>
      </c>
    </row>
    <row r="19" spans="1:10" x14ac:dyDescent="0.2">
      <c r="A19" t="s">
        <v>151</v>
      </c>
      <c r="B19" s="92">
        <f t="shared" si="3"/>
        <v>2567365</v>
      </c>
      <c r="C19" s="92">
        <v>1445522.7</v>
      </c>
      <c r="D19" s="93">
        <f>(1297.935+0+1036.948+26.989)*2.204622</f>
        <v>5207.034972384</v>
      </c>
      <c r="E19" s="92">
        <f t="shared" si="0"/>
        <v>4018094.7349723843</v>
      </c>
      <c r="F19" s="92">
        <f t="shared" si="1"/>
        <v>1469292.8966382584</v>
      </c>
      <c r="G19" s="92">
        <v>278100</v>
      </c>
      <c r="H19" s="92">
        <f>(19539.702+168.045+8919.875+495.211)*2.204622</f>
        <v>64204.838334125998</v>
      </c>
      <c r="I19" s="92">
        <f t="shared" si="2"/>
        <v>1533497.7349723843</v>
      </c>
      <c r="J19" s="92">
        <f>2203536+281061</f>
        <v>2484597</v>
      </c>
    </row>
    <row r="20" spans="1:10" x14ac:dyDescent="0.2">
      <c r="A20" t="s">
        <v>145</v>
      </c>
      <c r="B20" s="92"/>
      <c r="C20" s="92">
        <f>SUM(C8:C19)</f>
        <v>20579830.779999997</v>
      </c>
      <c r="D20" s="93">
        <f>SUM(D8:D19)</f>
        <v>65355.102067248001</v>
      </c>
      <c r="E20" s="92">
        <f>B8+C20+D20</f>
        <v>23730410.882067244</v>
      </c>
      <c r="F20" s="92">
        <f>SUM(F8:F19)</f>
        <v>18334765.425604343</v>
      </c>
      <c r="G20" s="92">
        <f>SUM(G8:G19)</f>
        <v>3245292</v>
      </c>
      <c r="H20" s="92">
        <f>SUM(H8:H19)</f>
        <v>2911048.456462902</v>
      </c>
      <c r="I20" s="92">
        <f>SUM(I8:I19)</f>
        <v>21245813.882067252</v>
      </c>
      <c r="J20" s="92"/>
    </row>
    <row r="21" spans="1:10" x14ac:dyDescent="0.2">
      <c r="A21" t="s">
        <v>25</v>
      </c>
      <c r="B21" s="92"/>
      <c r="C21" s="92"/>
      <c r="D21" s="92"/>
      <c r="E21" s="92"/>
      <c r="F21" s="92"/>
      <c r="G21" s="92"/>
      <c r="H21" s="92"/>
      <c r="I21" s="92"/>
      <c r="J21" s="92"/>
    </row>
    <row r="22" spans="1:10" x14ac:dyDescent="0.2">
      <c r="A22" t="s">
        <v>152</v>
      </c>
      <c r="B22" s="92">
        <f>+J19</f>
        <v>2484597</v>
      </c>
      <c r="C22" s="92">
        <v>1715917.39</v>
      </c>
      <c r="D22" s="93">
        <f>(304.139+0+1857.275+41.55)*2.204622</f>
        <v>4856.7028996080007</v>
      </c>
      <c r="E22" s="92">
        <f t="shared" ref="E22:E33" si="4">SUM(B22:D22)</f>
        <v>4205371.0928996075</v>
      </c>
      <c r="F22" s="92">
        <f t="shared" ref="F22:F33" si="5">I22-H22</f>
        <v>1678766.2555530276</v>
      </c>
      <c r="G22" s="92">
        <v>295300</v>
      </c>
      <c r="H22" s="92">
        <f>(51222.672+177.43+9182.563+2069.725)*2.204622</f>
        <v>138124.83734658</v>
      </c>
      <c r="I22" s="92">
        <f t="shared" ref="I22:I33" si="6">(E22-J22)</f>
        <v>1816891.0928996075</v>
      </c>
      <c r="J22" s="92">
        <f>2085380+303100</f>
        <v>2388480</v>
      </c>
    </row>
    <row r="23" spans="1:10" x14ac:dyDescent="0.2">
      <c r="A23" t="s">
        <v>153</v>
      </c>
      <c r="B23" s="92">
        <f>+J22</f>
        <v>2388480</v>
      </c>
      <c r="C23" s="92">
        <v>1622851</v>
      </c>
      <c r="D23" s="93">
        <f>(604.375+0+3570.334+38.998)*2.204622</f>
        <v>9289.6311537539987</v>
      </c>
      <c r="E23" s="92">
        <f t="shared" si="4"/>
        <v>4020620.631153754</v>
      </c>
      <c r="F23" s="92">
        <f t="shared" si="5"/>
        <v>1399292.377169108</v>
      </c>
      <c r="G23" s="92">
        <v>252352</v>
      </c>
      <c r="H23" s="92">
        <f>(29089.97+577.345+10422.587+6333.591)*2.204622</f>
        <v>102346.25398464601</v>
      </c>
      <c r="I23" s="92">
        <f t="shared" si="6"/>
        <v>1501638.631153754</v>
      </c>
      <c r="J23" s="92">
        <f>2187355+331627</f>
        <v>2518982</v>
      </c>
    </row>
    <row r="24" spans="1:10" x14ac:dyDescent="0.2">
      <c r="A24" t="s">
        <v>154</v>
      </c>
      <c r="B24" s="92">
        <f t="shared" ref="B24:B33" si="7">+J23</f>
        <v>2518982</v>
      </c>
      <c r="C24" s="92">
        <v>1596985.45</v>
      </c>
      <c r="D24" s="93">
        <f>(497.39+0+981.587+25.924)*2.204622</f>
        <v>3317.7378524219998</v>
      </c>
      <c r="E24" s="92">
        <f t="shared" si="4"/>
        <v>4119285.1878524222</v>
      </c>
      <c r="F24" s="92">
        <f t="shared" si="5"/>
        <v>1369809.8572877583</v>
      </c>
      <c r="G24" s="92">
        <v>207000</v>
      </c>
      <c r="H24" s="92">
        <f>(37780.09+289.968+12514.072+3804.482)*2.204622</f>
        <v>119906.33056466399</v>
      </c>
      <c r="I24" s="92">
        <f t="shared" si="6"/>
        <v>1489716.1878524222</v>
      </c>
      <c r="J24" s="92">
        <f>2342799+286770</f>
        <v>2629569</v>
      </c>
    </row>
    <row r="25" spans="1:10" x14ac:dyDescent="0.2">
      <c r="A25" t="s">
        <v>155</v>
      </c>
      <c r="B25" s="92">
        <f t="shared" si="7"/>
        <v>2629569</v>
      </c>
      <c r="C25" s="92">
        <v>1615100</v>
      </c>
      <c r="D25" s="93">
        <f>(1536.629+40.316+2587.048+44.653)*2.204622</f>
        <v>9278.4735618119994</v>
      </c>
      <c r="E25" s="92">
        <f t="shared" si="4"/>
        <v>4253947.4735618122</v>
      </c>
      <c r="F25" s="92">
        <f t="shared" si="5"/>
        <v>1165212.7657604923</v>
      </c>
      <c r="G25" s="92">
        <v>133300</v>
      </c>
      <c r="H25" s="92">
        <f>(28406.049+359.873+13832.241+1143.897)*2.204622</f>
        <v>96434.707801319993</v>
      </c>
      <c r="I25" s="92">
        <f t="shared" si="6"/>
        <v>1261647.4735618122</v>
      </c>
      <c r="J25" s="92">
        <f>2692700+299600</f>
        <v>2992300</v>
      </c>
    </row>
    <row r="26" spans="1:10" x14ac:dyDescent="0.2">
      <c r="A26" t="s">
        <v>156</v>
      </c>
      <c r="B26" s="92">
        <f t="shared" si="7"/>
        <v>2992300</v>
      </c>
      <c r="C26" s="92">
        <v>1536100</v>
      </c>
      <c r="D26" s="93">
        <f>(3593.173+0+956.056+33.472)*2.204622</f>
        <v>10103.123444021998</v>
      </c>
      <c r="E26" s="92">
        <f t="shared" si="4"/>
        <v>4538503.1234440217</v>
      </c>
      <c r="F26" s="92">
        <f t="shared" si="5"/>
        <v>1268509.7823942716</v>
      </c>
      <c r="G26" s="92">
        <v>148100</v>
      </c>
      <c r="H26" s="92">
        <f>(58139.861+688.723+5555.492+1792.049)*2.204622</f>
        <v>145893.34104975002</v>
      </c>
      <c r="I26" s="92">
        <f t="shared" si="6"/>
        <v>1414403.1234440217</v>
      </c>
      <c r="J26" s="92">
        <f>2816900+307200</f>
        <v>3124100</v>
      </c>
    </row>
    <row r="27" spans="1:10" x14ac:dyDescent="0.2">
      <c r="A27" t="s">
        <v>157</v>
      </c>
      <c r="B27" s="92">
        <f t="shared" si="7"/>
        <v>3124100</v>
      </c>
      <c r="C27" s="92">
        <v>1636000</v>
      </c>
      <c r="D27" s="93">
        <f>(3560.135+0+1058.012+62.614)*2.204622</f>
        <v>10319.308677342</v>
      </c>
      <c r="E27" s="92">
        <f t="shared" si="4"/>
        <v>4770419.3086773418</v>
      </c>
      <c r="F27" s="92">
        <f t="shared" si="5"/>
        <v>1417531.8594100478</v>
      </c>
      <c r="G27" s="92">
        <v>107400</v>
      </c>
      <c r="H27" s="92">
        <f>(53146.805+1764.707+17647.615+599.65)*2.204622</f>
        <v>161287.449267294</v>
      </c>
      <c r="I27" s="92">
        <f t="shared" si="6"/>
        <v>1578819.3086773418</v>
      </c>
      <c r="J27" s="92">
        <f>2904200+287400</f>
        <v>3191600</v>
      </c>
    </row>
    <row r="28" spans="1:10" x14ac:dyDescent="0.2">
      <c r="A28" t="s">
        <v>158</v>
      </c>
      <c r="B28" s="92">
        <f t="shared" si="7"/>
        <v>3191600</v>
      </c>
      <c r="C28" s="92">
        <v>1596000</v>
      </c>
      <c r="D28" s="93">
        <f>(1988.682+0+2794.493+40.217)*2.204622</f>
        <v>10633.756117823999</v>
      </c>
      <c r="E28" s="92">
        <f t="shared" si="4"/>
        <v>4798233.7561178245</v>
      </c>
      <c r="F28" s="92">
        <f t="shared" si="5"/>
        <v>1168516.9944416145</v>
      </c>
      <c r="G28" s="92">
        <v>98500</v>
      </c>
      <c r="H28" s="92">
        <f>(146874.998+2425.446+8043.284+1557.327)*2.204622</f>
        <v>350316.76167620998</v>
      </c>
      <c r="I28" s="92">
        <f t="shared" si="6"/>
        <v>1518833.7561178245</v>
      </c>
      <c r="J28" s="92">
        <f>2975600+303800</f>
        <v>3279400</v>
      </c>
    </row>
    <row r="29" spans="1:10" x14ac:dyDescent="0.2">
      <c r="A29" t="s">
        <v>159</v>
      </c>
      <c r="B29" s="92">
        <f t="shared" si="7"/>
        <v>3279400</v>
      </c>
      <c r="C29" s="92">
        <v>1683200</v>
      </c>
      <c r="D29" s="93">
        <f>(154.604+0+1197.699+48.122)*2.204622</f>
        <v>3087.4077643500004</v>
      </c>
      <c r="E29" s="92">
        <f t="shared" si="4"/>
        <v>4965687.4077643501</v>
      </c>
      <c r="F29" s="92">
        <f t="shared" si="5"/>
        <v>1349041.2581661821</v>
      </c>
      <c r="G29" s="92">
        <v>98600</v>
      </c>
      <c r="H29" s="92">
        <f>(120537.774+364.018+4746.998+394.654)*2.204622</f>
        <v>277878.14959816803</v>
      </c>
      <c r="I29" s="92">
        <f t="shared" si="6"/>
        <v>1626919.4077643501</v>
      </c>
      <c r="J29" s="92">
        <f>3034747+304021</f>
        <v>3338768</v>
      </c>
    </row>
    <row r="30" spans="1:10" x14ac:dyDescent="0.2">
      <c r="A30" t="s">
        <v>163</v>
      </c>
      <c r="B30" s="92">
        <f t="shared" si="7"/>
        <v>3338768</v>
      </c>
      <c r="C30" s="92">
        <v>1604322</v>
      </c>
      <c r="D30" s="93">
        <f>(661.038+0+1409.601+57.432)*2.204622</f>
        <v>4691.5921441620003</v>
      </c>
      <c r="E30" s="92">
        <f t="shared" si="4"/>
        <v>4947781.5921441624</v>
      </c>
      <c r="F30" s="92">
        <f t="shared" si="5"/>
        <v>1330976.6914283345</v>
      </c>
      <c r="G30" s="92">
        <v>118300</v>
      </c>
      <c r="H30" s="92">
        <f>(31859.73+272.159+6022.843+1083.242)*2.204622</f>
        <v>86504.900715827986</v>
      </c>
      <c r="I30" s="92">
        <f t="shared" si="6"/>
        <v>1417481.5921441624</v>
      </c>
      <c r="J30" s="92">
        <f>3237500+292800</f>
        <v>3530300</v>
      </c>
    </row>
    <row r="31" spans="1:10" x14ac:dyDescent="0.2">
      <c r="A31" t="s">
        <v>164</v>
      </c>
      <c r="B31" s="92">
        <f t="shared" si="7"/>
        <v>3530300</v>
      </c>
      <c r="C31" s="92">
        <v>1469173</v>
      </c>
      <c r="D31" s="93">
        <f>(1662.807+19.232+1933.299+42.877)*2.204622</f>
        <v>8064.9812697299994</v>
      </c>
      <c r="E31" s="92">
        <f t="shared" si="4"/>
        <v>5007537.9812697303</v>
      </c>
      <c r="F31" s="92">
        <f t="shared" si="5"/>
        <v>1311025.9340922562</v>
      </c>
      <c r="G31" s="92">
        <v>164300</v>
      </c>
      <c r="H31" s="92">
        <f>(91435.885+1566.022+18237.393+1075.667)*2.204622</f>
        <v>247612.04717747399</v>
      </c>
      <c r="I31" s="92">
        <f t="shared" si="6"/>
        <v>1558637.9812697303</v>
      </c>
      <c r="J31" s="92">
        <f>3148700+300200</f>
        <v>3448900</v>
      </c>
    </row>
    <row r="32" spans="1:10" x14ac:dyDescent="0.2">
      <c r="A32" t="s">
        <v>165</v>
      </c>
      <c r="B32" s="92">
        <f t="shared" si="7"/>
        <v>3448900</v>
      </c>
      <c r="C32" s="92">
        <v>1369400</v>
      </c>
      <c r="D32" s="93">
        <f>(1577.742+0+1962.82+40.733)*2.204622</f>
        <v>7895.4017454900004</v>
      </c>
      <c r="E32" s="92">
        <f t="shared" si="4"/>
        <v>4826195.4017454898</v>
      </c>
      <c r="F32" s="92">
        <f t="shared" si="5"/>
        <v>1389256.9479060697</v>
      </c>
      <c r="G32" s="92">
        <v>174800</v>
      </c>
      <c r="H32" s="92">
        <f>(129590.498+60.432+7192.973+566.707)*2.204622</f>
        <v>302938.45383942005</v>
      </c>
      <c r="I32" s="92">
        <f t="shared" si="6"/>
        <v>1692195.4017454898</v>
      </c>
      <c r="J32" s="92">
        <f>2863900+270100</f>
        <v>3134000</v>
      </c>
    </row>
    <row r="33" spans="1:10" x14ac:dyDescent="0.2">
      <c r="A33" t="s">
        <v>151</v>
      </c>
      <c r="B33" s="92">
        <f t="shared" si="7"/>
        <v>3134000</v>
      </c>
      <c r="C33" s="92">
        <v>1299919</v>
      </c>
      <c r="D33" s="93">
        <f>(1109.021+0+2487.315+50.252)*2.204622</f>
        <v>8039.3481297360004</v>
      </c>
      <c r="E33" s="92">
        <f t="shared" si="4"/>
        <v>4441958.3481297363</v>
      </c>
      <c r="F33" s="92">
        <f t="shared" si="5"/>
        <v>1417263.1611772263</v>
      </c>
      <c r="G33" s="92">
        <v>223000</v>
      </c>
      <c r="H33" s="92">
        <f>(62943.533+116.282+11084.385+333.505)*2.204622</f>
        <v>164195.18695251</v>
      </c>
      <c r="I33" s="92">
        <f t="shared" si="6"/>
        <v>1581458.3481297363</v>
      </c>
      <c r="J33" s="92">
        <f>2612500+248000</f>
        <v>2860500</v>
      </c>
    </row>
    <row r="34" spans="1:10" x14ac:dyDescent="0.2">
      <c r="A34" t="s">
        <v>145</v>
      </c>
      <c r="B34" s="92"/>
      <c r="C34" s="92">
        <f>SUM(C22:C33)</f>
        <v>18744967.84</v>
      </c>
      <c r="D34" s="93">
        <f>SUM(D22:D33)</f>
        <v>89577.464760251984</v>
      </c>
      <c r="E34" s="92">
        <f>B22+C34+D34</f>
        <v>21319142.304760251</v>
      </c>
      <c r="F34" s="92">
        <f>SUM(F22:F33)</f>
        <v>16265203.88478639</v>
      </c>
      <c r="G34" s="92">
        <f>SUM(G22:G33)</f>
        <v>2020952</v>
      </c>
      <c r="H34" s="92">
        <f>SUM(H22:H33)</f>
        <v>2193438.4199738642</v>
      </c>
      <c r="I34" s="92">
        <f>SUM(I22:I33)</f>
        <v>18458642.304760247</v>
      </c>
      <c r="J34" s="92"/>
    </row>
    <row r="35" spans="1:10" x14ac:dyDescent="0.2">
      <c r="A35" s="22" t="s">
        <v>26</v>
      </c>
      <c r="B35" s="92"/>
      <c r="C35" s="92"/>
      <c r="D35" s="92"/>
      <c r="E35" s="92"/>
      <c r="F35" s="92"/>
      <c r="G35" s="92"/>
      <c r="H35" s="92"/>
      <c r="I35" s="92"/>
      <c r="J35" s="92"/>
    </row>
    <row r="36" spans="1:10" x14ac:dyDescent="0.2">
      <c r="A36" t="s">
        <v>152</v>
      </c>
      <c r="B36" s="92">
        <f>+J33</f>
        <v>2860500</v>
      </c>
      <c r="C36" s="92">
        <v>1825200</v>
      </c>
      <c r="D36" s="93">
        <f>(1010.118+18.316+2158.748+28.092)*2.204622</f>
        <v>7088.463796428</v>
      </c>
      <c r="E36" s="92">
        <f t="shared" ref="E36:E47" si="8">SUM(B36:D36)</f>
        <v>4692788.4637964284</v>
      </c>
      <c r="F36" s="92">
        <f t="shared" ref="F36:F47" si="9">I36-H36</f>
        <v>1551272.5219528244</v>
      </c>
      <c r="G36" s="92">
        <v>246800</v>
      </c>
      <c r="H36" s="92">
        <f>(136262.536+118.268+13549.491+719.087)*2.204622</f>
        <v>332124.94184360403</v>
      </c>
      <c r="I36" s="92">
        <f t="shared" ref="I36:I47" si="10">(E36-J36)</f>
        <v>1883397.4637964284</v>
      </c>
      <c r="J36" s="92">
        <f>2547700+261691</f>
        <v>2809391</v>
      </c>
    </row>
    <row r="37" spans="1:10" x14ac:dyDescent="0.2">
      <c r="A37" t="s">
        <v>153</v>
      </c>
      <c r="B37" s="92">
        <f>+J36</f>
        <v>2809391</v>
      </c>
      <c r="C37" s="92">
        <v>1853955</v>
      </c>
      <c r="D37" s="93">
        <f>(1661.49+0+2673.529+33.209)*2.204622</f>
        <v>9630.291549816</v>
      </c>
      <c r="E37" s="92">
        <f t="shared" si="8"/>
        <v>4672976.2915498158</v>
      </c>
      <c r="F37" s="92">
        <f t="shared" si="9"/>
        <v>1441405.8450678037</v>
      </c>
      <c r="G37" s="92">
        <v>239388</v>
      </c>
      <c r="H37" s="92">
        <f>(89018.672+137.192+19472.689+719.193)*2.204622</f>
        <v>241070.44648201202</v>
      </c>
      <c r="I37" s="92">
        <f t="shared" si="10"/>
        <v>1682476.2915498158</v>
      </c>
      <c r="J37" s="92">
        <f>2712000+278500</f>
        <v>2990500</v>
      </c>
    </row>
    <row r="38" spans="1:10" x14ac:dyDescent="0.2">
      <c r="A38" t="s">
        <v>154</v>
      </c>
      <c r="B38" s="92">
        <f t="shared" ref="B38:B47" si="11">+J37</f>
        <v>2990500</v>
      </c>
      <c r="C38" s="92">
        <v>1898259</v>
      </c>
      <c r="D38" s="93">
        <f>(2580.323+0+2004.798+39.532)*2.204622</f>
        <v>10195.611746166001</v>
      </c>
      <c r="E38" s="92">
        <f t="shared" si="8"/>
        <v>4898954.6117461659</v>
      </c>
      <c r="F38" s="92">
        <f t="shared" si="9"/>
        <v>1358145.2441907439</v>
      </c>
      <c r="G38" s="92">
        <v>236991</v>
      </c>
      <c r="H38" s="92">
        <f>(156263.077+348.372+20319.023+110.929)*2.204622</f>
        <v>390309.36755542207</v>
      </c>
      <c r="I38" s="92">
        <f t="shared" si="10"/>
        <v>1748454.6117461659</v>
      </c>
      <c r="J38" s="92">
        <f>2874700+275800</f>
        <v>3150500</v>
      </c>
    </row>
    <row r="39" spans="1:10" x14ac:dyDescent="0.2">
      <c r="A39" t="s">
        <v>155</v>
      </c>
      <c r="B39" s="92">
        <f t="shared" si="11"/>
        <v>3150500</v>
      </c>
      <c r="C39" s="92">
        <v>1844855.74</v>
      </c>
      <c r="D39" s="93">
        <f>(3823.805+19.232+2332.103+38.917)*2.204622</f>
        <v>13699.646771453999</v>
      </c>
      <c r="E39" s="92">
        <f t="shared" si="8"/>
        <v>5009055.3867714545</v>
      </c>
      <c r="F39" s="92">
        <f t="shared" si="9"/>
        <v>1273502.9440347764</v>
      </c>
      <c r="G39" s="92">
        <v>93713</v>
      </c>
      <c r="H39" s="92">
        <f>(215338.815+218.674+17017.503+509.157)*2.204622</f>
        <v>513862.44273667806</v>
      </c>
      <c r="I39" s="92">
        <f t="shared" si="10"/>
        <v>1787365.3867714545</v>
      </c>
      <c r="J39" s="92">
        <f>2936532+285158</f>
        <v>3221690</v>
      </c>
    </row>
    <row r="40" spans="1:10" x14ac:dyDescent="0.2">
      <c r="A40" t="s">
        <v>156</v>
      </c>
      <c r="B40" s="92">
        <f t="shared" si="11"/>
        <v>3221690</v>
      </c>
      <c r="C40" s="92">
        <v>1690098</v>
      </c>
      <c r="D40" s="93">
        <f>(3429.108+0+2817.937+14.07)*2.204622</f>
        <v>13803.391873529999</v>
      </c>
      <c r="E40" s="92">
        <f t="shared" si="8"/>
        <v>4925591.3918735301</v>
      </c>
      <c r="F40" s="92">
        <f t="shared" si="9"/>
        <v>1230361.0815909239</v>
      </c>
      <c r="G40" s="92">
        <v>109518</v>
      </c>
      <c r="H40" s="92">
        <f>(162903.453+1648.061+16359.722+315.437)*2.204622</f>
        <v>399536.31028260605</v>
      </c>
      <c r="I40" s="92">
        <f t="shared" si="10"/>
        <v>1629897.3918735301</v>
      </c>
      <c r="J40" s="92">
        <f>2994436+301258</f>
        <v>3295694</v>
      </c>
    </row>
    <row r="41" spans="1:10" x14ac:dyDescent="0.2">
      <c r="A41" t="s">
        <v>157</v>
      </c>
      <c r="B41" s="92">
        <f t="shared" si="11"/>
        <v>3295694</v>
      </c>
      <c r="C41" s="92">
        <v>1727705.71</v>
      </c>
      <c r="D41" s="93">
        <f>(280.052+9.2+1634.291+37.674)*2.204622</f>
        <v>4323.7421449739995</v>
      </c>
      <c r="E41" s="92">
        <f t="shared" si="8"/>
        <v>5027723.4521449739</v>
      </c>
      <c r="F41" s="92">
        <f t="shared" si="9"/>
        <v>1302040.5546392901</v>
      </c>
      <c r="G41" s="92">
        <v>133736</v>
      </c>
      <c r="H41" s="92">
        <f>(155132.552+3115.466+26389.549+444.455)*2.204622</f>
        <v>408035.89750568394</v>
      </c>
      <c r="I41" s="92">
        <f t="shared" si="10"/>
        <v>1710076.4521449739</v>
      </c>
      <c r="J41" s="92">
        <f>3048158+269489</f>
        <v>3317647</v>
      </c>
    </row>
    <row r="42" spans="1:10" x14ac:dyDescent="0.2">
      <c r="A42" t="s">
        <v>158</v>
      </c>
      <c r="B42" s="92">
        <f t="shared" si="11"/>
        <v>3317647</v>
      </c>
      <c r="C42" s="92">
        <v>1518120.3</v>
      </c>
      <c r="D42" s="93">
        <f>(1286.61+19.232+2435.488+34.22)*2.204622</f>
        <v>8323.6605920999991</v>
      </c>
      <c r="E42" s="92">
        <f t="shared" si="8"/>
        <v>4844090.9605920995</v>
      </c>
      <c r="F42" s="92">
        <f t="shared" si="9"/>
        <v>1281297.1265738034</v>
      </c>
      <c r="G42" s="92">
        <v>123179</v>
      </c>
      <c r="H42" s="92">
        <f>(53994.097+3563.62+9115.195+459.156)*2.204622</f>
        <v>148000.83401829604</v>
      </c>
      <c r="I42" s="92">
        <f t="shared" si="10"/>
        <v>1429297.9605920995</v>
      </c>
      <c r="J42" s="92">
        <f>3151812+262981</f>
        <v>3414793</v>
      </c>
    </row>
    <row r="43" spans="1:10" x14ac:dyDescent="0.2">
      <c r="A43" t="s">
        <v>159</v>
      </c>
      <c r="B43" s="92">
        <f t="shared" si="11"/>
        <v>3414793</v>
      </c>
      <c r="C43" s="92">
        <v>1481564.85</v>
      </c>
      <c r="D43" s="93">
        <f>(270.003+0+4582.288+31.136)*2.204622</f>
        <v>10766.110599594</v>
      </c>
      <c r="E43" s="92">
        <f t="shared" si="8"/>
        <v>4907123.9605995938</v>
      </c>
      <c r="F43" s="92">
        <f t="shared" si="9"/>
        <v>1307987.4361170598</v>
      </c>
      <c r="G43" s="92">
        <v>102602</v>
      </c>
      <c r="H43" s="92">
        <f>(25541.158+243.825+8816.729+424.485)*2.204622</f>
        <v>77219.524482534005</v>
      </c>
      <c r="I43" s="92">
        <f t="shared" si="10"/>
        <v>1385206.9605995938</v>
      </c>
      <c r="J43" s="92">
        <f>3237012+284905</f>
        <v>3521917</v>
      </c>
    </row>
    <row r="44" spans="1:10" x14ac:dyDescent="0.2">
      <c r="A44" t="s">
        <v>163</v>
      </c>
      <c r="B44" s="92">
        <f t="shared" si="11"/>
        <v>3521917</v>
      </c>
      <c r="C44" s="92">
        <v>1442238.9</v>
      </c>
      <c r="D44" s="93">
        <f>(215.463+0+2268.523+28.2)*2.204622</f>
        <v>5538.4205236920006</v>
      </c>
      <c r="E44" s="92">
        <f t="shared" si="8"/>
        <v>4969694.3205236923</v>
      </c>
      <c r="F44" s="92">
        <f t="shared" si="9"/>
        <v>1243152.4655536884</v>
      </c>
      <c r="G44" s="92">
        <v>94804</v>
      </c>
      <c r="H44" s="92">
        <f>(43654.64+298.281+14165.984+421.677)*2.204622</f>
        <v>129059.85497000402</v>
      </c>
      <c r="I44" s="92">
        <f t="shared" si="10"/>
        <v>1372212.3205236923</v>
      </c>
      <c r="J44" s="92">
        <f>3297846+299636</f>
        <v>3597482</v>
      </c>
    </row>
    <row r="45" spans="1:10" x14ac:dyDescent="0.2">
      <c r="A45" t="s">
        <v>164</v>
      </c>
      <c r="B45" s="92">
        <f t="shared" si="11"/>
        <v>3597482</v>
      </c>
      <c r="C45" s="92">
        <v>1440451.02</v>
      </c>
      <c r="D45" s="93">
        <f>(139.41+12+2598.508+32.316)*2.204622</f>
        <v>6133.7742855479992</v>
      </c>
      <c r="E45" s="92">
        <f t="shared" si="8"/>
        <v>5044066.7942855479</v>
      </c>
      <c r="F45" s="92">
        <f t="shared" si="9"/>
        <v>1270650.8633366758</v>
      </c>
      <c r="G45" s="92">
        <v>103575</v>
      </c>
      <c r="H45" s="92">
        <f>(73854.937+167.281+7144.5+184.158)*2.204622</f>
        <v>179347.930948872</v>
      </c>
      <c r="I45" s="92">
        <f t="shared" si="10"/>
        <v>1449998.7942855479</v>
      </c>
      <c r="J45" s="92">
        <f>3312471+281597</f>
        <v>3594068</v>
      </c>
    </row>
    <row r="46" spans="1:10" x14ac:dyDescent="0.2">
      <c r="A46" t="s">
        <v>165</v>
      </c>
      <c r="B46" s="92">
        <f t="shared" si="11"/>
        <v>3594068</v>
      </c>
      <c r="C46" s="92">
        <v>1418447.8</v>
      </c>
      <c r="D46" s="93">
        <f>(162.42+0+3548.555+22.157)*2.204622</f>
        <v>8230.1449361040013</v>
      </c>
      <c r="E46" s="92">
        <f t="shared" si="8"/>
        <v>5020745.9449361041</v>
      </c>
      <c r="F46" s="92">
        <f t="shared" si="9"/>
        <v>1317294.1507550301</v>
      </c>
      <c r="G46" s="92">
        <v>95755</v>
      </c>
      <c r="H46" s="92">
        <f>(155958.77+85.878+9452.7+341.419)*2.204622</f>
        <v>365611.79418107402</v>
      </c>
      <c r="I46" s="92">
        <f t="shared" si="10"/>
        <v>1682905.9449361041</v>
      </c>
      <c r="J46" s="92">
        <f>3081425+256415</f>
        <v>3337840</v>
      </c>
    </row>
    <row r="47" spans="1:10" x14ac:dyDescent="0.2">
      <c r="A47" t="s">
        <v>151</v>
      </c>
      <c r="B47" s="92">
        <f t="shared" si="11"/>
        <v>3337840</v>
      </c>
      <c r="C47" s="92">
        <v>1474417.2</v>
      </c>
      <c r="D47" s="93">
        <f>(166.571+7+1986.609+38.086)*2.204622</f>
        <v>4846.3455854519998</v>
      </c>
      <c r="E47" s="92">
        <f t="shared" si="8"/>
        <v>4817103.5455854526</v>
      </c>
      <c r="F47" s="92">
        <f t="shared" si="9"/>
        <v>1236835.9198885367</v>
      </c>
      <c r="G47" s="92">
        <v>96341.000000000015</v>
      </c>
      <c r="H47" s="92">
        <f>(70158.916+94.777+8598.87+293.715)*2.204622</f>
        <v>174487.62569691599</v>
      </c>
      <c r="I47" s="92">
        <f t="shared" si="10"/>
        <v>1411323.5455854526</v>
      </c>
      <c r="J47" s="92">
        <f>3127263+278517</f>
        <v>3405780</v>
      </c>
    </row>
    <row r="48" spans="1:10" x14ac:dyDescent="0.2">
      <c r="A48" t="s">
        <v>145</v>
      </c>
      <c r="B48" s="92"/>
      <c r="C48" s="92">
        <f>SUM(C36:C47)</f>
        <v>19615313.52</v>
      </c>
      <c r="D48" s="93">
        <f>SUM(D36:D47)</f>
        <v>102579.60440485799</v>
      </c>
      <c r="E48" s="92">
        <f>B36+C48+D48</f>
        <v>22578393.124404859</v>
      </c>
      <c r="F48" s="92">
        <f>SUM(F36:F47)</f>
        <v>15813946.153701156</v>
      </c>
      <c r="G48" s="92">
        <f>SUM(G36:G47)</f>
        <v>1676402</v>
      </c>
      <c r="H48" s="92">
        <f>SUM(H36:H47)</f>
        <v>3358666.970703702</v>
      </c>
      <c r="I48" s="92">
        <f>SUM(I36:I47)</f>
        <v>19172613.124404859</v>
      </c>
      <c r="J48" s="92"/>
    </row>
    <row r="49" spans="1:10" x14ac:dyDescent="0.2">
      <c r="A49" s="22" t="s">
        <v>27</v>
      </c>
      <c r="B49" s="92"/>
      <c r="C49" s="92"/>
      <c r="D49" s="92"/>
      <c r="E49" s="92"/>
      <c r="F49" s="92"/>
      <c r="G49" s="92"/>
      <c r="H49" s="92"/>
      <c r="I49" s="92"/>
      <c r="J49" s="92"/>
    </row>
    <row r="50" spans="1:10" x14ac:dyDescent="0.2">
      <c r="A50" t="s">
        <v>152</v>
      </c>
      <c r="B50" s="92">
        <f>+J47</f>
        <v>3405780</v>
      </c>
      <c r="C50" s="92">
        <v>1790543.39</v>
      </c>
      <c r="D50" s="93">
        <f>(819.417+0+2665.457+34.172)*2.204622</f>
        <v>7758.1662306119997</v>
      </c>
      <c r="E50" s="92">
        <f t="shared" ref="E50:E61" si="12">SUM(B50:D50)</f>
        <v>5204081.5562306121</v>
      </c>
      <c r="F50" s="92">
        <f t="shared" ref="F50:F61" si="13">I50-H50</f>
        <v>1478813.626352526</v>
      </c>
      <c r="G50" s="92">
        <v>105000</v>
      </c>
      <c r="H50" s="92">
        <f>(179782.844+95.695+19259.311+581.163)*2.204622</f>
        <v>440304.92987808608</v>
      </c>
      <c r="I50" s="92">
        <f t="shared" ref="I50:I61" si="14">(E50-J50)</f>
        <v>1919118.5562306121</v>
      </c>
      <c r="J50" s="92">
        <f>3010655+274308</f>
        <v>3284963</v>
      </c>
    </row>
    <row r="51" spans="1:10" x14ac:dyDescent="0.2">
      <c r="A51" t="s">
        <v>153</v>
      </c>
      <c r="B51" s="92">
        <f>+J50</f>
        <v>3284963</v>
      </c>
      <c r="C51" s="92">
        <v>1771201.2</v>
      </c>
      <c r="D51" s="93">
        <f>(4839.373+0+3066.841+7.64)*2.204622</f>
        <v>17447.056633188</v>
      </c>
      <c r="E51" s="92">
        <f t="shared" si="12"/>
        <v>5073611.2566331886</v>
      </c>
      <c r="F51" s="92">
        <f t="shared" si="13"/>
        <v>1291619.1662994465</v>
      </c>
      <c r="G51" s="92">
        <v>73000</v>
      </c>
      <c r="H51" s="92">
        <f>(181206.649+3502.407+11373.843+104.062)*2.204622</f>
        <v>432518.09033374203</v>
      </c>
      <c r="I51" s="92">
        <f t="shared" si="14"/>
        <v>1724137.2566331886</v>
      </c>
      <c r="J51" s="92">
        <f>3049295+300179</f>
        <v>3349474</v>
      </c>
    </row>
    <row r="52" spans="1:10" x14ac:dyDescent="0.2">
      <c r="A52" t="s">
        <v>154</v>
      </c>
      <c r="B52" s="92">
        <f t="shared" ref="B52:B61" si="15">+J51</f>
        <v>3349474</v>
      </c>
      <c r="C52" s="92">
        <v>1731506.15</v>
      </c>
      <c r="D52" s="93">
        <f>(5320.398+0+2940.72+11.44)*2.204622</f>
        <v>18237.863363076001</v>
      </c>
      <c r="E52" s="92">
        <f t="shared" si="12"/>
        <v>5099218.0133630764</v>
      </c>
      <c r="F52" s="92">
        <f t="shared" si="13"/>
        <v>1172812.3896944083</v>
      </c>
      <c r="G52" s="92">
        <v>63000</v>
      </c>
      <c r="H52" s="92">
        <f>(152901.749+2637.656+23212.57+174.219)*2.204622</f>
        <v>394464.62366866803</v>
      </c>
      <c r="I52" s="92">
        <f t="shared" si="14"/>
        <v>1567277.0133630764</v>
      </c>
      <c r="J52" s="92">
        <f>3220826+311115</f>
        <v>3531941</v>
      </c>
    </row>
    <row r="53" spans="1:10" x14ac:dyDescent="0.2">
      <c r="A53" t="s">
        <v>155</v>
      </c>
      <c r="B53" s="92">
        <f t="shared" si="15"/>
        <v>3531941</v>
      </c>
      <c r="C53" s="92">
        <v>1722940</v>
      </c>
      <c r="D53" s="93">
        <f>(3291.981+0+3254.544+0.2)*2.204622</f>
        <v>14433.05396295</v>
      </c>
      <c r="E53" s="92">
        <f t="shared" si="12"/>
        <v>5269314.0539629497</v>
      </c>
      <c r="F53" s="92">
        <f t="shared" si="13"/>
        <v>1387659.7552331097</v>
      </c>
      <c r="G53" s="92">
        <v>150000</v>
      </c>
      <c r="H53" s="92">
        <f>(202239.121+77.38+9067.088+108.131)*2.204622</f>
        <v>466259.29872984003</v>
      </c>
      <c r="I53" s="92">
        <f t="shared" si="14"/>
        <v>1853919.0539629497</v>
      </c>
      <c r="J53" s="92">
        <f>3078691+336704</f>
        <v>3415395</v>
      </c>
    </row>
    <row r="54" spans="1:10" x14ac:dyDescent="0.2">
      <c r="A54" t="s">
        <v>156</v>
      </c>
      <c r="B54" s="92">
        <f t="shared" si="15"/>
        <v>3415395</v>
      </c>
      <c r="C54" s="92">
        <v>1500030</v>
      </c>
      <c r="D54" s="93">
        <f>(3175.423+0+4126.911+5.213)*2.204622</f>
        <v>16110.378882233999</v>
      </c>
      <c r="E54" s="92">
        <f t="shared" si="12"/>
        <v>4931535.378882234</v>
      </c>
      <c r="F54" s="92">
        <f t="shared" si="13"/>
        <v>1254879.7533658119</v>
      </c>
      <c r="G54" s="92">
        <v>150000</v>
      </c>
      <c r="H54" s="92">
        <f>(118832.443+3521.624+13687.893+574.941)*2.204622</f>
        <v>301188.62551642198</v>
      </c>
      <c r="I54" s="92">
        <f t="shared" si="14"/>
        <v>1556068.378882234</v>
      </c>
      <c r="J54" s="92">
        <f>3075062+300405</f>
        <v>3375467</v>
      </c>
    </row>
    <row r="55" spans="1:10" x14ac:dyDescent="0.2">
      <c r="A55" t="s">
        <v>157</v>
      </c>
      <c r="B55" s="92">
        <f t="shared" si="15"/>
        <v>3375467</v>
      </c>
      <c r="C55" s="92">
        <v>1623774</v>
      </c>
      <c r="D55" s="93">
        <f>(1495.313+0+4447.852+1.508)*2.204622</f>
        <v>13105.756878606</v>
      </c>
      <c r="E55" s="92">
        <f t="shared" si="12"/>
        <v>5012346.756878606</v>
      </c>
      <c r="F55" s="92">
        <f t="shared" si="13"/>
        <v>1272407.5298265081</v>
      </c>
      <c r="G55" s="92">
        <v>190000</v>
      </c>
      <c r="H55" s="92">
        <f>(139214.028+79.175+10121.912+337.644)*2.204622</f>
        <v>330148.22705209797</v>
      </c>
      <c r="I55" s="92">
        <f t="shared" si="14"/>
        <v>1602555.756878606</v>
      </c>
      <c r="J55" s="92">
        <f>3109849+299942</f>
        <v>3409791</v>
      </c>
    </row>
    <row r="56" spans="1:10" x14ac:dyDescent="0.2">
      <c r="A56" t="s">
        <v>158</v>
      </c>
      <c r="B56" s="92">
        <f t="shared" si="15"/>
        <v>3409791</v>
      </c>
      <c r="C56" s="92">
        <v>1504598</v>
      </c>
      <c r="D56" s="93">
        <f>(403.164+0+5901.121+1.472)*2.204622</f>
        <v>13901.810608853999</v>
      </c>
      <c r="E56" s="92">
        <f t="shared" si="12"/>
        <v>4928290.8106088536</v>
      </c>
      <c r="F56" s="92">
        <f t="shared" si="13"/>
        <v>1397646.6538427935</v>
      </c>
      <c r="G56" s="92">
        <v>236000</v>
      </c>
      <c r="H56" s="92">
        <f>(75823.413+1139.657+8389.42+184.24)*2.204622</f>
        <v>188576.15676606004</v>
      </c>
      <c r="I56" s="92">
        <f t="shared" si="14"/>
        <v>1586222.8106088536</v>
      </c>
      <c r="J56" s="92">
        <f>3010398+331670</f>
        <v>3342068</v>
      </c>
    </row>
    <row r="57" spans="1:10" x14ac:dyDescent="0.2">
      <c r="A57" t="s">
        <v>159</v>
      </c>
      <c r="B57" s="92">
        <f t="shared" si="15"/>
        <v>3342068</v>
      </c>
      <c r="C57" s="92">
        <v>1491195</v>
      </c>
      <c r="D57" s="93">
        <f>(814.147+0+4736.942+1.724)*2.204622</f>
        <v>12241.853701686001</v>
      </c>
      <c r="E57" s="92">
        <f t="shared" si="12"/>
        <v>4845504.8537016856</v>
      </c>
      <c r="F57" s="92">
        <f t="shared" si="13"/>
        <v>1576493.7764327575</v>
      </c>
      <c r="G57" s="92">
        <v>264000</v>
      </c>
      <c r="H57" s="92">
        <f>(29955.857+1591.942+9839.322+201.903)*2.204622</f>
        <v>91688.077268927998</v>
      </c>
      <c r="I57" s="92">
        <f t="shared" si="14"/>
        <v>1668181.8537016856</v>
      </c>
      <c r="J57" s="92">
        <f>2917354+259969</f>
        <v>3177323</v>
      </c>
    </row>
    <row r="58" spans="1:10" x14ac:dyDescent="0.2">
      <c r="A58" t="s">
        <v>163</v>
      </c>
      <c r="B58" s="92">
        <f t="shared" si="15"/>
        <v>3177323</v>
      </c>
      <c r="C58" s="92">
        <v>1437997</v>
      </c>
      <c r="D58" s="93">
        <f>(374.637+0+5123.419+62.229)*2.204622</f>
        <v>12258.32663727</v>
      </c>
      <c r="E58" s="92">
        <f t="shared" si="12"/>
        <v>4627578.3266372699</v>
      </c>
      <c r="F58" s="92">
        <f t="shared" si="13"/>
        <v>1344828.4075209498</v>
      </c>
      <c r="G58" s="92">
        <v>311000</v>
      </c>
      <c r="H58" s="92">
        <f>(48941.832+1445.761+8302.158+134.809)*2.204622</f>
        <v>129685.91911632002</v>
      </c>
      <c r="I58" s="92">
        <f t="shared" si="14"/>
        <v>1474514.3266372699</v>
      </c>
      <c r="J58" s="92">
        <f>2868184+284880</f>
        <v>3153064</v>
      </c>
    </row>
    <row r="59" spans="1:10" x14ac:dyDescent="0.2">
      <c r="A59" t="s">
        <v>164</v>
      </c>
      <c r="B59" s="92">
        <f t="shared" si="15"/>
        <v>3153064</v>
      </c>
      <c r="C59" s="92">
        <v>1504674</v>
      </c>
      <c r="D59" s="93">
        <f>(257.985+0+4658.192+0)*2.204622</f>
        <v>10838.311970094001</v>
      </c>
      <c r="E59" s="92">
        <f t="shared" si="12"/>
        <v>4668576.3119700942</v>
      </c>
      <c r="F59" s="92">
        <f t="shared" si="13"/>
        <v>1419762.9641650321</v>
      </c>
      <c r="G59" s="92">
        <v>367000</v>
      </c>
      <c r="H59" s="92">
        <f>(45456.366+955.049+7901.32+101.286)*2.204622</f>
        <v>119962.347805062</v>
      </c>
      <c r="I59" s="92">
        <f t="shared" si="14"/>
        <v>1539725.3119700942</v>
      </c>
      <c r="J59" s="92">
        <f>2824308+304543</f>
        <v>3128851</v>
      </c>
    </row>
    <row r="60" spans="1:10" x14ac:dyDescent="0.2">
      <c r="A60" t="s">
        <v>165</v>
      </c>
      <c r="B60" s="92">
        <f t="shared" si="15"/>
        <v>3128851</v>
      </c>
      <c r="C60" s="92">
        <v>1458750</v>
      </c>
      <c r="D60" s="93">
        <f>(121.648+0+5978.907+0.2)*2.204622</f>
        <v>13449.858689610001</v>
      </c>
      <c r="E60" s="92">
        <f t="shared" si="12"/>
        <v>4601050.8586896099</v>
      </c>
      <c r="F60" s="92">
        <f t="shared" si="13"/>
        <v>1618370.370322688</v>
      </c>
      <c r="G60" s="92">
        <v>398000</v>
      </c>
      <c r="H60" s="92">
        <f>(44303.026+126.176+7418.814+141.635)*2.204622</f>
        <v>114617.52836692199</v>
      </c>
      <c r="I60" s="92">
        <f t="shared" si="14"/>
        <v>1732987.89868961</v>
      </c>
      <c r="J60" s="92">
        <v>2868062.96</v>
      </c>
    </row>
    <row r="61" spans="1:10" x14ac:dyDescent="0.2">
      <c r="A61" t="s">
        <v>151</v>
      </c>
      <c r="B61" s="92">
        <f t="shared" si="15"/>
        <v>2868062.96</v>
      </c>
      <c r="C61" s="92">
        <v>1350373.78</v>
      </c>
      <c r="D61" s="93">
        <f>(155.713+0+4024.771+1.119)*2.204622</f>
        <v>9218.853969066</v>
      </c>
      <c r="E61" s="92">
        <f t="shared" si="12"/>
        <v>4227655.5939690666</v>
      </c>
      <c r="F61" s="92">
        <f t="shared" si="13"/>
        <v>1578787.7510764566</v>
      </c>
      <c r="G61" s="92">
        <v>430000</v>
      </c>
      <c r="H61" s="92">
        <f>(94248.522+309.172+6711.905+117.656)*2.204622</f>
        <v>223520.57289261001</v>
      </c>
      <c r="I61" s="92">
        <f t="shared" si="14"/>
        <v>1802308.3239690666</v>
      </c>
      <c r="J61" s="92">
        <v>2425347.27</v>
      </c>
    </row>
    <row r="62" spans="1:10" x14ac:dyDescent="0.2">
      <c r="A62" t="s">
        <v>145</v>
      </c>
      <c r="B62" s="92"/>
      <c r="C62" s="92">
        <f>SUM(C50:C61)</f>
        <v>18887582.520000003</v>
      </c>
      <c r="D62" s="93">
        <f>SUM(D50:D61)</f>
        <v>159001.29152724601</v>
      </c>
      <c r="E62" s="92">
        <f>B50+C62+D62</f>
        <v>22452363.811527248</v>
      </c>
      <c r="F62" s="92">
        <f>SUM(F50:F61)</f>
        <v>16794082.144132487</v>
      </c>
      <c r="G62" s="92">
        <f>SUM(G50:G61)</f>
        <v>2737000</v>
      </c>
      <c r="H62" s="92">
        <f>SUM(H50:H61)</f>
        <v>3232934.3973947582</v>
      </c>
      <c r="I62" s="92">
        <f>SUM(I50:I61)</f>
        <v>20027016.541527245</v>
      </c>
      <c r="J62" s="92"/>
    </row>
    <row r="63" spans="1:10" x14ac:dyDescent="0.2">
      <c r="A63" s="22" t="s">
        <v>32</v>
      </c>
      <c r="C63" s="87"/>
      <c r="D63" s="87"/>
      <c r="E63" s="87"/>
      <c r="F63" s="92"/>
      <c r="G63" s="92"/>
      <c r="H63" s="92"/>
      <c r="I63" s="92"/>
      <c r="J63" s="92"/>
    </row>
    <row r="64" spans="1:10" x14ac:dyDescent="0.2">
      <c r="A64" t="s">
        <v>152</v>
      </c>
      <c r="B64" s="92">
        <v>1854818</v>
      </c>
      <c r="C64" s="92">
        <v>1962937</v>
      </c>
      <c r="D64" s="93">
        <f>(11263.021+0+8383.554+0)*2.204622</f>
        <v>43313.271469650004</v>
      </c>
      <c r="E64" s="92">
        <f>B64+C64+D64</f>
        <v>3861068.2714696499</v>
      </c>
      <c r="F64" s="92">
        <f>I64-H64</f>
        <v>1741066.7282298219</v>
      </c>
      <c r="G64" s="92">
        <v>407750</v>
      </c>
      <c r="H64" s="92">
        <f>(68457.137+168.758+12516.928+337.151)*2.204622</f>
        <v>179632.54323982802</v>
      </c>
      <c r="I64" s="92">
        <f t="shared" ref="I64:I75" si="16">(E64-J64)</f>
        <v>1920699.2714696499</v>
      </c>
      <c r="J64" s="92">
        <f>1569861+370508</f>
        <v>1940369</v>
      </c>
    </row>
    <row r="65" spans="1:10" x14ac:dyDescent="0.2">
      <c r="A65" t="s">
        <v>153</v>
      </c>
      <c r="B65" s="92">
        <f>J64</f>
        <v>1940369</v>
      </c>
      <c r="C65" s="92">
        <v>1901853</v>
      </c>
      <c r="D65" s="93">
        <f>(404.275+20.412+7673.322+0)*2.204622</f>
        <v>17853.048797598</v>
      </c>
      <c r="E65" s="92">
        <f t="shared" ref="E65:E75" si="17">B65+C65+D65</f>
        <v>3860075.0487975981</v>
      </c>
      <c r="F65" s="92">
        <f t="shared" ref="F65:F75" si="18">I65-H65</f>
        <v>1661212.8644706982</v>
      </c>
      <c r="G65" s="92">
        <v>463630</v>
      </c>
      <c r="H65" s="92">
        <f>(96450.176+52.248+8912.495+274.031)*2.204622</f>
        <v>233004.18432690002</v>
      </c>
      <c r="I65" s="92">
        <f t="shared" si="16"/>
        <v>1894217.0487975981</v>
      </c>
      <c r="J65" s="92">
        <f>1545181+420677</f>
        <v>1965858</v>
      </c>
    </row>
    <row r="66" spans="1:10" x14ac:dyDescent="0.2">
      <c r="A66" t="s">
        <v>154</v>
      </c>
      <c r="B66" s="92">
        <f t="shared" ref="B66:B75" si="19">J65</f>
        <v>1965858</v>
      </c>
      <c r="C66" s="92">
        <v>1929027</v>
      </c>
      <c r="D66" s="93">
        <f>(426.012+0+9716.081+0)*2.204622</f>
        <v>22359.481353846004</v>
      </c>
      <c r="E66" s="92">
        <f t="shared" si="17"/>
        <v>3917244.4813538459</v>
      </c>
      <c r="F66" s="92">
        <f t="shared" si="18"/>
        <v>1623989.2890065599</v>
      </c>
      <c r="G66" s="92">
        <v>435620</v>
      </c>
      <c r="H66" s="92">
        <f>(127771.858+163.223+17227.472+325.06)*2.204622</f>
        <v>320745.19234728598</v>
      </c>
      <c r="I66" s="92">
        <f t="shared" si="16"/>
        <v>1944734.4813538459</v>
      </c>
      <c r="J66" s="92">
        <f>1576849+395661</f>
        <v>1972510</v>
      </c>
    </row>
    <row r="67" spans="1:10" x14ac:dyDescent="0.2">
      <c r="A67" t="s">
        <v>155</v>
      </c>
      <c r="B67" s="92">
        <f t="shared" si="19"/>
        <v>1972510</v>
      </c>
      <c r="C67" s="92">
        <v>1864887</v>
      </c>
      <c r="D67" s="93">
        <f>(661.65+0+6999.396+0)*2.204622</f>
        <v>16889.710554612</v>
      </c>
      <c r="E67" s="92">
        <f t="shared" si="17"/>
        <v>3854286.7105546119</v>
      </c>
      <c r="F67" s="92">
        <f t="shared" si="18"/>
        <v>1576553.3936106698</v>
      </c>
      <c r="G67" s="92">
        <v>392270</v>
      </c>
      <c r="H67" s="92">
        <f>(64298.556+202.493+10705.986+514.026)*2.204622</f>
        <v>166936.31694394202</v>
      </c>
      <c r="I67" s="92">
        <f t="shared" si="16"/>
        <v>1743489.7105546119</v>
      </c>
      <c r="J67" s="92">
        <f>1724459+386338</f>
        <v>2110797</v>
      </c>
    </row>
    <row r="68" spans="1:10" x14ac:dyDescent="0.2">
      <c r="A68" t="s">
        <v>156</v>
      </c>
      <c r="B68" s="92">
        <f t="shared" si="19"/>
        <v>2110797</v>
      </c>
      <c r="C68" s="92">
        <v>1795866</v>
      </c>
      <c r="D68" s="93">
        <f>(6983.861+0+5636.542+0)*2.204622</f>
        <v>27823.218102666</v>
      </c>
      <c r="E68" s="92">
        <f t="shared" si="17"/>
        <v>3934486.2181026661</v>
      </c>
      <c r="F68" s="92">
        <f t="shared" si="18"/>
        <v>1539623.2803150842</v>
      </c>
      <c r="G68" s="92">
        <v>394760</v>
      </c>
      <c r="H68" s="92">
        <f>(39741.744+144.371+11864.2+270.366)*2.204622</f>
        <v>114685.93778758201</v>
      </c>
      <c r="I68" s="92">
        <f t="shared" si="16"/>
        <v>1654309.2181026661</v>
      </c>
      <c r="J68" s="92">
        <f>1880210+399967</f>
        <v>2280177</v>
      </c>
    </row>
    <row r="69" spans="1:10" x14ac:dyDescent="0.2">
      <c r="A69" t="s">
        <v>157</v>
      </c>
      <c r="B69" s="92">
        <f t="shared" si="19"/>
        <v>2280177</v>
      </c>
      <c r="C69" s="92">
        <v>1943537</v>
      </c>
      <c r="D69" s="93">
        <f>(591.834+0+7456.81+0)*2.204622</f>
        <v>17744.217632568001</v>
      </c>
      <c r="E69" s="92">
        <f t="shared" si="17"/>
        <v>4241458.2176325684</v>
      </c>
      <c r="F69" s="92">
        <f t="shared" si="18"/>
        <v>1683407.9475453284</v>
      </c>
      <c r="G69" s="92">
        <v>464480</v>
      </c>
      <c r="H69" s="92">
        <f>(90421.404+568.24+14369.382+384.394)*2.204622</f>
        <v>233124.27008724</v>
      </c>
      <c r="I69" s="92">
        <f t="shared" si="16"/>
        <v>1916532.2176325684</v>
      </c>
      <c r="J69" s="92">
        <f>1956599+368327</f>
        <v>2324926</v>
      </c>
    </row>
    <row r="70" spans="1:10" x14ac:dyDescent="0.2">
      <c r="A70" t="s">
        <v>158</v>
      </c>
      <c r="B70" s="92">
        <f t="shared" si="19"/>
        <v>2324926</v>
      </c>
      <c r="C70" s="92">
        <v>1840263</v>
      </c>
      <c r="D70" s="93">
        <f>(3550.44+0+9479.238+0.48)*2.204622</f>
        <v>28726.572990275999</v>
      </c>
      <c r="E70" s="92">
        <f t="shared" si="17"/>
        <v>4193915.5729902759</v>
      </c>
      <c r="F70" s="92">
        <f t="shared" si="18"/>
        <v>1648122.4901599279</v>
      </c>
      <c r="G70" s="92">
        <v>414750</v>
      </c>
      <c r="H70" s="92">
        <f>(43735.649+152.257+12684.186+478.542)*2.204622</f>
        <v>125775.08283034799</v>
      </c>
      <c r="I70" s="92">
        <f t="shared" si="16"/>
        <v>1773897.5729902759</v>
      </c>
      <c r="J70" s="92">
        <f>2048554+371464</f>
        <v>2420018</v>
      </c>
    </row>
    <row r="71" spans="1:10" x14ac:dyDescent="0.2">
      <c r="A71" t="s">
        <v>162</v>
      </c>
      <c r="B71" s="92">
        <f t="shared" si="19"/>
        <v>2420018</v>
      </c>
      <c r="C71" s="92">
        <v>1876184</v>
      </c>
      <c r="D71" s="93">
        <f>(629.094+1.199+14398.052+0)*2.204622</f>
        <v>33131.820010590003</v>
      </c>
      <c r="E71" s="92">
        <f t="shared" si="17"/>
        <v>4329333.8200105904</v>
      </c>
      <c r="F71" s="92">
        <f t="shared" si="18"/>
        <v>1759376.8829391883</v>
      </c>
      <c r="G71" s="92">
        <v>543780</v>
      </c>
      <c r="H71" s="92">
        <f>(35456.096+189.388+11250.035+195.972)*2.204622</f>
        <v>103818.937071402</v>
      </c>
      <c r="I71" s="92">
        <f t="shared" si="16"/>
        <v>1863195.8200105904</v>
      </c>
      <c r="J71" s="92">
        <f>2063240+402898</f>
        <v>2466138</v>
      </c>
    </row>
    <row r="72" spans="1:10" x14ac:dyDescent="0.2">
      <c r="A72" t="s">
        <v>163</v>
      </c>
      <c r="B72" s="92">
        <f t="shared" si="19"/>
        <v>2466138</v>
      </c>
      <c r="C72" s="92">
        <v>1787234</v>
      </c>
      <c r="D72" s="93">
        <f>(596.642+0.579+6779.714+21.75)*2.204622</f>
        <v>16311.303722069999</v>
      </c>
      <c r="E72" s="92">
        <f t="shared" si="17"/>
        <v>4269683.3037220696</v>
      </c>
      <c r="F72" s="92">
        <f t="shared" si="18"/>
        <v>1687023.9349690736</v>
      </c>
      <c r="G72" s="92">
        <v>519690</v>
      </c>
      <c r="H72" s="92">
        <f>(58786.371+182.565+12592.14+344.842)*2.204622</f>
        <v>158525.36875299603</v>
      </c>
      <c r="I72" s="92">
        <f t="shared" si="16"/>
        <v>1845549.3037220696</v>
      </c>
      <c r="J72" s="92">
        <f>2042738+381396</f>
        <v>2424134</v>
      </c>
    </row>
    <row r="73" spans="1:10" x14ac:dyDescent="0.2">
      <c r="A73" t="s">
        <v>164</v>
      </c>
      <c r="B73" s="92">
        <f t="shared" si="19"/>
        <v>2424134</v>
      </c>
      <c r="C73" s="92">
        <v>1789356</v>
      </c>
      <c r="D73" s="93">
        <f>(492.863+0+7173.58+0)*2.204622</f>
        <v>16901.608899546001</v>
      </c>
      <c r="E73" s="92">
        <f t="shared" si="17"/>
        <v>4230391.6088995459</v>
      </c>
      <c r="F73" s="92">
        <f t="shared" si="18"/>
        <v>1737098.6812410299</v>
      </c>
      <c r="G73" s="92">
        <v>535600</v>
      </c>
      <c r="H73" s="92">
        <f>(106944.346+201.312+19122.929+290.491)*2.204622</f>
        <v>279014.92765851604</v>
      </c>
      <c r="I73" s="92">
        <f t="shared" si="16"/>
        <v>2016113.6088995459</v>
      </c>
      <c r="J73" s="92">
        <f>1865797+348481</f>
        <v>2214278</v>
      </c>
    </row>
    <row r="74" spans="1:10" x14ac:dyDescent="0.2">
      <c r="A74" t="s">
        <v>165</v>
      </c>
      <c r="B74" s="92">
        <f t="shared" si="19"/>
        <v>2214278</v>
      </c>
      <c r="C74" s="92">
        <v>1642478</v>
      </c>
      <c r="D74" s="93">
        <f>(441.51+0+10970.187+18.574)*2.204622</f>
        <v>25199.426912562001</v>
      </c>
      <c r="E74" s="92">
        <f t="shared" si="17"/>
        <v>3881955.426912562</v>
      </c>
      <c r="F74" s="92">
        <f t="shared" si="18"/>
        <v>1796842.2494858881</v>
      </c>
      <c r="G74" s="92">
        <v>561040</v>
      </c>
      <c r="H74" s="92">
        <f>(31239.263+90.549+13409.825+333.93)*2.204622</f>
        <v>99370.17742667401</v>
      </c>
      <c r="I74" s="92">
        <f t="shared" si="16"/>
        <v>1896212.426912562</v>
      </c>
      <c r="J74" s="92">
        <f>1666531+319212</f>
        <v>1985743</v>
      </c>
    </row>
    <row r="75" spans="1:10" x14ac:dyDescent="0.2">
      <c r="A75" t="s">
        <v>151</v>
      </c>
      <c r="B75" s="92">
        <f t="shared" si="19"/>
        <v>1985743</v>
      </c>
      <c r="C75" s="92">
        <v>1616609</v>
      </c>
      <c r="D75" s="93">
        <f>(341.494+0+8866.195+0)*2.204622</f>
        <v>20299.473738558001</v>
      </c>
      <c r="E75" s="92">
        <f t="shared" si="17"/>
        <v>3622651.4737385581</v>
      </c>
      <c r="F75" s="92">
        <f t="shared" si="18"/>
        <v>1707930.1805705342</v>
      </c>
      <c r="G75" s="92">
        <v>536840</v>
      </c>
      <c r="H75" s="92">
        <f>(92870.205+183.707+9768.901+554.679)*2.204622</f>
        <v>227908.29316802401</v>
      </c>
      <c r="I75" s="92">
        <f t="shared" si="16"/>
        <v>1935838.4737385581</v>
      </c>
      <c r="J75" s="92">
        <f>1417400+269413</f>
        <v>1686813</v>
      </c>
    </row>
    <row r="76" spans="1:10" x14ac:dyDescent="0.2">
      <c r="A76" t="s">
        <v>150</v>
      </c>
      <c r="B76" s="92"/>
      <c r="C76" s="92">
        <f>SUM(C64:C75)</f>
        <v>21950231</v>
      </c>
      <c r="D76" s="93">
        <f>SUM(D64:D75)</f>
        <v>286553.15418454207</v>
      </c>
      <c r="E76" s="92">
        <f>B64+C76+D76</f>
        <v>24091602.154184543</v>
      </c>
      <c r="F76" s="92">
        <f>SUM(F64:F75)</f>
        <v>20162247.922543805</v>
      </c>
      <c r="G76" s="92">
        <f>SUM(G64:G75)</f>
        <v>5670210</v>
      </c>
      <c r="H76" s="92">
        <f>SUM(H64:H75)</f>
        <v>2242541.231640738</v>
      </c>
      <c r="I76" s="92">
        <f>SUM(I64:I75)</f>
        <v>22404789.154184543</v>
      </c>
      <c r="J76" s="92"/>
    </row>
    <row r="77" spans="1:10" x14ac:dyDescent="0.2">
      <c r="A77" s="22" t="s">
        <v>33</v>
      </c>
      <c r="C77" s="87"/>
      <c r="D77" s="87"/>
      <c r="E77" s="87"/>
      <c r="F77" s="92"/>
      <c r="G77" s="92"/>
      <c r="H77" s="92"/>
      <c r="I77" s="92"/>
      <c r="J77" s="92"/>
    </row>
    <row r="78" spans="1:10" x14ac:dyDescent="0.2">
      <c r="A78" t="s">
        <v>152</v>
      </c>
      <c r="B78" s="92">
        <v>1686813</v>
      </c>
      <c r="C78" s="92">
        <v>2028518</v>
      </c>
      <c r="D78" s="93">
        <f>(434.626+0+6110.958+0)*2.204622</f>
        <v>14430.538489248</v>
      </c>
      <c r="E78" s="92">
        <f>B78+C78+D78</f>
        <v>3729761.5384892481</v>
      </c>
      <c r="F78" s="92">
        <f>I78-H78</f>
        <v>1693468.4488477521</v>
      </c>
      <c r="G78" s="92">
        <v>525960</v>
      </c>
      <c r="H78" s="92">
        <f>(87527.672+238.795+21038.125+503.076)*2.204622</f>
        <v>240982.08964149602</v>
      </c>
      <c r="I78" s="92">
        <f t="shared" ref="I78:I89" si="20">(E78-J78)</f>
        <v>1934450.5384892481</v>
      </c>
      <c r="J78" s="92">
        <f>1437483+357828</f>
        <v>1795311</v>
      </c>
    </row>
    <row r="79" spans="1:10" x14ac:dyDescent="0.2">
      <c r="A79" t="s">
        <v>153</v>
      </c>
      <c r="B79" s="92">
        <v>1795311</v>
      </c>
      <c r="C79" s="92">
        <v>1961256</v>
      </c>
      <c r="D79" s="93">
        <f>(11291.133+0+6136.446+0)*2.204622</f>
        <v>38421.224070138</v>
      </c>
      <c r="E79" s="92">
        <f t="shared" ref="E79:E89" si="21">B79+C79+D79</f>
        <v>3794988.2240701378</v>
      </c>
      <c r="F79" s="92">
        <f t="shared" ref="F79:F89" si="22">I79-H79</f>
        <v>1777576.0385635339</v>
      </c>
      <c r="G79" s="92">
        <v>595830</v>
      </c>
      <c r="H79" s="92">
        <f>(90247.74+217.251+16556.96+343.931)*2.204622</f>
        <v>236701.185506604</v>
      </c>
      <c r="I79" s="92">
        <f t="shared" si="20"/>
        <v>2014277.2240701378</v>
      </c>
      <c r="J79" s="92">
        <f>1473201+307510</f>
        <v>1780711</v>
      </c>
    </row>
    <row r="80" spans="1:10" x14ac:dyDescent="0.2">
      <c r="A80" t="s">
        <v>154</v>
      </c>
      <c r="B80" s="92">
        <v>1780711</v>
      </c>
      <c r="C80" s="92">
        <v>1950176</v>
      </c>
      <c r="D80" s="93">
        <f>(12194.023+0+9312.901+0.46)*2.204622</f>
        <v>47415.651928847998</v>
      </c>
      <c r="E80" s="92">
        <f t="shared" si="21"/>
        <v>3778302.6519288481</v>
      </c>
      <c r="F80" s="92">
        <f t="shared" si="22"/>
        <v>1670621.946319188</v>
      </c>
      <c r="G80" s="92">
        <v>610470</v>
      </c>
      <c r="H80" s="92">
        <f>(89693.028+363.189+16519.097+205.216)*2.204622</f>
        <v>235410.70560966004</v>
      </c>
      <c r="I80" s="92">
        <f t="shared" si="20"/>
        <v>1906032.6519288481</v>
      </c>
      <c r="J80" s="92">
        <f>1505351+366919</f>
        <v>1872270</v>
      </c>
    </row>
    <row r="81" spans="1:10" x14ac:dyDescent="0.2">
      <c r="A81" t="s">
        <v>155</v>
      </c>
      <c r="B81" s="92">
        <v>1872270</v>
      </c>
      <c r="C81" s="92">
        <v>1982893</v>
      </c>
      <c r="D81" s="93">
        <f>(466.576+0+9795.834+20.89)*2.204622</f>
        <v>22670.789412599999</v>
      </c>
      <c r="E81" s="92">
        <f t="shared" si="21"/>
        <v>3877833.7894126</v>
      </c>
      <c r="F81" s="92">
        <f t="shared" si="22"/>
        <v>1492781.9223601159</v>
      </c>
      <c r="G81" s="92">
        <v>390110</v>
      </c>
      <c r="H81" s="92">
        <f>(93975.464+129.304+23105.929+430.725)*2.204622</f>
        <v>259354.86705248404</v>
      </c>
      <c r="I81" s="92">
        <f t="shared" si="20"/>
        <v>1752136.7894126</v>
      </c>
      <c r="J81" s="92">
        <f>1731033+394664</f>
        <v>2125697</v>
      </c>
    </row>
    <row r="82" spans="1:10" x14ac:dyDescent="0.2">
      <c r="A82" t="s">
        <v>156</v>
      </c>
      <c r="B82" s="92">
        <v>2125697</v>
      </c>
      <c r="C82" s="92">
        <v>1757030</v>
      </c>
      <c r="D82" s="93">
        <f>(1041.719+0+8449.661+0)*2.204622</f>
        <v>20924.905158360001</v>
      </c>
      <c r="E82" s="92">
        <f t="shared" si="21"/>
        <v>3903651.90515836</v>
      </c>
      <c r="F82" s="92">
        <f t="shared" si="22"/>
        <v>1451589.437605194</v>
      </c>
      <c r="G82" s="92">
        <v>369180</v>
      </c>
      <c r="H82" s="92">
        <f>(89650.838+95.622+18256.324+290.369)*2.204622</f>
        <v>238745.46755316606</v>
      </c>
      <c r="I82" s="92">
        <f t="shared" si="20"/>
        <v>1690334.90515836</v>
      </c>
      <c r="J82" s="92">
        <f>1801761+411556</f>
        <v>2213317</v>
      </c>
    </row>
    <row r="83" spans="1:10" x14ac:dyDescent="0.2">
      <c r="A83" t="s">
        <v>157</v>
      </c>
      <c r="B83" s="92">
        <v>2213317</v>
      </c>
      <c r="C83" s="92">
        <v>1865466</v>
      </c>
      <c r="D83" s="93">
        <f>(758.203+0+11479.52+0)*2.204622</f>
        <v>26979.553355706001</v>
      </c>
      <c r="E83" s="92">
        <f t="shared" si="21"/>
        <v>4105762.5533557059</v>
      </c>
      <c r="F83" s="92">
        <f t="shared" si="22"/>
        <v>1466465.4145410738</v>
      </c>
      <c r="G83" s="92">
        <v>369460</v>
      </c>
      <c r="H83" s="92">
        <f>(108075.711+337.664+25328.653+276.928)*2.204622</f>
        <v>295461.13881463202</v>
      </c>
      <c r="I83" s="92">
        <f t="shared" si="20"/>
        <v>1761926.5533557059</v>
      </c>
      <c r="J83" s="92">
        <f>1934877+408959</f>
        <v>2343836</v>
      </c>
    </row>
    <row r="84" spans="1:10" x14ac:dyDescent="0.2">
      <c r="A84" t="s">
        <v>158</v>
      </c>
      <c r="B84" s="92">
        <v>2343836</v>
      </c>
      <c r="C84" s="92">
        <v>1737775</v>
      </c>
      <c r="D84" s="93">
        <f>(1601.179+0+13024.339+6.804)*2.204622</f>
        <v>32258.738992284001</v>
      </c>
      <c r="E84" s="92">
        <f t="shared" si="21"/>
        <v>4113869.7389922841</v>
      </c>
      <c r="F84" s="92">
        <f t="shared" si="22"/>
        <v>1616476.428891276</v>
      </c>
      <c r="G84" s="92">
        <v>426710</v>
      </c>
      <c r="H84" s="92">
        <f>(89464.045+94.891+27020.814+176.914)*2.204622</f>
        <v>257404.31010100801</v>
      </c>
      <c r="I84" s="92">
        <f t="shared" si="20"/>
        <v>1873880.7389922841</v>
      </c>
      <c r="J84" s="92">
        <f>1848364+391625</f>
        <v>2239989</v>
      </c>
    </row>
    <row r="85" spans="1:10" x14ac:dyDescent="0.2">
      <c r="A85" t="s">
        <v>162</v>
      </c>
      <c r="B85" s="92">
        <v>2239989</v>
      </c>
      <c r="C85" s="92">
        <v>1839342</v>
      </c>
      <c r="D85" s="93">
        <f>(1669.208+0+12616.689+0)*2.204622</f>
        <v>31495.002815934004</v>
      </c>
      <c r="E85" s="92">
        <f t="shared" si="21"/>
        <v>4110826.0028159339</v>
      </c>
      <c r="F85" s="92">
        <f t="shared" si="22"/>
        <v>1680248.398646228</v>
      </c>
      <c r="G85" s="92">
        <v>545510</v>
      </c>
      <c r="H85" s="92">
        <f>(47935.414+165.843+24707.034+366.432)*2.204622</f>
        <v>161322.604169706</v>
      </c>
      <c r="I85" s="92">
        <f t="shared" si="20"/>
        <v>1841571.0028159339</v>
      </c>
      <c r="J85" s="92">
        <f>1888717+380538</f>
        <v>2269255</v>
      </c>
    </row>
    <row r="86" spans="1:10" x14ac:dyDescent="0.2">
      <c r="A86" t="s">
        <v>163</v>
      </c>
      <c r="B86" s="92">
        <v>2269255</v>
      </c>
      <c r="C86" s="92">
        <v>1735608</v>
      </c>
      <c r="D86" s="93">
        <f>(591.416+0+10425.956+2.25)*2.204622</f>
        <v>24294.101092884001</v>
      </c>
      <c r="E86" s="92">
        <f t="shared" si="21"/>
        <v>4029157.1010928839</v>
      </c>
      <c r="F86" s="92">
        <f t="shared" si="22"/>
        <v>1748291.0010166098</v>
      </c>
      <c r="G86" s="92">
        <v>548840</v>
      </c>
      <c r="H86" s="92">
        <f>(47842.155+321.08+14045.86+381.272)*2.204622</f>
        <v>137988.10007627402</v>
      </c>
      <c r="I86" s="92">
        <f t="shared" si="20"/>
        <v>1886279.1010928839</v>
      </c>
      <c r="J86" s="92">
        <f>1815157+327721</f>
        <v>2142878</v>
      </c>
    </row>
    <row r="87" spans="1:10" x14ac:dyDescent="0.2">
      <c r="A87" t="s">
        <v>164</v>
      </c>
      <c r="B87" s="92">
        <v>2142878</v>
      </c>
      <c r="C87" s="92">
        <v>1801376</v>
      </c>
      <c r="D87" s="93">
        <f>(528.216+0+9657.898+0)*2.204622</f>
        <v>22456.531018908001</v>
      </c>
      <c r="E87" s="92">
        <f t="shared" si="21"/>
        <v>3966710.5310189081</v>
      </c>
      <c r="F87" s="92">
        <f t="shared" si="22"/>
        <v>1767366.2903755221</v>
      </c>
      <c r="G87" s="92">
        <v>606150</v>
      </c>
      <c r="H87" s="92">
        <f>(65023.01+148.382+24814.047+209.724)*2.204622</f>
        <v>198846.240643386</v>
      </c>
      <c r="I87" s="92">
        <f t="shared" si="20"/>
        <v>1966212.5310189081</v>
      </c>
      <c r="J87" s="92">
        <f>1627909+372589</f>
        <v>2000498</v>
      </c>
    </row>
    <row r="88" spans="1:10" x14ac:dyDescent="0.2">
      <c r="A88" t="s">
        <v>165</v>
      </c>
      <c r="B88" s="92">
        <v>2000498</v>
      </c>
      <c r="C88" s="92">
        <v>1762207</v>
      </c>
      <c r="D88" s="93">
        <f>(495.803+0+8286.889+0)*2.204622</f>
        <v>19362.516002423999</v>
      </c>
      <c r="E88" s="92">
        <f t="shared" si="21"/>
        <v>3782067.5160024241</v>
      </c>
      <c r="F88" s="92">
        <f t="shared" si="22"/>
        <v>1808515.5428586181</v>
      </c>
      <c r="G88" s="92">
        <v>608170</v>
      </c>
      <c r="H88" s="92">
        <f>(58152.578+182.461+15446.844+249.39)*2.204622</f>
        <v>163210.97314380601</v>
      </c>
      <c r="I88" s="92">
        <f t="shared" si="20"/>
        <v>1971726.5160024241</v>
      </c>
      <c r="J88" s="92">
        <f>1483031+327310</f>
        <v>1810341</v>
      </c>
    </row>
    <row r="89" spans="1:10" x14ac:dyDescent="0.2">
      <c r="A89" t="s">
        <v>151</v>
      </c>
      <c r="B89" s="92">
        <v>1810341</v>
      </c>
      <c r="C89" s="92">
        <v>1701762</v>
      </c>
      <c r="D89" s="93">
        <f>(556.101+0+7608.838+0.48)*2.204622</f>
        <v>18001.662366617998</v>
      </c>
      <c r="E89" s="92">
        <f t="shared" si="21"/>
        <v>3530104.6623666179</v>
      </c>
      <c r="F89" s="92">
        <f t="shared" si="22"/>
        <v>1688916.1120424878</v>
      </c>
      <c r="G89" s="92">
        <v>603910</v>
      </c>
      <c r="H89" s="92">
        <f>(41914.049+162.186+16816.761+180.419)*2.204622</f>
        <v>130234.55032413</v>
      </c>
      <c r="I89" s="92">
        <f t="shared" si="20"/>
        <v>1819150.6623666179</v>
      </c>
      <c r="J89" s="92">
        <f>1400918+310036</f>
        <v>1710954</v>
      </c>
    </row>
    <row r="90" spans="1:10" x14ac:dyDescent="0.2">
      <c r="A90" t="s">
        <v>150</v>
      </c>
      <c r="C90" s="92">
        <f>SUM(C78:C89)</f>
        <v>22123409</v>
      </c>
      <c r="D90" s="93">
        <f>SUM(D78:D89)</f>
        <v>318711.21470395202</v>
      </c>
      <c r="E90" s="92">
        <f>B78+C90+D90</f>
        <v>24128933.214703951</v>
      </c>
      <c r="F90" s="92">
        <f>SUM(F78:F89)</f>
        <v>19862316.982067596</v>
      </c>
      <c r="G90" s="92">
        <f>SUM(G78:G89)</f>
        <v>6200300</v>
      </c>
      <c r="H90" s="92">
        <f>SUM(H78:H89)</f>
        <v>2555662.2326363521</v>
      </c>
      <c r="I90" s="92">
        <f>SUM(I78:I89)</f>
        <v>22417979.214703955</v>
      </c>
      <c r="J90" s="92"/>
    </row>
    <row r="91" spans="1:10" x14ac:dyDescent="0.2">
      <c r="A91" t="s">
        <v>34</v>
      </c>
      <c r="C91" s="92"/>
      <c r="D91" s="93"/>
      <c r="E91" s="92"/>
      <c r="F91" s="92"/>
      <c r="G91" s="92"/>
      <c r="H91" s="92"/>
      <c r="I91" s="92"/>
      <c r="J91" s="92"/>
    </row>
    <row r="92" spans="1:10" x14ac:dyDescent="0.2">
      <c r="A92" t="s">
        <v>152</v>
      </c>
      <c r="B92" s="92">
        <f>J89</f>
        <v>1710954</v>
      </c>
      <c r="C92" s="92">
        <v>2016888</v>
      </c>
      <c r="D92" s="93">
        <f>(663.115+0+13934.702+0)*2.204622</f>
        <v>32182.668510174</v>
      </c>
      <c r="E92" s="92">
        <f t="shared" ref="E92:E103" si="23">B92+C92+D92</f>
        <v>3760024.6685101739</v>
      </c>
      <c r="F92" s="126">
        <f>I92-H92</f>
        <v>1921160.3915106379</v>
      </c>
      <c r="G92" s="126">
        <v>577430</v>
      </c>
      <c r="H92" s="92">
        <f>(80225.792+85.525+15875.468+265.703)*2.204622</f>
        <v>212641.276999536</v>
      </c>
      <c r="I92" s="126">
        <f t="shared" ref="I92:I103" si="24">(E92-J92)</f>
        <v>2133801.6685101739</v>
      </c>
      <c r="J92" s="92">
        <f>1300360+325863</f>
        <v>1626223</v>
      </c>
    </row>
    <row r="93" spans="1:10" x14ac:dyDescent="0.2">
      <c r="A93" t="s">
        <v>153</v>
      </c>
      <c r="B93" s="92">
        <f>J92</f>
        <v>1626223</v>
      </c>
      <c r="C93" s="92">
        <v>1977005</v>
      </c>
      <c r="D93" s="93">
        <f>(669.27+0+9320.6+0.8)*2.204622</f>
        <v>22025.650876740001</v>
      </c>
      <c r="E93" s="92">
        <f t="shared" si="23"/>
        <v>3625253.65087674</v>
      </c>
      <c r="F93" s="126">
        <f t="shared" ref="F93:F103" si="25">I93-H93</f>
        <v>1802526.569819778</v>
      </c>
      <c r="G93" s="126">
        <v>590800</v>
      </c>
      <c r="H93" s="92">
        <f>(41937.459+208.519+17592.338+202.155)*2.204622</f>
        <v>132146.08105696202</v>
      </c>
      <c r="I93" s="126">
        <f t="shared" si="24"/>
        <v>1934672.65087674</v>
      </c>
      <c r="J93" s="92">
        <f>1379223+311358</f>
        <v>1690581</v>
      </c>
    </row>
    <row r="94" spans="1:10" x14ac:dyDescent="0.2">
      <c r="A94" t="s">
        <v>154</v>
      </c>
      <c r="B94" s="92">
        <f t="shared" ref="B94:B103" si="26">J93</f>
        <v>1690581</v>
      </c>
      <c r="C94" s="92">
        <v>2015256</v>
      </c>
      <c r="D94" s="93">
        <f>(611.691+0+13538.281+0.8)*2.204622</f>
        <v>31197.103268184004</v>
      </c>
      <c r="E94" s="92">
        <f t="shared" si="23"/>
        <v>3737034.1032681842</v>
      </c>
      <c r="F94" s="126">
        <f t="shared" si="25"/>
        <v>1613443.1539013023</v>
      </c>
      <c r="G94" s="126">
        <v>593990</v>
      </c>
      <c r="H94" s="92">
        <f>(60891.52+230.156+17166.633+145.522)*2.204622</f>
        <v>172916.94936688201</v>
      </c>
      <c r="I94" s="126">
        <f t="shared" si="24"/>
        <v>1786360.1032681842</v>
      </c>
      <c r="J94" s="92">
        <f>1583544+367130</f>
        <v>1950674</v>
      </c>
    </row>
    <row r="95" spans="1:10" x14ac:dyDescent="0.2">
      <c r="A95" t="s">
        <v>155</v>
      </c>
      <c r="B95" s="92">
        <f t="shared" si="26"/>
        <v>1950674</v>
      </c>
      <c r="C95" s="92">
        <v>1995589</v>
      </c>
      <c r="D95" s="93">
        <f>(672.527+1.728+9360.229+0)*2.204622</f>
        <v>22122.244185047999</v>
      </c>
      <c r="E95" s="92">
        <f t="shared" si="23"/>
        <v>3968385.2441850482</v>
      </c>
      <c r="F95" s="126">
        <f t="shared" si="25"/>
        <v>1547880.0806478402</v>
      </c>
      <c r="G95" s="126">
        <v>462120</v>
      </c>
      <c r="H95" s="92">
        <f>(67939.406+153.133+13668.131+213.094)*2.204622</f>
        <v>180721.16353720799</v>
      </c>
      <c r="I95" s="126">
        <f t="shared" si="24"/>
        <v>1728601.2441850482</v>
      </c>
      <c r="J95" s="92">
        <f>1886728+353056</f>
        <v>2239784</v>
      </c>
    </row>
    <row r="96" spans="1:10" x14ac:dyDescent="0.2">
      <c r="A96" t="s">
        <v>156</v>
      </c>
      <c r="B96" s="92">
        <f t="shared" si="26"/>
        <v>2239784</v>
      </c>
      <c r="C96" s="92">
        <v>1889841</v>
      </c>
      <c r="D96" s="93">
        <f>(10974.745+0+7629.912+0.8)*2.204622</f>
        <v>41017.999822254002</v>
      </c>
      <c r="E96" s="92">
        <f t="shared" si="23"/>
        <v>4170642.9998222538</v>
      </c>
      <c r="F96" s="126">
        <f t="shared" si="25"/>
        <v>1565811.3762743878</v>
      </c>
      <c r="G96" s="126">
        <v>495590</v>
      </c>
      <c r="H96" s="92">
        <f>(68127.44+142.344+12909.94+217.279)*2.204622</f>
        <v>179449.62354786601</v>
      </c>
      <c r="I96" s="126">
        <f t="shared" si="24"/>
        <v>1745260.9998222538</v>
      </c>
      <c r="J96" s="92">
        <f>2049644+375738</f>
        <v>2425382</v>
      </c>
    </row>
    <row r="97" spans="1:14" x14ac:dyDescent="0.2">
      <c r="A97" t="s">
        <v>157</v>
      </c>
      <c r="B97" s="92">
        <f t="shared" si="26"/>
        <v>2425382</v>
      </c>
      <c r="C97" s="92">
        <v>2079123</v>
      </c>
      <c r="D97" s="93">
        <f>(1613.442+0+7976.35+0.8)*2.204622</f>
        <v>21143.630116224002</v>
      </c>
      <c r="E97" s="92">
        <f t="shared" si="23"/>
        <v>4525648.6301162243</v>
      </c>
      <c r="F97" s="126">
        <f t="shared" si="25"/>
        <v>1877936.8579792243</v>
      </c>
      <c r="G97" s="126">
        <v>624150</v>
      </c>
      <c r="H97" s="92">
        <f>(63263.6+28410.2+253.9+255.8)*2.204622</f>
        <v>203229.77213700002</v>
      </c>
      <c r="I97" s="126">
        <f t="shared" si="24"/>
        <v>2081166.6301162243</v>
      </c>
      <c r="J97" s="92">
        <f>2080138+364344</f>
        <v>2444482</v>
      </c>
    </row>
    <row r="98" spans="1:14" x14ac:dyDescent="0.2">
      <c r="A98" t="s">
        <v>158</v>
      </c>
      <c r="B98" s="92">
        <f t="shared" si="26"/>
        <v>2444482</v>
      </c>
      <c r="C98" s="92">
        <v>1964922</v>
      </c>
      <c r="D98" s="93">
        <f>(563.31+103.249+12346.4+0)*2.204622</f>
        <v>28688.655696497997</v>
      </c>
      <c r="E98" s="92">
        <f t="shared" si="23"/>
        <v>4438092.6556964982</v>
      </c>
      <c r="F98" s="126">
        <f t="shared" si="25"/>
        <v>1536996.2173366221</v>
      </c>
      <c r="G98" s="126">
        <v>519559.99999999994</v>
      </c>
      <c r="H98" s="92">
        <f>(74547.873+133.339+21342.471+283.275)*2.204622</f>
        <v>212320.43835987605</v>
      </c>
      <c r="I98" s="126">
        <f t="shared" si="24"/>
        <v>1749316.6556964982</v>
      </c>
      <c r="J98" s="92">
        <f>2316192+372584</f>
        <v>2688776</v>
      </c>
    </row>
    <row r="99" spans="1:14" x14ac:dyDescent="0.2">
      <c r="A99" t="s">
        <v>162</v>
      </c>
      <c r="B99" s="92">
        <f t="shared" si="26"/>
        <v>2688776</v>
      </c>
      <c r="C99" s="92">
        <v>1966511</v>
      </c>
      <c r="D99" s="93">
        <f>(754.842+0+14709.869+1.28)*2.204622</f>
        <v>34096.664010402004</v>
      </c>
      <c r="E99" s="92">
        <f t="shared" si="23"/>
        <v>4689383.6640104018</v>
      </c>
      <c r="F99" s="126">
        <f t="shared" si="25"/>
        <v>1883900.5750484958</v>
      </c>
      <c r="G99" s="126">
        <v>581330</v>
      </c>
      <c r="H99" s="92">
        <f>(171049.084+572.188+23792.737+275.814)*2.204622</f>
        <v>431422.08896190603</v>
      </c>
      <c r="I99" s="126">
        <f t="shared" si="24"/>
        <v>2315322.6640104018</v>
      </c>
      <c r="J99" s="92">
        <f>2002934+371127</f>
        <v>2374061</v>
      </c>
    </row>
    <row r="100" spans="1:14" x14ac:dyDescent="0.2">
      <c r="A100" t="s">
        <v>163</v>
      </c>
      <c r="B100" s="92">
        <f t="shared" si="26"/>
        <v>2374061</v>
      </c>
      <c r="C100" s="92">
        <v>1936907</v>
      </c>
      <c r="D100" s="93">
        <f>(2305.083+0+12102.798+0.8)*2.204622</f>
        <v>31765.695123582002</v>
      </c>
      <c r="E100" s="92">
        <f t="shared" si="23"/>
        <v>4342733.6951235821</v>
      </c>
      <c r="F100" s="126">
        <f t="shared" si="25"/>
        <v>1809843.0295830902</v>
      </c>
      <c r="G100" s="126">
        <v>673610</v>
      </c>
      <c r="H100" s="92">
        <f>(86616.031+94.936+16408.293+337.326)*2.204622</f>
        <v>228082.66554049202</v>
      </c>
      <c r="I100" s="126">
        <f t="shared" si="24"/>
        <v>2037925.6951235821</v>
      </c>
      <c r="J100" s="92">
        <f>1933152+371656</f>
        <v>2304808</v>
      </c>
      <c r="M100" s="127"/>
      <c r="N100" s="127"/>
    </row>
    <row r="101" spans="1:14" x14ac:dyDescent="0.2">
      <c r="A101" t="s">
        <v>164</v>
      </c>
      <c r="B101" s="92">
        <f t="shared" si="26"/>
        <v>2304808</v>
      </c>
      <c r="C101" s="92">
        <v>2043323</v>
      </c>
      <c r="D101" s="93">
        <f>(2900.45+0+11937.917+1.8)*2.204622</f>
        <v>32716.958651873996</v>
      </c>
      <c r="E101" s="92">
        <f t="shared" si="23"/>
        <v>4380847.9586518742</v>
      </c>
      <c r="F101" s="126">
        <f t="shared" si="25"/>
        <v>1822498.4100716561</v>
      </c>
      <c r="G101" s="126">
        <v>721270</v>
      </c>
      <c r="H101" s="92">
        <f>(61467.766+164.409+17265.46+346.584)*2.204622</f>
        <v>174703.54858021802</v>
      </c>
      <c r="I101" s="126">
        <f t="shared" si="24"/>
        <v>1997201.9586518742</v>
      </c>
      <c r="J101" s="92">
        <f>1983666+399980</f>
        <v>2383646</v>
      </c>
      <c r="M101" s="127"/>
      <c r="N101" s="127"/>
    </row>
    <row r="102" spans="1:14" x14ac:dyDescent="0.2">
      <c r="A102" t="s">
        <v>165</v>
      </c>
      <c r="B102" s="92">
        <f t="shared" si="26"/>
        <v>2383646</v>
      </c>
      <c r="C102" s="92">
        <v>1944966</v>
      </c>
      <c r="D102" s="93">
        <f>(1713.977+0+9048.481+0.8)*2.204622</f>
        <v>23728.915378476002</v>
      </c>
      <c r="E102" s="92">
        <f t="shared" si="23"/>
        <v>4352340.9153784756</v>
      </c>
      <c r="F102" s="126">
        <f t="shared" si="25"/>
        <v>1943066.6839757436</v>
      </c>
      <c r="G102" s="126">
        <v>755130</v>
      </c>
      <c r="H102" s="92">
        <f>(71876.295+73.925+16053.85+208.436)*2.204622</f>
        <v>194475.23140273202</v>
      </c>
      <c r="I102" s="126">
        <f t="shared" si="24"/>
        <v>2137541.9153784756</v>
      </c>
      <c r="J102" s="92">
        <f>1843912+370887</f>
        <v>2214799</v>
      </c>
      <c r="M102" s="127"/>
      <c r="N102" s="127"/>
    </row>
    <row r="103" spans="1:14" x14ac:dyDescent="0.2">
      <c r="A103" t="s">
        <v>151</v>
      </c>
      <c r="B103" s="92">
        <f t="shared" si="26"/>
        <v>2214799</v>
      </c>
      <c r="C103" s="92">
        <v>1942097</v>
      </c>
      <c r="D103" s="93">
        <f>(2178.466+0.7+4448.861+0.8)*2.204622</f>
        <v>14614.057838394001</v>
      </c>
      <c r="E103" s="92">
        <f t="shared" si="23"/>
        <v>4171510.0578383938</v>
      </c>
      <c r="F103" s="126">
        <f t="shared" si="25"/>
        <v>2055147.9268645479</v>
      </c>
      <c r="G103" s="126">
        <v>738730</v>
      </c>
      <c r="H103" s="92">
        <f>(41318.617+82.871+13182.967+267.638)*2.204622</f>
        <v>120928.13097384601</v>
      </c>
      <c r="I103" s="126">
        <f t="shared" si="24"/>
        <v>2176076.0578383938</v>
      </c>
      <c r="J103" s="92">
        <f>1648347+347087</f>
        <v>1995434</v>
      </c>
      <c r="M103" s="127"/>
      <c r="N103" s="127"/>
    </row>
    <row r="104" spans="1:14" x14ac:dyDescent="0.2">
      <c r="A104" t="s">
        <v>150</v>
      </c>
      <c r="C104" s="92">
        <f>SUM(C92:C103)</f>
        <v>23772428</v>
      </c>
      <c r="D104" s="93">
        <f>SUM(D92:D103)</f>
        <v>335300.24347785005</v>
      </c>
      <c r="E104" s="92">
        <f>B92+C104+D104</f>
        <v>25818682.243477851</v>
      </c>
      <c r="F104" s="126">
        <f>SUM(F92:F103)</f>
        <v>21380211.273013327</v>
      </c>
      <c r="G104" s="126">
        <f>SUM(G92:G103)</f>
        <v>7333710</v>
      </c>
      <c r="H104" s="92">
        <f>SUM(H92:H103)</f>
        <v>2443036.9704645243</v>
      </c>
      <c r="I104" s="126">
        <f>SUM(I92:I103)</f>
        <v>23823248.243477851</v>
      </c>
      <c r="J104" s="92"/>
      <c r="N104" s="127"/>
    </row>
    <row r="105" spans="1:14" x14ac:dyDescent="0.2">
      <c r="A105" t="s">
        <v>35</v>
      </c>
      <c r="B105" s="92"/>
      <c r="C105" s="92"/>
      <c r="D105" s="94"/>
      <c r="E105" s="92"/>
      <c r="F105" s="128"/>
      <c r="G105" s="126"/>
      <c r="H105" s="92"/>
      <c r="I105" s="128"/>
      <c r="J105" s="92"/>
      <c r="N105" s="127"/>
    </row>
    <row r="106" spans="1:14" x14ac:dyDescent="0.2">
      <c r="A106" t="s">
        <v>152</v>
      </c>
      <c r="B106" s="92">
        <f>J103</f>
        <v>1995434</v>
      </c>
      <c r="C106" s="92">
        <v>2134553</v>
      </c>
      <c r="D106" s="93">
        <v>34870.726636200001</v>
      </c>
      <c r="E106" s="92">
        <f>B106+C106+D106</f>
        <v>4164857.7266362002</v>
      </c>
      <c r="F106" s="126">
        <f>I106-H106</f>
        <v>1971101.9276134002</v>
      </c>
      <c r="G106" s="126">
        <v>757526.6</v>
      </c>
      <c r="H106" s="126">
        <v>146204.79902279997</v>
      </c>
      <c r="I106" s="126">
        <f t="shared" ref="I106:I117" si="27">(E106-J106)</f>
        <v>2117306.7266362002</v>
      </c>
      <c r="J106" s="92">
        <f>1700684+346867</f>
        <v>2047551</v>
      </c>
      <c r="M106" s="129"/>
      <c r="N106" s="127"/>
    </row>
    <row r="107" spans="1:14" x14ac:dyDescent="0.2">
      <c r="A107" t="s">
        <v>153</v>
      </c>
      <c r="B107" s="92">
        <f>J106</f>
        <v>2047551</v>
      </c>
      <c r="C107" s="92">
        <v>2060563</v>
      </c>
      <c r="D107" s="93">
        <v>34484.476861800002</v>
      </c>
      <c r="E107" s="92">
        <f t="shared" ref="E107:E117" si="28">B107+C107+D107</f>
        <v>4142598.4768618001</v>
      </c>
      <c r="F107" s="126">
        <f t="shared" ref="F107:F117" si="29">I107-H107</f>
        <v>2027302.0793358001</v>
      </c>
      <c r="G107" s="126">
        <v>762436.6</v>
      </c>
      <c r="H107" s="126">
        <v>215023.39752599999</v>
      </c>
      <c r="I107" s="126">
        <f t="shared" si="27"/>
        <v>2242325.4768618001</v>
      </c>
      <c r="J107" s="92">
        <f>1582363+317910</f>
        <v>1900273</v>
      </c>
      <c r="M107" s="129"/>
      <c r="N107" s="127"/>
    </row>
    <row r="108" spans="1:14" x14ac:dyDescent="0.2">
      <c r="A108" t="s">
        <v>154</v>
      </c>
      <c r="B108" s="92">
        <f t="shared" ref="B108:B117" si="30">J107</f>
        <v>1900273</v>
      </c>
      <c r="C108" s="92">
        <v>2135370</v>
      </c>
      <c r="D108" s="93">
        <v>44472.296370600001</v>
      </c>
      <c r="E108" s="92">
        <f t="shared" si="28"/>
        <v>4080115.2963705999</v>
      </c>
      <c r="F108" s="126">
        <f t="shared" si="29"/>
        <v>1976538.4972293999</v>
      </c>
      <c r="G108" s="126">
        <v>826406.6</v>
      </c>
      <c r="H108" s="126">
        <v>157728.7991412</v>
      </c>
      <c r="I108" s="126">
        <f t="shared" si="27"/>
        <v>2134267.2963705999</v>
      </c>
      <c r="J108" s="92">
        <f>1601770+344078</f>
        <v>1945848</v>
      </c>
      <c r="M108" s="129"/>
      <c r="N108" s="127"/>
    </row>
    <row r="109" spans="1:14" x14ac:dyDescent="0.2">
      <c r="A109" t="s">
        <v>155</v>
      </c>
      <c r="B109" s="92">
        <f t="shared" si="30"/>
        <v>1945848</v>
      </c>
      <c r="C109" s="92">
        <v>2115799</v>
      </c>
      <c r="D109" s="93">
        <v>30797.907953400001</v>
      </c>
      <c r="E109" s="92">
        <f t="shared" si="28"/>
        <v>4092444.9079534002</v>
      </c>
      <c r="F109" s="126">
        <f t="shared" si="29"/>
        <v>1866790.4145602002</v>
      </c>
      <c r="G109" s="126">
        <v>698057.3</v>
      </c>
      <c r="H109" s="126">
        <v>220926.49339320001</v>
      </c>
      <c r="I109" s="126">
        <f t="shared" si="27"/>
        <v>2087716.9079534002</v>
      </c>
      <c r="J109" s="92">
        <f>1659501+345227</f>
        <v>2004728</v>
      </c>
      <c r="M109" s="129"/>
      <c r="N109" s="127"/>
    </row>
    <row r="110" spans="1:14" x14ac:dyDescent="0.2">
      <c r="A110" t="s">
        <v>156</v>
      </c>
      <c r="B110" s="92">
        <f t="shared" si="30"/>
        <v>2004728</v>
      </c>
      <c r="C110" s="92">
        <v>1899196</v>
      </c>
      <c r="D110" s="93">
        <v>29322.795373200002</v>
      </c>
      <c r="E110" s="92">
        <f t="shared" si="28"/>
        <v>3933246.7953732</v>
      </c>
      <c r="F110" s="126">
        <f t="shared" si="29"/>
        <v>1692532.8291736001</v>
      </c>
      <c r="G110" s="126">
        <v>634817.30000000005</v>
      </c>
      <c r="H110" s="126">
        <v>91583.966199599992</v>
      </c>
      <c r="I110" s="126">
        <f t="shared" si="27"/>
        <v>1784116.7953732</v>
      </c>
      <c r="J110" s="92">
        <f>1762965+386165</f>
        <v>2149130</v>
      </c>
      <c r="M110" s="129"/>
      <c r="N110" s="127"/>
    </row>
    <row r="111" spans="1:14" x14ac:dyDescent="0.2">
      <c r="A111" t="s">
        <v>157</v>
      </c>
      <c r="B111" s="92">
        <f t="shared" si="30"/>
        <v>2149130</v>
      </c>
      <c r="C111" s="92">
        <v>2094418</v>
      </c>
      <c r="D111" s="93">
        <v>30401.296455600001</v>
      </c>
      <c r="E111" s="92">
        <f t="shared" si="28"/>
        <v>4273949.2964556003</v>
      </c>
      <c r="F111" s="126">
        <f t="shared" si="29"/>
        <v>1769332.3815124002</v>
      </c>
      <c r="G111" s="126">
        <v>692257.3</v>
      </c>
      <c r="H111" s="126">
        <v>271687.91494320001</v>
      </c>
      <c r="I111" s="126">
        <f t="shared" si="27"/>
        <v>2041020.2964556003</v>
      </c>
      <c r="J111" s="92">
        <f>1893918+339011</f>
        <v>2232929</v>
      </c>
      <c r="M111" s="129"/>
      <c r="N111" s="127"/>
    </row>
    <row r="112" spans="1:14" x14ac:dyDescent="0.2">
      <c r="A112" t="s">
        <v>158</v>
      </c>
      <c r="B112" s="92">
        <f t="shared" si="30"/>
        <v>2232929</v>
      </c>
      <c r="C112" s="92">
        <v>1989101</v>
      </c>
      <c r="D112" s="93">
        <v>29025.6123276</v>
      </c>
      <c r="E112" s="92">
        <f t="shared" si="28"/>
        <v>4251055.6123275999</v>
      </c>
      <c r="F112" s="126">
        <f t="shared" si="29"/>
        <v>1845196.2785423999</v>
      </c>
      <c r="G112" s="126">
        <v>691827.7</v>
      </c>
      <c r="H112" s="126">
        <v>148253.3337852</v>
      </c>
      <c r="I112" s="126">
        <f t="shared" si="27"/>
        <v>1993449.6123275999</v>
      </c>
      <c r="J112" s="92">
        <f>1893351+364255</f>
        <v>2257606</v>
      </c>
      <c r="M112" s="129"/>
      <c r="N112" s="127"/>
    </row>
    <row r="113" spans="1:14" x14ac:dyDescent="0.2">
      <c r="A113" t="s">
        <v>162</v>
      </c>
      <c r="B113" s="92">
        <f t="shared" si="30"/>
        <v>2257606</v>
      </c>
      <c r="C113" s="92">
        <v>1915994</v>
      </c>
      <c r="D113" s="93">
        <v>34441.266270599997</v>
      </c>
      <c r="E113" s="92">
        <f t="shared" si="28"/>
        <v>4208041.2662706003</v>
      </c>
      <c r="F113" s="126">
        <f t="shared" si="29"/>
        <v>1983591.5010730003</v>
      </c>
      <c r="G113" s="126">
        <v>719037.7</v>
      </c>
      <c r="H113" s="126">
        <v>205582.76519759998</v>
      </c>
      <c r="I113" s="126">
        <f t="shared" si="27"/>
        <v>2189174.2662706003</v>
      </c>
      <c r="J113" s="92">
        <f>1662782+356085</f>
        <v>2018867</v>
      </c>
      <c r="M113" s="129"/>
      <c r="N113" s="127"/>
    </row>
    <row r="114" spans="1:14" x14ac:dyDescent="0.2">
      <c r="A114" t="s">
        <v>163</v>
      </c>
      <c r="B114" s="92">
        <f t="shared" si="30"/>
        <v>2018867</v>
      </c>
      <c r="C114" s="92">
        <v>1811481</v>
      </c>
      <c r="D114" s="93">
        <v>34798.855959</v>
      </c>
      <c r="E114" s="92">
        <f t="shared" si="28"/>
        <v>3865146.8559590001</v>
      </c>
      <c r="F114" s="126">
        <f t="shared" si="29"/>
        <v>1755283.9194106001</v>
      </c>
      <c r="G114" s="126">
        <v>654137.69999999995</v>
      </c>
      <c r="H114" s="126">
        <v>95442.936548399986</v>
      </c>
      <c r="I114" s="126">
        <f t="shared" si="27"/>
        <v>1850726.8559590001</v>
      </c>
      <c r="J114" s="92">
        <f>1595273+419147</f>
        <v>2014420</v>
      </c>
      <c r="M114" s="129"/>
      <c r="N114" s="127"/>
    </row>
    <row r="115" spans="1:14" x14ac:dyDescent="0.2">
      <c r="A115" t="s">
        <v>164</v>
      </c>
      <c r="B115" s="92">
        <f t="shared" si="30"/>
        <v>2014420</v>
      </c>
      <c r="C115" s="92">
        <v>2090168</v>
      </c>
      <c r="D115" s="93">
        <v>36458.936325000002</v>
      </c>
      <c r="E115" s="92">
        <f t="shared" si="28"/>
        <v>4141046.9363250001</v>
      </c>
      <c r="F115" s="126">
        <f t="shared" si="29"/>
        <v>1927425.7726138001</v>
      </c>
      <c r="G115" s="126">
        <v>781283.3</v>
      </c>
      <c r="H115" s="126">
        <v>174120.1637112</v>
      </c>
      <c r="I115" s="126">
        <f t="shared" si="27"/>
        <v>2101545.9363250001</v>
      </c>
      <c r="J115" s="92">
        <f>1652854+386647</f>
        <v>2039501</v>
      </c>
      <c r="M115" s="129"/>
      <c r="N115" s="127"/>
    </row>
    <row r="116" spans="1:14" x14ac:dyDescent="0.2">
      <c r="A116" t="s">
        <v>165</v>
      </c>
      <c r="B116" s="92">
        <f t="shared" si="30"/>
        <v>2039501</v>
      </c>
      <c r="C116" s="92">
        <v>2049888</v>
      </c>
      <c r="D116" s="93">
        <v>33028.324030800002</v>
      </c>
      <c r="E116" s="92">
        <f t="shared" si="28"/>
        <v>4122417.3240307998</v>
      </c>
      <c r="F116" s="126">
        <f t="shared" si="29"/>
        <v>2150622.5226655998</v>
      </c>
      <c r="G116" s="126">
        <v>773923.3</v>
      </c>
      <c r="H116" s="126">
        <v>165647.80136520002</v>
      </c>
      <c r="I116" s="126">
        <f t="shared" si="27"/>
        <v>2316270.3240307998</v>
      </c>
      <c r="J116" s="92">
        <f>1439479+366668</f>
        <v>1806147</v>
      </c>
      <c r="M116" s="129"/>
      <c r="N116" s="127"/>
    </row>
    <row r="117" spans="1:14" x14ac:dyDescent="0.2">
      <c r="A117" t="s">
        <v>151</v>
      </c>
      <c r="B117" s="92">
        <f t="shared" si="30"/>
        <v>1806147</v>
      </c>
      <c r="C117" s="92">
        <v>1900668</v>
      </c>
      <c r="D117" s="93">
        <v>25159.366726200002</v>
      </c>
      <c r="E117" s="92">
        <f t="shared" si="28"/>
        <v>3731974.3667262001</v>
      </c>
      <c r="F117" s="126">
        <f t="shared" si="29"/>
        <v>1908439.0948044001</v>
      </c>
      <c r="G117" s="126">
        <v>671583.35</v>
      </c>
      <c r="H117" s="126">
        <v>48219.271921800006</v>
      </c>
      <c r="I117" s="126">
        <f t="shared" si="27"/>
        <v>1956658.3667262001</v>
      </c>
      <c r="J117" s="92">
        <f>1400569+374747</f>
        <v>1775316</v>
      </c>
      <c r="M117" s="129"/>
      <c r="N117" s="127"/>
    </row>
    <row r="118" spans="1:14" ht="10.95" customHeight="1" x14ac:dyDescent="0.2">
      <c r="A118" t="s">
        <v>150</v>
      </c>
      <c r="C118" s="92">
        <f>SUM(C106:C117)</f>
        <v>24197199</v>
      </c>
      <c r="D118" s="93">
        <f>SUM(D106:D117)</f>
        <v>397261.86129000009</v>
      </c>
      <c r="E118" s="92">
        <f>B106+C118+D118</f>
        <v>26589894.86129</v>
      </c>
      <c r="F118" s="126">
        <f>SUM(F106:F117)</f>
        <v>22874157.218534604</v>
      </c>
      <c r="G118" s="126">
        <f>SUM(G106:G117)</f>
        <v>8663294.75</v>
      </c>
      <c r="H118" s="126">
        <f>SUM(H106:H117)</f>
        <v>1940421.6427553999</v>
      </c>
      <c r="I118" s="126">
        <f>SUM(I106:I117)</f>
        <v>24814578.861289997</v>
      </c>
      <c r="J118" s="92"/>
    </row>
    <row r="119" spans="1:14" ht="13.2" customHeight="1" x14ac:dyDescent="0.2">
      <c r="A119" t="s">
        <v>36</v>
      </c>
      <c r="F119" s="128"/>
      <c r="G119" s="126"/>
      <c r="H119" s="92"/>
      <c r="I119" s="121"/>
    </row>
    <row r="120" spans="1:14" x14ac:dyDescent="0.2">
      <c r="A120" t="s">
        <v>152</v>
      </c>
      <c r="B120" s="92">
        <f>J117</f>
        <v>1775316</v>
      </c>
      <c r="C120" s="92">
        <v>2149969</v>
      </c>
      <c r="D120" s="93">
        <v>30446.711668799999</v>
      </c>
      <c r="E120" s="92">
        <f>B120+C120+D120</f>
        <v>3955731.7116688001</v>
      </c>
      <c r="F120" s="126">
        <f>I120-H120</f>
        <v>1882090.2997522</v>
      </c>
      <c r="G120" s="126">
        <v>631174.80000000005</v>
      </c>
      <c r="H120" s="92">
        <v>252683.41191659999</v>
      </c>
      <c r="I120" s="126">
        <f>E120-J120</f>
        <v>2134773.7116688001</v>
      </c>
      <c r="J120" s="92">
        <f>1471929+349029</f>
        <v>1820958</v>
      </c>
      <c r="M120" s="129"/>
      <c r="N120" s="127"/>
    </row>
    <row r="121" spans="1:14" ht="10.199999999999999" customHeight="1" x14ac:dyDescent="0.2">
      <c r="A121" t="s">
        <v>153</v>
      </c>
      <c r="B121" s="92">
        <f>J120</f>
        <v>1820958</v>
      </c>
      <c r="C121" s="92">
        <v>1999648</v>
      </c>
      <c r="D121" s="93">
        <v>24460.28109</v>
      </c>
      <c r="E121" s="92">
        <f t="shared" ref="E121:E131" si="31">B121+C121+D121</f>
        <v>3845066.2810900002</v>
      </c>
      <c r="F121" s="126">
        <f t="shared" ref="F121:F131" si="32">I121-H121</f>
        <v>1706971.4346250002</v>
      </c>
      <c r="G121" s="126">
        <v>600184.80000000005</v>
      </c>
      <c r="H121" s="92">
        <v>257736.84646499998</v>
      </c>
      <c r="I121" s="126">
        <f t="shared" ref="I121:I131" si="33">E121-J121</f>
        <v>1964708.2810900002</v>
      </c>
      <c r="J121" s="92">
        <f>1522923+357435</f>
        <v>1880358</v>
      </c>
      <c r="M121" s="129"/>
      <c r="N121" s="127"/>
    </row>
    <row r="122" spans="1:14" x14ac:dyDescent="0.2">
      <c r="A122" t="s">
        <v>154</v>
      </c>
      <c r="B122" s="92">
        <f>J121</f>
        <v>1880358</v>
      </c>
      <c r="C122" s="92">
        <v>2110936</v>
      </c>
      <c r="D122" s="93">
        <v>35344.279441799998</v>
      </c>
      <c r="E122" s="92">
        <f t="shared" si="31"/>
        <v>4026638.2794418</v>
      </c>
      <c r="F122" s="126">
        <f t="shared" si="32"/>
        <v>1707714.2996576</v>
      </c>
      <c r="G122" s="126">
        <v>614704.80000000005</v>
      </c>
      <c r="H122" s="92">
        <v>184859.97978420003</v>
      </c>
      <c r="I122" s="126">
        <f t="shared" si="33"/>
        <v>1892574.2794418</v>
      </c>
      <c r="J122" s="92">
        <f>1749423+384641</f>
        <v>2134064</v>
      </c>
      <c r="M122" s="129"/>
      <c r="N122" s="127"/>
    </row>
    <row r="123" spans="1:14" x14ac:dyDescent="0.2">
      <c r="A123" t="s">
        <v>155</v>
      </c>
      <c r="B123" s="92">
        <f t="shared" ref="B123:B131" si="34">J122</f>
        <v>2134064</v>
      </c>
      <c r="C123" s="92">
        <f>2154427</f>
        <v>2154427</v>
      </c>
      <c r="D123" s="93">
        <v>32599.084127400001</v>
      </c>
      <c r="E123" s="92">
        <f t="shared" si="31"/>
        <v>4321090.0841274001</v>
      </c>
      <c r="F123" s="126">
        <f t="shared" si="32"/>
        <v>1839895.1564550002</v>
      </c>
      <c r="G123" s="126">
        <v>569983.5</v>
      </c>
      <c r="H123" s="92">
        <v>125297.92767239998</v>
      </c>
      <c r="I123" s="126">
        <f t="shared" si="33"/>
        <v>1965193.0841274001</v>
      </c>
      <c r="J123" s="92">
        <f>1989164+366733</f>
        <v>2355897</v>
      </c>
      <c r="M123" s="129"/>
      <c r="N123" s="127"/>
    </row>
    <row r="124" spans="1:14" x14ac:dyDescent="0.2">
      <c r="A124" t="s">
        <v>156</v>
      </c>
      <c r="B124" s="92">
        <f t="shared" si="34"/>
        <v>2355897</v>
      </c>
      <c r="C124" s="92">
        <v>1999524</v>
      </c>
      <c r="D124" s="93">
        <v>28053.153563400003</v>
      </c>
      <c r="E124" s="92">
        <f t="shared" si="31"/>
        <v>4383474.1535633998</v>
      </c>
      <c r="F124" s="126">
        <f t="shared" si="32"/>
        <v>1611000.2973401998</v>
      </c>
      <c r="G124" s="126">
        <v>623763.5</v>
      </c>
      <c r="H124" s="92">
        <v>395675.85622319998</v>
      </c>
      <c r="I124" s="126">
        <f t="shared" si="33"/>
        <v>2006676.1535633998</v>
      </c>
      <c r="J124" s="92">
        <f>1996747+380051</f>
        <v>2376798</v>
      </c>
      <c r="M124" s="129"/>
      <c r="N124" s="127"/>
    </row>
    <row r="125" spans="1:14" x14ac:dyDescent="0.2">
      <c r="A125" t="s">
        <v>157</v>
      </c>
      <c r="B125" s="92">
        <f t="shared" si="34"/>
        <v>2376798</v>
      </c>
      <c r="C125" s="92">
        <v>2201068</v>
      </c>
      <c r="D125" s="93">
        <v>23745.983562000001</v>
      </c>
      <c r="E125" s="92">
        <f t="shared" si="31"/>
        <v>4601611.9835620001</v>
      </c>
      <c r="F125" s="126">
        <f t="shared" si="32"/>
        <v>1954134.3696132002</v>
      </c>
      <c r="G125" s="126">
        <v>705003.5</v>
      </c>
      <c r="H125" s="92">
        <v>320883.61394879996</v>
      </c>
      <c r="I125" s="126">
        <f t="shared" si="33"/>
        <v>2275017.9835620001</v>
      </c>
      <c r="J125" s="92">
        <f>1933648+392946</f>
        <v>2326594</v>
      </c>
      <c r="M125" s="129"/>
      <c r="N125" s="127"/>
    </row>
    <row r="126" spans="1:14" x14ac:dyDescent="0.2">
      <c r="A126" t="s">
        <v>158</v>
      </c>
      <c r="B126" s="92">
        <f t="shared" si="34"/>
        <v>2326594</v>
      </c>
      <c r="C126" s="92">
        <v>2099465</v>
      </c>
      <c r="D126" s="93">
        <v>24468.217729200001</v>
      </c>
      <c r="E126" s="92">
        <f t="shared" si="31"/>
        <v>4450527.2177291997</v>
      </c>
      <c r="F126" s="126">
        <f t="shared" si="32"/>
        <v>1619731.2729857997</v>
      </c>
      <c r="G126" s="126">
        <v>752299.2</v>
      </c>
      <c r="H126" s="92">
        <v>230194.94474339997</v>
      </c>
      <c r="I126" s="126">
        <f t="shared" si="33"/>
        <v>1849926.2177291997</v>
      </c>
      <c r="J126" s="92">
        <f>2223538+377063</f>
        <v>2600601</v>
      </c>
      <c r="M126" s="129"/>
      <c r="N126" s="127"/>
    </row>
    <row r="127" spans="1:14" x14ac:dyDescent="0.2">
      <c r="A127" t="s">
        <v>162</v>
      </c>
      <c r="B127" s="92">
        <f t="shared" si="34"/>
        <v>2600601</v>
      </c>
      <c r="C127" s="92">
        <v>2057617</v>
      </c>
      <c r="D127" s="93">
        <v>24280.163472599997</v>
      </c>
      <c r="E127" s="92">
        <f t="shared" si="31"/>
        <v>4682498.1634726003</v>
      </c>
      <c r="F127" s="126">
        <f t="shared" si="32"/>
        <v>1879258.6828296003</v>
      </c>
      <c r="G127" s="126">
        <v>885839.2</v>
      </c>
      <c r="H127" s="92">
        <v>357824.48064299993</v>
      </c>
      <c r="I127" s="126">
        <f t="shared" si="33"/>
        <v>2237083.1634726003</v>
      </c>
      <c r="J127" s="92">
        <f>2048938+396477</f>
        <v>2445415</v>
      </c>
      <c r="M127" s="129"/>
      <c r="N127" s="127"/>
    </row>
    <row r="128" spans="1:14" x14ac:dyDescent="0.2">
      <c r="A128" t="s">
        <v>163</v>
      </c>
      <c r="B128" s="92">
        <f t="shared" si="34"/>
        <v>2445415</v>
      </c>
      <c r="C128" s="92">
        <v>2035269</v>
      </c>
      <c r="D128" s="93">
        <v>25234.764798600001</v>
      </c>
      <c r="E128" s="92">
        <f t="shared" si="31"/>
        <v>4505918.7647986002</v>
      </c>
      <c r="F128" s="126">
        <f t="shared" si="32"/>
        <v>2067436.7818240002</v>
      </c>
      <c r="G128" s="126">
        <v>827559.2</v>
      </c>
      <c r="H128" s="92">
        <v>167670.98297459999</v>
      </c>
      <c r="I128" s="126">
        <f t="shared" si="33"/>
        <v>2235107.7647986002</v>
      </c>
      <c r="J128" s="92">
        <f>1925728+345083</f>
        <v>2270811</v>
      </c>
      <c r="M128" s="129"/>
      <c r="N128" s="127"/>
    </row>
    <row r="129" spans="1:14" x14ac:dyDescent="0.2">
      <c r="A129" t="s">
        <v>164</v>
      </c>
      <c r="B129" s="92">
        <f t="shared" si="34"/>
        <v>2270811</v>
      </c>
      <c r="C129" s="92">
        <v>2122758</v>
      </c>
      <c r="D129" s="93">
        <v>27655.219292400001</v>
      </c>
      <c r="E129" s="92">
        <f t="shared" si="31"/>
        <v>4421224.2192924004</v>
      </c>
      <c r="F129" s="126">
        <f t="shared" si="32"/>
        <v>2133368.7486692006</v>
      </c>
      <c r="G129" s="126">
        <v>838368.6</v>
      </c>
      <c r="H129" s="92">
        <v>164631.4706232</v>
      </c>
      <c r="I129" s="126">
        <f t="shared" si="33"/>
        <v>2298000.2192924004</v>
      </c>
      <c r="J129" s="92">
        <f>1776460+346764</f>
        <v>2123224</v>
      </c>
      <c r="K129" s="92"/>
      <c r="L129" s="92"/>
      <c r="M129" s="129"/>
      <c r="N129" s="127"/>
    </row>
    <row r="130" spans="1:14" x14ac:dyDescent="0.2">
      <c r="A130" t="s">
        <v>165</v>
      </c>
      <c r="B130" s="92">
        <f t="shared" si="34"/>
        <v>2123224</v>
      </c>
      <c r="C130" s="92">
        <v>2012823</v>
      </c>
      <c r="D130" s="93">
        <v>22805.712278999999</v>
      </c>
      <c r="E130" s="92">
        <f t="shared" si="31"/>
        <v>4158852.7122789999</v>
      </c>
      <c r="F130" s="126">
        <f t="shared" si="32"/>
        <v>2013369.3823966</v>
      </c>
      <c r="G130" s="126">
        <v>808868.6</v>
      </c>
      <c r="H130" s="92">
        <v>200376.32988239996</v>
      </c>
      <c r="I130" s="126">
        <f t="shared" si="33"/>
        <v>2213745.7122789999</v>
      </c>
      <c r="J130" s="92">
        <f>1575628+369479</f>
        <v>1945107</v>
      </c>
      <c r="K130" s="92"/>
      <c r="L130" s="92"/>
      <c r="M130" s="129"/>
      <c r="N130" s="127"/>
    </row>
    <row r="131" spans="1:14" x14ac:dyDescent="0.2">
      <c r="A131" t="s">
        <v>151</v>
      </c>
      <c r="B131" s="92">
        <f t="shared" si="34"/>
        <v>1945107</v>
      </c>
      <c r="C131" s="92">
        <v>1967621</v>
      </c>
      <c r="D131" s="93">
        <v>20835.882522</v>
      </c>
      <c r="E131" s="92">
        <f t="shared" si="31"/>
        <v>3933563.882522</v>
      </c>
      <c r="F131" s="126">
        <f t="shared" si="32"/>
        <v>1902030.3247462001</v>
      </c>
      <c r="G131" s="126">
        <v>800068.6</v>
      </c>
      <c r="H131" s="92">
        <v>178858.55777579997</v>
      </c>
      <c r="I131" s="126">
        <f t="shared" si="33"/>
        <v>2080888.882522</v>
      </c>
      <c r="J131" s="92">
        <f>1507489+345186</f>
        <v>1852675</v>
      </c>
      <c r="K131" s="92"/>
      <c r="L131" s="92"/>
      <c r="M131" s="129"/>
      <c r="N131" s="127"/>
    </row>
    <row r="132" spans="1:14" x14ac:dyDescent="0.2">
      <c r="A132" t="s">
        <v>150</v>
      </c>
      <c r="B132" s="92"/>
      <c r="C132" s="92">
        <f t="shared" ref="C132:I132" si="35">SUM(C120:C131)</f>
        <v>24911125</v>
      </c>
      <c r="D132" s="93">
        <f t="shared" si="35"/>
        <v>319929.45354719996</v>
      </c>
      <c r="E132" s="92">
        <f>B120+C132+D132</f>
        <v>27006370.453547198</v>
      </c>
      <c r="F132" s="126">
        <f t="shared" si="35"/>
        <v>22317001.050894599</v>
      </c>
      <c r="G132" s="126">
        <f t="shared" si="35"/>
        <v>8657818.3000000007</v>
      </c>
      <c r="H132" s="92">
        <f t="shared" si="35"/>
        <v>2836694.4026525998</v>
      </c>
      <c r="I132" s="126">
        <f t="shared" si="35"/>
        <v>25153695.453547202</v>
      </c>
      <c r="J132" s="92"/>
      <c r="K132" s="126"/>
      <c r="L132" s="126"/>
      <c r="N132" s="127"/>
    </row>
    <row r="133" spans="1:14" x14ac:dyDescent="0.2">
      <c r="A133" t="s">
        <v>37</v>
      </c>
      <c r="B133" s="92"/>
      <c r="C133" s="92"/>
      <c r="D133" s="92"/>
      <c r="E133" s="92"/>
      <c r="F133" s="128"/>
      <c r="G133" s="126"/>
      <c r="H133" s="59"/>
      <c r="I133" s="128"/>
      <c r="J133" s="92"/>
      <c r="N133" s="127"/>
    </row>
    <row r="134" spans="1:14" x14ac:dyDescent="0.2">
      <c r="A134" t="s">
        <v>152</v>
      </c>
      <c r="B134" s="92">
        <f>J131</f>
        <v>1852675</v>
      </c>
      <c r="C134" s="92">
        <v>2282471</v>
      </c>
      <c r="D134" s="93">
        <v>20458.230773400002</v>
      </c>
      <c r="E134" s="92">
        <f>B134+C134+D134</f>
        <v>4155604.2307734</v>
      </c>
      <c r="F134" s="126">
        <f>I134-H134</f>
        <v>2002309.0817164001</v>
      </c>
      <c r="G134" s="126">
        <v>793012.66700000002</v>
      </c>
      <c r="H134" s="126">
        <v>185284.149057</v>
      </c>
      <c r="I134" s="126">
        <f>E134-J134</f>
        <v>2187593.2307734</v>
      </c>
      <c r="J134" s="92">
        <f>1568464+399547</f>
        <v>1968011</v>
      </c>
      <c r="K134" s="92"/>
      <c r="N134" s="127"/>
    </row>
    <row r="135" spans="1:14" x14ac:dyDescent="0.2">
      <c r="A135" t="s">
        <v>153</v>
      </c>
      <c r="B135" s="92">
        <f>J134</f>
        <v>1968011</v>
      </c>
      <c r="C135" s="92">
        <v>2206792</v>
      </c>
      <c r="D135" s="93">
        <v>21129.317710200001</v>
      </c>
      <c r="E135" s="92">
        <f t="shared" ref="E135:E145" si="36">B135+C135+D135</f>
        <v>4195932.3177102003</v>
      </c>
      <c r="F135" s="126">
        <f t="shared" ref="F135:F145" si="37">I135-H135</f>
        <v>1902000.1620060003</v>
      </c>
      <c r="G135" s="126">
        <v>753012.66700000002</v>
      </c>
      <c r="H135" s="126">
        <v>176835.15570420001</v>
      </c>
      <c r="I135" s="126">
        <f t="shared" ref="I135:I145" si="38">E135-J135</f>
        <v>2078835.3177102003</v>
      </c>
      <c r="J135" s="92">
        <f>1684535+432562</f>
        <v>2117097</v>
      </c>
      <c r="K135" s="92"/>
      <c r="N135" s="127"/>
    </row>
    <row r="136" spans="1:14" x14ac:dyDescent="0.2">
      <c r="A136" t="s">
        <v>154</v>
      </c>
      <c r="B136" s="92">
        <f>J135</f>
        <v>2117097</v>
      </c>
      <c r="C136" s="92">
        <v>2233486</v>
      </c>
      <c r="D136" s="93">
        <v>25252.622236800002</v>
      </c>
      <c r="E136" s="92">
        <f t="shared" si="36"/>
        <v>4375835.6222368004</v>
      </c>
      <c r="F136" s="126">
        <f t="shared" si="37"/>
        <v>2030393.8453386005</v>
      </c>
      <c r="G136" s="126">
        <v>814012.66700000002</v>
      </c>
      <c r="H136" s="126">
        <v>234655.77689820001</v>
      </c>
      <c r="I136" s="126">
        <f t="shared" si="38"/>
        <v>2265049.6222368004</v>
      </c>
      <c r="J136" s="92">
        <f>1717305+393481</f>
        <v>2110786</v>
      </c>
      <c r="K136" s="92"/>
      <c r="N136" s="127"/>
    </row>
    <row r="137" spans="1:14" x14ac:dyDescent="0.2">
      <c r="A137" t="s">
        <v>155</v>
      </c>
      <c r="B137" s="92">
        <f t="shared" ref="B137:B145" si="39">J136</f>
        <v>2110786</v>
      </c>
      <c r="C137" s="92">
        <v>2308752</v>
      </c>
      <c r="D137" s="93">
        <v>18980.693109</v>
      </c>
      <c r="E137" s="92">
        <f t="shared" si="36"/>
        <v>4438518.6931090001</v>
      </c>
      <c r="F137" s="126">
        <f t="shared" si="37"/>
        <v>1804720.4637692</v>
      </c>
      <c r="G137" s="126">
        <v>682770</v>
      </c>
      <c r="H137" s="126">
        <v>327807.22933980002</v>
      </c>
      <c r="I137" s="126">
        <f t="shared" si="38"/>
        <v>2132527.6931090001</v>
      </c>
      <c r="J137" s="92">
        <f>1882069+423922</f>
        <v>2305991</v>
      </c>
      <c r="K137" s="71"/>
      <c r="N137" s="127"/>
    </row>
    <row r="138" spans="1:14" x14ac:dyDescent="0.2">
      <c r="A138" t="s">
        <v>156</v>
      </c>
      <c r="B138" s="92">
        <f t="shared" si="39"/>
        <v>2305991</v>
      </c>
      <c r="C138" s="92">
        <v>1924749</v>
      </c>
      <c r="D138" s="93">
        <v>21359.480247</v>
      </c>
      <c r="E138" s="92">
        <f t="shared" si="36"/>
        <v>4252099.4802470002</v>
      </c>
      <c r="F138" s="126">
        <f t="shared" si="37"/>
        <v>1691013.3458538002</v>
      </c>
      <c r="G138" s="126">
        <v>552509</v>
      </c>
      <c r="H138" s="126">
        <v>255098.13439320002</v>
      </c>
      <c r="I138" s="126">
        <f t="shared" si="38"/>
        <v>1946111.4802470002</v>
      </c>
      <c r="J138" s="92">
        <f>1870825+435163</f>
        <v>2305988</v>
      </c>
      <c r="K138" s="71"/>
      <c r="N138" s="127"/>
    </row>
    <row r="139" spans="1:14" x14ac:dyDescent="0.2">
      <c r="A139" t="s">
        <v>157</v>
      </c>
      <c r="B139" s="92">
        <f t="shared" si="39"/>
        <v>2305988</v>
      </c>
      <c r="C139" s="92">
        <v>2222123</v>
      </c>
      <c r="D139" s="93">
        <v>21436.642017000002</v>
      </c>
      <c r="E139" s="92">
        <f t="shared" si="36"/>
        <v>4549547.6420170004</v>
      </c>
      <c r="F139" s="126">
        <f t="shared" si="37"/>
        <v>2147762.4239260005</v>
      </c>
      <c r="G139" s="126">
        <v>748813</v>
      </c>
      <c r="H139" s="126">
        <v>156507.21809100002</v>
      </c>
      <c r="I139" s="126">
        <f t="shared" si="38"/>
        <v>2304269.6420170004</v>
      </c>
      <c r="J139" s="92">
        <f>1864100+381178</f>
        <v>2245278</v>
      </c>
      <c r="K139" s="71"/>
      <c r="N139" s="127"/>
    </row>
    <row r="140" spans="1:14" x14ac:dyDescent="0.2">
      <c r="A140" t="s">
        <v>158</v>
      </c>
      <c r="B140" s="92">
        <f t="shared" si="39"/>
        <v>2245278</v>
      </c>
      <c r="C140" s="92">
        <v>1991877</v>
      </c>
      <c r="D140" s="93">
        <v>20443.018881600001</v>
      </c>
      <c r="E140" s="92">
        <f t="shared" si="36"/>
        <v>4257598.0188816004</v>
      </c>
      <c r="F140" s="126">
        <f t="shared" si="37"/>
        <v>1950426.7469656004</v>
      </c>
      <c r="G140" s="126">
        <v>699933</v>
      </c>
      <c r="H140" s="126">
        <v>129583.271916</v>
      </c>
      <c r="I140" s="126">
        <f t="shared" si="38"/>
        <v>2080010.0188816004</v>
      </c>
      <c r="J140" s="92">
        <f>1814888+362700</f>
        <v>2177588</v>
      </c>
      <c r="K140" s="71"/>
      <c r="N140" s="127"/>
    </row>
    <row r="141" spans="1:14" x14ac:dyDescent="0.2">
      <c r="A141" t="s">
        <v>162</v>
      </c>
      <c r="B141" s="92">
        <f t="shared" si="39"/>
        <v>2177588</v>
      </c>
      <c r="C141" s="92">
        <v>2043135</v>
      </c>
      <c r="D141" s="93">
        <v>16384.750704000002</v>
      </c>
      <c r="E141" s="92">
        <f t="shared" si="36"/>
        <v>4237107.7507039998</v>
      </c>
      <c r="F141" s="126">
        <f t="shared" si="37"/>
        <v>2018986.5195629997</v>
      </c>
      <c r="G141" s="126">
        <v>785914</v>
      </c>
      <c r="H141" s="126">
        <v>71133.231140999997</v>
      </c>
      <c r="I141" s="126">
        <f t="shared" si="38"/>
        <v>2090119.7507039998</v>
      </c>
      <c r="J141" s="92">
        <f>1721223+425765</f>
        <v>2146988</v>
      </c>
      <c r="K141" s="71"/>
      <c r="N141" s="127"/>
    </row>
    <row r="142" spans="1:14" x14ac:dyDescent="0.2">
      <c r="A142" t="s">
        <v>163</v>
      </c>
      <c r="B142" s="92">
        <f t="shared" si="39"/>
        <v>2146988</v>
      </c>
      <c r="C142" s="92">
        <v>1908649</v>
      </c>
      <c r="D142" s="93">
        <v>26139.982591799999</v>
      </c>
      <c r="E142" s="92">
        <f t="shared" si="36"/>
        <v>4081776.9825917999</v>
      </c>
      <c r="F142" s="126">
        <f t="shared" si="37"/>
        <v>1889511.8995415999</v>
      </c>
      <c r="G142" s="126">
        <v>679982</v>
      </c>
      <c r="H142" s="126">
        <v>91611.083050200003</v>
      </c>
      <c r="I142" s="126">
        <f t="shared" si="38"/>
        <v>1981122.9825917999</v>
      </c>
      <c r="J142" s="92">
        <f>1682521+418133</f>
        <v>2100654</v>
      </c>
      <c r="K142" s="71"/>
      <c r="N142" s="127"/>
    </row>
    <row r="143" spans="1:14" x14ac:dyDescent="0.2">
      <c r="A143" t="s">
        <v>164</v>
      </c>
      <c r="B143" s="92">
        <f t="shared" si="39"/>
        <v>2100654</v>
      </c>
      <c r="C143" s="92">
        <v>1972688</v>
      </c>
      <c r="D143" s="93">
        <v>32513.324331600001</v>
      </c>
      <c r="E143" s="92">
        <f t="shared" si="36"/>
        <v>4105855.3243316002</v>
      </c>
      <c r="F143" s="126">
        <f t="shared" si="37"/>
        <v>2005547.1758732002</v>
      </c>
      <c r="G143" s="126">
        <v>807968</v>
      </c>
      <c r="H143" s="126">
        <v>30197.148458400003</v>
      </c>
      <c r="I143" s="126">
        <f t="shared" si="38"/>
        <v>2035744.3243316002</v>
      </c>
      <c r="J143" s="92">
        <f>1671358+398753</f>
        <v>2070111</v>
      </c>
      <c r="K143" s="71"/>
      <c r="N143" s="127"/>
    </row>
    <row r="144" spans="1:14" x14ac:dyDescent="0.2">
      <c r="A144" t="s">
        <v>165</v>
      </c>
      <c r="B144" s="92">
        <f t="shared" si="39"/>
        <v>2070111</v>
      </c>
      <c r="C144" s="92">
        <v>1989733</v>
      </c>
      <c r="D144" s="93">
        <v>42580.510232400004</v>
      </c>
      <c r="E144" s="92">
        <f t="shared" si="36"/>
        <v>4102424.5102324001</v>
      </c>
      <c r="F144" s="126">
        <f t="shared" si="37"/>
        <v>1880204.2092524001</v>
      </c>
      <c r="G144" s="126">
        <v>822948</v>
      </c>
      <c r="H144" s="126">
        <v>38779.30098</v>
      </c>
      <c r="I144" s="126">
        <f t="shared" si="38"/>
        <v>1918983.5102324001</v>
      </c>
      <c r="J144" s="92">
        <f>1753469+429972</f>
        <v>2183441</v>
      </c>
      <c r="K144" s="71"/>
      <c r="N144" s="127"/>
    </row>
    <row r="145" spans="1:14" x14ac:dyDescent="0.2">
      <c r="A145" t="s">
        <v>151</v>
      </c>
      <c r="B145" s="92">
        <f t="shared" si="39"/>
        <v>2183441</v>
      </c>
      <c r="C145" s="92">
        <v>1938212</v>
      </c>
      <c r="D145" s="93">
        <v>34903.134579600002</v>
      </c>
      <c r="E145" s="92">
        <f t="shared" si="36"/>
        <v>4156556.1345795998</v>
      </c>
      <c r="F145" s="126">
        <f t="shared" si="37"/>
        <v>1991455.9518777998</v>
      </c>
      <c r="G145" s="126">
        <v>779125</v>
      </c>
      <c r="H145" s="126">
        <v>33867.182701800004</v>
      </c>
      <c r="I145" s="126">
        <f t="shared" si="38"/>
        <v>2025323.1345795998</v>
      </c>
      <c r="J145" s="92">
        <f>1741589+389644</f>
        <v>2131233</v>
      </c>
      <c r="K145" s="71"/>
      <c r="N145" s="127"/>
    </row>
    <row r="146" spans="1:14" x14ac:dyDescent="0.2">
      <c r="A146" t="s">
        <v>150</v>
      </c>
      <c r="B146" s="92"/>
      <c r="C146" s="92">
        <f t="shared" ref="C146:H146" si="40">SUM(C134:C145)</f>
        <v>25022667</v>
      </c>
      <c r="D146" s="93">
        <f t="shared" si="40"/>
        <v>301581.70741440001</v>
      </c>
      <c r="E146" s="92">
        <f>B134+C146+D146</f>
        <v>27176923.7074144</v>
      </c>
      <c r="F146" s="126">
        <f t="shared" si="40"/>
        <v>23314331.825683601</v>
      </c>
      <c r="G146" s="126">
        <f>SUM(G134:G145)</f>
        <v>8920000.0010000002</v>
      </c>
      <c r="H146" s="126">
        <f t="shared" si="40"/>
        <v>1731358.8817308003</v>
      </c>
      <c r="I146" s="126">
        <f>SUM(I134:I145)</f>
        <v>25045690.707414404</v>
      </c>
      <c r="J146" s="92"/>
      <c r="K146" s="71"/>
    </row>
    <row r="147" spans="1:14" x14ac:dyDescent="0.2">
      <c r="A147" s="123" t="s">
        <v>38</v>
      </c>
      <c r="B147" s="126"/>
      <c r="C147" s="126"/>
      <c r="D147" s="130"/>
      <c r="E147" s="126"/>
      <c r="F147" s="126"/>
      <c r="G147" s="126"/>
      <c r="H147" s="126"/>
      <c r="I147" s="126"/>
      <c r="J147" s="92"/>
      <c r="K147" s="71"/>
    </row>
    <row r="148" spans="1:14" x14ac:dyDescent="0.2">
      <c r="A148" s="123" t="s">
        <v>152</v>
      </c>
      <c r="B148" s="126">
        <f>J145</f>
        <v>2131233</v>
      </c>
      <c r="C148" s="126">
        <v>2347580</v>
      </c>
      <c r="D148" s="130">
        <v>35828.855357400003</v>
      </c>
      <c r="E148" s="126">
        <f>B148+C148+D148</f>
        <v>4514641.8553574001</v>
      </c>
      <c r="F148" s="126">
        <f>I148-H148</f>
        <v>2071140.9910572001</v>
      </c>
      <c r="G148" s="126">
        <v>832427</v>
      </c>
      <c r="H148" s="126">
        <v>57163.864300199995</v>
      </c>
      <c r="I148" s="126">
        <f>E148-J148</f>
        <v>2128304.8553574001</v>
      </c>
      <c r="J148" s="92">
        <f>1960220+426117</f>
        <v>2386337</v>
      </c>
      <c r="K148" s="71"/>
    </row>
    <row r="149" spans="1:14" x14ac:dyDescent="0.2">
      <c r="A149" s="123" t="s">
        <v>153</v>
      </c>
      <c r="B149" s="126">
        <f>J148</f>
        <v>2386337</v>
      </c>
      <c r="C149" s="126">
        <v>2235370</v>
      </c>
      <c r="D149" s="130">
        <v>34126.887173400006</v>
      </c>
      <c r="E149" s="126">
        <f t="shared" ref="E149:E159" si="41">B149+C149+D149</f>
        <v>4655833.8871734003</v>
      </c>
      <c r="F149" s="126">
        <f t="shared" ref="F149:F159" si="42">I149-H149</f>
        <v>2020591.9628710002</v>
      </c>
      <c r="G149" s="126">
        <v>818012.71279999986</v>
      </c>
      <c r="H149" s="126">
        <v>229278.9243024</v>
      </c>
      <c r="I149" s="126">
        <f t="shared" ref="I149:I159" si="43">E149-J149</f>
        <v>2249870.8871734003</v>
      </c>
      <c r="J149" s="92">
        <f>1940772+465191</f>
        <v>2405963</v>
      </c>
    </row>
    <row r="150" spans="1:14" x14ac:dyDescent="0.2">
      <c r="A150" s="123" t="s">
        <v>154</v>
      </c>
      <c r="B150" s="126">
        <f t="shared" ref="B150:B159" si="44">J149</f>
        <v>2405963</v>
      </c>
      <c r="C150" s="126">
        <v>2324183</v>
      </c>
      <c r="D150" s="130">
        <v>31644.041877</v>
      </c>
      <c r="E150" s="126">
        <f t="shared" si="41"/>
        <v>4761790.0418769997</v>
      </c>
      <c r="F150" s="126">
        <f t="shared" si="42"/>
        <v>2130800.6323141996</v>
      </c>
      <c r="G150" s="126">
        <v>938341</v>
      </c>
      <c r="H150" s="126">
        <v>165098.40956279999</v>
      </c>
      <c r="I150" s="126">
        <f t="shared" si="43"/>
        <v>2295899.0418769997</v>
      </c>
      <c r="J150" s="92">
        <f>2035694+430197</f>
        <v>2465891</v>
      </c>
    </row>
    <row r="151" spans="1:14" x14ac:dyDescent="0.2">
      <c r="A151" s="123" t="s">
        <v>155</v>
      </c>
      <c r="B151" s="126">
        <f t="shared" si="44"/>
        <v>2465891</v>
      </c>
      <c r="C151" s="126">
        <v>2277355</v>
      </c>
      <c r="D151" s="130">
        <v>16209.042330600001</v>
      </c>
      <c r="E151" s="126">
        <f t="shared" si="41"/>
        <v>4759455.0423306003</v>
      </c>
      <c r="F151" s="126">
        <f t="shared" si="42"/>
        <v>1975148.4729870004</v>
      </c>
      <c r="G151" s="126">
        <v>791387</v>
      </c>
      <c r="H151" s="126">
        <v>284382.56934360001</v>
      </c>
      <c r="I151" s="126">
        <f t="shared" si="43"/>
        <v>2259531.0423306003</v>
      </c>
      <c r="J151" s="92">
        <f>2113724+386200</f>
        <v>2499924</v>
      </c>
    </row>
    <row r="152" spans="1:14" x14ac:dyDescent="0.2">
      <c r="A152" s="123" t="s">
        <v>156</v>
      </c>
      <c r="B152" s="126">
        <f t="shared" si="44"/>
        <v>2499924</v>
      </c>
      <c r="C152" s="126">
        <v>2064199</v>
      </c>
      <c r="D152" s="130">
        <v>21522.401812799999</v>
      </c>
      <c r="E152" s="126">
        <f t="shared" si="41"/>
        <v>4585645.4018128002</v>
      </c>
      <c r="F152" s="126">
        <f t="shared" si="42"/>
        <v>1783892.0882500003</v>
      </c>
      <c r="G152" s="126">
        <v>740603</v>
      </c>
      <c r="H152" s="126">
        <v>235646.3135628</v>
      </c>
      <c r="I152" s="126">
        <f t="shared" si="43"/>
        <v>2019538.4018128002</v>
      </c>
      <c r="J152" s="92">
        <f>2172311+393796</f>
        <v>2566107</v>
      </c>
    </row>
    <row r="153" spans="1:14" x14ac:dyDescent="0.2">
      <c r="A153" s="123" t="s">
        <v>157</v>
      </c>
      <c r="B153" s="126">
        <f t="shared" si="44"/>
        <v>2566107</v>
      </c>
      <c r="C153" s="126">
        <v>2277541</v>
      </c>
      <c r="D153" s="130">
        <v>22186.654421400002</v>
      </c>
      <c r="E153" s="126">
        <f t="shared" si="41"/>
        <v>4865834.6544214003</v>
      </c>
      <c r="F153" s="126">
        <f t="shared" si="42"/>
        <v>2165697.1246716003</v>
      </c>
      <c r="G153" s="126">
        <v>908290</v>
      </c>
      <c r="H153" s="126">
        <v>266419.52974979999</v>
      </c>
      <c r="I153" s="126">
        <f t="shared" si="43"/>
        <v>2432116.6544214003</v>
      </c>
      <c r="J153" s="92">
        <f>2084253+349465</f>
        <v>2433718</v>
      </c>
    </row>
    <row r="154" spans="1:14" x14ac:dyDescent="0.2">
      <c r="A154" s="123" t="s">
        <v>158</v>
      </c>
      <c r="B154" s="126">
        <f t="shared" si="44"/>
        <v>2433718</v>
      </c>
      <c r="C154" s="126">
        <v>2143118</v>
      </c>
      <c r="D154" s="130">
        <v>23519.7893448</v>
      </c>
      <c r="E154" s="126">
        <f t="shared" si="41"/>
        <v>4600355.7893447997</v>
      </c>
      <c r="F154" s="126">
        <f t="shared" si="42"/>
        <v>2008090.6443671996</v>
      </c>
      <c r="G154" s="126">
        <v>838900</v>
      </c>
      <c r="H154" s="126">
        <v>168082.14497760002</v>
      </c>
      <c r="I154" s="126">
        <f t="shared" si="43"/>
        <v>2176172.7893447997</v>
      </c>
      <c r="J154" s="92">
        <f>2018967+405216</f>
        <v>2424183</v>
      </c>
    </row>
    <row r="155" spans="1:14" x14ac:dyDescent="0.2">
      <c r="A155" s="123" t="s">
        <v>162</v>
      </c>
      <c r="B155" s="126">
        <f t="shared" si="44"/>
        <v>2424183</v>
      </c>
      <c r="C155" s="126">
        <v>2158774</v>
      </c>
      <c r="D155" s="130">
        <v>24938.463601800002</v>
      </c>
      <c r="E155" s="126">
        <f t="shared" si="41"/>
        <v>4607895.4636017997</v>
      </c>
      <c r="F155" s="126">
        <f t="shared" si="42"/>
        <v>2149632.1321875998</v>
      </c>
      <c r="G155" s="126">
        <v>855571</v>
      </c>
      <c r="H155" s="126">
        <v>73890.331414200002</v>
      </c>
      <c r="I155" s="126">
        <f t="shared" si="43"/>
        <v>2223522.4636017997</v>
      </c>
      <c r="J155" s="92">
        <f>1967553+416820</f>
        <v>2384373</v>
      </c>
    </row>
    <row r="156" spans="1:14" x14ac:dyDescent="0.2">
      <c r="A156" s="123" t="s">
        <v>163</v>
      </c>
      <c r="B156" s="126">
        <f t="shared" si="44"/>
        <v>2384373</v>
      </c>
      <c r="C156" s="126">
        <v>2068578</v>
      </c>
      <c r="D156" s="130">
        <v>24169.9323726</v>
      </c>
      <c r="E156" s="126">
        <f t="shared" si="41"/>
        <v>4477120.9323725998</v>
      </c>
      <c r="F156" s="126">
        <f t="shared" si="42"/>
        <v>2088457.2126892</v>
      </c>
      <c r="G156" s="126">
        <v>809799</v>
      </c>
      <c r="H156" s="126">
        <v>73159.719683399991</v>
      </c>
      <c r="I156" s="126">
        <f t="shared" si="43"/>
        <v>2161616.9323725998</v>
      </c>
      <c r="J156" s="92">
        <f>1911685+403819</f>
        <v>2315504</v>
      </c>
    </row>
    <row r="157" spans="1:14" x14ac:dyDescent="0.2">
      <c r="A157" s="123" t="s">
        <v>164</v>
      </c>
      <c r="B157" s="126">
        <f t="shared" si="44"/>
        <v>2315504</v>
      </c>
      <c r="C157" s="126">
        <v>2169930</v>
      </c>
      <c r="D157" s="130">
        <v>25114.392437400002</v>
      </c>
      <c r="E157" s="126">
        <f t="shared" si="41"/>
        <v>4510548.3924374003</v>
      </c>
      <c r="F157" s="126">
        <f t="shared" si="42"/>
        <v>2125601.4242048003</v>
      </c>
      <c r="G157" s="126">
        <v>956488</v>
      </c>
      <c r="H157" s="126">
        <v>118152.9682326</v>
      </c>
      <c r="I157" s="126">
        <f t="shared" si="43"/>
        <v>2243754.3924374003</v>
      </c>
      <c r="J157" s="92">
        <f>1863249+403545</f>
        <v>2266794</v>
      </c>
    </row>
    <row r="158" spans="1:14" x14ac:dyDescent="0.2">
      <c r="A158" s="123" t="s">
        <v>165</v>
      </c>
      <c r="B158" s="126">
        <f t="shared" si="44"/>
        <v>2266794</v>
      </c>
      <c r="C158" s="126">
        <v>2095581</v>
      </c>
      <c r="D158" s="130">
        <v>21255.4220886</v>
      </c>
      <c r="E158" s="126">
        <f t="shared" si="41"/>
        <v>4383630.4220885998</v>
      </c>
      <c r="F158" s="126">
        <f t="shared" si="42"/>
        <v>2222825.2080033999</v>
      </c>
      <c r="G158" s="126">
        <v>924718</v>
      </c>
      <c r="H158" s="126">
        <v>57092.214085200001</v>
      </c>
      <c r="I158" s="126">
        <f t="shared" si="43"/>
        <v>2279917.4220885998</v>
      </c>
      <c r="J158" s="92">
        <f>1690283+413430</f>
        <v>2103713</v>
      </c>
    </row>
    <row r="159" spans="1:14" x14ac:dyDescent="0.2">
      <c r="A159" s="123" t="s">
        <v>151</v>
      </c>
      <c r="B159" s="126">
        <f t="shared" si="44"/>
        <v>2103713</v>
      </c>
      <c r="C159" s="126">
        <v>1992964</v>
      </c>
      <c r="D159" s="130">
        <v>22772.422486799998</v>
      </c>
      <c r="E159" s="126">
        <f t="shared" si="41"/>
        <v>4119449.4224867998</v>
      </c>
      <c r="F159" s="126">
        <f t="shared" si="42"/>
        <v>2083225.0596881998</v>
      </c>
      <c r="G159" s="126">
        <v>933655</v>
      </c>
      <c r="H159" s="126">
        <v>45076.362798599999</v>
      </c>
      <c r="I159" s="126">
        <f t="shared" si="43"/>
        <v>2128301.4224867998</v>
      </c>
      <c r="J159" s="92">
        <f>1590053+401095</f>
        <v>1991148</v>
      </c>
    </row>
    <row r="160" spans="1:14" x14ac:dyDescent="0.2">
      <c r="A160" s="131" t="s">
        <v>150</v>
      </c>
      <c r="B160" s="132"/>
      <c r="C160" s="132">
        <f>SUM(C148:C159)</f>
        <v>26155173</v>
      </c>
      <c r="D160" s="133">
        <f>SUM(D148:D159)</f>
        <v>303288.30530459998</v>
      </c>
      <c r="E160" s="132">
        <f>B148+C160+D160</f>
        <v>28589694.305304602</v>
      </c>
      <c r="F160" s="132">
        <f t="shared" ref="F160" si="45">SUM(F148:F159)</f>
        <v>24825102.953291398</v>
      </c>
      <c r="G160" s="132">
        <f>SUM(G148:G159)</f>
        <v>10348191.7128</v>
      </c>
      <c r="H160" s="132">
        <f>SUM(H148:H159)</f>
        <v>1773443.3520131998</v>
      </c>
      <c r="I160" s="132">
        <f>SUM(I148:I159)</f>
        <v>26598546.305304598</v>
      </c>
      <c r="J160" s="95"/>
    </row>
    <row r="161" spans="1:10" x14ac:dyDescent="0.2">
      <c r="A161" t="s">
        <v>126</v>
      </c>
      <c r="B161" s="92"/>
      <c r="C161" s="92"/>
      <c r="D161" s="134"/>
      <c r="E161" s="92"/>
      <c r="F161" s="92"/>
      <c r="G161" s="92"/>
      <c r="H161" s="92"/>
      <c r="I161" s="92"/>
      <c r="J161" s="92"/>
    </row>
    <row r="162" spans="1:10" ht="10.199999999999999" customHeight="1" x14ac:dyDescent="0.2">
      <c r="A162" t="s">
        <v>229</v>
      </c>
    </row>
    <row r="163" spans="1:10" x14ac:dyDescent="0.2">
      <c r="A163" t="s">
        <v>230</v>
      </c>
    </row>
    <row r="164" spans="1:10" x14ac:dyDescent="0.2">
      <c r="A164" t="s">
        <v>221</v>
      </c>
    </row>
    <row r="165" spans="1:10" x14ac:dyDescent="0.2">
      <c r="A165" s="11" t="s">
        <v>222</v>
      </c>
      <c r="B165" s="110"/>
      <c r="C165" s="110"/>
      <c r="D165" s="110"/>
      <c r="E165" s="110"/>
      <c r="F165" s="110"/>
      <c r="G165" s="110"/>
      <c r="H165" s="110"/>
      <c r="I165" s="110"/>
      <c r="J165" s="110"/>
    </row>
    <row r="166" spans="1:10" x14ac:dyDescent="0.2">
      <c r="A166" t="s">
        <v>231</v>
      </c>
    </row>
    <row r="167" spans="1:10" x14ac:dyDescent="0.2">
      <c r="A167" t="s">
        <v>232</v>
      </c>
    </row>
    <row r="168" spans="1:10" x14ac:dyDescent="0.2">
      <c r="A168" t="s">
        <v>227</v>
      </c>
    </row>
    <row r="169" spans="1:10" x14ac:dyDescent="0.2">
      <c r="J169" s="124" t="s">
        <v>211</v>
      </c>
    </row>
    <row r="170" spans="1:10" x14ac:dyDescent="0.2">
      <c r="A170" s="79"/>
    </row>
  </sheetData>
  <pageMargins left="0.7" right="0.7" top="0.75" bottom="0.75" header="0.3" footer="0.3"/>
  <pageSetup scale="79" firstPageNumber="8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115AC2-1681-40C6-977E-864BF3C59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353F2-FE79-4955-80EC-71C09CDA1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'tab 9'!Print_Area</vt:lpstr>
      <vt:lpstr>'tab01'!Print_Area</vt:lpstr>
      <vt:lpstr>'tab02'!Print_Area</vt:lpstr>
      <vt:lpstr>'tab3'!Print_Area</vt:lpstr>
      <vt:lpstr>'tab4'!Print_Area</vt:lpstr>
      <vt:lpstr>'tab5'!Print_Area</vt:lpstr>
      <vt:lpstr>'tab6'!Print_Area</vt:lpstr>
      <vt:lpstr>'tab7'!Print_Area</vt:lpstr>
      <vt:lpstr>'tab8'!Print_Area</vt:lpstr>
      <vt:lpstr>'tab 9'!Print_Titles</vt:lpstr>
      <vt:lpstr>'tab01'!Print_Titles</vt:lpstr>
      <vt:lpstr>'tab02'!Print_Titles</vt:lpstr>
      <vt:lpstr>'tab3'!Print_Titles</vt:lpstr>
      <vt:lpstr>'tab4'!Print_Titles</vt:lpstr>
      <vt:lpstr>'tab5'!Print_Titles</vt:lpstr>
      <vt:lpstr>'tab6'!Print_Titles</vt:lpstr>
      <vt:lpstr>'tab7'!Print_Titles</vt:lpstr>
      <vt:lpstr>'tab8'!Print_Titles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Soy</dc:title>
  <dc:subject>Agricultural economics</dc:subject>
  <dc:creator>Aaron Ates; Maria Bukowski</dc:creator>
  <cp:keywords>oil crops, soybeans, soybean meal, soybean oil</cp:keywords>
  <cp:lastModifiedBy>Bukowski, Maria - REE-ERS</cp:lastModifiedBy>
  <dcterms:created xsi:type="dcterms:W3CDTF">2022-03-24T16:46:57Z</dcterms:created>
  <dcterms:modified xsi:type="dcterms:W3CDTF">2023-03-24T21:28:59Z</dcterms:modified>
</cp:coreProperties>
</file>