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4.xml" ContentType="application/vnd.openxmlformats-officedocument.drawing+xml"/>
  <Override PartName="/xl/comments12.xml" ContentType="application/vnd.openxmlformats-officedocument.spreadsheetml.comments+xml"/>
  <Override PartName="/xl/drawings/drawing5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showInkAnnotation="0"/>
  <mc:AlternateContent xmlns:mc="http://schemas.openxmlformats.org/markup-compatibility/2006">
    <mc:Choice Requires="x15">
      <x15ac:absPath xmlns:x15ac="http://schemas.microsoft.com/office/spreadsheetml/2010/11/ac" url="https://usdagcc.sharepoint.com/sites/REE-ERS-OilCropsOutlook/Shared Documents/General/Yearbooks/Oilyrbook_2023/"/>
    </mc:Choice>
  </mc:AlternateContent>
  <xr:revisionPtr revIDLastSave="12" documentId="13_ncr:1_{86F08925-A63F-47B3-B5E2-4DEAEAD92EEF}" xr6:coauthVersionLast="47" xr6:coauthVersionMax="47" xr10:uidLastSave="{C81A13C4-DDD8-48B1-9BD3-D9A2C6DD7E32}"/>
  <bookViews>
    <workbookView xWindow="43200" yWindow="0" windowWidth="14400" windowHeight="15600" tabRatio="598" xr2:uid="{00000000-000D-0000-FFFF-FFFF00000000}"/>
  </bookViews>
  <sheets>
    <sheet name="Contents" sheetId="125" r:id="rId1"/>
    <sheet name="tab32" sheetId="112" r:id="rId2"/>
    <sheet name="tab33" sheetId="113" r:id="rId3"/>
    <sheet name="tab34(1)" sheetId="114" r:id="rId4"/>
    <sheet name="tab34(2)" sheetId="115" r:id="rId5"/>
    <sheet name="tab34(3)" sheetId="116" r:id="rId6"/>
    <sheet name="tab34(4)" sheetId="117" r:id="rId7"/>
    <sheet name="tab34(5)" sheetId="118" r:id="rId8"/>
    <sheet name="tab34(6)" sheetId="119" r:id="rId9"/>
    <sheet name="tab34(7)" sheetId="120" r:id="rId10"/>
    <sheet name="tab34(8)" sheetId="121" r:id="rId11"/>
    <sheet name="tab34(9)" sheetId="122" r:id="rId12"/>
    <sheet name="tab35" sheetId="123" r:id="rId13"/>
    <sheet name="tab36" sheetId="124" r:id="rId14"/>
  </sheets>
  <definedNames>
    <definedName name="_xlnm.Print_Area" localSheetId="1">'tab32'!$B$5:$O$80</definedName>
    <definedName name="_xlnm.Print_Area" localSheetId="2">'tab33'!$B$7:$M$59</definedName>
    <definedName name="_xlnm.Print_Area" localSheetId="3">'tab34(1)'!$C$4:$N$53</definedName>
    <definedName name="_xlnm.Print_Area" localSheetId="4">'tab34(2)'!$C$4:$N$53</definedName>
    <definedName name="_xlnm.Print_Area" localSheetId="5">'tab34(3)'!$C$4:$N$53</definedName>
    <definedName name="_xlnm.Print_Area" localSheetId="6">'tab34(4)'!$C$4:$N$53</definedName>
    <definedName name="_xlnm.Print_Area" localSheetId="7">'tab34(5)'!$C$4:$N$53</definedName>
    <definedName name="_xlnm.Print_Area" localSheetId="8">'tab34(6)'!$C$4:$N$53</definedName>
    <definedName name="_xlnm.Print_Area" localSheetId="9">'tab34(7)'!$C$4:$N$53</definedName>
    <definedName name="_xlnm.Print_Area" localSheetId="10">'tab34(8)'!$C$4:$N$53</definedName>
    <definedName name="_xlnm.Print_Area" localSheetId="11">'tab34(9)'!$C$4:$N$54</definedName>
    <definedName name="_xlnm.Print_Area" localSheetId="12">'tab35'!$A$1:$L$56</definedName>
    <definedName name="_xlnm.Print_Area" localSheetId="13">'tab36'!$B$7:$K$52</definedName>
    <definedName name="_xlnm.Print_Titles" localSheetId="1">'tab32'!$A:$A,'tab32'!$1:$3</definedName>
    <definedName name="_xlnm.Print_Titles" localSheetId="2">'tab33'!$A:$A,'tab33'!$1:$5</definedName>
    <definedName name="_xlnm.Print_Titles" localSheetId="3">'tab34(1)'!$A:$B,'tab34(1)'!$1:$3</definedName>
    <definedName name="_xlnm.Print_Titles" localSheetId="4">'tab34(2)'!$A:$B,'tab34(2)'!$1:$3</definedName>
    <definedName name="_xlnm.Print_Titles" localSheetId="5">'tab34(3)'!$A:$B,'tab34(3)'!$1:$3</definedName>
    <definedName name="_xlnm.Print_Titles" localSheetId="6">'tab34(4)'!$A:$B,'tab34(4)'!$1:$3</definedName>
    <definedName name="_xlnm.Print_Titles" localSheetId="7">'tab34(5)'!$A:$B,'tab34(5)'!$1:$3</definedName>
    <definedName name="_xlnm.Print_Titles" localSheetId="8">'tab34(6)'!$A:$B,'tab34(6)'!$1:$3</definedName>
    <definedName name="_xlnm.Print_Titles" localSheetId="9">'tab34(7)'!$A:$B,'tab34(7)'!$1:$3</definedName>
    <definedName name="_xlnm.Print_Titles" localSheetId="10">'tab34(8)'!$A:$B,'tab34(8)'!$1:$3</definedName>
    <definedName name="_xlnm.Print_Titles" localSheetId="11">'tab34(9)'!$A:$B,'tab34(9)'!$1:$3</definedName>
    <definedName name="_xlnm.Print_Titles" localSheetId="12">'tab35'!$A:$A,'tab35'!$1:$5</definedName>
    <definedName name="_xlnm.Print_Titles" localSheetId="13">'tab36'!$A:$A,'tab36'!$1:$5</definedName>
    <definedName name="WASDE_Updated" localSheetId="0">Contents!#REF!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124" l="1"/>
  <c r="H49" i="124" s="1"/>
  <c r="F49" i="124" s="1"/>
  <c r="E48" i="124"/>
  <c r="H48" i="124" s="1"/>
  <c r="F48" i="124" s="1"/>
  <c r="E47" i="124"/>
  <c r="H47" i="124" s="1"/>
  <c r="F47" i="124" s="1"/>
  <c r="E46" i="124"/>
  <c r="H46" i="124" s="1"/>
  <c r="F46" i="124" s="1"/>
  <c r="E45" i="124"/>
  <c r="H45" i="124" s="1"/>
  <c r="F45" i="124" s="1"/>
  <c r="E44" i="124"/>
  <c r="H44" i="124" s="1"/>
  <c r="F44" i="124" s="1"/>
  <c r="E43" i="124"/>
  <c r="H43" i="124" s="1"/>
  <c r="F43" i="124" s="1"/>
  <c r="E42" i="124"/>
  <c r="H42" i="124" s="1"/>
  <c r="F42" i="124" s="1"/>
  <c r="E41" i="124"/>
  <c r="H41" i="124" s="1"/>
  <c r="F41" i="124" s="1"/>
  <c r="E40" i="124"/>
  <c r="H40" i="124" s="1"/>
  <c r="F40" i="124" s="1"/>
  <c r="E39" i="124"/>
  <c r="H39" i="124" s="1"/>
  <c r="F39" i="124" s="1"/>
  <c r="E38" i="124"/>
  <c r="H38" i="124" s="1"/>
  <c r="F38" i="124" s="1"/>
  <c r="J37" i="124"/>
  <c r="E37" i="124"/>
  <c r="H37" i="124" s="1"/>
  <c r="F37" i="124" s="1"/>
  <c r="J36" i="124"/>
  <c r="H36" i="124"/>
  <c r="F36" i="124" s="1"/>
  <c r="E36" i="124"/>
  <c r="J35" i="124"/>
  <c r="E35" i="124"/>
  <c r="H35" i="124" s="1"/>
  <c r="F35" i="124" s="1"/>
  <c r="J34" i="124"/>
  <c r="E34" i="124"/>
  <c r="H34" i="124" s="1"/>
  <c r="F34" i="124" s="1"/>
  <c r="J33" i="124"/>
  <c r="H33" i="124"/>
  <c r="F33" i="124" s="1"/>
  <c r="E33" i="124"/>
  <c r="J32" i="124"/>
  <c r="E32" i="124"/>
  <c r="H32" i="124" s="1"/>
  <c r="F32" i="124" s="1"/>
  <c r="J31" i="124"/>
  <c r="E31" i="124"/>
  <c r="H31" i="124" s="1"/>
  <c r="F31" i="124" s="1"/>
  <c r="J30" i="124"/>
  <c r="H30" i="124"/>
  <c r="F30" i="124" s="1"/>
  <c r="E30" i="124"/>
  <c r="J29" i="124"/>
  <c r="E29" i="124"/>
  <c r="H29" i="124" s="1"/>
  <c r="F29" i="124" s="1"/>
  <c r="J28" i="124"/>
  <c r="E28" i="124"/>
  <c r="H28" i="124" s="1"/>
  <c r="F28" i="124" s="1"/>
  <c r="J27" i="124"/>
  <c r="H27" i="124"/>
  <c r="F27" i="124" s="1"/>
  <c r="E27" i="124"/>
  <c r="J26" i="124"/>
  <c r="E26" i="124"/>
  <c r="H26" i="124" s="1"/>
  <c r="F26" i="124" s="1"/>
  <c r="J25" i="124"/>
  <c r="E25" i="124"/>
  <c r="H25" i="124" s="1"/>
  <c r="F25" i="124" s="1"/>
  <c r="J24" i="124"/>
  <c r="H24" i="124"/>
  <c r="F24" i="124" s="1"/>
  <c r="E24" i="124"/>
  <c r="J23" i="124"/>
  <c r="E23" i="124"/>
  <c r="H23" i="124" s="1"/>
  <c r="F23" i="124" s="1"/>
  <c r="J22" i="124"/>
  <c r="E22" i="124"/>
  <c r="H22" i="124" s="1"/>
  <c r="F22" i="124" s="1"/>
  <c r="J21" i="124"/>
  <c r="H21" i="124"/>
  <c r="F21" i="124" s="1"/>
  <c r="E21" i="124"/>
  <c r="J20" i="124"/>
  <c r="E20" i="124"/>
  <c r="H20" i="124" s="1"/>
  <c r="F20" i="124" s="1"/>
  <c r="J19" i="124"/>
  <c r="E19" i="124"/>
  <c r="H19" i="124" s="1"/>
  <c r="F19" i="124" s="1"/>
  <c r="J18" i="124"/>
  <c r="H18" i="124"/>
  <c r="F18" i="124" s="1"/>
  <c r="E18" i="124"/>
  <c r="J17" i="124"/>
  <c r="E17" i="124"/>
  <c r="H17" i="124" s="1"/>
  <c r="F17" i="124" s="1"/>
  <c r="J16" i="124"/>
  <c r="E16" i="124"/>
  <c r="H16" i="124" s="1"/>
  <c r="F16" i="124" s="1"/>
  <c r="J15" i="124"/>
  <c r="H15" i="124"/>
  <c r="F15" i="124" s="1"/>
  <c r="E15" i="124"/>
  <c r="J14" i="124"/>
  <c r="E14" i="124"/>
  <c r="H14" i="124" s="1"/>
  <c r="F14" i="124" s="1"/>
  <c r="J13" i="124"/>
  <c r="E13" i="124"/>
  <c r="H13" i="124" s="1"/>
  <c r="F13" i="124" s="1"/>
  <c r="J12" i="124"/>
  <c r="H12" i="124"/>
  <c r="F12" i="124" s="1"/>
  <c r="E12" i="124"/>
  <c r="J11" i="124"/>
  <c r="E11" i="124"/>
  <c r="H11" i="124" s="1"/>
  <c r="F11" i="124" s="1"/>
  <c r="J10" i="124"/>
  <c r="E10" i="124"/>
  <c r="H10" i="124" s="1"/>
  <c r="F10" i="124" s="1"/>
  <c r="J9" i="124"/>
  <c r="H9" i="124"/>
  <c r="F9" i="124" s="1"/>
  <c r="E9" i="124"/>
  <c r="J8" i="124"/>
  <c r="E8" i="124"/>
  <c r="H8" i="124" s="1"/>
  <c r="F8" i="124" s="1"/>
  <c r="J7" i="124"/>
  <c r="E7" i="124"/>
  <c r="H7" i="124" s="1"/>
  <c r="F7" i="124" s="1"/>
  <c r="H49" i="123"/>
  <c r="F49" i="123" s="1"/>
  <c r="E49" i="123"/>
  <c r="E48" i="123"/>
  <c r="H48" i="123" s="1"/>
  <c r="F48" i="123" s="1"/>
  <c r="H47" i="123"/>
  <c r="F47" i="123"/>
  <c r="E47" i="123"/>
  <c r="E46" i="123"/>
  <c r="H46" i="123" s="1"/>
  <c r="F46" i="123" s="1"/>
  <c r="H45" i="123"/>
  <c r="F45" i="123" s="1"/>
  <c r="E45" i="123"/>
  <c r="E44" i="123"/>
  <c r="H44" i="123" s="1"/>
  <c r="F44" i="123" s="1"/>
  <c r="H43" i="123"/>
  <c r="F43" i="123"/>
  <c r="E43" i="123"/>
  <c r="E42" i="123"/>
  <c r="H42" i="123" s="1"/>
  <c r="F42" i="123" s="1"/>
  <c r="H41" i="123"/>
  <c r="F41" i="123" s="1"/>
  <c r="E41" i="123"/>
  <c r="E40" i="123"/>
  <c r="H40" i="123" s="1"/>
  <c r="F40" i="123" s="1"/>
  <c r="H39" i="123"/>
  <c r="F39" i="123"/>
  <c r="E39" i="123"/>
  <c r="E38" i="123"/>
  <c r="H38" i="123" s="1"/>
  <c r="F38" i="123" s="1"/>
  <c r="J37" i="123"/>
  <c r="E37" i="123"/>
  <c r="H37" i="123" s="1"/>
  <c r="F37" i="123" s="1"/>
  <c r="J36" i="123"/>
  <c r="E36" i="123"/>
  <c r="H36" i="123" s="1"/>
  <c r="F36" i="123" s="1"/>
  <c r="J35" i="123"/>
  <c r="E35" i="123"/>
  <c r="H35" i="123" s="1"/>
  <c r="F35" i="123" s="1"/>
  <c r="J34" i="123"/>
  <c r="E34" i="123"/>
  <c r="H34" i="123" s="1"/>
  <c r="F34" i="123" s="1"/>
  <c r="J33" i="123"/>
  <c r="E33" i="123"/>
  <c r="H33" i="123" s="1"/>
  <c r="F33" i="123" s="1"/>
  <c r="J32" i="123"/>
  <c r="E32" i="123"/>
  <c r="H32" i="123" s="1"/>
  <c r="F32" i="123" s="1"/>
  <c r="J31" i="123"/>
  <c r="E31" i="123"/>
  <c r="H31" i="123" s="1"/>
  <c r="F31" i="123" s="1"/>
  <c r="J30" i="123"/>
  <c r="E30" i="123"/>
  <c r="H30" i="123" s="1"/>
  <c r="F30" i="123" s="1"/>
  <c r="J29" i="123"/>
  <c r="E29" i="123"/>
  <c r="H29" i="123" s="1"/>
  <c r="F29" i="123" s="1"/>
  <c r="J28" i="123"/>
  <c r="E28" i="123"/>
  <c r="H28" i="123" s="1"/>
  <c r="F28" i="123" s="1"/>
  <c r="J27" i="123"/>
  <c r="E27" i="123"/>
  <c r="H27" i="123" s="1"/>
  <c r="F27" i="123" s="1"/>
  <c r="J26" i="123"/>
  <c r="E26" i="123"/>
  <c r="H26" i="123" s="1"/>
  <c r="F26" i="123" s="1"/>
  <c r="J25" i="123"/>
  <c r="E25" i="123"/>
  <c r="H25" i="123" s="1"/>
  <c r="F25" i="123" s="1"/>
  <c r="J24" i="123"/>
  <c r="E24" i="123"/>
  <c r="H24" i="123" s="1"/>
  <c r="F24" i="123" s="1"/>
  <c r="J23" i="123"/>
  <c r="E23" i="123"/>
  <c r="H23" i="123" s="1"/>
  <c r="F23" i="123" s="1"/>
  <c r="J22" i="123"/>
  <c r="E22" i="123"/>
  <c r="H22" i="123" s="1"/>
  <c r="F22" i="123" s="1"/>
  <c r="J21" i="123"/>
  <c r="E21" i="123"/>
  <c r="H21" i="123" s="1"/>
  <c r="F21" i="123" s="1"/>
  <c r="J20" i="123"/>
  <c r="E20" i="123"/>
  <c r="H20" i="123" s="1"/>
  <c r="F20" i="123" s="1"/>
  <c r="J19" i="123"/>
  <c r="E19" i="123"/>
  <c r="H19" i="123" s="1"/>
  <c r="F19" i="123" s="1"/>
  <c r="J18" i="123"/>
  <c r="E18" i="123"/>
  <c r="H18" i="123" s="1"/>
  <c r="F18" i="123" s="1"/>
  <c r="J17" i="123"/>
  <c r="E17" i="123"/>
  <c r="H17" i="123" s="1"/>
  <c r="F17" i="123" s="1"/>
  <c r="J16" i="123"/>
  <c r="E16" i="123"/>
  <c r="H16" i="123" s="1"/>
  <c r="F16" i="123" s="1"/>
  <c r="J15" i="123"/>
  <c r="E15" i="123"/>
  <c r="H15" i="123" s="1"/>
  <c r="F15" i="123" s="1"/>
  <c r="J14" i="123"/>
  <c r="E14" i="123"/>
  <c r="H14" i="123" s="1"/>
  <c r="F14" i="123" s="1"/>
  <c r="J13" i="123"/>
  <c r="E13" i="123"/>
  <c r="H13" i="123" s="1"/>
  <c r="F13" i="123" s="1"/>
  <c r="J12" i="123"/>
  <c r="E12" i="123"/>
  <c r="H12" i="123" s="1"/>
  <c r="F12" i="123" s="1"/>
  <c r="J11" i="123"/>
  <c r="E11" i="123"/>
  <c r="H11" i="123" s="1"/>
  <c r="F11" i="123" s="1"/>
  <c r="J10" i="123"/>
  <c r="E10" i="123"/>
  <c r="H10" i="123" s="1"/>
  <c r="F10" i="123" s="1"/>
  <c r="J9" i="123"/>
  <c r="E9" i="123"/>
  <c r="H9" i="123" s="1"/>
  <c r="F9" i="123" s="1"/>
  <c r="J8" i="123"/>
  <c r="E8" i="123"/>
  <c r="H8" i="123" s="1"/>
  <c r="F8" i="123" s="1"/>
  <c r="J7" i="123"/>
  <c r="E7" i="123"/>
  <c r="H7" i="123" s="1"/>
  <c r="F7" i="123" s="1"/>
  <c r="K49" i="113"/>
  <c r="J49" i="113"/>
  <c r="F49" i="113"/>
  <c r="E49" i="113"/>
  <c r="B49" i="113"/>
  <c r="E48" i="113"/>
  <c r="J48" i="113" s="1"/>
  <c r="F48" i="113" s="1"/>
  <c r="H48" i="113" s="1"/>
  <c r="B48" i="113"/>
  <c r="K47" i="113"/>
  <c r="B47" i="113"/>
  <c r="E47" i="113" s="1"/>
  <c r="J47" i="113" s="1"/>
  <c r="F47" i="113" s="1"/>
  <c r="H47" i="113" s="1"/>
  <c r="B46" i="113"/>
  <c r="E46" i="113" s="1"/>
  <c r="J46" i="113" s="1"/>
  <c r="F46" i="113" s="1"/>
  <c r="H46" i="113" s="1"/>
  <c r="E45" i="113"/>
  <c r="J45" i="113" s="1"/>
  <c r="F45" i="113" s="1"/>
  <c r="H45" i="113" s="1"/>
  <c r="B45" i="113"/>
  <c r="B44" i="113"/>
  <c r="E44" i="113" s="1"/>
  <c r="J44" i="113" s="1"/>
  <c r="F44" i="113" s="1"/>
  <c r="H44" i="113" s="1"/>
  <c r="B43" i="113"/>
  <c r="E43" i="113" s="1"/>
  <c r="J43" i="113" s="1"/>
  <c r="F43" i="113" s="1"/>
  <c r="H43" i="113" s="1"/>
  <c r="J42" i="113"/>
  <c r="F42" i="113" s="1"/>
  <c r="H42" i="113" s="1"/>
  <c r="E42" i="113"/>
  <c r="B42" i="113"/>
  <c r="E41" i="113"/>
  <c r="J41" i="113" s="1"/>
  <c r="F41" i="113" s="1"/>
  <c r="H41" i="113" s="1"/>
  <c r="B41" i="113"/>
  <c r="E40" i="113"/>
  <c r="J40" i="113" s="1"/>
  <c r="F40" i="113" s="1"/>
  <c r="H40" i="113" s="1"/>
  <c r="B40" i="113"/>
  <c r="E39" i="113"/>
  <c r="J39" i="113" s="1"/>
  <c r="F39" i="113" s="1"/>
  <c r="H39" i="113" s="1"/>
  <c r="B39" i="113"/>
  <c r="B38" i="113"/>
  <c r="E38" i="113" s="1"/>
  <c r="J38" i="113" s="1"/>
  <c r="F38" i="113" s="1"/>
  <c r="H38" i="113" s="1"/>
  <c r="B37" i="113"/>
  <c r="E37" i="113" s="1"/>
  <c r="J37" i="113" s="1"/>
  <c r="F37" i="113" s="1"/>
  <c r="H37" i="113" s="1"/>
  <c r="J36" i="113"/>
  <c r="F36" i="113" s="1"/>
  <c r="H36" i="113" s="1"/>
  <c r="E36" i="113"/>
  <c r="B36" i="113"/>
  <c r="B35" i="113"/>
  <c r="E35" i="113" s="1"/>
  <c r="J35" i="113" s="1"/>
  <c r="F35" i="113" s="1"/>
  <c r="H35" i="113" s="1"/>
  <c r="B34" i="113"/>
  <c r="E34" i="113" s="1"/>
  <c r="J34" i="113" s="1"/>
  <c r="F34" i="113" s="1"/>
  <c r="H34" i="113" s="1"/>
  <c r="E33" i="113"/>
  <c r="J33" i="113" s="1"/>
  <c r="F33" i="113" s="1"/>
  <c r="H33" i="113" s="1"/>
  <c r="B33" i="113"/>
  <c r="B32" i="113"/>
  <c r="E32" i="113" s="1"/>
  <c r="J32" i="113" s="1"/>
  <c r="F32" i="113" s="1"/>
  <c r="H32" i="113" s="1"/>
  <c r="B31" i="113"/>
  <c r="E31" i="113" s="1"/>
  <c r="J31" i="113" s="1"/>
  <c r="F31" i="113" s="1"/>
  <c r="H31" i="113" s="1"/>
  <c r="J30" i="113"/>
  <c r="F30" i="113" s="1"/>
  <c r="H30" i="113" s="1"/>
  <c r="E30" i="113"/>
  <c r="B30" i="113"/>
  <c r="E29" i="113"/>
  <c r="J29" i="113" s="1"/>
  <c r="F29" i="113" s="1"/>
  <c r="H29" i="113" s="1"/>
  <c r="B29" i="113"/>
  <c r="E28" i="113"/>
  <c r="J28" i="113" s="1"/>
  <c r="F28" i="113" s="1"/>
  <c r="H28" i="113" s="1"/>
  <c r="B28" i="113"/>
  <c r="E27" i="113"/>
  <c r="J27" i="113" s="1"/>
  <c r="F27" i="113" s="1"/>
  <c r="H27" i="113" s="1"/>
  <c r="B27" i="113"/>
  <c r="B26" i="113"/>
  <c r="E26" i="113" s="1"/>
  <c r="J26" i="113" s="1"/>
  <c r="F26" i="113" s="1"/>
  <c r="H26" i="113" s="1"/>
  <c r="B25" i="113"/>
  <c r="E25" i="113" s="1"/>
  <c r="J25" i="113" s="1"/>
  <c r="F25" i="113" s="1"/>
  <c r="H25" i="113" s="1"/>
  <c r="J24" i="113"/>
  <c r="F24" i="113" s="1"/>
  <c r="H24" i="113" s="1"/>
  <c r="E24" i="113"/>
  <c r="B24" i="113"/>
  <c r="B23" i="113"/>
  <c r="E23" i="113" s="1"/>
  <c r="J23" i="113" s="1"/>
  <c r="F23" i="113" s="1"/>
  <c r="H23" i="113" s="1"/>
  <c r="B22" i="113"/>
  <c r="E22" i="113" s="1"/>
  <c r="J22" i="113" s="1"/>
  <c r="F22" i="113" s="1"/>
  <c r="H22" i="113" s="1"/>
  <c r="E21" i="113"/>
  <c r="J21" i="113" s="1"/>
  <c r="F21" i="113" s="1"/>
  <c r="H21" i="113" s="1"/>
  <c r="B21" i="113"/>
  <c r="B20" i="113"/>
  <c r="E20" i="113" s="1"/>
  <c r="J20" i="113" s="1"/>
  <c r="F20" i="113" s="1"/>
  <c r="H20" i="113" s="1"/>
  <c r="B19" i="113"/>
  <c r="E19" i="113" s="1"/>
  <c r="J19" i="113" s="1"/>
  <c r="F19" i="113" s="1"/>
  <c r="H19" i="113" s="1"/>
  <c r="J18" i="113"/>
  <c r="F18" i="113" s="1"/>
  <c r="H18" i="113" s="1"/>
  <c r="E18" i="113"/>
  <c r="B18" i="113"/>
  <c r="E17" i="113"/>
  <c r="J17" i="113" s="1"/>
  <c r="F17" i="113" s="1"/>
  <c r="H17" i="113" s="1"/>
  <c r="B17" i="113"/>
  <c r="E16" i="113"/>
  <c r="J16" i="113" s="1"/>
  <c r="F16" i="113" s="1"/>
  <c r="H16" i="113" s="1"/>
  <c r="B16" i="113"/>
  <c r="E15" i="113"/>
  <c r="J15" i="113" s="1"/>
  <c r="F15" i="113" s="1"/>
  <c r="H15" i="113" s="1"/>
  <c r="B15" i="113"/>
  <c r="B14" i="113"/>
  <c r="E14" i="113" s="1"/>
  <c r="J14" i="113" s="1"/>
  <c r="F14" i="113" s="1"/>
  <c r="H14" i="113" s="1"/>
  <c r="B13" i="113"/>
  <c r="E13" i="113" s="1"/>
  <c r="J13" i="113" s="1"/>
  <c r="F13" i="113" s="1"/>
  <c r="H13" i="113" s="1"/>
  <c r="J12" i="113"/>
  <c r="F12" i="113" s="1"/>
  <c r="H12" i="113" s="1"/>
  <c r="E12" i="113"/>
  <c r="B12" i="113"/>
  <c r="B11" i="113"/>
  <c r="E11" i="113" s="1"/>
  <c r="J11" i="113" s="1"/>
  <c r="F11" i="113" s="1"/>
  <c r="H11" i="113" s="1"/>
  <c r="B10" i="113"/>
  <c r="E10" i="113" s="1"/>
  <c r="J10" i="113" s="1"/>
  <c r="F10" i="113" s="1"/>
  <c r="H10" i="113" s="1"/>
  <c r="E9" i="113"/>
  <c r="J9" i="113" s="1"/>
  <c r="F9" i="113" s="1"/>
  <c r="H9" i="113" s="1"/>
  <c r="B9" i="113"/>
  <c r="B8" i="113"/>
  <c r="E8" i="113" s="1"/>
  <c r="J8" i="113" s="1"/>
  <c r="F8" i="113" s="1"/>
  <c r="H8" i="113" s="1"/>
  <c r="E7" i="113"/>
  <c r="J7" i="113" s="1"/>
  <c r="F7" i="113" s="1"/>
  <c r="H7" i="113" s="1"/>
  <c r="R77" i="112"/>
  <c r="Q77" i="112"/>
  <c r="P77" i="112"/>
  <c r="O77" i="112"/>
  <c r="N77" i="112"/>
  <c r="M77" i="112"/>
  <c r="L77" i="112"/>
  <c r="K77" i="112"/>
  <c r="J77" i="112"/>
  <c r="I77" i="112"/>
  <c r="H77" i="112"/>
  <c r="G77" i="112"/>
  <c r="F77" i="112"/>
  <c r="E77" i="112"/>
  <c r="D77" i="112"/>
  <c r="C77" i="112"/>
  <c r="B77" i="112"/>
  <c r="R61" i="112"/>
  <c r="Q61" i="112"/>
  <c r="P61" i="112"/>
  <c r="O61" i="112"/>
  <c r="N61" i="112"/>
  <c r="M61" i="112"/>
  <c r="L61" i="112"/>
  <c r="K61" i="112"/>
  <c r="J61" i="112"/>
  <c r="I61" i="112"/>
  <c r="H61" i="112"/>
  <c r="G61" i="112"/>
  <c r="F61" i="112"/>
  <c r="E61" i="112"/>
  <c r="D61" i="112"/>
  <c r="C61" i="112"/>
  <c r="B61" i="112"/>
  <c r="R45" i="112"/>
  <c r="Q45" i="112"/>
  <c r="P45" i="112"/>
  <c r="O45" i="112"/>
  <c r="N45" i="112"/>
  <c r="M45" i="112"/>
  <c r="L45" i="112"/>
  <c r="K45" i="112"/>
  <c r="J45" i="112"/>
  <c r="I45" i="112"/>
  <c r="H45" i="112"/>
  <c r="G45" i="112"/>
  <c r="F45" i="112"/>
  <c r="E45" i="112"/>
  <c r="D45" i="112"/>
  <c r="C45" i="112"/>
  <c r="B45" i="112"/>
  <c r="R33" i="112"/>
  <c r="Q33" i="112"/>
  <c r="P33" i="112"/>
  <c r="O33" i="112"/>
  <c r="N33" i="112"/>
  <c r="M33" i="112"/>
  <c r="L33" i="112"/>
  <c r="K33" i="112"/>
  <c r="J33" i="112"/>
  <c r="I33" i="112"/>
  <c r="H33" i="112"/>
  <c r="G33" i="112"/>
  <c r="F33" i="112"/>
  <c r="E33" i="112"/>
  <c r="D33" i="112"/>
  <c r="C33" i="112"/>
  <c r="B33" i="112"/>
  <c r="R17" i="112"/>
  <c r="Q17" i="112"/>
  <c r="P17" i="112"/>
  <c r="O17" i="112"/>
  <c r="N17" i="112"/>
  <c r="M17" i="112"/>
  <c r="L17" i="112"/>
  <c r="K17" i="112"/>
  <c r="J17" i="112"/>
  <c r="I17" i="112"/>
  <c r="H17" i="112"/>
  <c r="G17" i="112"/>
  <c r="F17" i="112"/>
  <c r="E17" i="112"/>
  <c r="D17" i="112"/>
  <c r="C17" i="112"/>
  <c r="B1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Bukowski, Maria - REE-ERS, Kansas City, MO</author>
  </authors>
  <commentList>
    <comment ref="P5" authorId="0" shapeId="0" xr:uid="{1E93F86B-2AA1-4315-8488-60C33EB1F6AC}">
      <text>
        <r>
          <rPr>
            <b/>
            <sz val="9"/>
            <color indexed="81"/>
            <rFont val="Tahoma"/>
            <family val="2"/>
          </rPr>
          <t>ERS Estimates</t>
        </r>
      </text>
    </comment>
    <comment ref="Q5" authorId="0" shapeId="0" xr:uid="{B42DF505-03C4-4699-B5F9-35E7947A1ED0}">
      <text>
        <r>
          <rPr>
            <b/>
            <sz val="9"/>
            <color indexed="81"/>
            <rFont val="Tahoma"/>
            <family val="2"/>
          </rPr>
          <t>ERS Estimates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" authorId="0" shapeId="0" xr:uid="{99C09CC1-B0BC-4617-B59F-9BF784D969A5}">
      <text>
        <r>
          <rPr>
            <b/>
            <sz val="9"/>
            <color indexed="81"/>
            <rFont val="Tahoma"/>
            <family val="2"/>
          </rPr>
          <t>ERS Estimates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1" authorId="0" shapeId="0" xr:uid="{5F7ACEAB-7633-490C-BC95-0C1702C0981F}">
      <text>
        <r>
          <rPr>
            <b/>
            <sz val="9"/>
            <color indexed="81"/>
            <rFont val="Tahoma"/>
            <family val="2"/>
          </rPr>
          <t>ERS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2" authorId="0" shapeId="0" xr:uid="{9B030069-F582-48D3-86AD-AB5952BFADA5}">
      <text>
        <r>
          <rPr>
            <b/>
            <sz val="9"/>
            <color indexed="81"/>
            <rFont val="Tahoma"/>
            <family val="2"/>
          </rPr>
          <t>ERS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6" authorId="0" shapeId="0" xr:uid="{D8C6858A-1BF3-4ADE-926A-2311A7EE0CAA}">
      <text>
        <r>
          <rPr>
            <b/>
            <sz val="9"/>
            <color indexed="81"/>
            <rFont val="Tahoma"/>
            <family val="2"/>
          </rPr>
          <t>ERS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3" authorId="0" shapeId="0" xr:uid="{7A758361-A597-46E1-A81D-280280E94935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3" authorId="0" shapeId="0" xr:uid="{BD6E90F4-B93D-49C5-9BAE-E61B4065077C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Bukowski, Maria - REE-ERS, Kansas City, MO</author>
  </authors>
  <commentList>
    <comment ref="B39" authorId="0" shapeId="0" xr:uid="{6E4832C5-76FA-4923-9C67-17FD57B5D311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39" authorId="0" shapeId="0" xr:uid="{1B77BC72-7362-45A1-AE65-99F90AD9B1B9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F39" authorId="0" shapeId="0" xr:uid="{E225A819-51E2-4476-B61A-1D189EDC2BEC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0" authorId="0" shapeId="0" xr:uid="{16942FFF-7D14-4B03-B30F-070FAD0D0579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0" authorId="0" shapeId="0" xr:uid="{447807BB-B919-4153-AB07-0BEB8A0C1A7B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F40" authorId="0" shapeId="0" xr:uid="{BD0BCD3B-C505-49E0-B86B-2C788BAD59BF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1" authorId="0" shapeId="0" xr:uid="{6822DAC7-17F2-423D-88F7-A25080DA3FF8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1" authorId="0" shapeId="0" xr:uid="{EE938755-7795-44A8-B39A-1B7CAB9E1743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F41" authorId="0" shapeId="0" xr:uid="{ECD5DE37-95D3-4814-8B01-9D338A2D9E9C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2" authorId="0" shapeId="0" xr:uid="{1681600B-B8EA-476C-95CC-D1E71BD631C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2" authorId="0" shapeId="0" xr:uid="{8FFEB346-8B4A-4FC2-A6B8-37427B54596E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F42" authorId="0" shapeId="0" xr:uid="{AB50F6FF-1265-49E7-B084-447377BB0019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3" authorId="0" shapeId="0" xr:uid="{75060360-BE93-4FC2-B4B0-32B480D3ED26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3" authorId="0" shapeId="0" xr:uid="{5C28974F-5FC6-4635-A24D-1A02E38D5C33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F43" authorId="0" shapeId="0" xr:uid="{19BD7029-256D-466E-941C-E1320BBB7F8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4" authorId="0" shapeId="0" xr:uid="{E228A812-3D97-4363-9EC8-328CCC6B24E9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4" authorId="0" shapeId="0" xr:uid="{2CE3C026-32D7-4A24-95D7-287AAEC49555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F44" authorId="0" shapeId="0" xr:uid="{798C4578-A724-483D-ADF7-79D9896AF0F7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C45" authorId="1" shapeId="0" xr:uid="{A4F6000A-45C8-4136-8C8E-A3EABD1714E4}">
      <text>
        <r>
          <rPr>
            <sz val="9"/>
            <color indexed="81"/>
            <rFont val="Tahoma"/>
            <family val="2"/>
          </rPr>
          <t xml:space="preserve">ERS estimate
</t>
        </r>
      </text>
    </comment>
    <comment ref="F45" authorId="1" shapeId="0" xr:uid="{1B6DF119-FE13-4E8D-82E7-09A0572EDFA8}">
      <text>
        <r>
          <rPr>
            <b/>
            <sz val="9"/>
            <color indexed="81"/>
            <rFont val="Tahoma"/>
            <family val="2"/>
          </rPr>
          <t xml:space="preserve">ERS estimate </t>
        </r>
      </text>
    </comment>
    <comment ref="C46" authorId="1" shapeId="0" xr:uid="{7809B64F-D8B8-421E-9852-438682137447}">
      <text>
        <r>
          <rPr>
            <sz val="9"/>
            <color indexed="81"/>
            <rFont val="Tahoma"/>
            <family val="2"/>
          </rPr>
          <t>ERS estimate</t>
        </r>
      </text>
    </comment>
    <comment ref="F46" authorId="1" shapeId="0" xr:uid="{31E3BA9F-45B5-46DF-9443-1807AD33ABBA}">
      <text>
        <r>
          <rPr>
            <b/>
            <sz val="9"/>
            <color indexed="81"/>
            <rFont val="Tahoma"/>
            <family val="2"/>
          </rPr>
          <t xml:space="preserve">ERS estimate </t>
        </r>
      </text>
    </comment>
    <comment ref="C47" authorId="1" shapeId="0" xr:uid="{BEADFC22-0969-4DBD-AFC4-4A032A9DFDB1}">
      <text>
        <r>
          <rPr>
            <sz val="9"/>
            <color indexed="81"/>
            <rFont val="Tahoma"/>
            <family val="2"/>
          </rPr>
          <t>ERS estimate</t>
        </r>
      </text>
    </comment>
    <comment ref="F47" authorId="1" shapeId="0" xr:uid="{26ACB698-E7EF-4F4A-94D1-3C401E1BAB65}">
      <text>
        <r>
          <rPr>
            <b/>
            <sz val="9"/>
            <color indexed="81"/>
            <rFont val="Tahoma"/>
            <family val="2"/>
          </rPr>
          <t>ERS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8" authorId="1" shapeId="0" xr:uid="{57A530F6-4AAE-465D-A803-10FEED188162}">
      <text>
        <r>
          <rPr>
            <sz val="9"/>
            <color indexed="81"/>
            <rFont val="Tahoma"/>
            <family val="2"/>
          </rPr>
          <t>ERS estimate</t>
        </r>
      </text>
    </comment>
    <comment ref="F48" authorId="1" shapeId="0" xr:uid="{C41D1130-8A94-4CEF-8C10-02122E5A862C}">
      <text>
        <r>
          <rPr>
            <b/>
            <sz val="9"/>
            <color indexed="81"/>
            <rFont val="Tahoma"/>
            <family val="2"/>
          </rPr>
          <t xml:space="preserve">ERS estimate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9" authorId="1" shapeId="0" xr:uid="{F34477F8-AE57-4F37-B5C8-6A6C85AF8304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F49" authorId="1" shapeId="0" xr:uid="{9BA4C2CB-66A7-4127-A8E2-79877DFCD4D5}">
      <text>
        <r>
          <rPr>
            <b/>
            <sz val="9"/>
            <color indexed="81"/>
            <rFont val="Tahoma"/>
            <family val="2"/>
          </rPr>
          <t xml:space="preserve">ERS estimate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9" authorId="0" shapeId="0" xr:uid="{03BB666B-9D66-4674-9AE3-57B296755EEC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F39" authorId="0" shapeId="0" xr:uid="{EF251DBB-9C37-41BC-A409-7777A963FB78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0" authorId="0" shapeId="0" xr:uid="{D3F46C5C-03C9-44A1-9FE2-BCBB9DF7E75C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F40" authorId="0" shapeId="0" xr:uid="{DCCE1E2D-99DA-4391-8947-ADDEB6E1135D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1" authorId="0" shapeId="0" xr:uid="{7DEF3C16-7E4C-492F-8A4D-2F5D3CD8495A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F41" authorId="0" shapeId="0" xr:uid="{E0F3CB49-F530-4E96-8A6C-4062F2695591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2" authorId="0" shapeId="0" xr:uid="{C7AF511C-BB7B-4EA4-AFBF-0202FE025793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F42" authorId="0" shapeId="0" xr:uid="{061BE2C6-0EB3-4A1F-AD2E-6B0DB7CA4423}">
      <text>
        <r>
          <rPr>
            <b/>
            <sz val="9"/>
            <color indexed="81"/>
            <rFont val="Tahoma"/>
            <family val="2"/>
          </rPr>
          <t>ERS estimate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Bukowski, Maria - REE-ERS, Kansas City, MO</author>
  </authors>
  <commentList>
    <comment ref="C37" authorId="0" shapeId="0" xr:uid="{D2387882-449A-4CD6-AA31-BE66B7C88F9B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 shapeId="0" xr:uid="{88127DD8-4C59-43AF-88DA-CF9928FD64BE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7" authorId="0" shapeId="0" xr:uid="{AA702E95-ED3D-4E18-80BF-33DCC9074EF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" authorId="0" shapeId="0" xr:uid="{49189984-08C1-4BEF-B6AF-DEAA4E3A81E3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 shapeId="0" xr:uid="{16BC48A1-D570-4B44-BCD8-34977D355EC4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8" authorId="0" shapeId="0" xr:uid="{ED3ED882-1D4F-4793-A7C3-E1BD7AD59EB8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60075BDD-669C-4AB7-8754-346FB151D9EA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9" authorId="0" shapeId="0" xr:uid="{607DB6C0-8ABC-4D8E-943B-A81DBBC89853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9" authorId="0" shapeId="0" xr:uid="{63395FA8-FB3A-4877-B5E0-2CA745C0414A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B2A651CB-9D40-4838-8253-4CC0221492AC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0" authorId="0" shapeId="0" xr:uid="{2FC34813-AD7C-466F-AC32-9ADF5F1AA99F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0" authorId="0" shapeId="0" xr:uid="{D1109117-6E53-4A15-972D-1375178D107F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C0F8E5D3-78EF-482F-88A5-E38AD23FCF93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1" authorId="0" shapeId="0" xr:uid="{CC320DFD-8AEE-4D1E-A553-F500E172CDFF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1" authorId="0" shapeId="0" xr:uid="{9B6718C7-D591-48D4-B2C8-ACAC1F7ECE26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EBAC52EC-2A72-49A0-864F-4A7B2F5E42A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2" authorId="0" shapeId="0" xr:uid="{9A6735D6-F52A-476D-B836-F716FADA0434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2" authorId="0" shapeId="0" xr:uid="{61E0EE34-35D0-49D7-9434-C6741D932E17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7" authorId="1" shapeId="0" xr:uid="{53F71F71-2F6E-485D-B0A4-71DEA539D6FC}">
      <text>
        <r>
          <rPr>
            <b/>
            <sz val="9"/>
            <color indexed="81"/>
            <rFont val="Tahoma"/>
            <family val="2"/>
          </rPr>
          <t>USDA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3" authorId="0" shapeId="0" xr:uid="{2792DD87-DA20-47FC-BF19-A2C5E2463E67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3" authorId="0" shapeId="0" xr:uid="{ADD82D96-729F-4389-899F-81A31D8BB0D6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3" authorId="0" shapeId="0" xr:uid="{BA8A210F-76FF-444F-889D-6EFA43A027E3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3" authorId="0" shapeId="0" xr:uid="{62714E23-7D58-4317-B6F0-0D58E8D9975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3" authorId="0" shapeId="0" xr:uid="{CEA4E1A9-9D0B-492E-AEA8-72B983C22F95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3" authorId="0" shapeId="0" xr:uid="{93ED6DE2-0094-48BD-942D-FD855C44BF7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3" authorId="0" shapeId="0" xr:uid="{625792B6-4931-4ADD-B65D-0B507B03C5C4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sharedStrings.xml><?xml version="1.0" encoding="utf-8"?>
<sst xmlns="http://schemas.openxmlformats.org/spreadsheetml/2006/main" count="1505" uniqueCount="230">
  <si>
    <t>Total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</si>
  <si>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</si>
  <si>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</si>
  <si>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</si>
  <si>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</si>
  <si>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</si>
  <si>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</si>
  <si>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</si>
  <si>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</si>
  <si>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</si>
  <si>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</si>
  <si>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</si>
  <si>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 xml:space="preserve"> </t>
  </si>
  <si>
    <t>Production</t>
  </si>
  <si>
    <t xml:space="preserve">  Cottonseed</t>
  </si>
  <si>
    <t xml:space="preserve">  Canola</t>
  </si>
  <si>
    <t>Imports</t>
  </si>
  <si>
    <t>Exports</t>
  </si>
  <si>
    <t>Million pounds</t>
  </si>
  <si>
    <t>Domestic disappearance</t>
  </si>
  <si>
    <t>Pounds</t>
  </si>
  <si>
    <t>beginning</t>
  </si>
  <si>
    <t>stocks</t>
  </si>
  <si>
    <t>Disappearance</t>
  </si>
  <si>
    <t>Price</t>
  </si>
  <si>
    <t>Supply</t>
  </si>
  <si>
    <t>October 1</t>
  </si>
  <si>
    <t>Beginning</t>
  </si>
  <si>
    <t>Domestic</t>
  </si>
  <si>
    <t>Ending</t>
  </si>
  <si>
    <t>May</t>
  </si>
  <si>
    <t>Oct.</t>
  </si>
  <si>
    <t>Nov.</t>
  </si>
  <si>
    <t>Dec.</t>
  </si>
  <si>
    <t>Jan.</t>
  </si>
  <si>
    <t>Feb.</t>
  </si>
  <si>
    <t>Mar.</t>
  </si>
  <si>
    <t>Apr.</t>
  </si>
  <si>
    <t>Aug.</t>
  </si>
  <si>
    <t>Sep.</t>
  </si>
  <si>
    <t>Production 1/</t>
  </si>
  <si>
    <t>Price 1/</t>
  </si>
  <si>
    <t>2/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</si>
  <si>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</si>
  <si>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</si>
  <si>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</si>
  <si>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</si>
  <si>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</si>
  <si>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</si>
  <si>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</si>
  <si>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</si>
  <si>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</si>
  <si>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Oilseeds:</t>
  </si>
  <si>
    <t>Fats and oils:</t>
  </si>
  <si>
    <t>Oilmeals:</t>
  </si>
  <si>
    <t>1982=100</t>
  </si>
  <si>
    <t>Unit</t>
  </si>
  <si>
    <t>Stocks</t>
  </si>
  <si>
    <t>Jan. 1</t>
  </si>
  <si>
    <t>Per capita</t>
  </si>
  <si>
    <t xml:space="preserve">Calendar </t>
  </si>
  <si>
    <t xml:space="preserve">  Soybeans</t>
  </si>
  <si>
    <t xml:space="preserve">  Peanuts</t>
  </si>
  <si>
    <t>Direct</t>
  </si>
  <si>
    <t>domestic</t>
  </si>
  <si>
    <t>Edible</t>
  </si>
  <si>
    <t>2001/02</t>
  </si>
  <si>
    <t>food use</t>
  </si>
  <si>
    <t>2002/03</t>
  </si>
  <si>
    <t>2004/05</t>
  </si>
  <si>
    <t>2005/06</t>
  </si>
  <si>
    <t>2006/07</t>
  </si>
  <si>
    <t>NA</t>
  </si>
  <si>
    <t>2007/08</t>
  </si>
  <si>
    <t>2008/09</t>
  </si>
  <si>
    <t>Bureau of Labor Statistics Producer Price Indexes:</t>
  </si>
  <si>
    <t>2009/10</t>
  </si>
  <si>
    <t>Biodiesel: FOB Iowa, B100 (Soy methyl ester)</t>
  </si>
  <si>
    <t>2010/11</t>
  </si>
  <si>
    <t>2011/12</t>
  </si>
  <si>
    <t>1991=100</t>
  </si>
  <si>
    <t>2012/13</t>
  </si>
  <si>
    <t>Cents/pound</t>
  </si>
  <si>
    <t>Production 2/</t>
  </si>
  <si>
    <t>East Corn Belt</t>
  </si>
  <si>
    <t>Inedible distillers</t>
  </si>
  <si>
    <t>2013/14</t>
  </si>
  <si>
    <t>Oil Crops Data: Yearbook Tables</t>
  </si>
  <si>
    <t>2014/15</t>
  </si>
  <si>
    <t>2016/17</t>
  </si>
  <si>
    <t xml:space="preserve">2015/16 </t>
  </si>
  <si>
    <t>2017/18</t>
  </si>
  <si>
    <t>--------------------------------------------------Million pounds, rendered basis------------------------------------------------</t>
  </si>
  <si>
    <t>----------------------------------------------------------------Million pounds-----------------------------------------------------------</t>
  </si>
  <si>
    <t>2018/19</t>
  </si>
  <si>
    <t>2019/20</t>
  </si>
  <si>
    <t>Domestic use</t>
  </si>
  <si>
    <t>Dollars/bushel</t>
  </si>
  <si>
    <t>Dollars/short ton</t>
  </si>
  <si>
    <t>Dollars/hundredweight</t>
  </si>
  <si>
    <t>Dollars/gallon</t>
  </si>
  <si>
    <t>disappearance</t>
  </si>
  <si>
    <t xml:space="preserve"> Year</t>
  </si>
  <si>
    <t xml:space="preserve">2000/01 </t>
  </si>
  <si>
    <t xml:space="preserve">2003/04 </t>
  </si>
  <si>
    <t xml:space="preserve">   Item</t>
  </si>
  <si>
    <t xml:space="preserve"> Coconut</t>
  </si>
  <si>
    <t xml:space="preserve"> Corn</t>
  </si>
  <si>
    <t xml:space="preserve"> Cottonseed</t>
  </si>
  <si>
    <t xml:space="preserve"> Lard</t>
  </si>
  <si>
    <t xml:space="preserve"> Palm</t>
  </si>
  <si>
    <t xml:space="preserve"> Palm kernel</t>
  </si>
  <si>
    <t xml:space="preserve"> Peanut 2/</t>
  </si>
  <si>
    <t xml:space="preserve"> Safflower</t>
  </si>
  <si>
    <t xml:space="preserve"> Soybean</t>
  </si>
  <si>
    <t xml:space="preserve"> Sunflower</t>
  </si>
  <si>
    <t xml:space="preserve"> Canola</t>
  </si>
  <si>
    <t xml:space="preserve"> Tallow, edible</t>
  </si>
  <si>
    <t xml:space="preserve">  Total stocks</t>
  </si>
  <si>
    <t xml:space="preserve"> Olive</t>
  </si>
  <si>
    <t xml:space="preserve"> Sesame</t>
  </si>
  <si>
    <t xml:space="preserve">  Total imports</t>
  </si>
  <si>
    <t xml:space="preserve">  Total production</t>
  </si>
  <si>
    <t xml:space="preserve"> Corn </t>
  </si>
  <si>
    <t xml:space="preserve">  Total exports</t>
  </si>
  <si>
    <t xml:space="preserve">  Total disappearance</t>
  </si>
  <si>
    <t xml:space="preserve">  Item                   </t>
  </si>
  <si>
    <t xml:space="preserve">  Flaxseed</t>
  </si>
  <si>
    <t xml:space="preserve">  Sunflowerseed--All types</t>
  </si>
  <si>
    <t xml:space="preserve">  Sunflowerseed--Nonoil type</t>
  </si>
  <si>
    <t xml:space="preserve"> Cash prices at terminal markets</t>
  </si>
  <si>
    <t xml:space="preserve">  Canola, Velva, ND</t>
  </si>
  <si>
    <t xml:space="preserve">  Cottonseed, Memphis, TN</t>
  </si>
  <si>
    <t xml:space="preserve">  Flaxseed, Minneapolis, MN</t>
  </si>
  <si>
    <t xml:space="preserve">  Soybeans, Central Illinois, No. 1 yellow</t>
  </si>
  <si>
    <t xml:space="preserve">  Soybeans, Louisiana Gulf, No.1 yellow</t>
  </si>
  <si>
    <t xml:space="preserve">  Sunflowerseed, Enderlin, ND, Nu-Sun</t>
  </si>
  <si>
    <t xml:space="preserve"> Wholesale</t>
  </si>
  <si>
    <t xml:space="preserve">  Canola oil, Midwest</t>
  </si>
  <si>
    <t xml:space="preserve">  Corn oil, edible, crude, tank cars, wet/dry mill Chicago, IL</t>
  </si>
  <si>
    <t xml:space="preserve">  Cottonseed oil, PBSY, Greenwood, MS</t>
  </si>
  <si>
    <t xml:space="preserve">  Lard, loose, delivered, Chicago, IL</t>
  </si>
  <si>
    <t xml:space="preserve">  Sunflower oil, crude Minneapolis, MN</t>
  </si>
  <si>
    <t xml:space="preserve">  Tallow, edible, number 1, delivered, Chicago, IL</t>
  </si>
  <si>
    <t xml:space="preserve">  Yellow grease, rail, Minneapolis, MN</t>
  </si>
  <si>
    <t xml:space="preserve">  Soybean meal, High protein, Decatur, IL</t>
  </si>
  <si>
    <t xml:space="preserve"> Group by origin:</t>
  </si>
  <si>
    <t xml:space="preserve">  Animal fats</t>
  </si>
  <si>
    <t xml:space="preserve"> Group by use:</t>
  </si>
  <si>
    <t xml:space="preserve">  Margarine</t>
  </si>
  <si>
    <t xml:space="preserve">  Shortening and cooking oils</t>
  </si>
  <si>
    <t xml:space="preserve">  Inedible fats and oils</t>
  </si>
  <si>
    <t xml:space="preserve">  Peanut butter</t>
  </si>
  <si>
    <t xml:space="preserve"> year </t>
  </si>
  <si>
    <t>Chicago, IL</t>
  </si>
  <si>
    <t xml:space="preserve">  Coconut oil, crude, tank cars, NY</t>
  </si>
  <si>
    <t xml:space="preserve">  Distillers corn oil, inedible, FOB Eastern Corn Belt</t>
  </si>
  <si>
    <t xml:space="preserve">  Palm oil, refined, CIF, bulk, U.S. ports</t>
  </si>
  <si>
    <t xml:space="preserve">  Palm kernel oil, refined, CIF, bulk, U.S. ports</t>
  </si>
  <si>
    <t xml:space="preserve">  Peanut oil, crude, tank cars FOB Southeastern mills</t>
  </si>
  <si>
    <t xml:space="preserve">  Soybean oil, crude, tank cars, FOB Decatur, IL</t>
  </si>
  <si>
    <t xml:space="preserve">  Canola meal, 36-percent protein, Pacific Northwest</t>
  </si>
  <si>
    <t xml:space="preserve">  Cottonseed meal, 41-percent protein, solvent, Memphis, TN</t>
  </si>
  <si>
    <t xml:space="preserve">  Linseed meal, 34-percent protein, Minneapolis, MN</t>
  </si>
  <si>
    <t xml:space="preserve">  Sunflower meal, 34-percent protein, North Dakota–Minnesota</t>
  </si>
  <si>
    <t>Note: Monthly production data not available for 2011/12–2014/15.</t>
  </si>
  <si>
    <t>3/ Estimate. 4/ Forecast.</t>
  </si>
  <si>
    <t xml:space="preserve">1/ Loose, average wholesale, tanks, Chicago, IL. 2/ U.S. Department of Commerce, U.S. Census Bureau ended publication of lard production in July 1989. </t>
  </si>
  <si>
    <t>NA = Not available. 1/ Loose, average wholesale, Chicago, IL. 2/ Production includes both technical and edible tallow. 3/ Estimate. 4/ Forecast.</t>
  </si>
  <si>
    <t>NA = Not available.</t>
  </si>
  <si>
    <t>Edible and other</t>
  </si>
  <si>
    <t xml:space="preserve">1/ Includes inedible distillers corn oil. </t>
  </si>
  <si>
    <t>Biofuel 2/</t>
  </si>
  <si>
    <t xml:space="preserve">  Sunflowerseed--Oiltype</t>
  </si>
  <si>
    <t>NA = Not available. CIF = Cost, Insurance, Freight. FOB = Free On Board. PSBY = Prime Bleachable Summer Yellow.</t>
  </si>
  <si>
    <t xml:space="preserve">Note: USDA, Economic Research Service estimates after 1989, which have been revised from previous publications with a lower yield-per-hog conversion rate. </t>
  </si>
  <si>
    <r>
      <t xml:space="preserve">USDA, Agricultural Marketing Service, </t>
    </r>
    <r>
      <rPr>
        <i/>
        <sz val="8"/>
        <rFont val="Helvetica"/>
      </rPr>
      <t>Tallow, Protein, and Hide Report;</t>
    </r>
    <r>
      <rPr>
        <sz val="8"/>
        <rFont val="Helvetica"/>
        <family val="2"/>
      </rPr>
      <t xml:space="preserve"> and USDA, Foreign Agricultural Service, </t>
    </r>
    <r>
      <rPr>
        <sz val="8"/>
        <rFont val="Helvetica"/>
      </rPr>
      <t>Global Agricultural Trade System</t>
    </r>
    <r>
      <rPr>
        <sz val="8"/>
        <rFont val="Helvetica"/>
        <family val="2"/>
      </rPr>
      <t>.</t>
    </r>
  </si>
  <si>
    <r>
      <t>Updates of these data and data covering more years and countries can be found in USDA, Economic Research Service, Data Products,</t>
    </r>
    <r>
      <rPr>
        <i/>
        <sz val="8"/>
        <rFont val="Helvetica"/>
      </rPr>
      <t xml:space="preserve"> Oil Crops Yearbook</t>
    </r>
    <r>
      <rPr>
        <sz val="8"/>
        <rFont val="Helvetica"/>
      </rPr>
      <t>.</t>
    </r>
  </si>
  <si>
    <t>U.S. edible oils and fats supply and disappearance—annual</t>
  </si>
  <si>
    <t>Domestic prices—monthly</t>
  </si>
  <si>
    <t>U.S. fats and oils domestic consumption—annual</t>
  </si>
  <si>
    <t>Contact: Maria Bukowski and Aaron M. Ates, USDA, Economic Research Service, Market and Trade Economics Division.</t>
  </si>
  <si>
    <t>Stocks beginning October 1</t>
  </si>
  <si>
    <t>U.S. corn oil supply, disappearance, and price—annual</t>
  </si>
  <si>
    <t xml:space="preserve">1/ USDA, Economic Research Service and USDA, World Agricultural Outlook Board forecasts. 2/ August–July year beginning 1982.  </t>
  </si>
  <si>
    <r>
      <rPr>
        <i/>
        <sz val="8"/>
        <rFont val="Helvetica"/>
      </rPr>
      <t>Peanut Stocks and Processing;</t>
    </r>
    <r>
      <rPr>
        <sz val="8"/>
        <rFont val="Helvetica"/>
        <family val="2"/>
      </rPr>
      <t xml:space="preserve"> and USDA, Foreign Agricultural Service, </t>
    </r>
    <r>
      <rPr>
        <sz val="8"/>
        <rFont val="Helvetica"/>
      </rPr>
      <t>Global Agricultural Trade System.</t>
    </r>
  </si>
  <si>
    <r>
      <t xml:space="preserve">Sosland Publishing, </t>
    </r>
    <r>
      <rPr>
        <i/>
        <sz val="8"/>
        <rFont val="Helvetica"/>
      </rPr>
      <t>Milling and Baking News;</t>
    </r>
    <r>
      <rPr>
        <sz val="8"/>
        <rFont val="Helvetica"/>
        <family val="2"/>
      </rPr>
      <t xml:space="preserve"> and U.S. Department of Labor, Bureau of Labor Statistics, </t>
    </r>
    <r>
      <rPr>
        <i/>
        <sz val="8"/>
        <rFont val="Helvetica"/>
        <family val="2"/>
      </rPr>
      <t>Producer Price Index Press Release</t>
    </r>
    <r>
      <rPr>
        <sz val="8"/>
        <rFont val="Helvetica"/>
        <family val="2"/>
      </rPr>
      <t>.</t>
    </r>
  </si>
  <si>
    <r>
      <t xml:space="preserve">Sosland Publishing, </t>
    </r>
    <r>
      <rPr>
        <i/>
        <sz val="8"/>
        <rFont val="Helvetica"/>
      </rPr>
      <t>Milling and Baking News</t>
    </r>
    <r>
      <rPr>
        <sz val="8"/>
        <rFont val="Helvetica"/>
        <family val="2"/>
      </rPr>
      <t xml:space="preserve">; and U.S. Department of Labor, Bureau of Labor Statistics, </t>
    </r>
    <r>
      <rPr>
        <i/>
        <sz val="8"/>
        <rFont val="Helvetica"/>
      </rPr>
      <t>Producer Price Index Press Release</t>
    </r>
    <r>
      <rPr>
        <sz val="8"/>
        <rFont val="Helvetica"/>
        <family val="2"/>
      </rPr>
      <t>.</t>
    </r>
  </si>
  <si>
    <t>Table 32—Edible fats and oils: U.S. supply and disappearance, 2006–2022</t>
  </si>
  <si>
    <t>2022 1/</t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</si>
  <si>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 xml:space="preserve">Fats and Oils: Oilseed Crushings, Production, Consumption and Stocks, </t>
    </r>
    <r>
      <rPr>
        <sz val="8"/>
        <rFont val="Helvetica"/>
      </rPr>
      <t>and</t>
    </r>
  </si>
  <si>
    <t>Last updated: 03/27/2023.</t>
  </si>
  <si>
    <t>Table 33—Corn oil: U.S. supply, disappearance, and price, 1980/81–2022/23</t>
  </si>
  <si>
    <t>2020/21</t>
  </si>
  <si>
    <t>2021/22 3/</t>
  </si>
  <si>
    <t>2022/23 4/</t>
  </si>
  <si>
    <t xml:space="preserve">2/ Estimates from 2017/2018 through 2020/21 include renewable diesel data reported by California Air Resource Board. Starting January 2021, U.S. Energy Information and Administration (EIA) started reporting </t>
  </si>
  <si>
    <t>use of corn oil for biofuels, including biodiesel, renewable diesel, renewable heating oil, renewable jet fuel, renewable naphtha, renewable gasoline, biobutanol, and "other" biofuels and biointermediates.</t>
  </si>
  <si>
    <r>
      <t xml:space="preserve">Source: USDA, Economic Research Service estimates and using data from USDA, National Agricultural Statistics Service, </t>
    </r>
    <r>
      <rPr>
        <i/>
        <sz val="8"/>
        <rFont val="Helvetica"/>
      </rPr>
      <t>Grain</t>
    </r>
    <r>
      <rPr>
        <i/>
        <sz val="8"/>
        <rFont val="Helvetica"/>
        <family val="2"/>
      </rPr>
      <t xml:space="preserve"> Crushings;</t>
    </r>
  </si>
  <si>
    <r>
      <t xml:space="preserve">USDA, Agricultural Marketing Service, </t>
    </r>
    <r>
      <rPr>
        <i/>
        <sz val="8"/>
        <rFont val="Helvetica"/>
      </rPr>
      <t xml:space="preserve">National Monthly Feedstuff Prices </t>
    </r>
    <r>
      <rPr>
        <sz val="8"/>
        <rFont val="Helvetica"/>
      </rPr>
      <t>and</t>
    </r>
    <r>
      <rPr>
        <i/>
        <sz val="8"/>
        <rFont val="Helvetica"/>
      </rPr>
      <t xml:space="preserve"> Oilseed Processor Feedstuff Report;</t>
    </r>
    <r>
      <rPr>
        <sz val="8"/>
        <rFont val="Helvetica"/>
        <family val="2"/>
      </rPr>
      <t xml:space="preserve"> USDA, Foreign Agricultural Service, </t>
    </r>
    <r>
      <rPr>
        <sz val="8"/>
        <rFont val="Helvetica"/>
      </rPr>
      <t xml:space="preserve">Global Agricultural Trade System; U.S. Department of Energy, </t>
    </r>
  </si>
  <si>
    <r>
      <t xml:space="preserve">U.S. Energy Information Administration, </t>
    </r>
    <r>
      <rPr>
        <i/>
        <sz val="8"/>
        <rFont val="Helvetica"/>
      </rPr>
      <t xml:space="preserve">Monthly Biodiesel Production Report, </t>
    </r>
    <r>
      <rPr>
        <sz val="8"/>
        <rFont val="Helvetica"/>
      </rPr>
      <t>and</t>
    </r>
    <r>
      <rPr>
        <i/>
        <sz val="8"/>
        <rFont val="Helvetica"/>
      </rPr>
      <t xml:space="preserve"> Monthly Biofuels Capacity and Feedstocks Update.</t>
    </r>
  </si>
  <si>
    <t>Table 34—Prices: Farm, wholesale, and index numbers of wholesale prices, by month, 2014–2022–Continued</t>
  </si>
  <si>
    <r>
      <t xml:space="preserve">Source: USDA, Economic Research Service using data from USDA, National Agricultural Statistics Service, </t>
    </r>
    <r>
      <rPr>
        <i/>
        <sz val="8"/>
        <rFont val="Helvetica"/>
        <family val="2"/>
      </rPr>
      <t xml:space="preserve">Agricultural Prices; </t>
    </r>
    <r>
      <rPr>
        <sz val="8"/>
        <rFont val="Helvetica"/>
      </rPr>
      <t>USDA</t>
    </r>
    <r>
      <rPr>
        <sz val="8"/>
        <rFont val="Helvetica"/>
        <family val="2"/>
      </rPr>
      <t xml:space="preserve">, Agricultural Marketing Service, </t>
    </r>
    <r>
      <rPr>
        <i/>
        <sz val="8"/>
        <rFont val="Helvetica"/>
        <family val="2"/>
      </rPr>
      <t>National Monthly Feedstuff Prices;</t>
    </r>
  </si>
  <si>
    <r>
      <t xml:space="preserve">Sosland Publishing, </t>
    </r>
    <r>
      <rPr>
        <i/>
        <sz val="8"/>
        <color theme="1"/>
        <rFont val="Helvetica"/>
      </rPr>
      <t>Milling and Baking News;</t>
    </r>
    <r>
      <rPr>
        <sz val="8"/>
        <color theme="1"/>
        <rFont val="Helvetica"/>
      </rPr>
      <t xml:space="preserve"> and U.S. Department of Labor, Bureau of Labor Statistics , </t>
    </r>
    <r>
      <rPr>
        <i/>
        <sz val="8"/>
        <color theme="1"/>
        <rFont val="Helvetica"/>
      </rPr>
      <t>Producer Price Index Press Release</t>
    </r>
    <r>
      <rPr>
        <sz val="8"/>
        <color theme="1"/>
        <rFont val="Helvetica"/>
      </rPr>
      <t>.</t>
    </r>
  </si>
  <si>
    <r>
      <t xml:space="preserve">Source: USDA, Economic Research Service using data from USDA, National Agricultural Statistics Service, </t>
    </r>
    <r>
      <rPr>
        <i/>
        <sz val="8"/>
        <rFont val="Helvetica"/>
        <family val="2"/>
      </rPr>
      <t xml:space="preserve">Agricultural Prices; </t>
    </r>
    <r>
      <rPr>
        <sz val="8"/>
        <rFont val="Helvetica"/>
      </rPr>
      <t>USDA</t>
    </r>
    <r>
      <rPr>
        <sz val="8"/>
        <rFont val="Helvetica"/>
        <family val="2"/>
      </rPr>
      <t xml:space="preserve">, Agricultural Marketing Service, </t>
    </r>
    <r>
      <rPr>
        <i/>
        <sz val="8"/>
        <rFont val="Helvetica"/>
        <family val="2"/>
      </rPr>
      <t>National Monthly Feedstuff Prices</t>
    </r>
  </si>
  <si>
    <r>
      <t xml:space="preserve">and </t>
    </r>
    <r>
      <rPr>
        <i/>
        <sz val="8"/>
        <rFont val="Helvetica"/>
      </rPr>
      <t>Tallow and Protein Report</t>
    </r>
    <r>
      <rPr>
        <sz val="8"/>
        <rFont val="Helvetica"/>
        <family val="2"/>
      </rPr>
      <t xml:space="preserve">; Sosland Publishing, </t>
    </r>
    <r>
      <rPr>
        <i/>
        <sz val="8"/>
        <rFont val="Helvetica"/>
      </rPr>
      <t>Milling and Baking News;</t>
    </r>
    <r>
      <rPr>
        <sz val="8"/>
        <rFont val="Helvetica"/>
        <family val="2"/>
      </rPr>
      <t xml:space="preserve"> and U.S. Department of Labor, Bureau of Labor Statistics, </t>
    </r>
    <r>
      <rPr>
        <i/>
        <sz val="8"/>
        <rFont val="Helvetica"/>
        <family val="2"/>
      </rPr>
      <t>Producer Price Index Press Release</t>
    </r>
    <r>
      <rPr>
        <sz val="8"/>
        <rFont val="Helvetica"/>
        <family val="2"/>
      </rPr>
      <t>.</t>
    </r>
  </si>
  <si>
    <r>
      <t xml:space="preserve">  Yellow grease, rail, Minneapolis, MN</t>
    </r>
    <r>
      <rPr>
        <vertAlign val="superscript"/>
        <sz val="8"/>
        <rFont val="Helvetica"/>
      </rPr>
      <t>1</t>
    </r>
  </si>
  <si>
    <t>419.846(P)</t>
  </si>
  <si>
    <t>418.690(P)</t>
  </si>
  <si>
    <t>414.582(P)</t>
  </si>
  <si>
    <t>397.273(P)</t>
  </si>
  <si>
    <t>413.546(P)</t>
  </si>
  <si>
    <t>384.156(P)</t>
  </si>
  <si>
    <t>NA = Not available. CIF = Cost, Insurance, Freight. FOB = Free On Board. PSBY = Prime Bleachable Summer Yellow. P : Preliminary. All indexes are subject to monthly revisions up to four months after original publication.</t>
  </si>
  <si>
    <r>
      <rPr>
        <vertAlign val="superscript"/>
        <sz val="8"/>
        <rFont val="Helvetica"/>
      </rPr>
      <t>1</t>
    </r>
    <r>
      <rPr>
        <sz val="8"/>
        <rFont val="Helvetica"/>
        <family val="2"/>
      </rPr>
      <t xml:space="preserve"> Starting in February 2022, prices for yellow grease are truck, FOB, Minnesota.</t>
    </r>
  </si>
  <si>
    <r>
      <t xml:space="preserve">Source: USDA, Economic Research Service using data from USDA, National Agricultural Statistics Service, </t>
    </r>
    <r>
      <rPr>
        <i/>
        <sz val="8"/>
        <rFont val="Helvetica"/>
        <family val="2"/>
      </rPr>
      <t xml:space="preserve">Agricultural Prices; </t>
    </r>
    <r>
      <rPr>
        <sz val="8"/>
        <rFont val="Helvetica"/>
      </rPr>
      <t>USDA</t>
    </r>
    <r>
      <rPr>
        <sz val="8"/>
        <rFont val="Helvetica"/>
        <family val="2"/>
      </rPr>
      <t xml:space="preserve">, Agricultural Marketing Service, </t>
    </r>
    <r>
      <rPr>
        <i/>
        <sz val="8"/>
        <rFont val="Helvetica"/>
        <family val="2"/>
      </rPr>
      <t>National Monthly Feedstuff Prices,</t>
    </r>
  </si>
  <si>
    <r>
      <rPr>
        <i/>
        <sz val="8"/>
        <rFont val="Helvetica"/>
      </rPr>
      <t xml:space="preserve">Oilseed Processor Feedstuff Report, </t>
    </r>
    <r>
      <rPr>
        <sz val="8"/>
        <rFont val="Helvetica"/>
      </rPr>
      <t>and</t>
    </r>
    <r>
      <rPr>
        <i/>
        <sz val="8"/>
        <rFont val="Helvetica"/>
      </rPr>
      <t xml:space="preserve"> Tallow and Protein Report</t>
    </r>
    <r>
      <rPr>
        <sz val="8"/>
        <rFont val="Helvetica"/>
        <family val="2"/>
      </rPr>
      <t xml:space="preserve">; Sosland Publishing, </t>
    </r>
    <r>
      <rPr>
        <i/>
        <sz val="8"/>
        <rFont val="Helvetica"/>
      </rPr>
      <t>Milling and Baking News;</t>
    </r>
    <r>
      <rPr>
        <sz val="8"/>
        <rFont val="Helvetica"/>
        <family val="2"/>
      </rPr>
      <t xml:space="preserve"> and U.S. Department of Labor, Bureau of Labor Statistics, </t>
    </r>
    <r>
      <rPr>
        <i/>
        <sz val="8"/>
        <rFont val="Helvetica"/>
        <family val="2"/>
      </rPr>
      <t>Producer Price Index Press Release</t>
    </r>
    <r>
      <rPr>
        <sz val="8"/>
        <rFont val="Helvetica"/>
        <family val="2"/>
      </rPr>
      <t>.</t>
    </r>
  </si>
  <si>
    <t>Table 35—Lard: U.S. supply, disappearance, and price, 1980–2022</t>
  </si>
  <si>
    <t>2021 3/</t>
  </si>
  <si>
    <t>2022 4/</t>
  </si>
  <si>
    <r>
      <t xml:space="preserve">Source: USDA, Economic Research Service estimates; USDA, Foreign Agricultural Service, </t>
    </r>
    <r>
      <rPr>
        <sz val="8"/>
        <rFont val="Helvetica"/>
      </rPr>
      <t>Global Agricultural Trade System;</t>
    </r>
    <r>
      <rPr>
        <i/>
        <sz val="8"/>
        <rFont val="Helvetica"/>
      </rPr>
      <t xml:space="preserve"> </t>
    </r>
    <r>
      <rPr>
        <sz val="8"/>
        <rFont val="Helvetica"/>
      </rPr>
      <t>USDA, Agricultural Marketing Service</t>
    </r>
    <r>
      <rPr>
        <i/>
        <sz val="8"/>
        <rFont val="Helvetica"/>
      </rPr>
      <t>,</t>
    </r>
  </si>
  <si>
    <r>
      <rPr>
        <i/>
        <sz val="8"/>
        <rFont val="Helvetica"/>
      </rPr>
      <t>Tallow, Protein, and Hide Report;</t>
    </r>
    <r>
      <rPr>
        <sz val="8"/>
        <rFont val="Helvetica"/>
      </rPr>
      <t xml:space="preserve"> U.S. Department of Commerce, Bureau of the Census data; and USDA, National Agricultural Statistics Service, </t>
    </r>
    <r>
      <rPr>
        <i/>
        <sz val="8"/>
        <rFont val="Helvetica"/>
      </rPr>
      <t xml:space="preserve">Fats and Oils: </t>
    </r>
  </si>
  <si>
    <r>
      <rPr>
        <i/>
        <sz val="8"/>
        <rFont val="Helvetica"/>
      </rPr>
      <t>Fats and Oils: Oilseed Crushings, Production, Consumption and Stocks</t>
    </r>
    <r>
      <rPr>
        <sz val="8"/>
        <rFont val="Helvetica"/>
      </rPr>
      <t>.</t>
    </r>
  </si>
  <si>
    <t>Table 36—Edible tallow: U.S. supply, disappearance, and price, 1980–2022</t>
  </si>
  <si>
    <r>
      <t xml:space="preserve">Source: USDA, Economic Research Service using data from U.S. Department of Commerce, Bureau of the Census; USDA, National Agricultural Statistics Service, </t>
    </r>
    <r>
      <rPr>
        <i/>
        <sz val="8"/>
        <rFont val="Helvetica"/>
      </rPr>
      <t>Fats and Oils: Oilseed Crushings, Production, Consumption and Stocks;</t>
    </r>
    <r>
      <rPr>
        <sz val="8"/>
        <rFont val="Helvetica"/>
        <family val="2"/>
      </rPr>
      <t xml:space="preserve"> </t>
    </r>
  </si>
  <si>
    <t>Table 34—Prices: Farm, wholesale, and index numbers of wholesale prices, by month, 2013–2022</t>
  </si>
  <si>
    <t>Last updated: March 27, 2023.</t>
  </si>
  <si>
    <t xml:space="preserve"> Received by U.S farmers</t>
  </si>
  <si>
    <t>Jun.</t>
  </si>
  <si>
    <t>Jul.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</si>
</sst>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3" formatCode="_(* #,##0.00_);_(* \(#,##0.00\);_(* &quot;-&quot;??_);_(@_)"/>
    <numFmt numFmtId="164" formatCode="#,##0___________)"/>
    <numFmt numFmtId="165" formatCode="#,##0___________________)"/>
    <numFmt numFmtId="166" formatCode="#,##0_______)"/>
    <numFmt numFmtId="167" formatCode="#,##0_________)"/>
    <numFmt numFmtId="168" formatCode="#,##0_)"/>
    <numFmt numFmtId="169" formatCode="#,##0_____)"/>
    <numFmt numFmtId="170" formatCode="#,##0.0_)"/>
    <numFmt numFmtId="171" formatCode="#,##0.00_______)"/>
    <numFmt numFmtId="172" formatCode="#,##0.00_____)"/>
    <numFmt numFmtId="173" formatCode="#,##0.0_______)"/>
    <numFmt numFmtId="174" formatCode="#,##0.00_)"/>
    <numFmt numFmtId="175" formatCode="0.0"/>
    <numFmt numFmtId="176" formatCode="0.00_)"/>
    <numFmt numFmtId="177" formatCode="#0.0"/>
    <numFmt numFmtId="178" formatCode="_(* #,##0_);_(* \(#,##0\);_(* &quot;-&quot;??_);_(@_)"/>
    <numFmt numFmtId="179" formatCode="_(* #,##0.0_);_(* \(#,##0.0\);_(* &quot;-&quot;??_);_(@_)"/>
    <numFmt numFmtId="180" formatCode="#,##0.000_)"/>
    <numFmt numFmtId="181" formatCode="0.000000"/>
    <numFmt numFmtId="182" formatCode="#,##0.00000___________)"/>
    <numFmt numFmtId="183" formatCode="0.000"/>
    <numFmt numFmtId="184" formatCode="#,##0.0000_______)"/>
    <numFmt numFmtId="185" formatCode="#,##0.0000_____)"/>
  </numFmts>
  <fonts count="54">
    <font>
      <sz val="8"/>
      <name val="Helvetic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</font>
    <font>
      <i/>
      <sz val="7"/>
      <name val="Helvetica"/>
      <family val="2"/>
    </font>
    <font>
      <sz val="8"/>
      <name val="Helvetica-Narrow"/>
      <family val="2"/>
    </font>
    <font>
      <sz val="8"/>
      <name val="Helvetica"/>
      <family val="2"/>
    </font>
    <font>
      <i/>
      <sz val="8"/>
      <name val="Helvetica"/>
      <family val="2"/>
    </font>
    <font>
      <u/>
      <sz val="8"/>
      <color indexed="12"/>
      <name val="Helvetic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8"/>
      <name val="Helvetica"/>
    </font>
    <font>
      <i/>
      <sz val="8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10"/>
      <name val="Helvetica"/>
    </font>
    <font>
      <b/>
      <sz val="14"/>
      <name val="Helvetica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u/>
      <sz val="10.45"/>
      <color indexed="12"/>
      <name val="Arial"/>
      <family val="2"/>
    </font>
    <font>
      <sz val="10"/>
      <name val="Courier"/>
    </font>
    <font>
      <u/>
      <sz val="10"/>
      <color indexed="12"/>
      <name val="Courier"/>
      <family val="3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8"/>
      <name val="Helvetica"/>
    </font>
    <font>
      <sz val="8"/>
      <color theme="1"/>
      <name val="Helvetica"/>
    </font>
    <font>
      <sz val="8"/>
      <color rgb="FFFF0000"/>
      <name val="Helvetica"/>
    </font>
    <font>
      <sz val="8"/>
      <color theme="1"/>
      <name val="Helvetica"/>
      <family val="2"/>
    </font>
    <font>
      <sz val="8"/>
      <color indexed="8"/>
      <name val="Arial"/>
      <family val="2"/>
    </font>
    <font>
      <i/>
      <sz val="8"/>
      <color theme="1"/>
      <name val="Helvetica"/>
    </font>
    <font>
      <sz val="8"/>
      <color rgb="FFFF0000"/>
      <name val="Helvetica"/>
      <family val="2"/>
    </font>
    <font>
      <b/>
      <sz val="8"/>
      <name val="Helvetica"/>
      <family val="2"/>
    </font>
    <font>
      <vertAlign val="superscript"/>
      <sz val="8"/>
      <name val="Helvetica"/>
    </font>
    <font>
      <b/>
      <sz val="8"/>
      <color theme="1"/>
      <name val="Helvetica"/>
    </font>
    <font>
      <b/>
      <sz val="10"/>
      <color theme="1"/>
      <name val="Helvetica"/>
    </font>
    <font>
      <u/>
      <sz val="8"/>
      <color rgb="FF0000E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2">
    <xf numFmtId="0" fontId="0" fillId="0" borderId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3" fillId="0" borderId="0"/>
    <xf numFmtId="0" fontId="19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0" fontId="26" fillId="5" borderId="7" applyNumberFormat="0" applyAlignment="0" applyProtection="0"/>
    <xf numFmtId="0" fontId="27" fillId="6" borderId="8" applyNumberFormat="0" applyAlignment="0" applyProtection="0"/>
    <xf numFmtId="0" fontId="28" fillId="6" borderId="7" applyNumberFormat="0" applyAlignment="0" applyProtection="0"/>
    <xf numFmtId="0" fontId="29" fillId="0" borderId="9" applyNumberFormat="0" applyFill="0" applyAlignment="0" applyProtection="0"/>
    <xf numFmtId="0" fontId="30" fillId="7" borderId="10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2" applyNumberFormat="0" applyFill="0" applyAlignment="0" applyProtection="0"/>
    <xf numFmtId="0" fontId="34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4" fillId="32" borderId="0" applyNumberFormat="0" applyBorder="0" applyAlignment="0" applyProtection="0"/>
    <xf numFmtId="176" fontId="35" fillId="0" borderId="0"/>
    <xf numFmtId="0" fontId="36" fillId="0" borderId="0" applyNumberFormat="0" applyFill="0" applyBorder="0" applyAlignment="0" applyProtection="0">
      <alignment vertical="top"/>
      <protection locked="0"/>
    </xf>
    <xf numFmtId="37" fontId="37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8" borderId="11" applyNumberFormat="0" applyFont="0" applyAlignment="0" applyProtection="0"/>
    <xf numFmtId="0" fontId="39" fillId="0" borderId="0"/>
    <xf numFmtId="43" fontId="13" fillId="0" borderId="0" applyFont="0" applyFill="0" applyBorder="0" applyAlignment="0" applyProtection="0"/>
    <xf numFmtId="0" fontId="40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3" fillId="0" borderId="0"/>
    <xf numFmtId="0" fontId="13" fillId="0" borderId="0"/>
    <xf numFmtId="0" fontId="1" fillId="0" borderId="0"/>
    <xf numFmtId="9" fontId="13" fillId="0" borderId="0" applyFont="0" applyFill="0" applyBorder="0" applyAlignment="0" applyProtection="0"/>
  </cellStyleXfs>
  <cellXfs count="1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7" fontId="0" fillId="0" borderId="0" xfId="0" applyNumberFormat="1"/>
    <xf numFmtId="168" fontId="0" fillId="0" borderId="0" xfId="0" applyNumberFormat="1"/>
    <xf numFmtId="168" fontId="0" fillId="0" borderId="1" xfId="0" applyNumberFormat="1" applyBorder="1"/>
    <xf numFmtId="169" fontId="0" fillId="0" borderId="0" xfId="0" applyNumberFormat="1"/>
    <xf numFmtId="170" fontId="0" fillId="0" borderId="0" xfId="0" applyNumberFormat="1"/>
    <xf numFmtId="164" fontId="0" fillId="0" borderId="0" xfId="0" applyNumberFormat="1"/>
    <xf numFmtId="171" fontId="0" fillId="0" borderId="0" xfId="0" applyNumberFormat="1"/>
    <xf numFmtId="172" fontId="0" fillId="0" borderId="0" xfId="0" applyNumberFormat="1"/>
    <xf numFmtId="166" fontId="0" fillId="0" borderId="0" xfId="0" applyNumberFormat="1"/>
    <xf numFmtId="0" fontId="0" fillId="0" borderId="0" xfId="0" quotePrefix="1" applyAlignment="1">
      <alignment horizontal="left"/>
    </xf>
    <xf numFmtId="0" fontId="0" fillId="0" borderId="2" xfId="0" quotePrefix="1" applyBorder="1" applyAlignment="1">
      <alignment horizontal="center"/>
    </xf>
    <xf numFmtId="174" fontId="0" fillId="0" borderId="0" xfId="0" applyNumberFormat="1"/>
    <xf numFmtId="0" fontId="4" fillId="0" borderId="0" xfId="0" applyFont="1"/>
    <xf numFmtId="175" fontId="0" fillId="0" borderId="0" xfId="0" applyNumberFormat="1"/>
    <xf numFmtId="2" fontId="0" fillId="0" borderId="0" xfId="0" applyNumberFormat="1"/>
    <xf numFmtId="175" fontId="5" fillId="0" borderId="0" xfId="0" applyNumberFormat="1" applyFont="1" applyAlignment="1">
      <alignment horizontal="right"/>
    </xf>
    <xf numFmtId="175" fontId="5" fillId="0" borderId="0" xfId="0" applyNumberFormat="1" applyFont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0" fillId="0" borderId="0" xfId="0" quotePrefix="1"/>
    <xf numFmtId="175" fontId="0" fillId="0" borderId="1" xfId="0" applyNumberFormat="1" applyBorder="1"/>
    <xf numFmtId="167" fontId="0" fillId="0" borderId="0" xfId="0" applyNumberFormat="1" applyAlignment="1">
      <alignment horizontal="center"/>
    </xf>
    <xf numFmtId="0" fontId="7" fillId="0" borderId="0" xfId="0" applyFont="1"/>
    <xf numFmtId="0" fontId="6" fillId="0" borderId="1" xfId="4" applyBorder="1"/>
    <xf numFmtId="0" fontId="6" fillId="0" borderId="0" xfId="4"/>
    <xf numFmtId="174" fontId="6" fillId="0" borderId="0" xfId="4" applyNumberFormat="1"/>
    <xf numFmtId="175" fontId="6" fillId="0" borderId="0" xfId="4" applyNumberFormat="1"/>
    <xf numFmtId="0" fontId="11" fillId="0" borderId="0" xfId="0" applyFont="1"/>
    <xf numFmtId="0" fontId="6" fillId="0" borderId="0" xfId="0" applyFont="1" applyAlignment="1">
      <alignment horizontal="left"/>
    </xf>
    <xf numFmtId="167" fontId="0" fillId="0" borderId="1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12" fillId="0" borderId="0" xfId="4" quotePrefix="1" applyFont="1" applyAlignment="1" applyProtection="1">
      <alignment horizontal="right" vertical="top" wrapText="1" readingOrder="1"/>
      <protection locked="0"/>
    </xf>
    <xf numFmtId="0" fontId="6" fillId="0" borderId="0" xfId="0" applyFont="1" applyAlignment="1">
      <alignment horizontal="right"/>
    </xf>
    <xf numFmtId="0" fontId="13" fillId="0" borderId="0" xfId="5" applyAlignment="1">
      <alignment vertical="top" wrapText="1"/>
    </xf>
    <xf numFmtId="0" fontId="13" fillId="0" borderId="0" xfId="5"/>
    <xf numFmtId="0" fontId="15" fillId="0" borderId="0" xfId="3" applyFont="1" applyAlignment="1" applyProtection="1"/>
    <xf numFmtId="0" fontId="16" fillId="0" borderId="0" xfId="5" applyFont="1"/>
    <xf numFmtId="0" fontId="13" fillId="0" borderId="0" xfId="5" applyAlignment="1">
      <alignment wrapText="1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right" indent="1"/>
    </xf>
    <xf numFmtId="166" fontId="0" fillId="0" borderId="1" xfId="0" applyNumberFormat="1" applyBorder="1"/>
    <xf numFmtId="172" fontId="0" fillId="0" borderId="1" xfId="0" applyNumberFormat="1" applyBorder="1"/>
    <xf numFmtId="169" fontId="0" fillId="0" borderId="1" xfId="0" applyNumberFormat="1" applyBorder="1"/>
    <xf numFmtId="0" fontId="8" fillId="0" borderId="0" xfId="2" applyAlignment="1" applyProtection="1">
      <alignment horizontal="left"/>
    </xf>
    <xf numFmtId="174" fontId="0" fillId="0" borderId="0" xfId="0" applyNumberFormat="1" applyAlignment="1">
      <alignment horizontal="right" indent="3"/>
    </xf>
    <xf numFmtId="167" fontId="0" fillId="0" borderId="1" xfId="0" applyNumberFormat="1" applyBorder="1"/>
    <xf numFmtId="173" fontId="0" fillId="0" borderId="0" xfId="0" applyNumberFormat="1"/>
    <xf numFmtId="168" fontId="6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quotePrefix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43" fontId="0" fillId="0" borderId="0" xfId="1" applyFont="1"/>
    <xf numFmtId="3" fontId="37" fillId="0" borderId="0" xfId="0" applyNumberFormat="1" applyFont="1"/>
    <xf numFmtId="17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75" fontId="0" fillId="0" borderId="0" xfId="0" applyNumberFormat="1" applyAlignment="1">
      <alignment horizontal="right"/>
    </xf>
    <xf numFmtId="177" fontId="41" fillId="0" borderId="0" xfId="0" applyNumberFormat="1" applyFont="1" applyAlignment="1">
      <alignment horizontal="right"/>
    </xf>
    <xf numFmtId="2" fontId="6" fillId="0" borderId="0" xfId="4" applyNumberFormat="1"/>
    <xf numFmtId="2" fontId="6" fillId="0" borderId="1" xfId="4" applyNumberFormat="1" applyBorder="1"/>
    <xf numFmtId="0" fontId="11" fillId="0" borderId="0" xfId="0" applyFont="1" applyAlignment="1">
      <alignment horizontal="center"/>
    </xf>
    <xf numFmtId="0" fontId="11" fillId="0" borderId="3" xfId="0" quotePrefix="1" applyFont="1" applyBorder="1" applyAlignment="1">
      <alignment horizontal="center"/>
    </xf>
    <xf numFmtId="0" fontId="42" fillId="0" borderId="0" xfId="0" applyFont="1"/>
    <xf numFmtId="0" fontId="11" fillId="0" borderId="0" xfId="0" applyFont="1" applyAlignment="1">
      <alignment horizontal="right" indent="4"/>
    </xf>
    <xf numFmtId="0" fontId="11" fillId="0" borderId="1" xfId="0" applyFont="1" applyBorder="1" applyAlignment="1">
      <alignment horizontal="right" indent="1"/>
    </xf>
    <xf numFmtId="0" fontId="0" fillId="0" borderId="21" xfId="0" applyBorder="1" applyAlignment="1">
      <alignment horizontal="center"/>
    </xf>
    <xf numFmtId="0" fontId="11" fillId="0" borderId="3" xfId="0" applyFon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6" fillId="0" borderId="0" xfId="0" applyFont="1" applyAlignment="1">
      <alignment horizontal="left" indent="1"/>
    </xf>
    <xf numFmtId="0" fontId="44" fillId="0" borderId="0" xfId="0" applyFont="1" applyAlignment="1">
      <alignment horizontal="right"/>
    </xf>
    <xf numFmtId="0" fontId="0" fillId="0" borderId="0" xfId="4" applyFont="1" applyAlignment="1">
      <alignment horizontal="right"/>
    </xf>
    <xf numFmtId="0" fontId="43" fillId="0" borderId="0" xfId="0" applyFont="1"/>
    <xf numFmtId="2" fontId="43" fillId="0" borderId="0" xfId="0" applyNumberFormat="1" applyFont="1" applyAlignment="1">
      <alignment horizontal="right"/>
    </xf>
    <xf numFmtId="0" fontId="43" fillId="0" borderId="0" xfId="0" applyFont="1" applyAlignment="1">
      <alignment horizontal="right"/>
    </xf>
    <xf numFmtId="0" fontId="44" fillId="0" borderId="0" xfId="4" applyFont="1"/>
    <xf numFmtId="168" fontId="44" fillId="0" borderId="0" xfId="0" applyNumberFormat="1" applyFont="1"/>
    <xf numFmtId="0" fontId="43" fillId="0" borderId="0" xfId="4" applyFont="1"/>
    <xf numFmtId="169" fontId="3" fillId="0" borderId="1" xfId="57" applyNumberFormat="1" applyBorder="1"/>
    <xf numFmtId="0" fontId="0" fillId="0" borderId="1" xfId="0" applyBorder="1" applyAlignment="1">
      <alignment horizontal="left"/>
    </xf>
    <xf numFmtId="175" fontId="5" fillId="0" borderId="1" xfId="57" applyNumberFormat="1" applyFont="1" applyBorder="1" applyAlignment="1">
      <alignment horizontal="center"/>
    </xf>
    <xf numFmtId="175" fontId="5" fillId="0" borderId="0" xfId="57" applyNumberFormat="1" applyFont="1" applyAlignment="1">
      <alignment horizontal="center"/>
    </xf>
    <xf numFmtId="167" fontId="43" fillId="0" borderId="0" xfId="0" applyNumberFormat="1" applyFont="1"/>
    <xf numFmtId="174" fontId="43" fillId="0" borderId="0" xfId="4" applyNumberFormat="1" applyFont="1"/>
    <xf numFmtId="164" fontId="43" fillId="0" borderId="1" xfId="0" applyNumberFormat="1" applyFont="1" applyBorder="1"/>
    <xf numFmtId="0" fontId="6" fillId="0" borderId="0" xfId="0" quotePrefix="1" applyFont="1" applyAlignment="1">
      <alignment horizontal="left"/>
    </xf>
    <xf numFmtId="164" fontId="43" fillId="0" borderId="0" xfId="0" applyNumberFormat="1" applyFont="1"/>
    <xf numFmtId="174" fontId="43" fillId="0" borderId="0" xfId="0" applyNumberFormat="1" applyFont="1" applyAlignment="1">
      <alignment horizontal="right"/>
    </xf>
    <xf numFmtId="3" fontId="46" fillId="0" borderId="0" xfId="0" applyNumberFormat="1" applyFont="1"/>
    <xf numFmtId="168" fontId="43" fillId="0" borderId="0" xfId="0" applyNumberFormat="1" applyFont="1"/>
    <xf numFmtId="168" fontId="43" fillId="0" borderId="0" xfId="0" applyNumberFormat="1" applyFont="1" applyAlignment="1">
      <alignment horizontal="right"/>
    </xf>
    <xf numFmtId="178" fontId="0" fillId="0" borderId="0" xfId="1" applyNumberFormat="1" applyFont="1" applyFill="1"/>
    <xf numFmtId="37" fontId="0" fillId="0" borderId="0" xfId="0" applyNumberFormat="1"/>
    <xf numFmtId="37" fontId="43" fillId="0" borderId="0" xfId="0" applyNumberFormat="1" applyFont="1"/>
    <xf numFmtId="178" fontId="43" fillId="0" borderId="0" xfId="1" applyNumberFormat="1" applyFont="1" applyFill="1"/>
    <xf numFmtId="0" fontId="43" fillId="0" borderId="0" xfId="0" applyFont="1" applyAlignment="1">
      <alignment horizontal="left" indent="1"/>
    </xf>
    <xf numFmtId="178" fontId="0" fillId="0" borderId="0" xfId="1" applyNumberFormat="1" applyFont="1" applyFill="1" applyAlignment="1">
      <alignment horizontal="right"/>
    </xf>
    <xf numFmtId="43" fontId="0" fillId="0" borderId="0" xfId="0" applyNumberFormat="1"/>
    <xf numFmtId="179" fontId="0" fillId="0" borderId="0" xfId="1" applyNumberFormat="1" applyFont="1"/>
    <xf numFmtId="180" fontId="0" fillId="0" borderId="0" xfId="0" applyNumberFormat="1"/>
    <xf numFmtId="0" fontId="43" fillId="0" borderId="1" xfId="0" applyFont="1" applyBorder="1"/>
    <xf numFmtId="171" fontId="43" fillId="0" borderId="0" xfId="0" applyNumberFormat="1" applyFont="1"/>
    <xf numFmtId="4" fontId="0" fillId="0" borderId="0" xfId="0" applyNumberFormat="1"/>
    <xf numFmtId="181" fontId="0" fillId="0" borderId="0" xfId="0" applyNumberFormat="1"/>
    <xf numFmtId="182" fontId="0" fillId="0" borderId="0" xfId="0" applyNumberFormat="1"/>
    <xf numFmtId="0" fontId="43" fillId="0" borderId="0" xfId="0" quotePrefix="1" applyFont="1" applyAlignment="1">
      <alignment horizontal="left"/>
    </xf>
    <xf numFmtId="0" fontId="43" fillId="0" borderId="1" xfId="0" quotePrefix="1" applyFont="1" applyBorder="1" applyAlignment="1">
      <alignment horizontal="left"/>
    </xf>
    <xf numFmtId="171" fontId="43" fillId="0" borderId="1" xfId="0" applyNumberFormat="1" applyFont="1" applyBorder="1"/>
    <xf numFmtId="165" fontId="43" fillId="0" borderId="0" xfId="0" applyNumberFormat="1" applyFont="1" applyAlignment="1">
      <alignment horizontal="right"/>
    </xf>
    <xf numFmtId="0" fontId="44" fillId="0" borderId="0" xfId="0" applyFont="1"/>
    <xf numFmtId="39" fontId="0" fillId="0" borderId="0" xfId="0" applyNumberFormat="1"/>
    <xf numFmtId="2" fontId="44" fillId="0" borderId="0" xfId="0" applyNumberFormat="1" applyFont="1"/>
    <xf numFmtId="2" fontId="43" fillId="0" borderId="0" xfId="0" applyNumberFormat="1" applyFont="1"/>
    <xf numFmtId="0" fontId="48" fillId="0" borderId="0" xfId="4" applyFont="1"/>
    <xf numFmtId="2" fontId="48" fillId="0" borderId="0" xfId="4" applyNumberFormat="1" applyFont="1"/>
    <xf numFmtId="0" fontId="49" fillId="0" borderId="0" xfId="4" applyFont="1"/>
    <xf numFmtId="2" fontId="44" fillId="0" borderId="0" xfId="0" applyNumberFormat="1" applyFont="1" applyAlignment="1">
      <alignment horizontal="right"/>
    </xf>
    <xf numFmtId="2" fontId="49" fillId="0" borderId="0" xfId="4" applyNumberFormat="1" applyFont="1"/>
    <xf numFmtId="2" fontId="42" fillId="0" borderId="0" xfId="4" applyNumberFormat="1" applyFont="1"/>
    <xf numFmtId="0" fontId="0" fillId="0" borderId="0" xfId="4" applyFont="1"/>
    <xf numFmtId="183" fontId="43" fillId="0" borderId="0" xfId="0" applyNumberFormat="1" applyFont="1" applyAlignment="1">
      <alignment horizontal="right"/>
    </xf>
    <xf numFmtId="0" fontId="45" fillId="0" borderId="0" xfId="4" applyFont="1"/>
    <xf numFmtId="2" fontId="0" fillId="0" borderId="0" xfId="4" applyNumberFormat="1" applyFont="1" applyAlignment="1">
      <alignment horizontal="right"/>
    </xf>
    <xf numFmtId="2" fontId="0" fillId="0" borderId="0" xfId="4" applyNumberFormat="1" applyFont="1"/>
    <xf numFmtId="2" fontId="0" fillId="0" borderId="1" xfId="4" applyNumberFormat="1" applyFont="1" applyBorder="1"/>
    <xf numFmtId="2" fontId="3" fillId="0" borderId="0" xfId="4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42" fillId="0" borderId="0" xfId="4" applyFont="1"/>
    <xf numFmtId="166" fontId="43" fillId="0" borderId="0" xfId="0" applyNumberFormat="1" applyFont="1"/>
    <xf numFmtId="184" fontId="0" fillId="0" borderId="0" xfId="0" applyNumberFormat="1"/>
    <xf numFmtId="172" fontId="43" fillId="0" borderId="0" xfId="0" applyNumberFormat="1" applyFont="1"/>
    <xf numFmtId="171" fontId="51" fillId="0" borderId="0" xfId="0" applyNumberFormat="1" applyFont="1"/>
    <xf numFmtId="166" fontId="43" fillId="0" borderId="1" xfId="0" applyNumberFormat="1" applyFont="1" applyBorder="1"/>
    <xf numFmtId="167" fontId="43" fillId="0" borderId="1" xfId="0" applyNumberFormat="1" applyFont="1" applyBorder="1"/>
    <xf numFmtId="172" fontId="3" fillId="0" borderId="0" xfId="0" applyNumberFormat="1" applyFont="1"/>
    <xf numFmtId="185" fontId="0" fillId="0" borderId="0" xfId="0" applyNumberFormat="1"/>
    <xf numFmtId="169" fontId="0" fillId="0" borderId="0" xfId="57" applyNumberFormat="1" applyFont="1"/>
    <xf numFmtId="172" fontId="43" fillId="0" borderId="0" xfId="57" applyNumberFormat="1" applyFont="1"/>
    <xf numFmtId="169" fontId="0" fillId="0" borderId="1" xfId="57" applyNumberFormat="1" applyFont="1" applyBorder="1"/>
    <xf numFmtId="172" fontId="3" fillId="0" borderId="1" xfId="57" applyNumberFormat="1" applyBorder="1"/>
    <xf numFmtId="0" fontId="52" fillId="0" borderId="0" xfId="0" applyFont="1" applyAlignment="1">
      <alignment horizontal="left"/>
    </xf>
    <xf numFmtId="0" fontId="53" fillId="0" borderId="0" xfId="2" applyFont="1" applyFill="1" applyAlignment="1" applyProtection="1">
      <alignment horizontal="left"/>
    </xf>
  </cellXfs>
  <cellStyles count="62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/>
    <cellStyle name="Comma 2" xfId="53" xr:uid="{00000000-0005-0000-0000-00001C000000}"/>
    <cellStyle name="Comma 3" xfId="55" xr:uid="{F948226D-468E-4FAB-A758-A67BEEC95FF2}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2" builtinId="8"/>
    <cellStyle name="Hyperlink 2" xfId="3" xr:uid="{00000000-0005-0000-0000-000024000000}"/>
    <cellStyle name="Hyperlink 3" xfId="47" xr:uid="{00000000-0005-0000-0000-000025000000}"/>
    <cellStyle name="Hyperlink 3 2" xfId="56" xr:uid="{8703CFFB-9370-4957-B1BE-A6D12ECDE211}"/>
    <cellStyle name="Hyperlink 4" xfId="49" xr:uid="{00000000-0005-0000-0000-000026000000}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4" xr:uid="{00000000-0005-0000-0000-00002B000000}"/>
    <cellStyle name="Normal 2 2" xfId="5" xr:uid="{00000000-0005-0000-0000-00002C000000}"/>
    <cellStyle name="Normal 2 3" xfId="57" xr:uid="{6D24B3F8-0DF3-45EC-98DA-A0EA04135DAC}"/>
    <cellStyle name="Normal 3" xfId="46" xr:uid="{00000000-0005-0000-0000-00002D000000}"/>
    <cellStyle name="Normal 3 2" xfId="58" xr:uid="{81CD4063-B8D3-4147-B484-AF5964C3976B}"/>
    <cellStyle name="Normal 4" xfId="48" xr:uid="{00000000-0005-0000-0000-00002E000000}"/>
    <cellStyle name="Normal 4 2" xfId="59" xr:uid="{AB29F0B2-4697-4B7A-BA63-639E419D30A3}"/>
    <cellStyle name="Normal 5" xfId="50" xr:uid="{00000000-0005-0000-0000-00002F000000}"/>
    <cellStyle name="Normal 5 2" xfId="60" xr:uid="{2A994748-9ED1-468C-B3A3-D1E0D6FB9365}"/>
    <cellStyle name="Normal 6" xfId="52" xr:uid="{00000000-0005-0000-0000-000030000000}"/>
    <cellStyle name="Normal 7" xfId="54" xr:uid="{A43A8493-FF9B-4B3F-B6DB-4FE5C94C6D32}"/>
    <cellStyle name="Note 2" xfId="51" xr:uid="{00000000-0005-0000-0000-000031000000}"/>
    <cellStyle name="Output" xfId="15" builtinId="21" customBuiltin="1"/>
    <cellStyle name="Percent 2" xfId="61" xr:uid="{F5AF82C7-73BA-4A63-B152-0959F2849C38}"/>
    <cellStyle name="Title" xfId="6" builtinId="15" customBuiltin="1"/>
    <cellStyle name="Total" xfId="21" builtinId="25" customBuiltin="1"/>
    <cellStyle name="Warning Text" xfId="19" builtinId="11" customBuiltin="1"/>
  </cellStyles>
  <dxfs count="0"/>
  <tableStyles count="0" defaultTableStyle="TableStyleMedium9" defaultPivotStyle="PivotStyleLight16"/>
  <colors>
    <mruColors>
      <color rgb="FF0000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" name="Picture 1" descr="PrintLogo">
          <a:extLst>
            <a:ext uri="{FF2B5EF4-FFF2-40B4-BE49-F238E27FC236}">
              <a16:creationId xmlns:a16="http://schemas.microsoft.com/office/drawing/2014/main" id="{7E6CE3C7-E648-4D07-B272-625E8760B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" name="Picture 2" descr="PrintLogo">
          <a:extLst>
            <a:ext uri="{FF2B5EF4-FFF2-40B4-BE49-F238E27FC236}">
              <a16:creationId xmlns:a16="http://schemas.microsoft.com/office/drawing/2014/main" id="{6EB861D4-D92B-4631-88A1-97B493AEF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" name="Picture 3" descr="PrintLogo">
          <a:extLst>
            <a:ext uri="{FF2B5EF4-FFF2-40B4-BE49-F238E27FC236}">
              <a16:creationId xmlns:a16="http://schemas.microsoft.com/office/drawing/2014/main" id="{C80A3A86-D07F-4C3F-9950-07EF37C39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5" name="Picture 4" descr="PrintLogo">
          <a:extLst>
            <a:ext uri="{FF2B5EF4-FFF2-40B4-BE49-F238E27FC236}">
              <a16:creationId xmlns:a16="http://schemas.microsoft.com/office/drawing/2014/main" id="{2328B0C4-31E7-43B9-A7FF-13113912F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6" name="Picture 5" descr="PrintLogo">
          <a:extLst>
            <a:ext uri="{FF2B5EF4-FFF2-40B4-BE49-F238E27FC236}">
              <a16:creationId xmlns:a16="http://schemas.microsoft.com/office/drawing/2014/main" id="{141BB5BC-AAC8-4A8B-97D6-63C7D32B7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7" name="Picture 6" descr="PrintLogo">
          <a:extLst>
            <a:ext uri="{FF2B5EF4-FFF2-40B4-BE49-F238E27FC236}">
              <a16:creationId xmlns:a16="http://schemas.microsoft.com/office/drawing/2014/main" id="{C0D6BAEC-8CB9-4602-A1CD-6D266CDBC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8" name="Picture 7" descr="PrintLogo">
          <a:extLst>
            <a:ext uri="{FF2B5EF4-FFF2-40B4-BE49-F238E27FC236}">
              <a16:creationId xmlns:a16="http://schemas.microsoft.com/office/drawing/2014/main" id="{E406F909-764A-4F8B-AE32-5028B6A8D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9" name="Picture 8" descr="PrintLogo">
          <a:extLst>
            <a:ext uri="{FF2B5EF4-FFF2-40B4-BE49-F238E27FC236}">
              <a16:creationId xmlns:a16="http://schemas.microsoft.com/office/drawing/2014/main" id="{FCD1DDAB-4AAC-47CF-98EB-2E712923A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0" name="Picture 9" descr="PrintLogo">
          <a:extLst>
            <a:ext uri="{FF2B5EF4-FFF2-40B4-BE49-F238E27FC236}">
              <a16:creationId xmlns:a16="http://schemas.microsoft.com/office/drawing/2014/main" id="{0C9C0178-3AF9-4465-8E93-3C2D765E4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1" name="Picture 10" descr="PrintLogo">
          <a:extLst>
            <a:ext uri="{FF2B5EF4-FFF2-40B4-BE49-F238E27FC236}">
              <a16:creationId xmlns:a16="http://schemas.microsoft.com/office/drawing/2014/main" id="{A524A12F-3881-4F8F-BEFD-4234CF804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2" name="Picture 11" descr="PrintLogo">
          <a:extLst>
            <a:ext uri="{FF2B5EF4-FFF2-40B4-BE49-F238E27FC236}">
              <a16:creationId xmlns:a16="http://schemas.microsoft.com/office/drawing/2014/main" id="{5DBEE635-4471-4010-9D21-E1C54E610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3" name="Picture 12" descr="PrintLogo">
          <a:extLst>
            <a:ext uri="{FF2B5EF4-FFF2-40B4-BE49-F238E27FC236}">
              <a16:creationId xmlns:a16="http://schemas.microsoft.com/office/drawing/2014/main" id="{B0941686-65AD-4DF2-BB26-6C369344E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4" name="Picture 13" descr="PrintLogo">
          <a:extLst>
            <a:ext uri="{FF2B5EF4-FFF2-40B4-BE49-F238E27FC236}">
              <a16:creationId xmlns:a16="http://schemas.microsoft.com/office/drawing/2014/main" id="{6FC97F86-13A4-4802-945B-A809AC2A7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" name="Picture 14" descr="PrintLogo">
          <a:extLst>
            <a:ext uri="{FF2B5EF4-FFF2-40B4-BE49-F238E27FC236}">
              <a16:creationId xmlns:a16="http://schemas.microsoft.com/office/drawing/2014/main" id="{26962BDA-53CE-49F5-92D5-A9446D786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6" name="Picture 15" descr="PrintLogo">
          <a:extLst>
            <a:ext uri="{FF2B5EF4-FFF2-40B4-BE49-F238E27FC236}">
              <a16:creationId xmlns:a16="http://schemas.microsoft.com/office/drawing/2014/main" id="{E44E84D3-F136-4715-8CE6-117579846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7" name="Picture 16" descr="PrintLogo">
          <a:extLst>
            <a:ext uri="{FF2B5EF4-FFF2-40B4-BE49-F238E27FC236}">
              <a16:creationId xmlns:a16="http://schemas.microsoft.com/office/drawing/2014/main" id="{96D63A90-58F1-4A45-A822-16045F4C5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8" name="Picture 17" descr="PrintLogo">
          <a:extLst>
            <a:ext uri="{FF2B5EF4-FFF2-40B4-BE49-F238E27FC236}">
              <a16:creationId xmlns:a16="http://schemas.microsoft.com/office/drawing/2014/main" id="{487DC10E-215C-40F3-8353-DF50A34D2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9" name="Picture 18" descr="PrintLogo">
          <a:extLst>
            <a:ext uri="{FF2B5EF4-FFF2-40B4-BE49-F238E27FC236}">
              <a16:creationId xmlns:a16="http://schemas.microsoft.com/office/drawing/2014/main" id="{3953F824-ED54-4427-92F7-7EFE76697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0" name="Picture 19" descr="PrintLogo">
          <a:extLst>
            <a:ext uri="{FF2B5EF4-FFF2-40B4-BE49-F238E27FC236}">
              <a16:creationId xmlns:a16="http://schemas.microsoft.com/office/drawing/2014/main" id="{9BC9518D-125A-449C-AD61-73409EE49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1" name="Picture 20" descr="PrintLogo">
          <a:extLst>
            <a:ext uri="{FF2B5EF4-FFF2-40B4-BE49-F238E27FC236}">
              <a16:creationId xmlns:a16="http://schemas.microsoft.com/office/drawing/2014/main" id="{4753EBB6-C239-4A91-AFA0-C9FC70564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2" name="Picture 21" descr="PrintLogo">
          <a:extLst>
            <a:ext uri="{FF2B5EF4-FFF2-40B4-BE49-F238E27FC236}">
              <a16:creationId xmlns:a16="http://schemas.microsoft.com/office/drawing/2014/main" id="{9850964B-1058-4D66-9F8F-FD0F4028D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3" name="Picture 22" descr="PrintLogo">
          <a:extLst>
            <a:ext uri="{FF2B5EF4-FFF2-40B4-BE49-F238E27FC236}">
              <a16:creationId xmlns:a16="http://schemas.microsoft.com/office/drawing/2014/main" id="{639584DF-4F15-428E-BE2A-5CDE5C520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4" name="Picture 23" descr="PrintLogo">
          <a:extLst>
            <a:ext uri="{FF2B5EF4-FFF2-40B4-BE49-F238E27FC236}">
              <a16:creationId xmlns:a16="http://schemas.microsoft.com/office/drawing/2014/main" id="{BC225B81-65BF-4C22-B0E3-9F9737FC6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5" name="Picture 24" descr="PrintLogo">
          <a:extLst>
            <a:ext uri="{FF2B5EF4-FFF2-40B4-BE49-F238E27FC236}">
              <a16:creationId xmlns:a16="http://schemas.microsoft.com/office/drawing/2014/main" id="{036B356C-1798-4021-8D28-6878A5CDC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6" name="Picture 25" descr="PrintLogo">
          <a:extLst>
            <a:ext uri="{FF2B5EF4-FFF2-40B4-BE49-F238E27FC236}">
              <a16:creationId xmlns:a16="http://schemas.microsoft.com/office/drawing/2014/main" id="{CA6BEC66-0130-42EA-958D-AABAE7355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7" name="Picture 26" descr="PrintLogo">
          <a:extLst>
            <a:ext uri="{FF2B5EF4-FFF2-40B4-BE49-F238E27FC236}">
              <a16:creationId xmlns:a16="http://schemas.microsoft.com/office/drawing/2014/main" id="{3ACD7217-5C8B-4044-9A1E-5E7A3510B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8" name="Picture 27" descr="PrintLogo">
          <a:extLst>
            <a:ext uri="{FF2B5EF4-FFF2-40B4-BE49-F238E27FC236}">
              <a16:creationId xmlns:a16="http://schemas.microsoft.com/office/drawing/2014/main" id="{F0FE456A-B545-4D81-A81D-EFF8BF711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9" name="Picture 28" descr="PrintLogo">
          <a:extLst>
            <a:ext uri="{FF2B5EF4-FFF2-40B4-BE49-F238E27FC236}">
              <a16:creationId xmlns:a16="http://schemas.microsoft.com/office/drawing/2014/main" id="{C790D1A5-2DDE-4D72-9069-DBC4DCA04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0" name="Picture 29" descr="PrintLogo">
          <a:extLst>
            <a:ext uri="{FF2B5EF4-FFF2-40B4-BE49-F238E27FC236}">
              <a16:creationId xmlns:a16="http://schemas.microsoft.com/office/drawing/2014/main" id="{F9F7223C-D824-4304-B2D7-AD428106C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1" name="Picture 30" descr="PrintLogo">
          <a:extLst>
            <a:ext uri="{FF2B5EF4-FFF2-40B4-BE49-F238E27FC236}">
              <a16:creationId xmlns:a16="http://schemas.microsoft.com/office/drawing/2014/main" id="{C67E359D-5139-4035-ACAE-C166A18D4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2" name="Picture 31" descr="PrintLogo">
          <a:extLst>
            <a:ext uri="{FF2B5EF4-FFF2-40B4-BE49-F238E27FC236}">
              <a16:creationId xmlns:a16="http://schemas.microsoft.com/office/drawing/2014/main" id="{4C4ADEF1-D5DE-4429-B9B3-7DE1A502F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3" name="Picture 32" descr="PrintLogo">
          <a:extLst>
            <a:ext uri="{FF2B5EF4-FFF2-40B4-BE49-F238E27FC236}">
              <a16:creationId xmlns:a16="http://schemas.microsoft.com/office/drawing/2014/main" id="{1AF66F46-0347-439B-A743-75487F760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4" name="Picture 33" descr="PrintLogo">
          <a:extLst>
            <a:ext uri="{FF2B5EF4-FFF2-40B4-BE49-F238E27FC236}">
              <a16:creationId xmlns:a16="http://schemas.microsoft.com/office/drawing/2014/main" id="{3DD2D150-3216-4C26-8C41-0B7827BB0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5" name="Picture 34" descr="PrintLogo">
          <a:extLst>
            <a:ext uri="{FF2B5EF4-FFF2-40B4-BE49-F238E27FC236}">
              <a16:creationId xmlns:a16="http://schemas.microsoft.com/office/drawing/2014/main" id="{63247D39-1AE5-4AE0-B547-478C9E255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6" name="Picture 35" descr="PrintLogo">
          <a:extLst>
            <a:ext uri="{FF2B5EF4-FFF2-40B4-BE49-F238E27FC236}">
              <a16:creationId xmlns:a16="http://schemas.microsoft.com/office/drawing/2014/main" id="{6C52A8A3-CFDA-46B7-9979-E4D7C44B7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7" name="Picture 36" descr="PrintLogo">
          <a:extLst>
            <a:ext uri="{FF2B5EF4-FFF2-40B4-BE49-F238E27FC236}">
              <a16:creationId xmlns:a16="http://schemas.microsoft.com/office/drawing/2014/main" id="{87EE11C6-8D5B-4352-A5BF-52F55583A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8" name="Picture 37" descr="PrintLogo">
          <a:extLst>
            <a:ext uri="{FF2B5EF4-FFF2-40B4-BE49-F238E27FC236}">
              <a16:creationId xmlns:a16="http://schemas.microsoft.com/office/drawing/2014/main" id="{234ADCD2-8FE8-4FDD-B13A-F93CBDE04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9" name="Picture 38" descr="PrintLogo">
          <a:extLst>
            <a:ext uri="{FF2B5EF4-FFF2-40B4-BE49-F238E27FC236}">
              <a16:creationId xmlns:a16="http://schemas.microsoft.com/office/drawing/2014/main" id="{3A3BC9CA-54F8-43A5-98B0-C23E9B1AE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0" name="Picture 39" descr="PrintLogo">
          <a:extLst>
            <a:ext uri="{FF2B5EF4-FFF2-40B4-BE49-F238E27FC236}">
              <a16:creationId xmlns:a16="http://schemas.microsoft.com/office/drawing/2014/main" id="{F3542C49-C132-492A-BDEC-86BCD7A37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1" name="Picture 40" descr="PrintLogo">
          <a:extLst>
            <a:ext uri="{FF2B5EF4-FFF2-40B4-BE49-F238E27FC236}">
              <a16:creationId xmlns:a16="http://schemas.microsoft.com/office/drawing/2014/main" id="{82A1A801-924C-4950-B05A-C63700C91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2" name="Picture 41" descr="PrintLogo">
          <a:extLst>
            <a:ext uri="{FF2B5EF4-FFF2-40B4-BE49-F238E27FC236}">
              <a16:creationId xmlns:a16="http://schemas.microsoft.com/office/drawing/2014/main" id="{B6FC8273-0B2C-4A08-B545-C2A11F364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3" name="Picture 42" descr="PrintLogo">
          <a:extLst>
            <a:ext uri="{FF2B5EF4-FFF2-40B4-BE49-F238E27FC236}">
              <a16:creationId xmlns:a16="http://schemas.microsoft.com/office/drawing/2014/main" id="{C14FEDE6-FBB8-4B4E-AAFF-23390C672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4" name="Picture 2098" descr="PrintLogo">
          <a:extLst>
            <a:ext uri="{FF2B5EF4-FFF2-40B4-BE49-F238E27FC236}">
              <a16:creationId xmlns:a16="http://schemas.microsoft.com/office/drawing/2014/main" id="{80253162-75DD-4EBC-ADFE-B302290DB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5" name="Picture 2099" descr="PrintLogo">
          <a:extLst>
            <a:ext uri="{FF2B5EF4-FFF2-40B4-BE49-F238E27FC236}">
              <a16:creationId xmlns:a16="http://schemas.microsoft.com/office/drawing/2014/main" id="{710DACA3-6466-49B7-832D-A5FF173F4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6" name="Picture 2100" descr="PrintLogo">
          <a:extLst>
            <a:ext uri="{FF2B5EF4-FFF2-40B4-BE49-F238E27FC236}">
              <a16:creationId xmlns:a16="http://schemas.microsoft.com/office/drawing/2014/main" id="{BCE3ABEB-F49A-40A1-B7D5-A5615EF8A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7" name="Picture 2101" descr="PrintLogo">
          <a:extLst>
            <a:ext uri="{FF2B5EF4-FFF2-40B4-BE49-F238E27FC236}">
              <a16:creationId xmlns:a16="http://schemas.microsoft.com/office/drawing/2014/main" id="{0B66748C-30B0-4648-A51F-91A8455E4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8" name="Picture 2102" descr="PrintLogo">
          <a:extLst>
            <a:ext uri="{FF2B5EF4-FFF2-40B4-BE49-F238E27FC236}">
              <a16:creationId xmlns:a16="http://schemas.microsoft.com/office/drawing/2014/main" id="{38E1E2B2-0819-4AA7-B525-D1E8A20B2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9" name="Picture 2103" descr="PrintLogo">
          <a:extLst>
            <a:ext uri="{FF2B5EF4-FFF2-40B4-BE49-F238E27FC236}">
              <a16:creationId xmlns:a16="http://schemas.microsoft.com/office/drawing/2014/main" id="{54621B2A-39C9-4A91-9DBC-DE0FAE4AE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50" name="Picture 2104" descr="PrintLogo">
          <a:extLst>
            <a:ext uri="{FF2B5EF4-FFF2-40B4-BE49-F238E27FC236}">
              <a16:creationId xmlns:a16="http://schemas.microsoft.com/office/drawing/2014/main" id="{0B0E5607-3C40-4787-A9D7-B92EA07E2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87630</xdr:colOff>
      <xdr:row>0</xdr:row>
      <xdr:rowOff>34290</xdr:rowOff>
    </xdr:from>
    <xdr:to>
      <xdr:col>0</xdr:col>
      <xdr:colOff>4354830</xdr:colOff>
      <xdr:row>0</xdr:row>
      <xdr:rowOff>533400</xdr:rowOff>
    </xdr:to>
    <xdr:pic>
      <xdr:nvPicPr>
        <xdr:cNvPr id="51" name="Picture 2105" descr="PrintLogo">
          <a:extLst>
            <a:ext uri="{FF2B5EF4-FFF2-40B4-BE49-F238E27FC236}">
              <a16:creationId xmlns:a16="http://schemas.microsoft.com/office/drawing/2014/main" id="{DF47930D-1CA5-420F-8A8F-0FF10508D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" y="3429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8102EA-6711-466F-A34B-096E47EF58DB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X32A0T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A2B367-78BD-4BBC-9011-634C4EE1F82C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X33A0T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A4492F-6132-4D26-A8A5-CBA949FA250F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X42A0T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AD3FBC-205D-42E2-AA09-D76725BCECAB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X43A0T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B5CF-952B-4D1E-9AF2-B6429171F8C2}">
  <sheetPr>
    <pageSetUpPr fitToPage="1"/>
  </sheetPr>
  <dimension ref="A1:A23"/>
  <sheetViews>
    <sheetView tabSelected="1" workbookViewId="0">
      <selection activeCell="A2" sqref="A2"/>
    </sheetView>
  </sheetViews>
  <sheetFormatPr defaultColWidth="11.33203125" defaultRowHeight="12.75"/>
  <cols>
    <col min="1" max="1" width="117.33203125" style="42" bestFit="1" customWidth="1"/>
    <col min="2" max="16384" width="11.33203125" style="39"/>
  </cols>
  <sheetData>
    <row r="1" spans="1:1" ht="44.25" customHeight="1">
      <c r="A1" s="38"/>
    </row>
    <row r="2" spans="1:1" ht="18">
      <c r="A2" s="44" t="s">
        <v>87</v>
      </c>
    </row>
    <row r="3" spans="1:1" s="41" customFormat="1" ht="11.25">
      <c r="A3" s="40"/>
    </row>
    <row r="4" spans="1:1">
      <c r="A4" s="51"/>
    </row>
    <row r="5" spans="1:1">
      <c r="A5" s="43" t="s">
        <v>178</v>
      </c>
    </row>
    <row r="6" spans="1:1">
      <c r="A6" s="161" t="s">
        <v>188</v>
      </c>
    </row>
    <row r="7" spans="1:1">
      <c r="A7" s="51"/>
    </row>
    <row r="8" spans="1:1">
      <c r="A8" s="43" t="s">
        <v>183</v>
      </c>
    </row>
    <row r="9" spans="1:1">
      <c r="A9" s="161" t="s">
        <v>192</v>
      </c>
    </row>
    <row r="10" spans="1:1">
      <c r="A10" s="51"/>
    </row>
    <row r="11" spans="1:1">
      <c r="A11" s="43" t="s">
        <v>179</v>
      </c>
    </row>
    <row r="12" spans="1:1">
      <c r="A12" s="161" t="s">
        <v>225</v>
      </c>
    </row>
    <row r="13" spans="1:1">
      <c r="A13" s="51"/>
    </row>
    <row r="14" spans="1:1">
      <c r="A14" s="43" t="s">
        <v>180</v>
      </c>
    </row>
    <row r="15" spans="1:1">
      <c r="A15" s="161" t="s">
        <v>217</v>
      </c>
    </row>
    <row r="16" spans="1:1">
      <c r="A16" s="161" t="s">
        <v>223</v>
      </c>
    </row>
    <row r="17" spans="1:1">
      <c r="A17" s="51"/>
    </row>
    <row r="18" spans="1:1">
      <c r="A18" s="51"/>
    </row>
    <row r="19" spans="1:1">
      <c r="A19" s="14" t="s">
        <v>181</v>
      </c>
    </row>
    <row r="20" spans="1:1">
      <c r="A20" s="14"/>
    </row>
    <row r="22" spans="1:1">
      <c r="A22" s="160" t="s">
        <v>226</v>
      </c>
    </row>
    <row r="23" spans="1:1">
      <c r="A23" s="4" t="s">
        <v>177</v>
      </c>
    </row>
  </sheetData>
  <hyperlinks>
    <hyperlink ref="A6" location="'tab32'!A1" display="Table 32—Edible fats and oils: U.S. Supply and disappearance, 2005/06–2020/21" xr:uid="{E6437FFC-19A5-4656-8150-7680CAE09601}"/>
    <hyperlink ref="A9" location="'tab33'!A1" display="Table 33—Corn oil: Supply, disappearance, and price, U.S., 1980/81–2020/21" xr:uid="{83767EE9-8BE0-4CB3-B329-D71B52CE086D}"/>
    <hyperlink ref="A12" location="'tab34(1)'!A1" display="Table 34—Prices: Farm, wholesale, and index numbers of wholesale prices, by month, 2013–2021" xr:uid="{D1C7D9DF-54E8-4F6E-8250-97B14C36A048}"/>
    <hyperlink ref="A15" location="'tab35'!A1" display="Table 35—Lard: Supply, disappearance, and price, U.S., 1980–2020" xr:uid="{CB39AE52-8996-47A3-8F48-C71244F77DAD}"/>
    <hyperlink ref="A16" location="'tab36'!A1" display="Table 36—Edible tallow: Supply, disappearance, and price, U.S., 1980–2020" xr:uid="{07A04B0F-5CD3-4F32-97DC-B2664B90C526}"/>
  </hyperlinks>
  <pageMargins left="0.75" right="0.75" top="1" bottom="1" header="0.5" footer="0.5"/>
  <pageSetup scale="57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E3AF-52F3-499B-B75B-F9D683EB0D48}">
  <sheetPr>
    <pageSetUpPr fitToPage="1"/>
  </sheetPr>
  <dimension ref="A1:AO54"/>
  <sheetViews>
    <sheetView zoomScaleNormal="100" zoomScaleSheetLayoutView="100" workbookViewId="0">
      <pane xSplit="2" ySplit="3" topLeftCell="C4" activePane="bottomRight" state="frozen"/>
      <selection activeCell="H3" sqref="H3:I3"/>
      <selection pane="topRight" activeCell="H3" sqref="H3:I3"/>
      <selection pane="bottomLeft" activeCell="H3" sqref="H3:I3"/>
      <selection pane="bottomRight" activeCell="H3" sqref="H3:I3"/>
    </sheetView>
  </sheetViews>
  <sheetFormatPr defaultColWidth="9.33203125" defaultRowHeight="11.25"/>
  <cols>
    <col min="1" max="1" width="52.5" style="29" customWidth="1"/>
    <col min="2" max="2" width="19.5" style="29" bestFit="1" customWidth="1"/>
    <col min="3" max="14" width="9.6640625" style="29" customWidth="1"/>
    <col min="15" max="40" width="9.33203125" style="29"/>
    <col min="41" max="41" width="9.33203125" style="135"/>
    <col min="42" max="16384" width="9.33203125" style="29"/>
  </cols>
  <sheetData>
    <row r="1" spans="1:41">
      <c r="A1" s="120" t="s">
        <v>201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41">
      <c r="A2"/>
      <c r="B2"/>
      <c r="C2" s="47"/>
      <c r="D2" s="47"/>
      <c r="E2" s="47"/>
      <c r="F2" s="47"/>
      <c r="G2" s="47"/>
      <c r="H2" s="85">
        <v>2020</v>
      </c>
      <c r="I2" s="47"/>
      <c r="J2" s="47"/>
      <c r="K2" s="47"/>
      <c r="L2" s="47"/>
      <c r="M2" s="47"/>
      <c r="N2" s="58"/>
      <c r="P2" s="47"/>
      <c r="Q2" s="47"/>
      <c r="R2" s="47"/>
      <c r="S2" s="47"/>
      <c r="T2" s="47"/>
      <c r="U2" s="85"/>
      <c r="V2" s="47"/>
      <c r="W2" s="47"/>
      <c r="X2" s="47"/>
      <c r="Y2" s="47"/>
      <c r="Z2" s="47"/>
      <c r="AA2" s="58"/>
      <c r="AC2" s="47"/>
      <c r="AD2" s="47"/>
      <c r="AE2" s="47"/>
      <c r="AF2" s="47"/>
      <c r="AG2" s="47"/>
      <c r="AH2" s="85"/>
      <c r="AI2" s="47"/>
      <c r="AJ2" s="47"/>
      <c r="AK2" s="47"/>
      <c r="AL2" s="47"/>
      <c r="AM2" s="47"/>
      <c r="AN2" s="58"/>
    </row>
    <row r="3" spans="1:41">
      <c r="A3" s="1" t="s">
        <v>126</v>
      </c>
      <c r="B3" s="46" t="s">
        <v>56</v>
      </c>
      <c r="C3" s="47" t="s">
        <v>34</v>
      </c>
      <c r="D3" s="47" t="s">
        <v>35</v>
      </c>
      <c r="E3" s="47" t="s">
        <v>36</v>
      </c>
      <c r="F3" s="47" t="s">
        <v>37</v>
      </c>
      <c r="G3" s="47" t="s">
        <v>30</v>
      </c>
      <c r="H3" s="47" t="s">
        <v>228</v>
      </c>
      <c r="I3" s="47" t="s">
        <v>229</v>
      </c>
      <c r="J3" s="47" t="s">
        <v>38</v>
      </c>
      <c r="K3" s="47" t="s">
        <v>39</v>
      </c>
      <c r="L3" s="47" t="s">
        <v>31</v>
      </c>
      <c r="M3" s="47" t="s">
        <v>32</v>
      </c>
      <c r="N3" s="47" t="s">
        <v>33</v>
      </c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</row>
    <row r="4" spans="1:41">
      <c r="A4" s="83" t="s">
        <v>52</v>
      </c>
      <c r="B4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1:41">
      <c r="A5" s="83" t="s">
        <v>227</v>
      </c>
      <c r="B5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1">
      <c r="A6" t="s">
        <v>15</v>
      </c>
      <c r="B6" t="s">
        <v>99</v>
      </c>
      <c r="C6" s="76">
        <v>16.100000000000001</v>
      </c>
      <c r="D6" s="76">
        <v>16.100000000000001</v>
      </c>
      <c r="E6" s="76">
        <v>15.7</v>
      </c>
      <c r="F6" s="76">
        <v>15.2</v>
      </c>
      <c r="G6" s="76">
        <v>14.4</v>
      </c>
      <c r="H6" s="76">
        <v>15.2</v>
      </c>
      <c r="I6" s="76">
        <v>15.6</v>
      </c>
      <c r="J6" s="76">
        <v>15.1</v>
      </c>
      <c r="K6" s="76">
        <v>16.399999999999999</v>
      </c>
      <c r="L6" s="76">
        <v>16.3</v>
      </c>
      <c r="M6" s="76">
        <v>18.100000000000001</v>
      </c>
      <c r="N6" s="76">
        <v>17.2</v>
      </c>
      <c r="P6"/>
      <c r="Q6"/>
      <c r="R6"/>
      <c r="S6"/>
      <c r="T6"/>
      <c r="U6"/>
      <c r="V6"/>
      <c r="W6"/>
      <c r="X6"/>
      <c r="Y6"/>
      <c r="Z6"/>
      <c r="AA6"/>
      <c r="AB6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37"/>
    </row>
    <row r="7" spans="1:41">
      <c r="A7" t="s">
        <v>14</v>
      </c>
      <c r="B7" t="s">
        <v>98</v>
      </c>
      <c r="C7" s="76">
        <v>161</v>
      </c>
      <c r="D7" s="76">
        <v>190</v>
      </c>
      <c r="E7" s="75" t="s">
        <v>72</v>
      </c>
      <c r="F7" s="75" t="s">
        <v>72</v>
      </c>
      <c r="G7" s="75" t="s">
        <v>72</v>
      </c>
      <c r="H7" s="75" t="s">
        <v>72</v>
      </c>
      <c r="I7" s="75" t="s">
        <v>72</v>
      </c>
      <c r="J7" s="76">
        <v>155</v>
      </c>
      <c r="K7" s="76">
        <v>164</v>
      </c>
      <c r="L7" s="76">
        <v>189</v>
      </c>
      <c r="M7" s="76">
        <v>199</v>
      </c>
      <c r="N7" s="76">
        <v>195</v>
      </c>
      <c r="P7"/>
      <c r="Q7"/>
      <c r="R7"/>
      <c r="S7"/>
      <c r="T7"/>
      <c r="U7"/>
      <c r="V7"/>
      <c r="W7"/>
      <c r="X7"/>
      <c r="Y7"/>
      <c r="Z7"/>
      <c r="AA7"/>
      <c r="AB7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38"/>
    </row>
    <row r="8" spans="1:41">
      <c r="A8" t="s">
        <v>127</v>
      </c>
      <c r="B8" t="s">
        <v>97</v>
      </c>
      <c r="C8" s="76">
        <v>8.9700000000000006</v>
      </c>
      <c r="D8" s="76">
        <v>10.4</v>
      </c>
      <c r="E8" s="76">
        <v>10.7</v>
      </c>
      <c r="F8" s="76">
        <v>9.31</v>
      </c>
      <c r="G8" s="76">
        <v>9.57</v>
      </c>
      <c r="H8" s="76">
        <v>10</v>
      </c>
      <c r="I8" s="76">
        <v>9.64</v>
      </c>
      <c r="J8" s="76">
        <v>8.56</v>
      </c>
      <c r="K8" s="76">
        <v>9.64</v>
      </c>
      <c r="L8" s="76">
        <v>9.76</v>
      </c>
      <c r="M8" s="76">
        <v>10.7</v>
      </c>
      <c r="N8" s="76">
        <v>10.9</v>
      </c>
      <c r="P8"/>
      <c r="Q8"/>
      <c r="R8"/>
      <c r="S8"/>
      <c r="T8"/>
      <c r="U8"/>
      <c r="V8"/>
      <c r="W8"/>
      <c r="X8"/>
      <c r="Y8"/>
      <c r="Z8"/>
      <c r="AA8"/>
      <c r="AB8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38"/>
    </row>
    <row r="9" spans="1:41">
      <c r="A9" t="s">
        <v>62</v>
      </c>
      <c r="B9" t="s">
        <v>82</v>
      </c>
      <c r="C9" s="76">
        <v>20.9</v>
      </c>
      <c r="D9" s="76">
        <v>20.5</v>
      </c>
      <c r="E9" s="76">
        <v>20.6</v>
      </c>
      <c r="F9" s="76">
        <v>20.6</v>
      </c>
      <c r="G9" s="93">
        <v>21.1</v>
      </c>
      <c r="H9" s="76">
        <v>20.7</v>
      </c>
      <c r="I9" s="76">
        <v>20.7</v>
      </c>
      <c r="J9" s="76">
        <v>20.6</v>
      </c>
      <c r="K9" s="76">
        <v>20.5</v>
      </c>
      <c r="L9" s="76">
        <v>20.9</v>
      </c>
      <c r="M9" s="76">
        <v>21.2</v>
      </c>
      <c r="N9" s="76">
        <v>20.399999999999999</v>
      </c>
      <c r="P9"/>
      <c r="Q9"/>
      <c r="R9"/>
      <c r="S9"/>
      <c r="T9"/>
      <c r="U9"/>
      <c r="V9"/>
      <c r="W9"/>
      <c r="X9"/>
      <c r="Y9"/>
      <c r="Z9"/>
      <c r="AA9"/>
      <c r="AB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38"/>
    </row>
    <row r="10" spans="1:41">
      <c r="A10" t="s">
        <v>61</v>
      </c>
      <c r="B10" t="s">
        <v>97</v>
      </c>
      <c r="C10" s="76">
        <v>8.84</v>
      </c>
      <c r="D10" s="76">
        <v>8.6</v>
      </c>
      <c r="E10" s="76">
        <v>8.4700000000000006</v>
      </c>
      <c r="F10" s="76">
        <v>8.35</v>
      </c>
      <c r="G10" s="76">
        <v>8.2799999999999994</v>
      </c>
      <c r="H10" s="76">
        <v>8.34</v>
      </c>
      <c r="I10" s="76">
        <v>8.5</v>
      </c>
      <c r="J10" s="76">
        <v>8.66</v>
      </c>
      <c r="K10" s="76">
        <v>9.24</v>
      </c>
      <c r="L10" s="76">
        <v>9.6300000000000008</v>
      </c>
      <c r="M10" s="76">
        <v>10.3</v>
      </c>
      <c r="N10" s="76">
        <v>10.6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38"/>
    </row>
    <row r="11" spans="1:41">
      <c r="A11" t="s">
        <v>128</v>
      </c>
      <c r="B11" t="s">
        <v>99</v>
      </c>
      <c r="C11" s="76">
        <v>19.5</v>
      </c>
      <c r="D11" s="76">
        <v>20.399999999999999</v>
      </c>
      <c r="E11" s="76">
        <v>20.9</v>
      </c>
      <c r="F11" s="76">
        <v>20.3</v>
      </c>
      <c r="G11" s="76">
        <v>20.5</v>
      </c>
      <c r="H11" s="76">
        <v>21.7</v>
      </c>
      <c r="I11" s="76">
        <v>23.7</v>
      </c>
      <c r="J11" s="76">
        <v>25.8</v>
      </c>
      <c r="K11" s="76">
        <v>23.7</v>
      </c>
      <c r="L11" s="76">
        <v>19.100000000000001</v>
      </c>
      <c r="M11" s="76">
        <v>18.899999999999999</v>
      </c>
      <c r="N11" s="76">
        <v>19.2</v>
      </c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38"/>
    </row>
    <row r="12" spans="1:41">
      <c r="A12" t="s">
        <v>173</v>
      </c>
      <c r="B12" t="s">
        <v>99</v>
      </c>
      <c r="C12" s="91">
        <v>19.5</v>
      </c>
      <c r="D12" s="91">
        <v>20.100000000000001</v>
      </c>
      <c r="E12" s="91">
        <v>20.399999999999999</v>
      </c>
      <c r="F12" s="91">
        <v>19.899999999999999</v>
      </c>
      <c r="G12" s="91">
        <v>19.8</v>
      </c>
      <c r="H12" s="91">
        <v>21.4</v>
      </c>
      <c r="I12" s="91">
        <v>23.6</v>
      </c>
      <c r="J12" s="91">
        <v>25.8</v>
      </c>
      <c r="K12" s="91">
        <v>23.8</v>
      </c>
      <c r="L12" s="91">
        <v>18.100000000000001</v>
      </c>
      <c r="M12" s="91">
        <v>17.8</v>
      </c>
      <c r="N12" s="91">
        <v>18.2</v>
      </c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38"/>
    </row>
    <row r="13" spans="1:41">
      <c r="A13" t="s">
        <v>129</v>
      </c>
      <c r="B13" t="s">
        <v>99</v>
      </c>
      <c r="C13" s="91">
        <v>19.7</v>
      </c>
      <c r="D13" s="91">
        <v>21.8</v>
      </c>
      <c r="E13" s="91">
        <v>24.8</v>
      </c>
      <c r="F13" s="91">
        <v>22.4</v>
      </c>
      <c r="G13" s="91">
        <v>23</v>
      </c>
      <c r="H13" s="91">
        <v>24.6</v>
      </c>
      <c r="I13" s="91">
        <v>24</v>
      </c>
      <c r="J13" s="91">
        <v>25.6</v>
      </c>
      <c r="K13" s="91">
        <v>23.2</v>
      </c>
      <c r="L13" s="91">
        <v>25.3</v>
      </c>
      <c r="M13" s="91">
        <v>26.3</v>
      </c>
      <c r="N13" s="91">
        <v>26.2</v>
      </c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38"/>
    </row>
    <row r="14" spans="1:41">
      <c r="A14" s="83" t="s">
        <v>130</v>
      </c>
      <c r="B14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</row>
    <row r="15" spans="1:41">
      <c r="A15" t="s">
        <v>131</v>
      </c>
      <c r="B15" t="s">
        <v>99</v>
      </c>
      <c r="C15" s="91">
        <v>15.57</v>
      </c>
      <c r="D15" s="76">
        <v>14.66</v>
      </c>
      <c r="E15" s="76">
        <v>14.18</v>
      </c>
      <c r="F15" s="76">
        <v>14.32</v>
      </c>
      <c r="G15" s="76">
        <v>14.72</v>
      </c>
      <c r="H15" s="76">
        <v>15.04</v>
      </c>
      <c r="I15" s="61">
        <v>15.22</v>
      </c>
      <c r="J15" s="76">
        <v>15.23</v>
      </c>
      <c r="K15" s="76">
        <v>16.170000000000002</v>
      </c>
      <c r="L15" s="76">
        <v>17.5</v>
      </c>
      <c r="M15" s="76">
        <v>18.690000000000001</v>
      </c>
      <c r="N15" s="76">
        <v>19.7</v>
      </c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38"/>
    </row>
    <row r="16" spans="1:41">
      <c r="A16" t="s">
        <v>132</v>
      </c>
      <c r="B16" t="s">
        <v>98</v>
      </c>
      <c r="C16" s="76">
        <v>210</v>
      </c>
      <c r="D16" s="76">
        <v>215</v>
      </c>
      <c r="E16" s="76">
        <v>215</v>
      </c>
      <c r="F16" s="76">
        <v>215</v>
      </c>
      <c r="G16" s="61">
        <v>197.5</v>
      </c>
      <c r="H16" s="76">
        <v>208.75</v>
      </c>
      <c r="I16" s="76">
        <v>214.75</v>
      </c>
      <c r="J16" s="76">
        <v>208.33</v>
      </c>
      <c r="K16" s="76">
        <v>210</v>
      </c>
      <c r="L16" s="76">
        <v>225</v>
      </c>
      <c r="M16" s="75">
        <v>256.25</v>
      </c>
      <c r="N16" s="76">
        <v>260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38"/>
    </row>
    <row r="17" spans="1:41">
      <c r="A17" t="s">
        <v>133</v>
      </c>
      <c r="B17" t="s">
        <v>97</v>
      </c>
      <c r="C17" s="76">
        <v>9.65</v>
      </c>
      <c r="D17" s="76">
        <v>9.73</v>
      </c>
      <c r="E17" s="76">
        <v>10.4</v>
      </c>
      <c r="F17" s="76">
        <v>10.56</v>
      </c>
      <c r="G17" s="76">
        <v>11.22</v>
      </c>
      <c r="H17" s="76">
        <v>11.4</v>
      </c>
      <c r="I17" s="76">
        <v>11.25</v>
      </c>
      <c r="J17" s="76">
        <v>11.25</v>
      </c>
      <c r="K17" s="76">
        <v>11.29</v>
      </c>
      <c r="L17" s="76">
        <v>11.83</v>
      </c>
      <c r="M17" s="76">
        <v>12.63</v>
      </c>
      <c r="N17" s="76">
        <v>14.9</v>
      </c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38"/>
    </row>
    <row r="18" spans="1:41">
      <c r="A18" t="s">
        <v>134</v>
      </c>
      <c r="B18" t="s">
        <v>97</v>
      </c>
      <c r="C18" s="76">
        <v>9.0299999999999994</v>
      </c>
      <c r="D18" s="76">
        <v>8.73</v>
      </c>
      <c r="E18" s="76">
        <v>8.59</v>
      </c>
      <c r="F18" s="61">
        <v>8.35</v>
      </c>
      <c r="G18" s="76">
        <v>8.2899999999999991</v>
      </c>
      <c r="H18" s="76">
        <v>8.5299999999999994</v>
      </c>
      <c r="I18" s="93">
        <v>8.76</v>
      </c>
      <c r="J18" s="93">
        <v>8.8800000000000008</v>
      </c>
      <c r="K18" s="93">
        <v>9.7100000000000009</v>
      </c>
      <c r="L18" s="93">
        <v>10.36</v>
      </c>
      <c r="M18" s="93">
        <v>11.24</v>
      </c>
      <c r="N18" s="93">
        <v>11.95</v>
      </c>
      <c r="AC18" s="19"/>
      <c r="AD18" s="19"/>
      <c r="AE18" s="19"/>
      <c r="AF18" s="19"/>
      <c r="AG18" s="19"/>
      <c r="AH18" s="19"/>
      <c r="AI18" s="131"/>
      <c r="AJ18" s="131"/>
      <c r="AK18" s="131"/>
      <c r="AL18" s="131"/>
      <c r="AM18" s="131"/>
      <c r="AN18" s="131"/>
      <c r="AO18" s="138"/>
    </row>
    <row r="19" spans="1:41">
      <c r="A19" t="s">
        <v>135</v>
      </c>
      <c r="B19" t="s">
        <v>97</v>
      </c>
      <c r="C19" s="76">
        <v>9.74</v>
      </c>
      <c r="D19" s="76">
        <v>9.4</v>
      </c>
      <c r="E19" s="61">
        <v>9.24</v>
      </c>
      <c r="F19" s="76">
        <v>8.98</v>
      </c>
      <c r="G19" s="76">
        <v>8.9600000000000009</v>
      </c>
      <c r="H19" s="76">
        <v>9.26</v>
      </c>
      <c r="I19" s="76">
        <v>9.6</v>
      </c>
      <c r="J19" s="76">
        <v>10.02</v>
      </c>
      <c r="K19" s="76">
        <v>10.68</v>
      </c>
      <c r="L19" s="76">
        <v>11.36</v>
      </c>
      <c r="M19" s="76">
        <v>12.12</v>
      </c>
      <c r="N19" s="76">
        <v>12.76</v>
      </c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38"/>
    </row>
    <row r="20" spans="1:41">
      <c r="A20" t="s">
        <v>136</v>
      </c>
      <c r="B20" t="s">
        <v>99</v>
      </c>
      <c r="C20" s="76">
        <v>19.739999999999998</v>
      </c>
      <c r="D20" s="76">
        <v>19.760000000000002</v>
      </c>
      <c r="E20" s="61">
        <v>20.29</v>
      </c>
      <c r="F20" s="76">
        <v>19.97</v>
      </c>
      <c r="G20" s="76">
        <v>19.28</v>
      </c>
      <c r="H20" s="76">
        <v>19.37</v>
      </c>
      <c r="I20" s="76">
        <v>19.600000000000001</v>
      </c>
      <c r="J20" s="76">
        <v>16.760000000000002</v>
      </c>
      <c r="K20" s="76">
        <v>16.7</v>
      </c>
      <c r="L20" s="76">
        <v>17.34</v>
      </c>
      <c r="M20" s="76">
        <v>18.28</v>
      </c>
      <c r="N20" s="76">
        <v>18.809999999999999</v>
      </c>
      <c r="W20" s="76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38"/>
    </row>
    <row r="21" spans="1:41">
      <c r="A21" s="83" t="s">
        <v>53</v>
      </c>
      <c r="B21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</row>
    <row r="22" spans="1:41">
      <c r="A22" s="83" t="s">
        <v>137</v>
      </c>
      <c r="B22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</row>
    <row r="23" spans="1:41">
      <c r="A23" t="s">
        <v>138</v>
      </c>
      <c r="B23" t="s">
        <v>82</v>
      </c>
      <c r="C23" s="76">
        <v>37.9</v>
      </c>
      <c r="D23" s="76">
        <v>35.5</v>
      </c>
      <c r="E23" s="76">
        <v>32.875</v>
      </c>
      <c r="F23" s="76">
        <v>32.375</v>
      </c>
      <c r="G23" s="76">
        <v>32.4</v>
      </c>
      <c r="H23" s="76">
        <v>36.625</v>
      </c>
      <c r="I23" s="76">
        <v>40.5</v>
      </c>
      <c r="J23" s="76">
        <v>47.8125</v>
      </c>
      <c r="K23" s="76">
        <v>47.9375</v>
      </c>
      <c r="L23" s="76">
        <v>44.35</v>
      </c>
      <c r="M23" s="76">
        <v>49.5</v>
      </c>
      <c r="N23" s="76">
        <v>51.65</v>
      </c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38"/>
    </row>
    <row r="24" spans="1:41">
      <c r="A24" t="s">
        <v>155</v>
      </c>
      <c r="B24" t="s">
        <v>82</v>
      </c>
      <c r="C24" s="76">
        <v>48</v>
      </c>
      <c r="D24" s="76">
        <v>45.5</v>
      </c>
      <c r="E24" s="76">
        <v>40.5</v>
      </c>
      <c r="F24" s="76">
        <v>41</v>
      </c>
      <c r="G24" s="76">
        <v>40.200000000000003</v>
      </c>
      <c r="H24" s="76">
        <v>40</v>
      </c>
      <c r="I24" s="76">
        <v>43</v>
      </c>
      <c r="J24" s="76">
        <v>45.25</v>
      </c>
      <c r="K24" s="76">
        <v>49</v>
      </c>
      <c r="L24" s="76">
        <v>51.2</v>
      </c>
      <c r="M24" s="76">
        <v>56</v>
      </c>
      <c r="N24" s="91">
        <v>71.2</v>
      </c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38"/>
    </row>
    <row r="25" spans="1:41">
      <c r="A25" t="s">
        <v>139</v>
      </c>
      <c r="B25" t="s">
        <v>82</v>
      </c>
      <c r="C25" s="93">
        <v>33.299999999999997</v>
      </c>
      <c r="D25" s="93">
        <v>36</v>
      </c>
      <c r="E25" s="93">
        <v>36.94</v>
      </c>
      <c r="F25" s="93">
        <v>44.875</v>
      </c>
      <c r="G25" s="93">
        <v>47.64</v>
      </c>
      <c r="H25" s="93">
        <v>51.335000000000001</v>
      </c>
      <c r="I25" s="93">
        <v>45.45</v>
      </c>
      <c r="J25" s="93">
        <v>45.314999999999998</v>
      </c>
      <c r="K25" s="93">
        <v>43.37</v>
      </c>
      <c r="L25" s="94">
        <v>43.150000000000006</v>
      </c>
      <c r="M25" s="94">
        <v>42.655000000000001</v>
      </c>
      <c r="N25" s="94">
        <v>41.95</v>
      </c>
      <c r="P25" s="134"/>
    </row>
    <row r="26" spans="1:41">
      <c r="A26" t="s">
        <v>156</v>
      </c>
      <c r="B26" t="s">
        <v>82</v>
      </c>
      <c r="C26" s="76">
        <v>25.54</v>
      </c>
      <c r="D26" s="76">
        <v>27.7</v>
      </c>
      <c r="E26" s="76">
        <v>28.28</v>
      </c>
      <c r="F26" s="76">
        <v>30.66</v>
      </c>
      <c r="G26" s="76">
        <v>28.3</v>
      </c>
      <c r="H26" s="76">
        <v>24.98</v>
      </c>
      <c r="I26" s="76">
        <v>23.41</v>
      </c>
      <c r="J26" s="76">
        <v>24.92</v>
      </c>
      <c r="K26" s="76">
        <v>28.38</v>
      </c>
      <c r="L26" s="76">
        <v>30.35</v>
      </c>
      <c r="M26" s="76">
        <v>32.89</v>
      </c>
      <c r="N26" s="76">
        <v>36.01</v>
      </c>
    </row>
    <row r="27" spans="1:41">
      <c r="A27" t="s">
        <v>140</v>
      </c>
      <c r="B27" t="s">
        <v>82</v>
      </c>
      <c r="C27" s="76">
        <v>40.1</v>
      </c>
      <c r="D27" s="76">
        <v>38.5</v>
      </c>
      <c r="E27" s="76">
        <v>36.1875</v>
      </c>
      <c r="F27" s="76">
        <v>37.3125</v>
      </c>
      <c r="G27" s="76">
        <v>37.200000000000003</v>
      </c>
      <c r="H27" s="76">
        <v>36.75</v>
      </c>
      <c r="I27" s="76">
        <v>43</v>
      </c>
      <c r="J27" s="76">
        <v>46.8125</v>
      </c>
      <c r="K27" s="76">
        <v>49.6875</v>
      </c>
      <c r="L27" s="76">
        <v>48.35</v>
      </c>
      <c r="M27" s="76">
        <v>54.4375</v>
      </c>
      <c r="N27" s="76">
        <v>59.2</v>
      </c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38"/>
    </row>
    <row r="28" spans="1:41">
      <c r="A28" t="s">
        <v>141</v>
      </c>
      <c r="B28" t="s">
        <v>82</v>
      </c>
      <c r="C28" s="75" t="s">
        <v>72</v>
      </c>
      <c r="D28" s="75" t="s">
        <v>72</v>
      </c>
      <c r="E28" s="75" t="s">
        <v>72</v>
      </c>
      <c r="F28" s="76">
        <v>32</v>
      </c>
      <c r="G28" s="76">
        <v>35.5</v>
      </c>
      <c r="H28" s="76">
        <v>37</v>
      </c>
      <c r="I28" s="75" t="s">
        <v>72</v>
      </c>
      <c r="J28" s="75">
        <v>39</v>
      </c>
      <c r="K28" s="75" t="s">
        <v>72</v>
      </c>
      <c r="L28" s="75" t="s">
        <v>72</v>
      </c>
      <c r="M28" s="76">
        <v>41</v>
      </c>
      <c r="N28" s="76" t="s">
        <v>72</v>
      </c>
      <c r="AC28" s="139"/>
      <c r="AD28" s="139"/>
      <c r="AE28" s="139"/>
      <c r="AF28" s="19"/>
      <c r="AG28" s="19"/>
      <c r="AH28" s="19"/>
      <c r="AI28" s="139"/>
      <c r="AJ28" s="19"/>
      <c r="AK28" s="139"/>
      <c r="AL28" s="139"/>
      <c r="AM28" s="19"/>
      <c r="AN28" s="139"/>
      <c r="AO28" s="138"/>
    </row>
    <row r="29" spans="1:41">
      <c r="A29" t="s">
        <v>157</v>
      </c>
      <c r="B29" t="s">
        <v>82</v>
      </c>
      <c r="C29" s="76">
        <v>39.4</v>
      </c>
      <c r="D29" s="76">
        <v>35.31</v>
      </c>
      <c r="E29" s="76">
        <v>31.38</v>
      </c>
      <c r="F29" s="76">
        <v>30.81</v>
      </c>
      <c r="G29" s="76">
        <v>29.2</v>
      </c>
      <c r="H29" s="76">
        <v>32.380000000000003</v>
      </c>
      <c r="I29" s="76">
        <v>34</v>
      </c>
      <c r="J29" s="76">
        <v>37</v>
      </c>
      <c r="K29" s="76">
        <v>38.56</v>
      </c>
      <c r="L29" s="76">
        <v>39.35</v>
      </c>
      <c r="M29" s="76">
        <v>44.44</v>
      </c>
      <c r="N29" s="76">
        <v>47.45</v>
      </c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38"/>
    </row>
    <row r="30" spans="1:41">
      <c r="A30" t="s">
        <v>158</v>
      </c>
      <c r="B30" t="s">
        <v>82</v>
      </c>
      <c r="C30" s="76">
        <v>67.900000000000006</v>
      </c>
      <c r="D30" s="76">
        <v>64.88</v>
      </c>
      <c r="E30" s="76">
        <v>60.38</v>
      </c>
      <c r="F30" s="76">
        <v>60.75</v>
      </c>
      <c r="G30" s="76">
        <v>59</v>
      </c>
      <c r="H30" s="76">
        <v>61.88</v>
      </c>
      <c r="I30" s="76">
        <v>64.099999999999994</v>
      </c>
      <c r="J30" s="76">
        <v>67</v>
      </c>
      <c r="K30" s="76">
        <v>68.5</v>
      </c>
      <c r="L30" s="76">
        <v>69.3</v>
      </c>
      <c r="M30" s="76">
        <v>74.81</v>
      </c>
      <c r="N30" s="76">
        <v>77.400000000000006</v>
      </c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38"/>
    </row>
    <row r="31" spans="1:41">
      <c r="A31" t="s">
        <v>159</v>
      </c>
      <c r="B31" t="s">
        <v>82</v>
      </c>
      <c r="C31" s="76">
        <v>59</v>
      </c>
      <c r="D31" s="76">
        <v>59</v>
      </c>
      <c r="E31" s="76">
        <v>59.75</v>
      </c>
      <c r="F31" s="76">
        <v>59.5</v>
      </c>
      <c r="G31" s="76">
        <v>62.1</v>
      </c>
      <c r="H31" s="76">
        <v>84.75</v>
      </c>
      <c r="I31" s="76">
        <v>85</v>
      </c>
      <c r="J31" s="76">
        <v>90</v>
      </c>
      <c r="K31" s="76">
        <v>90</v>
      </c>
      <c r="L31" s="76">
        <v>93</v>
      </c>
      <c r="M31" s="76">
        <v>98.75</v>
      </c>
      <c r="N31" s="76">
        <v>100</v>
      </c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38"/>
    </row>
    <row r="32" spans="1:41">
      <c r="A32" t="s">
        <v>160</v>
      </c>
      <c r="B32" t="s">
        <v>82</v>
      </c>
      <c r="C32" s="76">
        <v>33.04</v>
      </c>
      <c r="D32" s="76">
        <v>30.26</v>
      </c>
      <c r="E32" s="76">
        <v>27.04</v>
      </c>
      <c r="F32" s="76">
        <v>25.69</v>
      </c>
      <c r="G32" s="76">
        <v>25.27</v>
      </c>
      <c r="H32" s="76">
        <v>26.61</v>
      </c>
      <c r="I32" s="76">
        <v>28.71</v>
      </c>
      <c r="J32" s="76">
        <v>32.130000000000003</v>
      </c>
      <c r="K32" s="76">
        <v>34.200000000000003</v>
      </c>
      <c r="L32" s="76">
        <v>33.909999999999997</v>
      </c>
      <c r="M32" s="76">
        <v>37.79</v>
      </c>
      <c r="N32" s="76">
        <v>40.85</v>
      </c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38"/>
    </row>
    <row r="33" spans="1:41">
      <c r="A33" t="s">
        <v>142</v>
      </c>
      <c r="B33" t="s">
        <v>82</v>
      </c>
      <c r="C33" s="76">
        <v>70</v>
      </c>
      <c r="D33" s="76">
        <v>70</v>
      </c>
      <c r="E33" s="76">
        <v>76</v>
      </c>
      <c r="F33" s="76">
        <v>76</v>
      </c>
      <c r="G33" s="76">
        <v>74</v>
      </c>
      <c r="H33" s="76">
        <v>56</v>
      </c>
      <c r="I33" s="76">
        <v>56.4</v>
      </c>
      <c r="J33" s="76">
        <v>57</v>
      </c>
      <c r="K33" s="76">
        <v>57</v>
      </c>
      <c r="L33" s="76">
        <v>57</v>
      </c>
      <c r="M33" s="76" t="s">
        <v>72</v>
      </c>
      <c r="N33" s="76" t="s">
        <v>72</v>
      </c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38"/>
    </row>
    <row r="34" spans="1:41">
      <c r="A34" t="s">
        <v>143</v>
      </c>
      <c r="B34" t="s">
        <v>82</v>
      </c>
      <c r="C34" s="76">
        <v>36.392499999999998</v>
      </c>
      <c r="D34" s="76">
        <v>38.53</v>
      </c>
      <c r="E34" s="76">
        <v>35.5</v>
      </c>
      <c r="F34" s="76">
        <v>37.596666666666664</v>
      </c>
      <c r="G34" s="76">
        <v>43.980000000000004</v>
      </c>
      <c r="H34" s="76">
        <v>43.057500000000005</v>
      </c>
      <c r="I34" s="76">
        <v>39.333333333333336</v>
      </c>
      <c r="J34" s="76">
        <v>38.75</v>
      </c>
      <c r="K34" s="76">
        <v>37</v>
      </c>
      <c r="L34" s="76">
        <v>34.5</v>
      </c>
      <c r="M34" s="76">
        <v>34</v>
      </c>
      <c r="N34" s="76">
        <v>36.25</v>
      </c>
      <c r="O34" s="30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38"/>
    </row>
    <row r="35" spans="1:41">
      <c r="A35" s="22" t="s">
        <v>144</v>
      </c>
      <c r="B35" t="s">
        <v>82</v>
      </c>
      <c r="C35" s="76">
        <v>20.5</v>
      </c>
      <c r="D35" s="76">
        <v>22.5</v>
      </c>
      <c r="E35" s="76">
        <v>21.25</v>
      </c>
      <c r="F35" s="76">
        <v>20.25</v>
      </c>
      <c r="G35" s="76">
        <v>19.25</v>
      </c>
      <c r="H35" s="76">
        <v>16.899999999999999</v>
      </c>
      <c r="I35" s="76">
        <v>15.5</v>
      </c>
      <c r="J35" s="76">
        <v>16.5</v>
      </c>
      <c r="K35" s="76">
        <v>20.100000000000001</v>
      </c>
      <c r="L35" s="76">
        <v>22.75</v>
      </c>
      <c r="M35" s="76">
        <v>22.5</v>
      </c>
      <c r="N35" s="76">
        <v>24.5</v>
      </c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38"/>
    </row>
    <row r="36" spans="1:41">
      <c r="A36" s="22" t="s">
        <v>77</v>
      </c>
      <c r="B36" s="22" t="s">
        <v>100</v>
      </c>
      <c r="C36" s="76">
        <v>3.16</v>
      </c>
      <c r="D36" s="76">
        <v>3.1</v>
      </c>
      <c r="E36" s="76">
        <v>3.01</v>
      </c>
      <c r="F36" s="76">
        <v>2.74</v>
      </c>
      <c r="G36" s="76">
        <v>2.57</v>
      </c>
      <c r="H36" s="76">
        <v>2.71</v>
      </c>
      <c r="I36" s="76">
        <v>2.83</v>
      </c>
      <c r="J36" s="140">
        <v>3.0550000000000002</v>
      </c>
      <c r="K36" s="93">
        <v>3.13</v>
      </c>
      <c r="L36" s="93">
        <v>2.98</v>
      </c>
      <c r="M36" s="93">
        <v>3.25</v>
      </c>
      <c r="N36" s="93">
        <v>3.3920000000000003</v>
      </c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38"/>
    </row>
    <row r="37" spans="1:41">
      <c r="A37" s="83" t="s">
        <v>54</v>
      </c>
      <c r="B37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</row>
    <row r="38" spans="1:41">
      <c r="A38" t="s">
        <v>161</v>
      </c>
      <c r="B38" t="s">
        <v>98</v>
      </c>
      <c r="C38" s="75" t="s">
        <v>72</v>
      </c>
      <c r="D38" s="76">
        <v>253.67</v>
      </c>
      <c r="E38" s="76">
        <v>274.75</v>
      </c>
      <c r="F38" s="76">
        <v>274.52999999999997</v>
      </c>
      <c r="G38" s="76">
        <v>276.25</v>
      </c>
      <c r="H38" s="76">
        <v>270.02999999999997</v>
      </c>
      <c r="I38" s="76">
        <v>271.11</v>
      </c>
      <c r="J38" s="76">
        <v>281.08999999999997</v>
      </c>
      <c r="K38" s="76">
        <v>296.60000000000002</v>
      </c>
      <c r="L38" s="76">
        <v>327.24</v>
      </c>
      <c r="M38" s="93">
        <v>333.89</v>
      </c>
      <c r="N38" s="93">
        <v>338.55</v>
      </c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38"/>
    </row>
    <row r="39" spans="1:41">
      <c r="A39" t="s">
        <v>162</v>
      </c>
      <c r="B39" t="s">
        <v>98</v>
      </c>
      <c r="C39" s="76">
        <v>239.38</v>
      </c>
      <c r="D39" s="76">
        <v>250.63</v>
      </c>
      <c r="E39" s="76">
        <v>259</v>
      </c>
      <c r="F39" s="76">
        <v>281.88</v>
      </c>
      <c r="G39" s="76">
        <v>251.88</v>
      </c>
      <c r="H39" s="76">
        <v>245.5</v>
      </c>
      <c r="I39" s="76">
        <v>245</v>
      </c>
      <c r="J39" s="76">
        <v>245</v>
      </c>
      <c r="K39" s="76">
        <v>248.5</v>
      </c>
      <c r="L39" s="76">
        <v>301.88</v>
      </c>
      <c r="M39" s="76">
        <v>365.63</v>
      </c>
      <c r="N39" s="76">
        <v>435.83</v>
      </c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38"/>
    </row>
    <row r="40" spans="1:41">
      <c r="A40" t="s">
        <v>163</v>
      </c>
      <c r="B40" t="s">
        <v>98</v>
      </c>
      <c r="C40" s="76">
        <v>248.13</v>
      </c>
      <c r="D40" s="76">
        <v>262.5</v>
      </c>
      <c r="E40" s="76">
        <v>263</v>
      </c>
      <c r="F40" s="76">
        <v>260</v>
      </c>
      <c r="G40" s="76">
        <v>257.5</v>
      </c>
      <c r="H40" s="76">
        <v>245.63</v>
      </c>
      <c r="I40" s="76">
        <v>250</v>
      </c>
      <c r="J40" s="76">
        <v>251.75</v>
      </c>
      <c r="K40" s="76">
        <v>227</v>
      </c>
      <c r="L40" s="76">
        <v>239.38</v>
      </c>
      <c r="M40" s="76">
        <v>253.75</v>
      </c>
      <c r="N40" s="76">
        <v>275</v>
      </c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38"/>
    </row>
    <row r="41" spans="1:41">
      <c r="A41" t="s">
        <v>145</v>
      </c>
      <c r="B41" t="s">
        <v>98</v>
      </c>
      <c r="C41" s="61">
        <v>300.11</v>
      </c>
      <c r="D41" s="61">
        <v>295.27999999999997</v>
      </c>
      <c r="E41" s="61">
        <v>312.38</v>
      </c>
      <c r="F41" s="61">
        <v>295.39999999999998</v>
      </c>
      <c r="G41" s="61">
        <v>288.56</v>
      </c>
      <c r="H41" s="61">
        <v>288.66000000000003</v>
      </c>
      <c r="I41" s="61">
        <v>291.25</v>
      </c>
      <c r="J41" s="61">
        <v>290.18</v>
      </c>
      <c r="K41" s="61">
        <v>319.99</v>
      </c>
      <c r="L41" s="61">
        <v>367.11</v>
      </c>
      <c r="M41" s="61">
        <v>387.83</v>
      </c>
      <c r="N41" s="61">
        <v>396.68</v>
      </c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38"/>
    </row>
    <row r="42" spans="1:41">
      <c r="A42" t="s">
        <v>164</v>
      </c>
      <c r="B42" t="s">
        <v>98</v>
      </c>
      <c r="C42" s="76">
        <v>185</v>
      </c>
      <c r="D42" s="76">
        <v>188.13</v>
      </c>
      <c r="E42" s="76">
        <v>180</v>
      </c>
      <c r="F42" s="76">
        <v>183.75</v>
      </c>
      <c r="G42" s="76">
        <v>180.63</v>
      </c>
      <c r="H42" s="76">
        <v>187.5</v>
      </c>
      <c r="I42" s="76">
        <v>202.5</v>
      </c>
      <c r="J42" s="76">
        <v>217.5</v>
      </c>
      <c r="K42" s="76">
        <v>211.5</v>
      </c>
      <c r="L42" s="76">
        <v>211.25</v>
      </c>
      <c r="M42" s="76">
        <v>216.25</v>
      </c>
      <c r="N42" s="76">
        <v>252.5</v>
      </c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38"/>
    </row>
    <row r="43" spans="1:41">
      <c r="A43" s="83" t="s">
        <v>75</v>
      </c>
      <c r="B43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</row>
    <row r="44" spans="1:41">
      <c r="A44" s="83" t="s">
        <v>146</v>
      </c>
      <c r="B44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41">
      <c r="A45" t="s">
        <v>147</v>
      </c>
      <c r="B45" t="s">
        <v>55</v>
      </c>
      <c r="C45" s="75" t="s">
        <v>72</v>
      </c>
      <c r="D45" s="75" t="s">
        <v>72</v>
      </c>
      <c r="E45" s="75" t="s">
        <v>72</v>
      </c>
      <c r="F45" s="75" t="s">
        <v>72</v>
      </c>
      <c r="G45" s="75" t="s">
        <v>72</v>
      </c>
      <c r="H45" s="75" t="s">
        <v>72</v>
      </c>
      <c r="I45" s="75" t="s">
        <v>72</v>
      </c>
      <c r="J45" s="75" t="s">
        <v>72</v>
      </c>
      <c r="K45" s="75" t="s">
        <v>72</v>
      </c>
      <c r="L45" s="75" t="s">
        <v>72</v>
      </c>
      <c r="M45" s="75" t="s">
        <v>72</v>
      </c>
      <c r="N45" s="75" t="s">
        <v>72</v>
      </c>
      <c r="O45"/>
      <c r="P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41">
      <c r="A46" s="83" t="s">
        <v>148</v>
      </c>
      <c r="B46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41">
      <c r="A47" t="s">
        <v>149</v>
      </c>
      <c r="B47" t="s">
        <v>55</v>
      </c>
      <c r="C47" s="79">
        <v>320.2</v>
      </c>
      <c r="D47" s="79">
        <v>319.7</v>
      </c>
      <c r="E47" s="79">
        <v>320.39999999999998</v>
      </c>
      <c r="F47" s="79">
        <v>320.5</v>
      </c>
      <c r="G47" s="79">
        <v>321.39999999999998</v>
      </c>
      <c r="H47" s="79">
        <v>320.7</v>
      </c>
      <c r="I47" s="79">
        <v>319.60000000000002</v>
      </c>
      <c r="J47" s="79">
        <v>317.60000000000002</v>
      </c>
      <c r="K47" s="79">
        <v>319.7</v>
      </c>
      <c r="L47" s="79">
        <v>319</v>
      </c>
      <c r="M47" s="79">
        <v>319.39999999999998</v>
      </c>
      <c r="N47" s="79">
        <v>319.2</v>
      </c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/>
      <c r="AB47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38"/>
    </row>
    <row r="48" spans="1:41">
      <c r="A48" t="s">
        <v>150</v>
      </c>
      <c r="B48" t="s">
        <v>55</v>
      </c>
      <c r="C48" s="79">
        <v>238.2</v>
      </c>
      <c r="D48" s="79">
        <v>239.2</v>
      </c>
      <c r="E48" s="79">
        <v>237.3</v>
      </c>
      <c r="F48" s="79">
        <v>237.2</v>
      </c>
      <c r="G48" s="79">
        <v>235.2</v>
      </c>
      <c r="H48" s="79">
        <v>240.9</v>
      </c>
      <c r="I48" s="79">
        <v>240.6</v>
      </c>
      <c r="J48" s="79">
        <v>242.5</v>
      </c>
      <c r="K48" s="79">
        <v>245.8</v>
      </c>
      <c r="L48" s="79">
        <v>248</v>
      </c>
      <c r="M48" s="79">
        <v>252.9</v>
      </c>
      <c r="N48" s="79">
        <v>258.7</v>
      </c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/>
      <c r="AB48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38"/>
    </row>
    <row r="49" spans="1:41" customFormat="1">
      <c r="A49" t="s">
        <v>151</v>
      </c>
      <c r="B49" t="s">
        <v>55</v>
      </c>
      <c r="C49" s="79">
        <v>207.2</v>
      </c>
      <c r="D49" s="79">
        <v>201.8</v>
      </c>
      <c r="E49" s="79">
        <v>198.2</v>
      </c>
      <c r="F49" s="79">
        <v>190.6</v>
      </c>
      <c r="G49" s="79">
        <v>185.6</v>
      </c>
      <c r="H49" s="79">
        <v>190</v>
      </c>
      <c r="I49" s="79">
        <v>191.1</v>
      </c>
      <c r="J49" s="79">
        <v>198.6</v>
      </c>
      <c r="K49" s="79">
        <v>207.5</v>
      </c>
      <c r="L49" s="79">
        <v>208.4</v>
      </c>
      <c r="M49" s="79">
        <v>214.3</v>
      </c>
      <c r="N49" s="79">
        <v>228.1</v>
      </c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38"/>
    </row>
    <row r="50" spans="1:41">
      <c r="A50" s="1" t="s">
        <v>152</v>
      </c>
      <c r="B50" s="1" t="s">
        <v>80</v>
      </c>
      <c r="C50" s="80">
        <v>138.69999999999999</v>
      </c>
      <c r="D50" s="80">
        <v>137.69999999999999</v>
      </c>
      <c r="E50" s="80">
        <v>138.69999999999999</v>
      </c>
      <c r="F50" s="80">
        <v>138.69999999999999</v>
      </c>
      <c r="G50" s="80">
        <v>138.80000000000001</v>
      </c>
      <c r="H50" s="80">
        <v>139.69999999999999</v>
      </c>
      <c r="I50" s="80">
        <v>139.6</v>
      </c>
      <c r="J50" s="80">
        <v>137.9</v>
      </c>
      <c r="K50" s="80">
        <v>143.4</v>
      </c>
      <c r="L50" s="80">
        <v>143.30000000000001</v>
      </c>
      <c r="M50" s="80">
        <v>143.4</v>
      </c>
      <c r="N50" s="80">
        <v>144.6</v>
      </c>
      <c r="Z50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38"/>
    </row>
    <row r="51" spans="1:41" ht="12.75">
      <c r="A51" s="22" t="s">
        <v>174</v>
      </c>
      <c r="B51"/>
      <c r="C51"/>
      <c r="D51"/>
      <c r="E51"/>
      <c r="F51"/>
      <c r="G51"/>
      <c r="H51"/>
      <c r="I51"/>
      <c r="J51"/>
      <c r="K51"/>
      <c r="L51"/>
      <c r="M51"/>
      <c r="N51"/>
      <c r="Z51" s="78"/>
    </row>
    <row r="52" spans="1:41" ht="10.15" customHeight="1">
      <c r="A52" s="22" t="s">
        <v>204</v>
      </c>
      <c r="B52"/>
      <c r="C52"/>
      <c r="D52"/>
      <c r="E52"/>
      <c r="F52"/>
      <c r="G52"/>
      <c r="H52"/>
      <c r="I52"/>
      <c r="J52"/>
      <c r="L52"/>
      <c r="M52" s="33"/>
      <c r="N52" s="33"/>
      <c r="Z52"/>
    </row>
    <row r="53" spans="1:41">
      <c r="A53" s="22" t="s">
        <v>205</v>
      </c>
      <c r="B53"/>
      <c r="C53"/>
      <c r="D53"/>
      <c r="E53"/>
      <c r="F53"/>
      <c r="G53"/>
      <c r="H53"/>
      <c r="I53"/>
      <c r="J53"/>
      <c r="K53"/>
      <c r="M53"/>
      <c r="Z53"/>
    </row>
    <row r="54" spans="1:41">
      <c r="M54" s="141"/>
      <c r="N54" s="128" t="s">
        <v>191</v>
      </c>
    </row>
  </sheetData>
  <pageMargins left="0.7" right="0.7" top="0.75" bottom="0.75" header="0.3" footer="0.3"/>
  <pageSetup scale="81" firstPageNumber="40" orientation="landscape" useFirstPageNumber="1" r:id="rId1"/>
  <headerFooter alignWithMargins="0">
    <oddFooter>&amp;C&amp;P
Oil Crops Yearbook/OCS-2020
March 2020
Economic Research Service, USDA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601F6-834B-422D-BF8D-2569E5F4A54A}">
  <sheetPr>
    <pageSetUpPr fitToPage="1"/>
  </sheetPr>
  <dimension ref="A1:O54"/>
  <sheetViews>
    <sheetView zoomScaleNormal="100" zoomScaleSheetLayoutView="100" workbookViewId="0">
      <pane xSplit="1" ySplit="5" topLeftCell="B6" activePane="bottomRight" state="frozen"/>
      <selection activeCell="H3" sqref="H3:I3"/>
      <selection pane="topRight" activeCell="H3" sqref="H3:I3"/>
      <selection pane="bottomLeft" activeCell="H3" sqref="H3:I3"/>
      <selection pane="bottomRight" activeCell="H3" sqref="H3:I3"/>
    </sheetView>
  </sheetViews>
  <sheetFormatPr defaultColWidth="9.33203125" defaultRowHeight="11.25"/>
  <cols>
    <col min="1" max="1" width="52.5" style="29" customWidth="1"/>
    <col min="2" max="2" width="19.5" style="29" bestFit="1" customWidth="1"/>
    <col min="3" max="14" width="9.6640625" style="29" customWidth="1"/>
    <col min="15" max="16384" width="9.33203125" style="29"/>
  </cols>
  <sheetData>
    <row r="1" spans="1:14">
      <c r="A1" s="120" t="s">
        <v>201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>
      <c r="A2"/>
      <c r="B2"/>
      <c r="C2" s="47"/>
      <c r="D2" s="47"/>
      <c r="E2" s="47"/>
      <c r="F2" s="47"/>
      <c r="G2" s="47"/>
      <c r="H2" s="85">
        <v>2021</v>
      </c>
      <c r="I2" s="47"/>
      <c r="J2" s="47"/>
      <c r="K2" s="47"/>
      <c r="L2" s="47"/>
      <c r="M2" s="47"/>
      <c r="N2" s="58"/>
    </row>
    <row r="3" spans="1:14">
      <c r="A3" s="1" t="s">
        <v>126</v>
      </c>
      <c r="B3" s="46" t="s">
        <v>56</v>
      </c>
      <c r="C3" s="47" t="s">
        <v>34</v>
      </c>
      <c r="D3" s="47" t="s">
        <v>35</v>
      </c>
      <c r="E3" s="47" t="s">
        <v>36</v>
      </c>
      <c r="F3" s="47" t="s">
        <v>37</v>
      </c>
      <c r="G3" s="47" t="s">
        <v>30</v>
      </c>
      <c r="H3" s="47" t="s">
        <v>228</v>
      </c>
      <c r="I3" s="47" t="s">
        <v>229</v>
      </c>
      <c r="J3" s="47" t="s">
        <v>38</v>
      </c>
      <c r="K3" s="47" t="s">
        <v>39</v>
      </c>
      <c r="L3" s="47" t="s">
        <v>31</v>
      </c>
      <c r="M3" s="47" t="s">
        <v>32</v>
      </c>
      <c r="N3" s="47" t="s">
        <v>33</v>
      </c>
    </row>
    <row r="4" spans="1:14">
      <c r="A4" s="83" t="s">
        <v>52</v>
      </c>
      <c r="B4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</row>
    <row r="5" spans="1:14">
      <c r="A5" s="83" t="s">
        <v>227</v>
      </c>
      <c r="B5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>
      <c r="A6" t="s">
        <v>15</v>
      </c>
      <c r="B6" t="s">
        <v>99</v>
      </c>
      <c r="C6" s="76">
        <v>18.8</v>
      </c>
      <c r="D6" s="76">
        <v>20.399999999999999</v>
      </c>
      <c r="E6" s="76">
        <v>22</v>
      </c>
      <c r="F6" s="76">
        <v>23.8</v>
      </c>
      <c r="G6" s="76">
        <v>26.1</v>
      </c>
      <c r="H6" s="76">
        <v>26</v>
      </c>
      <c r="I6" s="76">
        <v>27.7</v>
      </c>
      <c r="J6" s="76">
        <v>30.9</v>
      </c>
      <c r="K6" s="76">
        <v>28.7</v>
      </c>
      <c r="L6" s="93">
        <v>29.6</v>
      </c>
      <c r="M6" s="76">
        <v>31.7</v>
      </c>
      <c r="N6" s="76">
        <v>32.5</v>
      </c>
    </row>
    <row r="7" spans="1:14">
      <c r="A7" t="s">
        <v>14</v>
      </c>
      <c r="B7" t="s">
        <v>98</v>
      </c>
      <c r="C7" s="76">
        <v>209</v>
      </c>
      <c r="D7" s="76">
        <v>185</v>
      </c>
      <c r="E7" s="75" t="s">
        <v>72</v>
      </c>
      <c r="F7" s="75" t="s">
        <v>72</v>
      </c>
      <c r="G7" s="75" t="s">
        <v>72</v>
      </c>
      <c r="H7" s="75" t="s">
        <v>72</v>
      </c>
      <c r="I7" s="75" t="s">
        <v>72</v>
      </c>
      <c r="J7" s="76">
        <v>255</v>
      </c>
      <c r="K7" s="76">
        <v>235</v>
      </c>
      <c r="L7" s="76">
        <v>244</v>
      </c>
      <c r="M7" s="76">
        <v>244</v>
      </c>
      <c r="N7" s="76">
        <v>239</v>
      </c>
    </row>
    <row r="8" spans="1:14">
      <c r="A8" t="s">
        <v>127</v>
      </c>
      <c r="B8" t="s">
        <v>97</v>
      </c>
      <c r="C8" s="76">
        <v>12</v>
      </c>
      <c r="D8" s="76">
        <v>13.2</v>
      </c>
      <c r="E8" s="76">
        <v>15.7</v>
      </c>
      <c r="F8" s="76">
        <v>18.100000000000001</v>
      </c>
      <c r="G8" s="76">
        <v>18.3</v>
      </c>
      <c r="H8" s="76">
        <v>19.899999999999999</v>
      </c>
      <c r="I8" s="76">
        <v>20.100000000000001</v>
      </c>
      <c r="J8" s="76">
        <v>20.2</v>
      </c>
      <c r="K8" s="76">
        <v>19.8</v>
      </c>
      <c r="L8" s="76">
        <v>26.2</v>
      </c>
      <c r="M8" s="76">
        <v>26.1</v>
      </c>
      <c r="N8" s="76">
        <v>31.3</v>
      </c>
    </row>
    <row r="9" spans="1:14">
      <c r="A9" t="s">
        <v>62</v>
      </c>
      <c r="B9" t="s">
        <v>82</v>
      </c>
      <c r="C9" s="76">
        <v>20.5</v>
      </c>
      <c r="D9" s="76">
        <v>20.5</v>
      </c>
      <c r="E9" s="76">
        <v>21.2</v>
      </c>
      <c r="F9" s="76">
        <v>21.4</v>
      </c>
      <c r="G9" s="76">
        <v>21.3</v>
      </c>
      <c r="H9" s="76">
        <v>21.3</v>
      </c>
      <c r="I9" s="76">
        <v>21.6</v>
      </c>
      <c r="J9" s="76">
        <v>21.3</v>
      </c>
      <c r="K9" s="76">
        <v>22.2</v>
      </c>
      <c r="L9" s="76">
        <v>23.9</v>
      </c>
      <c r="M9" s="76">
        <v>25.4</v>
      </c>
      <c r="N9" s="76">
        <v>24.099999999999998</v>
      </c>
    </row>
    <row r="10" spans="1:14">
      <c r="A10" t="s">
        <v>61</v>
      </c>
      <c r="B10" t="s">
        <v>97</v>
      </c>
      <c r="C10" s="76">
        <v>10.9</v>
      </c>
      <c r="D10" s="76">
        <v>12.7</v>
      </c>
      <c r="E10" s="76">
        <v>13.2</v>
      </c>
      <c r="F10" s="76">
        <v>13.9</v>
      </c>
      <c r="G10" s="76">
        <v>14.8</v>
      </c>
      <c r="H10" s="76">
        <v>14.5</v>
      </c>
      <c r="I10" s="76">
        <v>14.1</v>
      </c>
      <c r="J10" s="76">
        <v>13.7</v>
      </c>
      <c r="K10" s="76">
        <v>12.2</v>
      </c>
      <c r="L10" s="76">
        <v>11.9</v>
      </c>
      <c r="M10" s="93">
        <v>12.1</v>
      </c>
      <c r="N10" s="76">
        <v>12.5</v>
      </c>
    </row>
    <row r="11" spans="1:14">
      <c r="A11" t="s">
        <v>128</v>
      </c>
      <c r="B11" t="s">
        <v>99</v>
      </c>
      <c r="C11" s="76">
        <v>19.5</v>
      </c>
      <c r="D11" s="76">
        <v>21.4</v>
      </c>
      <c r="E11" s="76">
        <v>21.5</v>
      </c>
      <c r="F11" s="76">
        <v>23.7</v>
      </c>
      <c r="G11" s="76">
        <v>26.4</v>
      </c>
      <c r="H11" s="76">
        <v>28.4</v>
      </c>
      <c r="I11" s="76">
        <v>28</v>
      </c>
      <c r="J11" s="76">
        <v>29.4</v>
      </c>
      <c r="K11" s="76">
        <v>30.7</v>
      </c>
      <c r="L11" s="76">
        <v>30.5</v>
      </c>
      <c r="M11" s="76">
        <v>30.3</v>
      </c>
      <c r="N11" s="76">
        <v>31.6</v>
      </c>
    </row>
    <row r="12" spans="1:14">
      <c r="A12" s="92" t="s">
        <v>173</v>
      </c>
      <c r="B12" s="92" t="s">
        <v>99</v>
      </c>
      <c r="C12" s="142">
        <v>19.100000000000001</v>
      </c>
      <c r="D12" s="142">
        <v>20.7</v>
      </c>
      <c r="E12" s="142">
        <v>20.7</v>
      </c>
      <c r="F12" s="142">
        <v>23.3</v>
      </c>
      <c r="G12" s="142">
        <v>26.6</v>
      </c>
      <c r="H12" s="142">
        <v>28.8</v>
      </c>
      <c r="I12" s="142">
        <v>28.1</v>
      </c>
      <c r="J12" s="142">
        <v>30.1</v>
      </c>
      <c r="K12" s="142">
        <v>30.9</v>
      </c>
      <c r="L12" s="142">
        <v>30.6</v>
      </c>
      <c r="M12" s="142">
        <v>30.5</v>
      </c>
      <c r="N12" s="142">
        <v>31.7</v>
      </c>
    </row>
    <row r="13" spans="1:14">
      <c r="A13" s="92" t="s">
        <v>129</v>
      </c>
      <c r="B13" s="92" t="s">
        <v>99</v>
      </c>
      <c r="C13" s="142">
        <v>25.9</v>
      </c>
      <c r="D13" s="142">
        <v>25.8</v>
      </c>
      <c r="E13" s="142">
        <v>25.6</v>
      </c>
      <c r="F13" s="142">
        <v>25.6</v>
      </c>
      <c r="G13" s="142">
        <v>26</v>
      </c>
      <c r="H13" s="142">
        <v>27.4</v>
      </c>
      <c r="I13" s="142">
        <v>27.7</v>
      </c>
      <c r="J13" s="142">
        <v>27.7</v>
      </c>
      <c r="K13" s="142">
        <v>29.9</v>
      </c>
      <c r="L13" s="142">
        <v>28.9</v>
      </c>
      <c r="M13" s="142">
        <v>28</v>
      </c>
      <c r="N13" s="142">
        <v>30.7</v>
      </c>
    </row>
    <row r="14" spans="1:14">
      <c r="A14" s="83" t="s">
        <v>130</v>
      </c>
      <c r="B14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</row>
    <row r="15" spans="1:14">
      <c r="A15" t="s">
        <v>131</v>
      </c>
      <c r="B15" t="s">
        <v>99</v>
      </c>
      <c r="C15" s="91">
        <v>22.192</v>
      </c>
      <c r="D15" s="76">
        <v>24.163</v>
      </c>
      <c r="E15" s="76">
        <v>27.375</v>
      </c>
      <c r="F15" s="76">
        <v>30.946999999999999</v>
      </c>
      <c r="G15" s="76">
        <v>32.097000000000001</v>
      </c>
      <c r="H15" s="76">
        <v>27.568000000000001</v>
      </c>
      <c r="I15" s="61">
        <v>32.326999999999998</v>
      </c>
      <c r="J15" s="76">
        <v>32.874000000000002</v>
      </c>
      <c r="K15" s="76">
        <v>30.952999999999999</v>
      </c>
      <c r="L15" s="76">
        <v>33.466000000000001</v>
      </c>
      <c r="M15" s="76">
        <v>35.884</v>
      </c>
      <c r="N15" s="76">
        <v>35.636000000000003</v>
      </c>
    </row>
    <row r="16" spans="1:14">
      <c r="A16" t="s">
        <v>132</v>
      </c>
      <c r="B16" t="s">
        <v>98</v>
      </c>
      <c r="C16" s="76">
        <v>308.75</v>
      </c>
      <c r="D16" s="76">
        <v>326.25</v>
      </c>
      <c r="E16" s="76">
        <v>324</v>
      </c>
      <c r="F16" s="76">
        <v>347.5</v>
      </c>
      <c r="G16" s="61">
        <v>380</v>
      </c>
      <c r="H16" s="76">
        <v>385</v>
      </c>
      <c r="I16" s="76">
        <v>365</v>
      </c>
      <c r="J16" s="76">
        <v>360</v>
      </c>
      <c r="K16" s="76">
        <v>358.33</v>
      </c>
      <c r="L16" s="76">
        <v>307.5</v>
      </c>
      <c r="M16" s="75">
        <v>263</v>
      </c>
      <c r="N16" s="76">
        <v>260</v>
      </c>
    </row>
    <row r="17" spans="1:14">
      <c r="A17" t="s">
        <v>133</v>
      </c>
      <c r="B17" t="s">
        <v>97</v>
      </c>
      <c r="C17" s="76">
        <v>15.24</v>
      </c>
      <c r="D17" s="76">
        <v>16.54</v>
      </c>
      <c r="E17" s="76">
        <v>18.04</v>
      </c>
      <c r="F17" s="76">
        <v>19.64</v>
      </c>
      <c r="G17" s="76">
        <v>20.94736842105263</v>
      </c>
      <c r="H17" s="76">
        <v>20.523809523809526</v>
      </c>
      <c r="I17" s="76">
        <v>20.5</v>
      </c>
      <c r="J17" s="76">
        <v>19.795454545454547</v>
      </c>
      <c r="K17" s="76">
        <v>24.523809523809526</v>
      </c>
      <c r="L17" s="76">
        <v>27.7</v>
      </c>
      <c r="M17" s="76">
        <v>30</v>
      </c>
      <c r="N17" s="76">
        <v>30</v>
      </c>
    </row>
    <row r="18" spans="1:14" s="97" customFormat="1">
      <c r="A18" s="92" t="s">
        <v>134</v>
      </c>
      <c r="B18" s="92" t="s">
        <v>97</v>
      </c>
      <c r="C18" s="76">
        <v>13.61</v>
      </c>
      <c r="D18" s="76">
        <v>13.72</v>
      </c>
      <c r="E18" s="76">
        <v>14.09</v>
      </c>
      <c r="F18" s="76">
        <v>14.7</v>
      </c>
      <c r="G18" s="76">
        <v>15.76</v>
      </c>
      <c r="H18" s="76">
        <v>14.55</v>
      </c>
      <c r="I18" s="76">
        <v>14.21</v>
      </c>
      <c r="J18" s="76">
        <v>13.58</v>
      </c>
      <c r="K18" s="76">
        <v>12.49</v>
      </c>
      <c r="L18" s="76">
        <v>11.99</v>
      </c>
      <c r="M18" s="76">
        <v>12.19</v>
      </c>
      <c r="N18" s="76">
        <v>12.73</v>
      </c>
    </row>
    <row r="19" spans="1:14">
      <c r="A19" s="92" t="s">
        <v>135</v>
      </c>
      <c r="B19" s="92" t="s">
        <v>97</v>
      </c>
      <c r="C19" s="76">
        <v>14.56</v>
      </c>
      <c r="D19" s="76">
        <v>14.58</v>
      </c>
      <c r="E19" s="61">
        <v>14.93</v>
      </c>
      <c r="F19" s="76">
        <v>15.3</v>
      </c>
      <c r="G19" s="76">
        <v>16.440000000000001</v>
      </c>
      <c r="H19" s="76">
        <v>14.89</v>
      </c>
      <c r="I19" s="76" t="s">
        <v>72</v>
      </c>
      <c r="J19" s="76">
        <v>14.49</v>
      </c>
      <c r="K19" s="76">
        <v>13.52</v>
      </c>
      <c r="L19" s="76">
        <v>13.12</v>
      </c>
      <c r="M19" s="76">
        <v>13.32</v>
      </c>
      <c r="N19" s="76" t="s">
        <v>72</v>
      </c>
    </row>
    <row r="20" spans="1:14">
      <c r="A20" t="s">
        <v>136</v>
      </c>
      <c r="B20" t="s">
        <v>99</v>
      </c>
      <c r="C20" s="76">
        <v>19.23</v>
      </c>
      <c r="D20" s="76">
        <v>19.8</v>
      </c>
      <c r="E20" s="61">
        <v>21.98</v>
      </c>
      <c r="F20" s="76">
        <v>24.79</v>
      </c>
      <c r="G20" s="76">
        <v>27.41</v>
      </c>
      <c r="H20" s="76">
        <v>27.28</v>
      </c>
      <c r="I20" s="76">
        <v>28.81</v>
      </c>
      <c r="J20" s="76">
        <v>29.84</v>
      </c>
      <c r="K20" s="76">
        <v>31.56</v>
      </c>
      <c r="L20" s="76">
        <v>31.83</v>
      </c>
      <c r="M20" s="76">
        <v>32.25</v>
      </c>
      <c r="N20" s="76">
        <v>32.06</v>
      </c>
    </row>
    <row r="21" spans="1:14">
      <c r="A21" s="83" t="s">
        <v>53</v>
      </c>
      <c r="B21"/>
      <c r="C21" s="76"/>
      <c r="D21" s="61"/>
      <c r="E21" s="61"/>
      <c r="F21" s="61"/>
      <c r="G21" s="61"/>
      <c r="H21" s="61"/>
      <c r="I21" s="61"/>
      <c r="J21" s="61"/>
      <c r="K21" s="76"/>
      <c r="L21" s="76"/>
      <c r="M21" s="61"/>
      <c r="N21" s="61"/>
    </row>
    <row r="22" spans="1:14">
      <c r="A22" s="83" t="s">
        <v>137</v>
      </c>
      <c r="B22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</row>
    <row r="23" spans="1:14">
      <c r="A23" t="s">
        <v>138</v>
      </c>
      <c r="B23" t="s">
        <v>82</v>
      </c>
      <c r="C23" s="76">
        <v>53.3125</v>
      </c>
      <c r="D23" s="76">
        <v>58.9375</v>
      </c>
      <c r="E23" s="76">
        <v>71.3125</v>
      </c>
      <c r="F23" s="76">
        <v>79.55</v>
      </c>
      <c r="G23" s="76">
        <v>94.0625</v>
      </c>
      <c r="H23" s="76">
        <v>93.5</v>
      </c>
      <c r="I23" s="76">
        <v>92.3</v>
      </c>
      <c r="J23" s="76">
        <v>81</v>
      </c>
      <c r="K23" s="76">
        <v>76</v>
      </c>
      <c r="L23" s="76">
        <v>82.3</v>
      </c>
      <c r="M23" s="76">
        <v>84.375</v>
      </c>
      <c r="N23" s="76">
        <v>82.95</v>
      </c>
    </row>
    <row r="24" spans="1:14">
      <c r="A24" t="s">
        <v>155</v>
      </c>
      <c r="B24" t="s">
        <v>82</v>
      </c>
      <c r="C24" s="76">
        <v>68.75</v>
      </c>
      <c r="D24" s="76">
        <v>66</v>
      </c>
      <c r="E24" s="93">
        <v>71.5</v>
      </c>
      <c r="F24" s="76">
        <v>72.599999999999994</v>
      </c>
      <c r="G24">
        <v>78</v>
      </c>
      <c r="H24" s="76">
        <v>80</v>
      </c>
      <c r="I24" s="76">
        <v>80</v>
      </c>
      <c r="J24" s="76">
        <v>80</v>
      </c>
      <c r="K24" s="76">
        <v>80</v>
      </c>
      <c r="L24" s="76">
        <v>85</v>
      </c>
      <c r="M24" s="76">
        <v>92.5</v>
      </c>
      <c r="N24" s="91">
        <v>87</v>
      </c>
    </row>
    <row r="25" spans="1:14">
      <c r="A25" t="s">
        <v>139</v>
      </c>
      <c r="B25" t="s">
        <v>82</v>
      </c>
      <c r="C25" s="76">
        <v>44.230000000000004</v>
      </c>
      <c r="D25" s="76">
        <v>45.195</v>
      </c>
      <c r="E25" s="76">
        <v>54</v>
      </c>
      <c r="F25" s="76">
        <v>60.5</v>
      </c>
      <c r="G25" s="76">
        <v>70</v>
      </c>
      <c r="H25" s="76">
        <v>67.75</v>
      </c>
      <c r="I25" s="76">
        <v>66.375</v>
      </c>
      <c r="J25" s="76">
        <v>63.3</v>
      </c>
      <c r="K25" s="76">
        <v>53.734999999999999</v>
      </c>
      <c r="L25" s="61">
        <v>56.53</v>
      </c>
      <c r="M25" s="76">
        <v>58.120000000000005</v>
      </c>
      <c r="N25" s="76">
        <v>54.725000000000001</v>
      </c>
    </row>
    <row r="26" spans="1:14">
      <c r="A26" t="s">
        <v>156</v>
      </c>
      <c r="B26" t="s">
        <v>82</v>
      </c>
      <c r="C26" s="93">
        <v>39.299999999999997</v>
      </c>
      <c r="D26" s="93">
        <v>42.592105263157897</v>
      </c>
      <c r="E26" s="93">
        <v>50.68</v>
      </c>
      <c r="F26" s="93">
        <v>51.01</v>
      </c>
      <c r="G26" s="93">
        <v>52.424999999999997</v>
      </c>
      <c r="H26" s="93">
        <v>57</v>
      </c>
      <c r="I26" s="93">
        <v>58.31</v>
      </c>
      <c r="J26" s="93">
        <v>64.680000000000007</v>
      </c>
      <c r="K26" s="93">
        <v>58.24</v>
      </c>
      <c r="L26" s="93">
        <v>61.76</v>
      </c>
      <c r="M26" s="93">
        <v>62.55</v>
      </c>
      <c r="N26" s="93">
        <v>56.35</v>
      </c>
    </row>
    <row r="27" spans="1:14">
      <c r="A27" t="s">
        <v>140</v>
      </c>
      <c r="B27" t="s">
        <v>82</v>
      </c>
      <c r="C27" s="76">
        <v>63.1875</v>
      </c>
      <c r="D27" s="76">
        <v>73.625</v>
      </c>
      <c r="E27" s="76">
        <v>86.9375</v>
      </c>
      <c r="F27" s="76">
        <v>92.65</v>
      </c>
      <c r="G27" s="76">
        <v>102.1875</v>
      </c>
      <c r="H27" s="76">
        <v>100.6875</v>
      </c>
      <c r="I27" s="76">
        <v>99.9</v>
      </c>
      <c r="J27" s="76">
        <v>96.5</v>
      </c>
      <c r="K27" s="76">
        <v>93.625</v>
      </c>
      <c r="L27" s="76">
        <v>98.5</v>
      </c>
      <c r="M27" s="76">
        <v>96.75</v>
      </c>
      <c r="N27" s="76">
        <v>93.3</v>
      </c>
    </row>
    <row r="28" spans="1:14">
      <c r="A28" s="92" t="s">
        <v>141</v>
      </c>
      <c r="B28" t="s">
        <v>82</v>
      </c>
      <c r="C28" s="75" t="s">
        <v>72</v>
      </c>
      <c r="D28" s="75" t="s">
        <v>72</v>
      </c>
      <c r="E28" s="75">
        <v>55</v>
      </c>
      <c r="F28" s="76" t="s">
        <v>72</v>
      </c>
      <c r="G28" s="76">
        <v>58</v>
      </c>
      <c r="H28" s="76">
        <v>68</v>
      </c>
      <c r="I28" s="75" t="s">
        <v>72</v>
      </c>
      <c r="J28" s="75">
        <v>72.333333333333329</v>
      </c>
      <c r="K28" s="75" t="s">
        <v>72</v>
      </c>
      <c r="L28" s="75" t="s">
        <v>72</v>
      </c>
      <c r="M28" s="76" t="s">
        <v>72</v>
      </c>
      <c r="N28" s="76" t="s">
        <v>72</v>
      </c>
    </row>
    <row r="29" spans="1:14">
      <c r="A29" t="s">
        <v>157</v>
      </c>
      <c r="B29" t="s">
        <v>82</v>
      </c>
      <c r="C29" s="76">
        <v>49.8125</v>
      </c>
      <c r="D29" s="76">
        <v>52.125</v>
      </c>
      <c r="E29" s="76">
        <v>52.125</v>
      </c>
      <c r="F29" s="76">
        <v>54.25</v>
      </c>
      <c r="G29" s="76">
        <v>57.75</v>
      </c>
      <c r="H29" s="76">
        <v>50.625</v>
      </c>
      <c r="I29" s="76">
        <v>53.3</v>
      </c>
      <c r="J29" s="76">
        <v>56.6875</v>
      </c>
      <c r="K29" s="76">
        <v>58.3125</v>
      </c>
      <c r="L29" s="76">
        <v>64.349999999999994</v>
      </c>
      <c r="M29" s="76">
        <v>66.3125</v>
      </c>
      <c r="N29" s="76">
        <v>62.55</v>
      </c>
    </row>
    <row r="30" spans="1:14">
      <c r="A30" t="s">
        <v>158</v>
      </c>
      <c r="B30" t="s">
        <v>82</v>
      </c>
      <c r="C30" s="76">
        <v>79.6875</v>
      </c>
      <c r="D30" s="93">
        <v>80.75</v>
      </c>
      <c r="E30" s="76">
        <v>81.25</v>
      </c>
      <c r="F30" s="76">
        <v>82.9</v>
      </c>
      <c r="G30" s="76">
        <v>87</v>
      </c>
      <c r="H30" s="76">
        <v>80.75</v>
      </c>
      <c r="I30" s="76">
        <v>83.4</v>
      </c>
      <c r="J30" s="76">
        <v>87</v>
      </c>
      <c r="K30" s="76">
        <v>88.375</v>
      </c>
      <c r="L30" s="76">
        <v>93.7</v>
      </c>
      <c r="M30" s="76">
        <v>96.125</v>
      </c>
      <c r="N30" s="76">
        <v>91.45</v>
      </c>
    </row>
    <row r="31" spans="1:14">
      <c r="A31" t="s">
        <v>159</v>
      </c>
      <c r="B31" t="s">
        <v>82</v>
      </c>
      <c r="C31" s="76">
        <v>90</v>
      </c>
      <c r="D31" s="76">
        <v>93</v>
      </c>
      <c r="E31" s="76">
        <v>105.25</v>
      </c>
      <c r="F31" s="76">
        <v>109.2</v>
      </c>
      <c r="G31" s="76">
        <v>110</v>
      </c>
      <c r="H31" s="76">
        <v>108.1875</v>
      </c>
      <c r="I31" s="76">
        <v>106</v>
      </c>
      <c r="J31" s="76">
        <v>108.75</v>
      </c>
      <c r="K31" s="76">
        <v>105</v>
      </c>
      <c r="L31" s="76">
        <v>101.5</v>
      </c>
      <c r="M31" s="76">
        <v>100</v>
      </c>
      <c r="N31" s="76">
        <v>100</v>
      </c>
    </row>
    <row r="32" spans="1:14">
      <c r="A32" t="s">
        <v>160</v>
      </c>
      <c r="B32" t="s">
        <v>82</v>
      </c>
      <c r="C32" s="76">
        <v>44.31</v>
      </c>
      <c r="D32" s="76">
        <v>48.37</v>
      </c>
      <c r="E32" s="93">
        <v>54</v>
      </c>
      <c r="F32" s="76">
        <v>62.88</v>
      </c>
      <c r="G32" s="76">
        <v>74.75</v>
      </c>
      <c r="H32" s="76">
        <v>74.75</v>
      </c>
      <c r="I32" s="76">
        <v>72.930000000000007</v>
      </c>
      <c r="J32" s="76">
        <v>70.010000000000005</v>
      </c>
      <c r="K32" s="76">
        <v>65.930000000000007</v>
      </c>
      <c r="L32" s="76">
        <v>70.42</v>
      </c>
      <c r="M32" s="76">
        <v>66.459999999999994</v>
      </c>
      <c r="N32" s="76">
        <v>63.69</v>
      </c>
    </row>
    <row r="33" spans="1:15">
      <c r="A33" t="s">
        <v>142</v>
      </c>
      <c r="B33" t="s">
        <v>82</v>
      </c>
      <c r="C33" s="76" t="s">
        <v>72</v>
      </c>
      <c r="D33" s="76" t="s">
        <v>72</v>
      </c>
      <c r="E33" s="76" t="s">
        <v>72</v>
      </c>
      <c r="F33" s="76">
        <v>83</v>
      </c>
      <c r="G33" s="76">
        <v>83</v>
      </c>
      <c r="H33" s="76" t="s">
        <v>72</v>
      </c>
      <c r="I33" s="76" t="s">
        <v>72</v>
      </c>
      <c r="J33" s="76" t="s">
        <v>72</v>
      </c>
      <c r="K33" s="76" t="s">
        <v>72</v>
      </c>
      <c r="L33" s="76">
        <v>129</v>
      </c>
      <c r="M33" s="76">
        <v>125</v>
      </c>
      <c r="N33" s="76">
        <v>125</v>
      </c>
    </row>
    <row r="34" spans="1:15" s="97" customFormat="1">
      <c r="A34" s="92" t="s">
        <v>143</v>
      </c>
      <c r="B34" t="s">
        <v>82</v>
      </c>
      <c r="C34" s="76">
        <v>48.13</v>
      </c>
      <c r="D34" s="76">
        <v>53.13</v>
      </c>
      <c r="E34" s="76">
        <v>55.94</v>
      </c>
      <c r="F34" s="76">
        <v>59.38</v>
      </c>
      <c r="G34" s="76">
        <v>64.73</v>
      </c>
      <c r="H34" s="76">
        <v>61.5</v>
      </c>
      <c r="I34" s="76">
        <v>66.33</v>
      </c>
      <c r="J34" s="76">
        <v>72</v>
      </c>
      <c r="K34" s="76">
        <v>71.75</v>
      </c>
      <c r="L34" s="76" t="s">
        <v>72</v>
      </c>
      <c r="M34" s="76">
        <v>80.06</v>
      </c>
      <c r="N34" s="76">
        <v>73</v>
      </c>
      <c r="O34" s="103"/>
    </row>
    <row r="35" spans="1:15">
      <c r="A35" t="s">
        <v>144</v>
      </c>
      <c r="B35" t="s">
        <v>82</v>
      </c>
      <c r="C35" s="76">
        <v>28</v>
      </c>
      <c r="D35" s="76">
        <v>30.75</v>
      </c>
      <c r="E35" s="76">
        <v>36.200000000000003</v>
      </c>
      <c r="F35" s="76">
        <v>38</v>
      </c>
      <c r="G35" s="76">
        <v>40.75</v>
      </c>
      <c r="H35" s="76">
        <v>42.6</v>
      </c>
      <c r="I35" s="76">
        <v>43.25</v>
      </c>
      <c r="J35" s="76">
        <v>45.4</v>
      </c>
      <c r="K35" s="76">
        <v>41.25</v>
      </c>
      <c r="L35" s="76">
        <v>45.12</v>
      </c>
      <c r="M35" s="76">
        <v>45.2</v>
      </c>
      <c r="N35" s="76">
        <v>43.75</v>
      </c>
    </row>
    <row r="36" spans="1:15">
      <c r="A36" t="s">
        <v>77</v>
      </c>
      <c r="B36" t="s">
        <v>100</v>
      </c>
      <c r="C36" s="132">
        <v>3.7475000000000001</v>
      </c>
      <c r="D36" s="19">
        <v>4.1224999999999996</v>
      </c>
      <c r="E36" s="19">
        <v>4.8574999999999999</v>
      </c>
      <c r="F36" s="19">
        <v>5.2959999999999994</v>
      </c>
      <c r="G36" s="19">
        <v>6.085</v>
      </c>
      <c r="H36" s="19">
        <v>6.02</v>
      </c>
      <c r="I36" s="19">
        <v>5.7700000000000005</v>
      </c>
      <c r="J36" s="19">
        <v>5.38</v>
      </c>
      <c r="K36" s="19">
        <v>4.9675000000000002</v>
      </c>
      <c r="L36" s="19">
        <v>5.31</v>
      </c>
      <c r="M36" s="19">
        <v>5.4650000000000007</v>
      </c>
      <c r="N36" s="93">
        <v>4.8779999999999992</v>
      </c>
    </row>
    <row r="37" spans="1:15">
      <c r="A37" s="83" t="s">
        <v>54</v>
      </c>
      <c r="B37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</row>
    <row r="38" spans="1:15">
      <c r="A38" t="s">
        <v>161</v>
      </c>
      <c r="B38" t="s">
        <v>98</v>
      </c>
      <c r="C38" s="75">
        <v>387.53</v>
      </c>
      <c r="D38" s="76">
        <v>376.07499999999999</v>
      </c>
      <c r="E38" s="76">
        <v>365.14</v>
      </c>
      <c r="F38" s="76">
        <v>377.57499999999999</v>
      </c>
      <c r="G38" s="76">
        <v>391.45</v>
      </c>
      <c r="H38" s="76">
        <v>345.9</v>
      </c>
      <c r="I38" s="76">
        <v>326.67499999999995</v>
      </c>
      <c r="J38" s="76">
        <v>329.45</v>
      </c>
      <c r="K38" s="76">
        <v>322.96249999999998</v>
      </c>
      <c r="L38" s="76">
        <v>322.82499999999999</v>
      </c>
      <c r="M38" s="76">
        <v>350.21999999999997</v>
      </c>
      <c r="N38" s="76">
        <v>382.9666666666667</v>
      </c>
    </row>
    <row r="39" spans="1:15">
      <c r="A39" t="s">
        <v>162</v>
      </c>
      <c r="B39" t="s">
        <v>98</v>
      </c>
      <c r="C39" s="76">
        <v>443.75</v>
      </c>
      <c r="D39" s="76">
        <v>460</v>
      </c>
      <c r="E39" s="76">
        <v>456</v>
      </c>
      <c r="F39" s="76">
        <v>415</v>
      </c>
      <c r="G39" s="76">
        <v>360.625</v>
      </c>
      <c r="H39" s="76">
        <v>337.5</v>
      </c>
      <c r="I39" s="76">
        <v>321.875</v>
      </c>
      <c r="J39" s="76">
        <v>303</v>
      </c>
      <c r="K39" s="76">
        <v>305</v>
      </c>
      <c r="L39" s="76">
        <v>298.75</v>
      </c>
      <c r="M39" s="76">
        <v>304.5</v>
      </c>
      <c r="N39" s="76">
        <v>311.25</v>
      </c>
    </row>
    <row r="40" spans="1:15">
      <c r="A40" t="s">
        <v>163</v>
      </c>
      <c r="B40" t="s">
        <v>98</v>
      </c>
      <c r="C40" s="76">
        <v>313.125</v>
      </c>
      <c r="D40" s="76">
        <v>296.25</v>
      </c>
      <c r="E40" s="76">
        <v>322</v>
      </c>
      <c r="F40" s="76">
        <v>318.75</v>
      </c>
      <c r="G40" s="76">
        <v>335.63</v>
      </c>
      <c r="H40" s="76">
        <v>293.5</v>
      </c>
      <c r="I40" s="76">
        <v>262.5</v>
      </c>
      <c r="J40" s="76">
        <v>287.5</v>
      </c>
      <c r="K40" s="76">
        <v>260</v>
      </c>
      <c r="L40" s="76">
        <v>265.625</v>
      </c>
      <c r="M40" s="76">
        <v>252</v>
      </c>
      <c r="N40" s="76">
        <v>309.16666666666669</v>
      </c>
    </row>
    <row r="41" spans="1:15" s="95" customFormat="1">
      <c r="A41" s="92" t="s">
        <v>145</v>
      </c>
      <c r="B41" t="s">
        <v>98</v>
      </c>
      <c r="C41" s="61">
        <v>439.24</v>
      </c>
      <c r="D41" s="61">
        <v>427.28</v>
      </c>
      <c r="E41" s="61">
        <v>410.02</v>
      </c>
      <c r="F41" s="61">
        <v>413.36</v>
      </c>
      <c r="G41" s="61">
        <v>421.03</v>
      </c>
      <c r="H41" s="61">
        <v>378.18</v>
      </c>
      <c r="I41" s="61">
        <v>365.23</v>
      </c>
      <c r="J41" s="61">
        <v>358.21</v>
      </c>
      <c r="K41" s="61">
        <v>343.55</v>
      </c>
      <c r="L41" s="61">
        <v>325.43</v>
      </c>
      <c r="M41" s="61">
        <v>358.73</v>
      </c>
      <c r="N41" s="61">
        <v>399.53</v>
      </c>
    </row>
    <row r="42" spans="1:15">
      <c r="A42" s="92" t="s">
        <v>164</v>
      </c>
      <c r="B42" t="s">
        <v>98</v>
      </c>
      <c r="C42" s="76">
        <v>280.63</v>
      </c>
      <c r="D42" s="76">
        <v>291.88</v>
      </c>
      <c r="E42" s="76">
        <v>279.5</v>
      </c>
      <c r="F42" s="76">
        <v>258.125</v>
      </c>
      <c r="G42" s="76">
        <v>265</v>
      </c>
      <c r="H42" s="76">
        <v>252.5</v>
      </c>
      <c r="I42" s="76">
        <v>206.25</v>
      </c>
      <c r="J42" s="76">
        <v>219.5</v>
      </c>
      <c r="K42" s="76">
        <v>221.25</v>
      </c>
      <c r="L42" s="76">
        <v>222.5</v>
      </c>
      <c r="M42" s="76">
        <v>256.5</v>
      </c>
      <c r="N42" s="76">
        <v>289.16666666666669</v>
      </c>
    </row>
    <row r="43" spans="1:15">
      <c r="A43" s="83" t="s">
        <v>75</v>
      </c>
      <c r="B43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</row>
    <row r="44" spans="1:15">
      <c r="A44" s="83" t="s">
        <v>146</v>
      </c>
      <c r="B44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5">
      <c r="A45" t="s">
        <v>147</v>
      </c>
      <c r="B45" t="s">
        <v>55</v>
      </c>
      <c r="C45" s="75" t="s">
        <v>72</v>
      </c>
      <c r="D45" s="75" t="s">
        <v>72</v>
      </c>
      <c r="E45" s="75" t="s">
        <v>72</v>
      </c>
      <c r="F45" s="75" t="s">
        <v>72</v>
      </c>
      <c r="G45" s="75" t="s">
        <v>72</v>
      </c>
      <c r="H45" s="75" t="s">
        <v>72</v>
      </c>
      <c r="I45" s="75" t="s">
        <v>72</v>
      </c>
      <c r="J45" s="75" t="s">
        <v>72</v>
      </c>
      <c r="K45" s="75" t="s">
        <v>72</v>
      </c>
      <c r="L45" s="75" t="s">
        <v>72</v>
      </c>
      <c r="M45" s="75" t="s">
        <v>72</v>
      </c>
      <c r="N45" s="75" t="s">
        <v>72</v>
      </c>
      <c r="O45"/>
    </row>
    <row r="46" spans="1:15">
      <c r="A46" s="83" t="s">
        <v>148</v>
      </c>
      <c r="B46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18"/>
    </row>
    <row r="47" spans="1:15">
      <c r="A47" t="s">
        <v>149</v>
      </c>
      <c r="B47" t="s">
        <v>55</v>
      </c>
      <c r="C47" s="143">
        <v>320.60000000000002</v>
      </c>
      <c r="D47" s="143">
        <v>321.7</v>
      </c>
      <c r="E47" s="143">
        <v>321.5</v>
      </c>
      <c r="F47" s="143">
        <v>322.39999999999998</v>
      </c>
      <c r="G47" s="143">
        <v>323.2</v>
      </c>
      <c r="H47" s="143">
        <v>325</v>
      </c>
      <c r="I47" s="143">
        <v>323.226</v>
      </c>
      <c r="J47" s="143">
        <v>326.721</v>
      </c>
      <c r="K47" s="143">
        <v>327.25200000000001</v>
      </c>
      <c r="L47" s="143">
        <v>332.06900000000002</v>
      </c>
      <c r="M47" s="143">
        <v>335.96300000000002</v>
      </c>
      <c r="N47" s="143">
        <v>333.22399999999999</v>
      </c>
      <c r="O47" s="18"/>
    </row>
    <row r="48" spans="1:15">
      <c r="A48" t="s">
        <v>150</v>
      </c>
      <c r="B48" t="s">
        <v>55</v>
      </c>
      <c r="C48" s="143">
        <v>266.7</v>
      </c>
      <c r="D48" s="143">
        <v>272.3</v>
      </c>
      <c r="E48" s="143">
        <v>287.89999999999998</v>
      </c>
      <c r="F48" s="143">
        <v>301.39999999999998</v>
      </c>
      <c r="G48" s="143">
        <v>333.1</v>
      </c>
      <c r="H48" s="143">
        <v>338.1</v>
      </c>
      <c r="I48" s="143">
        <v>345.49900000000002</v>
      </c>
      <c r="J48" s="143">
        <v>347.57400000000001</v>
      </c>
      <c r="K48" s="143">
        <v>345.17899999999997</v>
      </c>
      <c r="L48" s="143">
        <v>359.67</v>
      </c>
      <c r="M48" s="143">
        <v>362.97399999999999</v>
      </c>
      <c r="N48" s="143">
        <v>350.92700000000002</v>
      </c>
      <c r="O48" s="18"/>
    </row>
    <row r="49" spans="1:15" customFormat="1">
      <c r="A49" t="s">
        <v>151</v>
      </c>
      <c r="B49" t="s">
        <v>55</v>
      </c>
      <c r="C49" s="143">
        <v>248.2</v>
      </c>
      <c r="D49" s="143">
        <v>259.89999999999998</v>
      </c>
      <c r="E49" s="143">
        <v>287</v>
      </c>
      <c r="F49" s="143">
        <v>315.3</v>
      </c>
      <c r="G49" s="143">
        <v>362.1</v>
      </c>
      <c r="H49" s="143">
        <v>383.9</v>
      </c>
      <c r="I49" s="143">
        <v>388.07799999999997</v>
      </c>
      <c r="J49" s="143">
        <v>389.68200000000002</v>
      </c>
      <c r="K49" s="143">
        <v>365.78699999999998</v>
      </c>
      <c r="L49" s="143">
        <v>364.11900000000003</v>
      </c>
      <c r="M49" s="143">
        <v>365.26400000000001</v>
      </c>
      <c r="N49" s="143">
        <v>341.15</v>
      </c>
      <c r="O49" s="18"/>
    </row>
    <row r="50" spans="1:15">
      <c r="A50" s="1" t="s">
        <v>152</v>
      </c>
      <c r="B50" s="1" t="s">
        <v>80</v>
      </c>
      <c r="C50" s="144">
        <v>143.30000000000001</v>
      </c>
      <c r="D50" s="144">
        <v>142.6</v>
      </c>
      <c r="E50" s="144">
        <v>145.1</v>
      </c>
      <c r="F50" s="144">
        <v>145.80000000000001</v>
      </c>
      <c r="G50" s="144">
        <v>145</v>
      </c>
      <c r="H50" s="144">
        <v>143.4</v>
      </c>
      <c r="I50" s="144">
        <v>147.91499999999999</v>
      </c>
      <c r="J50" s="144">
        <v>147.49700000000001</v>
      </c>
      <c r="K50" s="144">
        <v>141.346</v>
      </c>
      <c r="L50" s="144">
        <v>142.893</v>
      </c>
      <c r="M50" s="144">
        <v>148.518</v>
      </c>
      <c r="N50" s="144">
        <v>149.63399999999999</v>
      </c>
    </row>
    <row r="51" spans="1:15">
      <c r="A51" s="22" t="s">
        <v>174</v>
      </c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5" ht="10.15" customHeight="1">
      <c r="A52" s="22" t="s">
        <v>204</v>
      </c>
      <c r="B52"/>
      <c r="C52"/>
      <c r="D52"/>
      <c r="E52"/>
      <c r="F52"/>
      <c r="G52"/>
      <c r="H52"/>
      <c r="I52"/>
      <c r="J52"/>
      <c r="L52"/>
      <c r="M52" s="33"/>
      <c r="N52" s="33"/>
    </row>
    <row r="53" spans="1:15">
      <c r="A53" s="22" t="s">
        <v>205</v>
      </c>
      <c r="B53"/>
      <c r="C53"/>
      <c r="D53"/>
      <c r="E53"/>
      <c r="F53"/>
      <c r="G53"/>
      <c r="H53"/>
      <c r="I53"/>
      <c r="J53"/>
      <c r="K53"/>
      <c r="M53"/>
    </row>
    <row r="54" spans="1:15">
      <c r="N54" s="128" t="s">
        <v>191</v>
      </c>
    </row>
  </sheetData>
  <pageMargins left="0.7" right="0.7" top="0.75" bottom="0.75" header="0.3" footer="0.3"/>
  <pageSetup scale="81" firstPageNumber="40" orientation="landscape" useFirstPageNumber="1" r:id="rId1"/>
  <headerFooter alignWithMargins="0">
    <oddFooter>&amp;C&amp;P
Oil Crops Yearbook/OCS-2020
March 2020
Economic Research Service, USDA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A03DB-A066-4AFE-A1FF-B27F075360E1}">
  <sheetPr>
    <pageSetUpPr fitToPage="1"/>
  </sheetPr>
  <dimension ref="A1:O55"/>
  <sheetViews>
    <sheetView zoomScaleNormal="100" zoomScaleSheetLayoutView="100" workbookViewId="0">
      <pane xSplit="1" ySplit="5" topLeftCell="B6" activePane="bottomRight" state="frozen"/>
      <selection activeCell="H3" sqref="H3:I3"/>
      <selection pane="topRight" activeCell="H3" sqref="H3:I3"/>
      <selection pane="bottomLeft" activeCell="H3" sqref="H3:I3"/>
      <selection pane="bottomRight"/>
    </sheetView>
  </sheetViews>
  <sheetFormatPr defaultColWidth="9.33203125" defaultRowHeight="11.25"/>
  <cols>
    <col min="1" max="1" width="52.5" style="29" customWidth="1"/>
    <col min="2" max="2" width="19.5" style="29" bestFit="1" customWidth="1"/>
    <col min="3" max="14" width="9.6640625" style="29" customWidth="1"/>
    <col min="15" max="16384" width="9.33203125" style="29"/>
  </cols>
  <sheetData>
    <row r="1" spans="1:14">
      <c r="A1" s="120" t="s">
        <v>201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>
      <c r="A2"/>
      <c r="B2"/>
      <c r="C2" s="47"/>
      <c r="D2" s="47"/>
      <c r="E2" s="47"/>
      <c r="F2" s="47"/>
      <c r="G2" s="47"/>
      <c r="H2" s="85">
        <v>2022</v>
      </c>
      <c r="I2" s="47"/>
      <c r="J2" s="47"/>
      <c r="K2" s="47"/>
      <c r="L2" s="47"/>
      <c r="M2" s="47"/>
      <c r="N2" s="58"/>
    </row>
    <row r="3" spans="1:14">
      <c r="A3" s="1" t="s">
        <v>126</v>
      </c>
      <c r="B3" s="46" t="s">
        <v>56</v>
      </c>
      <c r="C3" s="47" t="s">
        <v>34</v>
      </c>
      <c r="D3" s="47" t="s">
        <v>35</v>
      </c>
      <c r="E3" s="47" t="s">
        <v>36</v>
      </c>
      <c r="F3" s="47" t="s">
        <v>37</v>
      </c>
      <c r="G3" s="47" t="s">
        <v>30</v>
      </c>
      <c r="H3" s="47" t="s">
        <v>228</v>
      </c>
      <c r="I3" s="47" t="s">
        <v>229</v>
      </c>
      <c r="J3" s="47" t="s">
        <v>38</v>
      </c>
      <c r="K3" s="47" t="s">
        <v>39</v>
      </c>
      <c r="L3" s="47" t="s">
        <v>31</v>
      </c>
      <c r="M3" s="47" t="s">
        <v>32</v>
      </c>
      <c r="N3" s="47" t="s">
        <v>33</v>
      </c>
    </row>
    <row r="4" spans="1:14">
      <c r="A4" s="83" t="s">
        <v>52</v>
      </c>
      <c r="B4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</row>
    <row r="5" spans="1:14">
      <c r="A5" s="83" t="s">
        <v>227</v>
      </c>
      <c r="B5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>
      <c r="A6" t="s">
        <v>15</v>
      </c>
      <c r="B6" t="s">
        <v>99</v>
      </c>
      <c r="C6" s="76">
        <v>33.700000000000003</v>
      </c>
      <c r="D6" s="76">
        <v>37.5</v>
      </c>
      <c r="E6" s="76">
        <v>39.200000000000003</v>
      </c>
      <c r="F6" s="76">
        <v>41.3</v>
      </c>
      <c r="G6" s="76">
        <v>42.9</v>
      </c>
      <c r="H6" s="76">
        <v>45.6</v>
      </c>
      <c r="I6" s="76">
        <v>42.7</v>
      </c>
      <c r="J6" s="76">
        <v>40</v>
      </c>
      <c r="K6" s="76">
        <v>28.1</v>
      </c>
      <c r="L6" s="76">
        <v>28.1</v>
      </c>
      <c r="M6" s="76">
        <v>29.2</v>
      </c>
      <c r="N6" s="76">
        <v>29.2</v>
      </c>
    </row>
    <row r="7" spans="1:14">
      <c r="A7" t="s">
        <v>14</v>
      </c>
      <c r="B7" t="s">
        <v>98</v>
      </c>
      <c r="C7" s="76">
        <v>241</v>
      </c>
      <c r="D7" s="76">
        <v>256</v>
      </c>
      <c r="E7" s="76" t="s">
        <v>72</v>
      </c>
      <c r="F7" s="76" t="s">
        <v>72</v>
      </c>
      <c r="G7" s="76" t="s">
        <v>72</v>
      </c>
      <c r="H7" s="76" t="s">
        <v>72</v>
      </c>
      <c r="I7" s="75">
        <v>360</v>
      </c>
      <c r="J7" s="76">
        <v>343</v>
      </c>
      <c r="K7" s="76">
        <v>361</v>
      </c>
      <c r="L7" s="76">
        <v>338</v>
      </c>
      <c r="M7" s="76">
        <v>323</v>
      </c>
      <c r="N7" s="76">
        <v>329</v>
      </c>
    </row>
    <row r="8" spans="1:14">
      <c r="A8" t="s">
        <v>127</v>
      </c>
      <c r="B8" t="s">
        <v>97</v>
      </c>
      <c r="C8" s="76">
        <v>31</v>
      </c>
      <c r="D8" s="76">
        <v>27.5</v>
      </c>
      <c r="E8" s="76">
        <v>28.9</v>
      </c>
      <c r="F8" s="76">
        <v>30.2</v>
      </c>
      <c r="G8" s="76">
        <v>29.7</v>
      </c>
      <c r="H8" s="76">
        <v>23.9</v>
      </c>
      <c r="I8" s="76">
        <v>24.2</v>
      </c>
      <c r="J8" s="76">
        <v>20.8</v>
      </c>
      <c r="K8" s="76">
        <v>18.899999999999999</v>
      </c>
      <c r="L8" s="76">
        <v>18.600000000000001</v>
      </c>
      <c r="M8" s="76">
        <v>19.5</v>
      </c>
      <c r="N8" s="76">
        <v>18.399999999999999</v>
      </c>
    </row>
    <row r="9" spans="1:14">
      <c r="A9" t="s">
        <v>62</v>
      </c>
      <c r="B9" t="s">
        <v>82</v>
      </c>
      <c r="C9" s="76">
        <v>25.900000000000002</v>
      </c>
      <c r="D9" s="76">
        <v>24.8</v>
      </c>
      <c r="E9" s="76">
        <v>25</v>
      </c>
      <c r="F9" s="76">
        <v>24.8</v>
      </c>
      <c r="G9" s="76">
        <v>25.3</v>
      </c>
      <c r="H9" s="76">
        <v>25.2</v>
      </c>
      <c r="I9" s="76">
        <v>25.3</v>
      </c>
      <c r="J9" s="76">
        <v>25</v>
      </c>
      <c r="K9" s="76">
        <v>25.7</v>
      </c>
      <c r="L9" s="76">
        <v>26.6</v>
      </c>
      <c r="M9" s="76">
        <v>29.9</v>
      </c>
      <c r="N9" s="76">
        <v>24.099999999999998</v>
      </c>
    </row>
    <row r="10" spans="1:14">
      <c r="A10" t="s">
        <v>61</v>
      </c>
      <c r="B10" t="s">
        <v>97</v>
      </c>
      <c r="C10" s="76">
        <v>12.9</v>
      </c>
      <c r="D10" s="76">
        <v>14.7</v>
      </c>
      <c r="E10" s="76">
        <v>15.4</v>
      </c>
      <c r="F10" s="76">
        <v>15.8</v>
      </c>
      <c r="G10" s="76">
        <v>16.100000000000001</v>
      </c>
      <c r="H10" s="76">
        <v>16.399999999999999</v>
      </c>
      <c r="I10" s="76">
        <v>15.5</v>
      </c>
      <c r="J10" s="76">
        <v>15.3</v>
      </c>
      <c r="K10" s="76">
        <v>14.1</v>
      </c>
      <c r="L10" s="76">
        <v>13.5</v>
      </c>
      <c r="M10" s="76">
        <v>14</v>
      </c>
      <c r="N10" s="76">
        <v>14.4</v>
      </c>
    </row>
    <row r="11" spans="1:14">
      <c r="A11" t="s">
        <v>128</v>
      </c>
      <c r="B11" t="s">
        <v>99</v>
      </c>
      <c r="C11" s="76">
        <v>31</v>
      </c>
      <c r="D11" s="76">
        <v>32.200000000000003</v>
      </c>
      <c r="E11" s="76">
        <v>33.9</v>
      </c>
      <c r="F11" s="76">
        <v>37.1</v>
      </c>
      <c r="G11" s="76">
        <v>40.1</v>
      </c>
      <c r="H11" s="76">
        <v>40.200000000000003</v>
      </c>
      <c r="I11" s="76">
        <v>36.200000000000003</v>
      </c>
      <c r="J11" s="76">
        <v>37.799999999999997</v>
      </c>
      <c r="K11" s="76">
        <v>32.9</v>
      </c>
      <c r="L11" s="76">
        <v>29.3</v>
      </c>
      <c r="M11" s="76">
        <v>28.4</v>
      </c>
      <c r="N11" s="76">
        <v>29.5</v>
      </c>
    </row>
    <row r="12" spans="1:14">
      <c r="A12" s="92" t="s">
        <v>173</v>
      </c>
      <c r="B12" s="92" t="s">
        <v>99</v>
      </c>
      <c r="C12" s="142">
        <v>31.2</v>
      </c>
      <c r="D12" s="142">
        <v>32.4</v>
      </c>
      <c r="E12" s="142">
        <v>34.299999999999997</v>
      </c>
      <c r="F12" s="142">
        <v>37.200000000000003</v>
      </c>
      <c r="G12" s="142">
        <v>40.200000000000003</v>
      </c>
      <c r="H12" s="142">
        <v>40.700000000000003</v>
      </c>
      <c r="I12" s="142">
        <v>35.5</v>
      </c>
      <c r="J12" s="142">
        <v>38.1</v>
      </c>
      <c r="K12" s="142" t="s">
        <v>72</v>
      </c>
      <c r="L12" s="142" t="s">
        <v>72</v>
      </c>
      <c r="M12" s="142" t="s">
        <v>72</v>
      </c>
      <c r="N12" s="142" t="s">
        <v>72</v>
      </c>
    </row>
    <row r="13" spans="1:14">
      <c r="A13" s="92" t="s">
        <v>129</v>
      </c>
      <c r="B13" s="92" t="s">
        <v>99</v>
      </c>
      <c r="C13" s="142">
        <v>29.1</v>
      </c>
      <c r="D13" s="142">
        <v>31</v>
      </c>
      <c r="E13" s="142">
        <v>32.299999999999997</v>
      </c>
      <c r="F13" s="142">
        <v>37.1</v>
      </c>
      <c r="G13" s="142">
        <v>39.9</v>
      </c>
      <c r="H13" s="142">
        <v>38.700000000000003</v>
      </c>
      <c r="I13" s="142">
        <v>39</v>
      </c>
      <c r="J13" s="142">
        <v>37</v>
      </c>
      <c r="K13" s="142" t="s">
        <v>72</v>
      </c>
      <c r="L13" s="142" t="s">
        <v>72</v>
      </c>
      <c r="M13" s="142" t="s">
        <v>72</v>
      </c>
      <c r="N13" s="142" t="s">
        <v>72</v>
      </c>
    </row>
    <row r="14" spans="1:14">
      <c r="A14" s="83" t="s">
        <v>130</v>
      </c>
      <c r="B14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</row>
    <row r="15" spans="1:14">
      <c r="A15" t="s">
        <v>131</v>
      </c>
      <c r="B15" t="s">
        <v>99</v>
      </c>
      <c r="C15" s="145">
        <v>36.347999999999999</v>
      </c>
      <c r="D15" s="146">
        <v>36.689</v>
      </c>
      <c r="E15" s="146">
        <v>40.484000000000002</v>
      </c>
      <c r="F15" s="146">
        <v>42.290999999999997</v>
      </c>
      <c r="G15" s="146">
        <v>42.241</v>
      </c>
      <c r="H15" s="146">
        <v>39.85</v>
      </c>
      <c r="I15" s="146">
        <v>29.396000000000001</v>
      </c>
      <c r="J15" s="146">
        <v>28.315999999999999</v>
      </c>
      <c r="K15" s="146">
        <v>26.523</v>
      </c>
      <c r="L15" s="146">
        <v>27.852</v>
      </c>
      <c r="M15" s="146">
        <v>28.581</v>
      </c>
      <c r="N15" s="146">
        <v>28.675000000000001</v>
      </c>
    </row>
    <row r="16" spans="1:14">
      <c r="A16" t="s">
        <v>132</v>
      </c>
      <c r="B16" t="s">
        <v>98</v>
      </c>
      <c r="C16" s="76">
        <v>303.75</v>
      </c>
      <c r="D16" s="76">
        <v>308.33</v>
      </c>
      <c r="E16" s="76">
        <v>338.75</v>
      </c>
      <c r="F16" s="76">
        <v>378</v>
      </c>
      <c r="G16" s="61">
        <v>431.25</v>
      </c>
      <c r="H16" s="76">
        <v>450</v>
      </c>
      <c r="I16" s="76">
        <v>432</v>
      </c>
      <c r="J16" s="77">
        <v>408.75</v>
      </c>
      <c r="K16" s="77">
        <v>438.75</v>
      </c>
      <c r="L16" s="77">
        <v>423.75</v>
      </c>
      <c r="M16" s="77">
        <v>383.75</v>
      </c>
      <c r="N16" s="77">
        <v>340</v>
      </c>
    </row>
    <row r="17" spans="1:14">
      <c r="A17" t="s">
        <v>133</v>
      </c>
      <c r="B17" t="s">
        <v>97</v>
      </c>
      <c r="C17" s="76">
        <v>30</v>
      </c>
      <c r="D17" s="76">
        <v>28.11</v>
      </c>
      <c r="E17" s="76">
        <v>27.61</v>
      </c>
      <c r="F17" s="76">
        <v>29.6</v>
      </c>
      <c r="G17" s="76">
        <v>30</v>
      </c>
      <c r="H17" s="76">
        <v>27</v>
      </c>
      <c r="I17" s="76">
        <v>21.6</v>
      </c>
      <c r="J17" s="76">
        <v>18.978260869565219</v>
      </c>
      <c r="K17" s="76">
        <v>17.666666666666668</v>
      </c>
      <c r="L17" s="76">
        <v>17.285714285714285</v>
      </c>
      <c r="M17" s="76">
        <v>17</v>
      </c>
      <c r="N17" s="76" t="s">
        <v>72</v>
      </c>
    </row>
    <row r="18" spans="1:14" s="97" customFormat="1">
      <c r="A18" s="92" t="s">
        <v>134</v>
      </c>
      <c r="B18" s="92" t="s">
        <v>97</v>
      </c>
      <c r="C18" s="76">
        <v>13.81</v>
      </c>
      <c r="D18" s="76">
        <v>15.68</v>
      </c>
      <c r="E18" s="76">
        <v>16.53</v>
      </c>
      <c r="F18" s="76">
        <v>16.73</v>
      </c>
      <c r="G18" s="76">
        <v>16.79</v>
      </c>
      <c r="H18" s="76">
        <v>17.13</v>
      </c>
      <c r="I18" s="76">
        <v>15.43</v>
      </c>
      <c r="J18" s="76">
        <v>15.56</v>
      </c>
      <c r="K18" s="76">
        <v>14.74</v>
      </c>
      <c r="L18" s="76">
        <v>13.45</v>
      </c>
      <c r="M18" s="76">
        <v>14.14</v>
      </c>
      <c r="N18" s="76">
        <v>14.57</v>
      </c>
    </row>
    <row r="19" spans="1:14">
      <c r="A19" s="92" t="s">
        <v>135</v>
      </c>
      <c r="B19" t="s">
        <v>97</v>
      </c>
      <c r="C19" s="76">
        <v>15.47</v>
      </c>
      <c r="D19" s="76" t="s">
        <v>72</v>
      </c>
      <c r="E19" s="61">
        <v>17.82</v>
      </c>
      <c r="F19" s="76">
        <v>18.3</v>
      </c>
      <c r="G19" s="76">
        <v>18.28</v>
      </c>
      <c r="H19" s="76">
        <v>17.54</v>
      </c>
      <c r="I19" s="76">
        <v>16.47</v>
      </c>
      <c r="J19" s="76">
        <v>17.07</v>
      </c>
      <c r="K19" s="76">
        <v>16.260000000000002</v>
      </c>
      <c r="L19" s="76">
        <v>16.100000000000001</v>
      </c>
      <c r="M19" s="76">
        <v>15.98</v>
      </c>
      <c r="N19" s="76">
        <v>16.239999999999998</v>
      </c>
    </row>
    <row r="20" spans="1:14">
      <c r="A20" t="s">
        <v>136</v>
      </c>
      <c r="B20" t="s">
        <v>99</v>
      </c>
      <c r="C20" s="93">
        <v>31.77</v>
      </c>
      <c r="D20" s="93">
        <v>32.1</v>
      </c>
      <c r="E20" s="94">
        <v>35.6</v>
      </c>
      <c r="F20" s="93">
        <v>38.18</v>
      </c>
      <c r="G20" s="93">
        <v>40.229999999999997</v>
      </c>
      <c r="H20" s="93">
        <v>40.96</v>
      </c>
      <c r="I20" s="93">
        <v>30.87</v>
      </c>
      <c r="J20" s="93">
        <v>27.27</v>
      </c>
      <c r="K20" s="93">
        <v>26.35</v>
      </c>
      <c r="L20" s="93">
        <v>26.28</v>
      </c>
      <c r="M20" s="93">
        <v>25.86</v>
      </c>
      <c r="N20" s="93">
        <v>24.47</v>
      </c>
    </row>
    <row r="21" spans="1:14">
      <c r="A21" s="83" t="s">
        <v>53</v>
      </c>
      <c r="B21"/>
      <c r="C21" s="76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</row>
    <row r="22" spans="1:14">
      <c r="A22" s="83" t="s">
        <v>137</v>
      </c>
      <c r="B22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</row>
    <row r="23" spans="1:14">
      <c r="A23" t="s">
        <v>138</v>
      </c>
      <c r="B23" t="s">
        <v>82</v>
      </c>
      <c r="C23" s="76">
        <v>88.5625</v>
      </c>
      <c r="D23" s="76">
        <v>85.875</v>
      </c>
      <c r="E23" s="76">
        <v>92</v>
      </c>
      <c r="F23" s="76">
        <v>103.15</v>
      </c>
      <c r="G23" s="76">
        <v>108.6875</v>
      </c>
      <c r="H23" s="76">
        <v>102.25</v>
      </c>
      <c r="I23" s="76">
        <v>87.9</v>
      </c>
      <c r="J23" s="76">
        <v>91.3125</v>
      </c>
      <c r="K23" s="76">
        <v>76.849999999999994</v>
      </c>
      <c r="L23" s="76">
        <v>80.125</v>
      </c>
      <c r="M23" s="76">
        <v>84.375</v>
      </c>
      <c r="N23" s="76">
        <v>74.05</v>
      </c>
    </row>
    <row r="24" spans="1:14">
      <c r="A24" t="s">
        <v>155</v>
      </c>
      <c r="B24" t="s">
        <v>82</v>
      </c>
      <c r="C24" s="76">
        <v>89.5</v>
      </c>
      <c r="D24" s="76">
        <v>98.5</v>
      </c>
      <c r="E24" s="76">
        <v>112.5</v>
      </c>
      <c r="F24" s="93">
        <v>112.8</v>
      </c>
      <c r="G24">
        <v>102.5</v>
      </c>
      <c r="H24" s="76">
        <v>88</v>
      </c>
      <c r="I24" s="76">
        <v>88</v>
      </c>
      <c r="J24" s="76">
        <v>88</v>
      </c>
      <c r="K24" s="93">
        <v>73.599999999999994</v>
      </c>
      <c r="L24" s="93">
        <v>66.25</v>
      </c>
      <c r="M24" s="76">
        <v>65</v>
      </c>
      <c r="N24" s="91">
        <v>65</v>
      </c>
    </row>
    <row r="25" spans="1:14">
      <c r="A25" t="s">
        <v>139</v>
      </c>
      <c r="B25" t="s">
        <v>82</v>
      </c>
      <c r="C25" s="93">
        <v>55.674999999999997</v>
      </c>
      <c r="D25" s="93">
        <v>59.29</v>
      </c>
      <c r="E25" s="93">
        <v>67.1875</v>
      </c>
      <c r="F25" s="93">
        <v>71.55</v>
      </c>
      <c r="G25" s="93">
        <v>77.802499999999995</v>
      </c>
      <c r="H25" s="93">
        <v>76.375</v>
      </c>
      <c r="I25" s="93">
        <v>62.25</v>
      </c>
      <c r="J25" s="93">
        <v>65.4375</v>
      </c>
      <c r="K25" s="93">
        <v>66.263999999999996</v>
      </c>
      <c r="L25" s="94">
        <v>65.412499999999994</v>
      </c>
      <c r="M25" s="93">
        <v>69.67</v>
      </c>
      <c r="N25" s="93">
        <v>60</v>
      </c>
    </row>
    <row r="26" spans="1:14">
      <c r="A26" t="s">
        <v>156</v>
      </c>
      <c r="B26" t="s">
        <v>82</v>
      </c>
      <c r="C26" s="93">
        <v>61</v>
      </c>
      <c r="D26" s="93">
        <v>72.28947368421052</v>
      </c>
      <c r="E26" s="93">
        <v>80.543478260869563</v>
      </c>
      <c r="F26" s="93">
        <v>79.666666666666671</v>
      </c>
      <c r="G26" s="93">
        <v>82.36904761904762</v>
      </c>
      <c r="H26" s="93">
        <v>77.452380952380949</v>
      </c>
      <c r="I26" s="93">
        <v>68.845625000000013</v>
      </c>
      <c r="J26" s="93">
        <v>70.692708333333329</v>
      </c>
      <c r="K26" s="93">
        <v>73.816499999999991</v>
      </c>
      <c r="L26" s="93">
        <v>73.81</v>
      </c>
      <c r="M26" s="93">
        <v>78.315624999999997</v>
      </c>
      <c r="N26" s="93">
        <v>69.519833333333338</v>
      </c>
    </row>
    <row r="27" spans="1:14">
      <c r="A27" t="s">
        <v>140</v>
      </c>
      <c r="B27" t="s">
        <v>82</v>
      </c>
      <c r="C27" s="76">
        <v>97.9375</v>
      </c>
      <c r="D27" s="76">
        <v>101.375</v>
      </c>
      <c r="E27" s="76">
        <v>114.875</v>
      </c>
      <c r="F27" s="76">
        <v>120.05</v>
      </c>
      <c r="G27" s="76">
        <v>119.5625</v>
      </c>
      <c r="H27" s="76">
        <v>115.75</v>
      </c>
      <c r="I27" s="76">
        <v>100.8</v>
      </c>
      <c r="J27" s="76">
        <v>113.75</v>
      </c>
      <c r="K27" s="76">
        <v>113.2</v>
      </c>
      <c r="L27" s="76">
        <v>110.1875</v>
      </c>
      <c r="M27" s="76">
        <v>116.6875</v>
      </c>
      <c r="N27" s="76">
        <v>105.1</v>
      </c>
    </row>
    <row r="28" spans="1:14">
      <c r="A28" s="92" t="s">
        <v>141</v>
      </c>
      <c r="B28" t="s">
        <v>82</v>
      </c>
      <c r="C28" s="75" t="s">
        <v>72</v>
      </c>
      <c r="D28" s="75">
        <v>82</v>
      </c>
      <c r="E28" s="75" t="s">
        <v>72</v>
      </c>
      <c r="F28" s="76" t="s">
        <v>72</v>
      </c>
      <c r="G28" s="76" t="s">
        <v>72</v>
      </c>
      <c r="H28" s="76" t="s">
        <v>72</v>
      </c>
      <c r="I28" s="75" t="s">
        <v>72</v>
      </c>
      <c r="J28" s="75" t="s">
        <v>72</v>
      </c>
      <c r="K28" s="75" t="s">
        <v>72</v>
      </c>
      <c r="L28" s="75">
        <v>88</v>
      </c>
      <c r="M28" s="76" t="s">
        <v>72</v>
      </c>
      <c r="N28" s="76" t="s">
        <v>72</v>
      </c>
    </row>
    <row r="29" spans="1:14">
      <c r="A29" t="s">
        <v>157</v>
      </c>
      <c r="B29" t="s">
        <v>82</v>
      </c>
      <c r="C29" s="76">
        <v>65.75</v>
      </c>
      <c r="D29" s="76">
        <v>73.4375</v>
      </c>
      <c r="E29" s="93">
        <v>85.0625</v>
      </c>
      <c r="F29" s="76">
        <v>82.8</v>
      </c>
      <c r="G29" s="76">
        <v>82.3125</v>
      </c>
      <c r="H29" s="76">
        <v>74.587500000000006</v>
      </c>
      <c r="I29" s="93">
        <v>55.1</v>
      </c>
      <c r="J29" s="93">
        <v>51.4375</v>
      </c>
      <c r="K29" s="93">
        <v>46.33</v>
      </c>
      <c r="L29" s="93">
        <v>45.75</v>
      </c>
      <c r="M29" s="76">
        <v>47.5</v>
      </c>
      <c r="N29" s="93">
        <v>47.6</v>
      </c>
    </row>
    <row r="30" spans="1:14">
      <c r="A30" t="s">
        <v>158</v>
      </c>
      <c r="B30" t="s">
        <v>82</v>
      </c>
      <c r="C30" s="76">
        <v>94.375</v>
      </c>
      <c r="D30" s="76">
        <v>101.25</v>
      </c>
      <c r="E30" s="76">
        <v>117.5625</v>
      </c>
      <c r="F30" s="76">
        <v>114.4</v>
      </c>
      <c r="G30" s="93">
        <v>112.375</v>
      </c>
      <c r="H30" s="76">
        <v>104.625</v>
      </c>
      <c r="I30" s="76">
        <v>84.7</v>
      </c>
      <c r="J30" s="76">
        <v>80.625</v>
      </c>
      <c r="K30" s="76">
        <v>75.650000000000006</v>
      </c>
      <c r="L30" s="76">
        <v>75.5</v>
      </c>
      <c r="M30" s="76">
        <v>77</v>
      </c>
      <c r="N30" s="76">
        <v>77.099999999999994</v>
      </c>
    </row>
    <row r="31" spans="1:14">
      <c r="A31" t="s">
        <v>159</v>
      </c>
      <c r="B31" t="s">
        <v>82</v>
      </c>
      <c r="C31" s="76">
        <v>103.125</v>
      </c>
      <c r="D31" s="76">
        <v>105</v>
      </c>
      <c r="E31" s="76">
        <v>107.5</v>
      </c>
      <c r="F31" s="76">
        <v>115</v>
      </c>
      <c r="G31" s="76">
        <v>116.25</v>
      </c>
      <c r="H31" s="76">
        <v>116.25</v>
      </c>
      <c r="I31" s="76">
        <v>103.2</v>
      </c>
      <c r="J31" s="76">
        <v>107.25</v>
      </c>
      <c r="K31" s="76">
        <v>111.6</v>
      </c>
      <c r="L31" s="76">
        <v>107.75</v>
      </c>
      <c r="M31" s="76">
        <v>111</v>
      </c>
      <c r="N31" s="76">
        <v>101</v>
      </c>
    </row>
    <row r="32" spans="1:14">
      <c r="A32" t="s">
        <v>160</v>
      </c>
      <c r="B32" t="s">
        <v>82</v>
      </c>
      <c r="C32" s="76">
        <v>65.7</v>
      </c>
      <c r="D32" s="76">
        <v>70.91</v>
      </c>
      <c r="E32" s="76">
        <v>76.405000000000001</v>
      </c>
      <c r="F32" s="76">
        <v>83.846000000000004</v>
      </c>
      <c r="G32" s="76">
        <v>87.385000000000005</v>
      </c>
      <c r="H32" s="76">
        <v>80.297499999999999</v>
      </c>
      <c r="I32" s="76">
        <v>67.74799999999999</v>
      </c>
      <c r="J32" s="76">
        <v>72.334999999999994</v>
      </c>
      <c r="K32" s="76">
        <v>70.626000000000005</v>
      </c>
      <c r="L32" s="76">
        <v>72.67</v>
      </c>
      <c r="M32" s="76">
        <v>79.180000000000007</v>
      </c>
      <c r="N32" s="76">
        <v>68.14</v>
      </c>
    </row>
    <row r="33" spans="1:15">
      <c r="A33" t="s">
        <v>142</v>
      </c>
      <c r="B33" t="s">
        <v>82</v>
      </c>
      <c r="C33" s="76">
        <v>123.125</v>
      </c>
      <c r="D33" s="76">
        <v>115.33333333333333</v>
      </c>
      <c r="E33" s="76">
        <v>129</v>
      </c>
      <c r="F33" s="76">
        <v>120.4</v>
      </c>
      <c r="G33" s="76">
        <v>113.5</v>
      </c>
      <c r="H33" s="76">
        <v>97.75</v>
      </c>
      <c r="I33" s="76">
        <v>78.2</v>
      </c>
      <c r="J33" s="76">
        <v>92</v>
      </c>
      <c r="K33" s="76">
        <v>88.4</v>
      </c>
      <c r="L33" s="76">
        <v>93.75</v>
      </c>
      <c r="M33" s="76">
        <v>106</v>
      </c>
      <c r="N33" s="76">
        <v>92.3</v>
      </c>
    </row>
    <row r="34" spans="1:15" s="97" customFormat="1">
      <c r="A34" s="92" t="s">
        <v>143</v>
      </c>
      <c r="B34" t="s">
        <v>82</v>
      </c>
      <c r="C34" s="76">
        <v>76.5</v>
      </c>
      <c r="D34" s="76">
        <v>80</v>
      </c>
      <c r="E34" s="76">
        <v>81.5</v>
      </c>
      <c r="F34" s="76">
        <v>83.125</v>
      </c>
      <c r="G34" s="76">
        <v>84.25</v>
      </c>
      <c r="H34" s="76">
        <v>86.5</v>
      </c>
      <c r="I34" s="76">
        <v>81.5</v>
      </c>
      <c r="J34" s="76" t="s">
        <v>72</v>
      </c>
      <c r="K34" s="76">
        <v>92</v>
      </c>
      <c r="L34" s="76">
        <v>88.5</v>
      </c>
      <c r="M34" s="76">
        <v>88.5</v>
      </c>
      <c r="N34" s="76">
        <v>84</v>
      </c>
      <c r="O34" s="103"/>
    </row>
    <row r="35" spans="1:15">
      <c r="A35" t="s">
        <v>206</v>
      </c>
      <c r="B35" t="s">
        <v>82</v>
      </c>
      <c r="C35" s="93">
        <v>43.5</v>
      </c>
      <c r="D35" s="93">
        <v>54.25</v>
      </c>
      <c r="E35" s="93">
        <v>59.039999999999992</v>
      </c>
      <c r="F35" s="76">
        <v>58.025999999999996</v>
      </c>
      <c r="G35" s="76">
        <v>60.585000000000008</v>
      </c>
      <c r="H35" s="76">
        <v>61.769999999999996</v>
      </c>
      <c r="I35" s="76">
        <v>59.265999999999998</v>
      </c>
      <c r="J35" s="76">
        <v>59.5</v>
      </c>
      <c r="K35" s="76">
        <v>62.3</v>
      </c>
      <c r="L35" s="76">
        <v>61.502499999999998</v>
      </c>
      <c r="M35" s="76">
        <v>62.207499999999996</v>
      </c>
      <c r="N35" s="76">
        <v>60.8125</v>
      </c>
      <c r="O35" s="147"/>
    </row>
    <row r="36" spans="1:15">
      <c r="A36" t="s">
        <v>77</v>
      </c>
      <c r="B36" t="s">
        <v>100</v>
      </c>
      <c r="C36" s="19">
        <v>5.2275</v>
      </c>
      <c r="D36" s="19">
        <v>5.6812500000000004</v>
      </c>
      <c r="E36" s="19">
        <v>6.4950000000000001</v>
      </c>
      <c r="F36" s="19">
        <v>6.99</v>
      </c>
      <c r="G36" s="19">
        <v>7.53</v>
      </c>
      <c r="H36" s="19">
        <v>7.4333333333333336</v>
      </c>
      <c r="I36" s="19">
        <v>6.5625</v>
      </c>
      <c r="J36" s="19">
        <v>6.5733333333333333</v>
      </c>
      <c r="K36" s="19">
        <v>6.7</v>
      </c>
      <c r="L36" s="19">
        <v>6.7049999999999992</v>
      </c>
      <c r="M36" s="19">
        <v>6.91</v>
      </c>
      <c r="N36" s="76">
        <v>6.1050000000000004</v>
      </c>
    </row>
    <row r="37" spans="1:15">
      <c r="A37" s="83" t="s">
        <v>54</v>
      </c>
      <c r="B37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</row>
    <row r="38" spans="1:15">
      <c r="A38" t="s">
        <v>161</v>
      </c>
      <c r="B38" t="s">
        <v>98</v>
      </c>
      <c r="C38" s="75">
        <v>410.875</v>
      </c>
      <c r="D38" s="75">
        <v>454.625</v>
      </c>
      <c r="E38" s="75">
        <v>487.03750000000002</v>
      </c>
      <c r="F38" s="75">
        <v>470.77999999999992</v>
      </c>
      <c r="G38" s="75">
        <v>454.5</v>
      </c>
      <c r="H38" s="75">
        <v>478.17499999999995</v>
      </c>
      <c r="I38" s="75">
        <v>501.17999999999995</v>
      </c>
      <c r="J38" s="75">
        <v>521.52500000000009</v>
      </c>
      <c r="K38" s="75">
        <v>434.53999999999996</v>
      </c>
      <c r="L38" s="75">
        <v>409.17499999999995</v>
      </c>
      <c r="M38" s="75">
        <v>402.99999999999994</v>
      </c>
      <c r="N38" s="75">
        <v>437.09999999999997</v>
      </c>
    </row>
    <row r="39" spans="1:15">
      <c r="A39" t="s">
        <v>162</v>
      </c>
      <c r="B39" t="s">
        <v>98</v>
      </c>
      <c r="C39" s="75">
        <v>318.125</v>
      </c>
      <c r="D39" s="75">
        <v>333.75</v>
      </c>
      <c r="E39" s="75">
        <v>345.625</v>
      </c>
      <c r="F39" s="75">
        <v>355</v>
      </c>
      <c r="G39" s="75">
        <v>388.75</v>
      </c>
      <c r="H39" s="75">
        <v>383.75</v>
      </c>
      <c r="I39" s="75">
        <v>369.5</v>
      </c>
      <c r="J39" s="75">
        <v>405</v>
      </c>
      <c r="K39" s="75">
        <v>450</v>
      </c>
      <c r="L39" s="75">
        <v>451.875</v>
      </c>
      <c r="M39" s="75">
        <v>405</v>
      </c>
      <c r="N39" s="75">
        <v>390.625</v>
      </c>
    </row>
    <row r="40" spans="1:15">
      <c r="A40" t="s">
        <v>163</v>
      </c>
      <c r="B40" t="s">
        <v>98</v>
      </c>
      <c r="C40" s="75">
        <v>326.25</v>
      </c>
      <c r="D40" s="75">
        <v>350</v>
      </c>
      <c r="E40" s="75">
        <v>392.5</v>
      </c>
      <c r="F40" s="75">
        <v>386</v>
      </c>
      <c r="G40" s="75">
        <v>351.25</v>
      </c>
      <c r="H40" s="75">
        <v>322.5</v>
      </c>
      <c r="I40" s="75">
        <v>351.5</v>
      </c>
      <c r="J40" s="75">
        <v>347.5</v>
      </c>
      <c r="K40" s="75" t="s">
        <v>72</v>
      </c>
      <c r="L40" s="75" t="s">
        <v>72</v>
      </c>
      <c r="M40" s="75">
        <v>357.5</v>
      </c>
      <c r="N40" s="75">
        <v>368.5</v>
      </c>
    </row>
    <row r="41" spans="1:15" s="95" customFormat="1">
      <c r="A41" s="92" t="s">
        <v>145</v>
      </c>
      <c r="B41" t="s">
        <v>98</v>
      </c>
      <c r="C41" s="75">
        <v>421.21</v>
      </c>
      <c r="D41" s="75">
        <v>460.45</v>
      </c>
      <c r="E41" s="75">
        <v>493.97500000000002</v>
      </c>
      <c r="F41" s="75">
        <v>475.35999999999996</v>
      </c>
      <c r="G41" s="75">
        <v>441.27499999999998</v>
      </c>
      <c r="H41" s="75">
        <v>445.92499999999995</v>
      </c>
      <c r="I41" s="75">
        <v>467.87</v>
      </c>
      <c r="J41" s="75">
        <v>510.90000000000009</v>
      </c>
      <c r="K41" s="75">
        <v>473.93999999999994</v>
      </c>
      <c r="L41" s="75">
        <v>468.67499999999995</v>
      </c>
      <c r="M41" s="75">
        <v>436.74999999999994</v>
      </c>
      <c r="N41" s="75">
        <v>462.85</v>
      </c>
    </row>
    <row r="42" spans="1:15">
      <c r="A42" s="92" t="s">
        <v>164</v>
      </c>
      <c r="B42" t="s">
        <v>98</v>
      </c>
      <c r="C42" s="75">
        <v>301.25</v>
      </c>
      <c r="D42" s="75">
        <v>320</v>
      </c>
      <c r="E42" s="75">
        <v>333.33300000000003</v>
      </c>
      <c r="F42" s="75">
        <v>321</v>
      </c>
      <c r="G42" s="75">
        <v>285.625</v>
      </c>
      <c r="H42" s="75">
        <v>281.875</v>
      </c>
      <c r="I42" s="75">
        <v>268.5</v>
      </c>
      <c r="J42" s="75">
        <v>255</v>
      </c>
      <c r="K42" s="107" t="s">
        <v>72</v>
      </c>
      <c r="L42" s="75" t="s">
        <v>72</v>
      </c>
      <c r="M42" s="75" t="s">
        <v>72</v>
      </c>
      <c r="N42" s="75">
        <v>200</v>
      </c>
    </row>
    <row r="43" spans="1:15">
      <c r="A43" s="83" t="s">
        <v>75</v>
      </c>
      <c r="B43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</row>
    <row r="44" spans="1:15">
      <c r="A44" s="83" t="s">
        <v>146</v>
      </c>
      <c r="B44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5">
      <c r="A45" t="s">
        <v>147</v>
      </c>
      <c r="B45" t="s">
        <v>55</v>
      </c>
      <c r="C45" s="75" t="s">
        <v>72</v>
      </c>
      <c r="D45" s="75" t="s">
        <v>72</v>
      </c>
      <c r="E45" s="75" t="s">
        <v>72</v>
      </c>
      <c r="F45" s="75" t="s">
        <v>72</v>
      </c>
      <c r="G45" s="75" t="s">
        <v>72</v>
      </c>
      <c r="H45" s="75" t="s">
        <v>72</v>
      </c>
      <c r="I45" s="75" t="s">
        <v>72</v>
      </c>
      <c r="J45" s="75" t="s">
        <v>72</v>
      </c>
      <c r="K45" s="75" t="s">
        <v>72</v>
      </c>
      <c r="L45" s="75" t="s">
        <v>72</v>
      </c>
      <c r="M45" s="75" t="s">
        <v>72</v>
      </c>
      <c r="N45" s="75" t="s">
        <v>72</v>
      </c>
      <c r="O45"/>
    </row>
    <row r="46" spans="1:15">
      <c r="A46" s="83" t="s">
        <v>148</v>
      </c>
      <c r="B46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18"/>
    </row>
    <row r="47" spans="1:15">
      <c r="A47" t="s">
        <v>149</v>
      </c>
      <c r="B47" t="s">
        <v>55</v>
      </c>
      <c r="C47" s="143">
        <v>327.61099999999999</v>
      </c>
      <c r="D47" s="143">
        <v>328.82499999999999</v>
      </c>
      <c r="E47" s="143">
        <v>332.214</v>
      </c>
      <c r="F47" s="143">
        <v>360.01100000000002</v>
      </c>
      <c r="G47" s="143">
        <v>377.10700000000003</v>
      </c>
      <c r="H47" s="143">
        <v>365.39699999999999</v>
      </c>
      <c r="I47" s="143">
        <v>364.43400000000003</v>
      </c>
      <c r="J47" s="143">
        <v>378.779</v>
      </c>
      <c r="K47" s="143">
        <v>422.21100000000001</v>
      </c>
      <c r="L47" s="143">
        <v>421.36700000000002</v>
      </c>
      <c r="M47" s="143" t="s">
        <v>207</v>
      </c>
      <c r="N47" s="143" t="s">
        <v>208</v>
      </c>
      <c r="O47" s="18"/>
    </row>
    <row r="48" spans="1:15">
      <c r="A48" t="s">
        <v>150</v>
      </c>
      <c r="B48" t="s">
        <v>55</v>
      </c>
      <c r="C48" s="143">
        <v>362.29199999999997</v>
      </c>
      <c r="D48" s="143">
        <v>388.68900000000002</v>
      </c>
      <c r="E48" s="143">
        <v>418.10700000000003</v>
      </c>
      <c r="F48" s="143">
        <v>425.017</v>
      </c>
      <c r="G48" s="143">
        <v>444.50299999999999</v>
      </c>
      <c r="H48" s="143">
        <v>443.423</v>
      </c>
      <c r="I48" s="143">
        <v>421.12099999999998</v>
      </c>
      <c r="J48" s="143">
        <v>417.60700000000003</v>
      </c>
      <c r="K48" s="143">
        <v>417.63600000000002</v>
      </c>
      <c r="L48" s="143">
        <v>403.12299999999999</v>
      </c>
      <c r="M48" s="143" t="s">
        <v>209</v>
      </c>
      <c r="N48" s="143" t="s">
        <v>210</v>
      </c>
      <c r="O48" s="18"/>
    </row>
    <row r="49" spans="1:15" customFormat="1">
      <c r="A49" t="s">
        <v>151</v>
      </c>
      <c r="B49" t="s">
        <v>55</v>
      </c>
      <c r="C49" s="143">
        <v>343.74200000000002</v>
      </c>
      <c r="D49" s="143">
        <v>369.78</v>
      </c>
      <c r="E49" s="143">
        <v>404.41699999999997</v>
      </c>
      <c r="F49" s="143">
        <v>405.86700000000002</v>
      </c>
      <c r="G49" s="143">
        <v>419.34199999999998</v>
      </c>
      <c r="H49" s="143">
        <v>428.70299999999997</v>
      </c>
      <c r="I49" s="143">
        <v>395.613</v>
      </c>
      <c r="J49" s="143">
        <v>399.10199999999998</v>
      </c>
      <c r="K49" s="143">
        <v>394.75799999999998</v>
      </c>
      <c r="L49" s="143">
        <v>390.54599999999999</v>
      </c>
      <c r="M49" s="143" t="s">
        <v>211</v>
      </c>
      <c r="N49" s="143" t="s">
        <v>212</v>
      </c>
      <c r="O49" s="18"/>
    </row>
    <row r="50" spans="1:15">
      <c r="A50" s="1" t="s">
        <v>152</v>
      </c>
      <c r="B50" s="1" t="s">
        <v>80</v>
      </c>
      <c r="C50" s="144">
        <v>149.69200000000001</v>
      </c>
      <c r="D50" s="144">
        <v>150.31</v>
      </c>
      <c r="E50" s="144">
        <v>148.80600000000001</v>
      </c>
      <c r="F50" s="144">
        <v>147.89099999999999</v>
      </c>
      <c r="G50" s="144">
        <v>156.66200000000001</v>
      </c>
      <c r="H50" s="144">
        <v>160.46799999999999</v>
      </c>
      <c r="I50" s="144">
        <v>158.417</v>
      </c>
      <c r="J50" s="144">
        <v>161.56100000000001</v>
      </c>
      <c r="K50" s="144">
        <v>160.54499999999999</v>
      </c>
      <c r="L50" s="144">
        <v>158.44999999999999</v>
      </c>
      <c r="M50" s="144">
        <v>158.73699999999999</v>
      </c>
      <c r="N50" s="144">
        <v>156.64699999999999</v>
      </c>
    </row>
    <row r="51" spans="1:15">
      <c r="A51" s="22" t="s">
        <v>213</v>
      </c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5" ht="11.25" customHeight="1">
      <c r="A52" t="s">
        <v>214</v>
      </c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5" ht="10.15" customHeight="1">
      <c r="A53" s="22" t="s">
        <v>215</v>
      </c>
      <c r="B53"/>
      <c r="C53"/>
      <c r="D53"/>
      <c r="E53"/>
      <c r="F53"/>
      <c r="G53"/>
      <c r="H53"/>
      <c r="I53"/>
      <c r="J53"/>
      <c r="L53"/>
      <c r="M53" s="33"/>
      <c r="N53" s="33"/>
    </row>
    <row r="54" spans="1:15" ht="11.25" customHeight="1">
      <c r="A54" s="22" t="s">
        <v>216</v>
      </c>
      <c r="B54"/>
      <c r="C54"/>
      <c r="D54"/>
      <c r="E54"/>
      <c r="F54"/>
      <c r="G54"/>
      <c r="H54"/>
      <c r="I54"/>
      <c r="J54"/>
      <c r="K54"/>
      <c r="M54"/>
    </row>
    <row r="55" spans="1:15">
      <c r="N55" s="128" t="s">
        <v>191</v>
      </c>
    </row>
  </sheetData>
  <pageMargins left="0.7" right="0.7" top="0.75" bottom="0.75" header="0.3" footer="0.3"/>
  <pageSetup scale="81" firstPageNumber="40" orientation="landscape" useFirstPageNumber="1" r:id="rId1"/>
  <headerFooter alignWithMargins="0">
    <oddFooter>&amp;C&amp;P
Oil Crops Yearbook/OCS-2020
March 2020
Economic Research Service, USDA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F6E72-EF8F-4B0A-AA23-12E128302C65}">
  <sheetPr>
    <pageSetUpPr fitToPage="1"/>
  </sheetPr>
  <dimension ref="A1:O69"/>
  <sheetViews>
    <sheetView zoomScaleNormal="100" zoomScaleSheetLayoutView="100"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1.25"/>
  <cols>
    <col min="1" max="9" width="11.83203125" customWidth="1"/>
    <col min="10" max="10" width="14.33203125" customWidth="1"/>
    <col min="11" max="11" width="11.83203125" customWidth="1"/>
    <col min="12" max="12" width="11.33203125" customWidth="1"/>
    <col min="13" max="13" width="11.83203125" customWidth="1"/>
    <col min="15" max="15" width="11" bestFit="1" customWidth="1"/>
  </cols>
  <sheetData>
    <row r="1" spans="1:15">
      <c r="A1" s="1" t="s">
        <v>217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>
      <c r="A2" s="3"/>
      <c r="B2" s="71"/>
      <c r="C2" s="59"/>
      <c r="D2" s="59" t="s">
        <v>25</v>
      </c>
      <c r="E2" s="67"/>
      <c r="F2" s="59"/>
      <c r="G2" s="59" t="s">
        <v>23</v>
      </c>
      <c r="H2" s="59"/>
      <c r="I2" s="59"/>
      <c r="J2" s="62" t="s">
        <v>59</v>
      </c>
      <c r="K2" s="63" t="s">
        <v>41</v>
      </c>
    </row>
    <row r="3" spans="1:15">
      <c r="A3" s="3" t="s">
        <v>60</v>
      </c>
      <c r="B3" s="63" t="s">
        <v>57</v>
      </c>
      <c r="C3" s="3" t="s">
        <v>13</v>
      </c>
      <c r="D3" s="3" t="s">
        <v>16</v>
      </c>
      <c r="E3" s="67" t="s">
        <v>0</v>
      </c>
      <c r="F3" s="3" t="s">
        <v>28</v>
      </c>
      <c r="G3" s="3" t="s">
        <v>17</v>
      </c>
      <c r="H3" s="3" t="s">
        <v>0</v>
      </c>
      <c r="I3" s="3" t="s">
        <v>63</v>
      </c>
      <c r="J3" s="63" t="s">
        <v>64</v>
      </c>
      <c r="K3" s="63"/>
    </row>
    <row r="4" spans="1:15">
      <c r="A4" s="59" t="s">
        <v>153</v>
      </c>
      <c r="B4" s="66" t="s">
        <v>58</v>
      </c>
      <c r="C4" s="59" t="s">
        <v>42</v>
      </c>
      <c r="D4" s="59"/>
      <c r="E4" s="65"/>
      <c r="F4" s="59"/>
      <c r="G4" s="59"/>
      <c r="H4" s="59"/>
      <c r="I4" s="59" t="s">
        <v>67</v>
      </c>
      <c r="J4" s="86" t="s">
        <v>101</v>
      </c>
      <c r="K4" s="66"/>
    </row>
    <row r="5" spans="1:15">
      <c r="A5" s="32"/>
      <c r="B5" s="32"/>
      <c r="C5" s="82"/>
      <c r="D5" s="82"/>
      <c r="E5" s="82"/>
      <c r="F5" s="82" t="s">
        <v>93</v>
      </c>
      <c r="G5" s="82"/>
      <c r="H5" s="82"/>
      <c r="I5" s="82"/>
      <c r="J5" s="81" t="s">
        <v>20</v>
      </c>
      <c r="K5" s="81" t="s">
        <v>82</v>
      </c>
    </row>
    <row r="6" spans="1:15">
      <c r="B6" s="24"/>
      <c r="C6" s="35"/>
      <c r="D6" s="35"/>
      <c r="E6" s="35"/>
      <c r="F6" s="35"/>
      <c r="G6" s="35"/>
      <c r="H6" s="35"/>
      <c r="I6" s="35"/>
      <c r="J6" s="3"/>
      <c r="K6" s="3"/>
      <c r="L6" s="24"/>
    </row>
    <row r="7" spans="1:15">
      <c r="A7" s="4">
        <v>1980</v>
      </c>
      <c r="B7" s="5">
        <v>49.906999999999996</v>
      </c>
      <c r="C7" s="13">
        <v>1207</v>
      </c>
      <c r="D7" s="13">
        <v>0</v>
      </c>
      <c r="E7" s="13">
        <f>SUM(B7:D7)</f>
        <v>1256.9069999999999</v>
      </c>
      <c r="F7" s="5">
        <f>H7-G7</f>
        <v>1115.0629999999999</v>
      </c>
      <c r="G7" s="5">
        <v>92.402000000000001</v>
      </c>
      <c r="H7" s="13">
        <f>E7-B8</f>
        <v>1207.4649999999999</v>
      </c>
      <c r="I7" s="13">
        <v>588.08199999999999</v>
      </c>
      <c r="J7" s="21">
        <f>+I7/227.726</f>
        <v>2.5824104406172328</v>
      </c>
      <c r="K7" s="12">
        <v>20.72</v>
      </c>
      <c r="L7" s="13"/>
      <c r="M7" s="13"/>
      <c r="N7" s="13"/>
      <c r="O7" s="13"/>
    </row>
    <row r="8" spans="1:15">
      <c r="A8" s="4">
        <v>1981</v>
      </c>
      <c r="B8" s="5">
        <v>49.442</v>
      </c>
      <c r="C8" s="13">
        <v>1159</v>
      </c>
      <c r="D8" s="13">
        <v>0</v>
      </c>
      <c r="E8" s="13">
        <f t="shared" ref="E8:E43" si="0">SUM(B8:D8)</f>
        <v>1208.442</v>
      </c>
      <c r="F8" s="5">
        <f t="shared" ref="F8:F49" si="1">H8-G8</f>
        <v>1021.7070000000001</v>
      </c>
      <c r="G8" s="5">
        <v>149.69299999999998</v>
      </c>
      <c r="H8" s="13">
        <f t="shared" ref="H8:H45" si="2">E8-B9</f>
        <v>1171.4000000000001</v>
      </c>
      <c r="I8" s="13">
        <v>573.43599999999992</v>
      </c>
      <c r="J8" s="21">
        <f>+I8/229.966</f>
        <v>2.4935686144908376</v>
      </c>
      <c r="K8" s="12">
        <v>20.329999999999998</v>
      </c>
      <c r="L8" s="13"/>
      <c r="M8" s="13"/>
      <c r="N8" s="13"/>
      <c r="O8" s="13"/>
    </row>
    <row r="9" spans="1:15">
      <c r="A9" s="4">
        <v>1982</v>
      </c>
      <c r="B9" s="5">
        <v>37.042000000000002</v>
      </c>
      <c r="C9" s="13">
        <v>1011</v>
      </c>
      <c r="D9" s="13">
        <v>0</v>
      </c>
      <c r="E9" s="13">
        <f t="shared" si="0"/>
        <v>1048.0419999999999</v>
      </c>
      <c r="F9" s="5">
        <f t="shared" si="1"/>
        <v>907.59199999999998</v>
      </c>
      <c r="G9" s="5">
        <v>102.97299999999998</v>
      </c>
      <c r="H9" s="13">
        <f t="shared" si="2"/>
        <v>1010.5649999999999</v>
      </c>
      <c r="I9" s="13">
        <v>585.48</v>
      </c>
      <c r="J9" s="21">
        <f>+I9/232.188</f>
        <v>2.5215773424983206</v>
      </c>
      <c r="K9" s="12">
        <v>21.4</v>
      </c>
      <c r="L9" s="13"/>
      <c r="M9" s="13"/>
      <c r="N9" s="13"/>
      <c r="O9" s="13"/>
    </row>
    <row r="10" spans="1:15">
      <c r="A10" s="4">
        <v>1983</v>
      </c>
      <c r="B10" s="5">
        <v>37.476999999999997</v>
      </c>
      <c r="C10" s="13">
        <v>973</v>
      </c>
      <c r="D10" s="13">
        <v>0</v>
      </c>
      <c r="E10" s="13">
        <f t="shared" si="0"/>
        <v>1010.477</v>
      </c>
      <c r="F10" s="5">
        <f t="shared" si="1"/>
        <v>887.66700000000003</v>
      </c>
      <c r="G10" s="5">
        <v>88.616</v>
      </c>
      <c r="H10" s="13">
        <f t="shared" si="2"/>
        <v>976.28300000000002</v>
      </c>
      <c r="I10" s="13">
        <v>487.38100000000003</v>
      </c>
      <c r="J10" s="21">
        <f>+I10/234.307</f>
        <v>2.080095771786588</v>
      </c>
      <c r="K10" s="12">
        <v>17.600000000000001</v>
      </c>
      <c r="L10" s="13"/>
      <c r="M10" s="13"/>
      <c r="N10" s="13"/>
      <c r="O10" s="13"/>
    </row>
    <row r="11" spans="1:15">
      <c r="A11" s="4">
        <v>1984</v>
      </c>
      <c r="B11" s="5">
        <v>34.194000000000003</v>
      </c>
      <c r="C11" s="13">
        <v>939</v>
      </c>
      <c r="D11" s="13">
        <v>2.181</v>
      </c>
      <c r="E11" s="13">
        <f t="shared" si="0"/>
        <v>975.375</v>
      </c>
      <c r="F11" s="5">
        <f t="shared" si="1"/>
        <v>847.68700000000001</v>
      </c>
      <c r="G11" s="5">
        <v>88.972999999999999</v>
      </c>
      <c r="H11" s="13">
        <f t="shared" si="2"/>
        <v>936.66</v>
      </c>
      <c r="I11" s="13">
        <v>492.91200000000015</v>
      </c>
      <c r="J11" s="21">
        <f>+I11/236.348</f>
        <v>2.0855348892311341</v>
      </c>
      <c r="K11" s="12">
        <v>28.23</v>
      </c>
      <c r="L11" s="13"/>
      <c r="M11" s="13"/>
      <c r="N11" s="13"/>
      <c r="O11" s="13"/>
    </row>
    <row r="12" spans="1:15">
      <c r="A12" s="4">
        <v>1985</v>
      </c>
      <c r="B12" s="5">
        <v>38.715000000000003</v>
      </c>
      <c r="C12" s="13">
        <v>927</v>
      </c>
      <c r="D12" s="13">
        <v>2.1910000000000003</v>
      </c>
      <c r="E12" s="13">
        <f t="shared" si="0"/>
        <v>967.90600000000006</v>
      </c>
      <c r="F12" s="5">
        <f t="shared" si="1"/>
        <v>827.94100000000003</v>
      </c>
      <c r="G12" s="5">
        <v>104.52800000000002</v>
      </c>
      <c r="H12" s="13">
        <f t="shared" si="2"/>
        <v>932.46900000000005</v>
      </c>
      <c r="I12" s="13">
        <v>427.42499999999995</v>
      </c>
      <c r="J12" s="21">
        <f>+I12/238.466</f>
        <v>1.7923938842434559</v>
      </c>
      <c r="K12" s="12">
        <v>19.55</v>
      </c>
      <c r="L12" s="13"/>
      <c r="M12" s="13"/>
      <c r="N12" s="13"/>
      <c r="O12" s="13"/>
    </row>
    <row r="13" spans="1:15">
      <c r="A13" s="4">
        <v>1986</v>
      </c>
      <c r="B13" s="5">
        <v>35.436999999999998</v>
      </c>
      <c r="C13" s="13">
        <v>875</v>
      </c>
      <c r="D13" s="13">
        <v>1.4790000000000001</v>
      </c>
      <c r="E13" s="13">
        <f t="shared" si="0"/>
        <v>911.91600000000005</v>
      </c>
      <c r="F13" s="5">
        <f t="shared" si="1"/>
        <v>785.50000000000011</v>
      </c>
      <c r="G13" s="5">
        <v>104.468</v>
      </c>
      <c r="H13" s="13">
        <f t="shared" si="2"/>
        <v>889.96800000000007</v>
      </c>
      <c r="I13" s="13">
        <v>417.65100000000007</v>
      </c>
      <c r="J13" s="21">
        <f>+I13/240.651</f>
        <v>1.7355049428425398</v>
      </c>
      <c r="K13" s="12">
        <v>13.69</v>
      </c>
      <c r="L13" s="13"/>
      <c r="M13" s="13"/>
      <c r="N13" s="13"/>
      <c r="O13" s="13"/>
    </row>
    <row r="14" spans="1:15">
      <c r="A14" s="4">
        <v>1987</v>
      </c>
      <c r="B14" s="5">
        <v>21.948</v>
      </c>
      <c r="C14" s="13">
        <v>863</v>
      </c>
      <c r="D14" s="13">
        <v>1.0990000000000002</v>
      </c>
      <c r="E14" s="13">
        <f t="shared" si="0"/>
        <v>886.04700000000003</v>
      </c>
      <c r="F14" s="5">
        <f t="shared" si="1"/>
        <v>745.79399999999998</v>
      </c>
      <c r="G14" s="5">
        <v>107.206</v>
      </c>
      <c r="H14" s="13">
        <f t="shared" si="2"/>
        <v>853</v>
      </c>
      <c r="I14" s="13">
        <v>441.58699999999999</v>
      </c>
      <c r="J14" s="21">
        <f>+I14/242.804</f>
        <v>1.8186973855455428</v>
      </c>
      <c r="K14" s="12">
        <v>14.79</v>
      </c>
      <c r="L14" s="13"/>
      <c r="M14" s="13"/>
      <c r="N14" s="13"/>
      <c r="O14" s="13"/>
    </row>
    <row r="15" spans="1:15">
      <c r="A15" s="4">
        <v>1988</v>
      </c>
      <c r="B15" s="5">
        <v>33.046999999999997</v>
      </c>
      <c r="C15" s="13">
        <v>932</v>
      </c>
      <c r="D15" s="13">
        <v>1.0489999999999999</v>
      </c>
      <c r="E15" s="13">
        <f t="shared" si="0"/>
        <v>966.096</v>
      </c>
      <c r="F15" s="5">
        <f t="shared" si="1"/>
        <v>801.71199999999999</v>
      </c>
      <c r="G15" s="5">
        <v>127.03399999999999</v>
      </c>
      <c r="H15" s="13">
        <f t="shared" si="2"/>
        <v>928.74599999999998</v>
      </c>
      <c r="I15" s="13">
        <v>434.29899999999992</v>
      </c>
      <c r="J15" s="21">
        <f>+I15/245.021</f>
        <v>1.7724970512731559</v>
      </c>
      <c r="K15" s="12">
        <v>16.309999999999999</v>
      </c>
      <c r="L15" s="13"/>
      <c r="M15" s="13"/>
      <c r="N15" s="13"/>
      <c r="O15" s="13"/>
    </row>
    <row r="16" spans="1:15">
      <c r="A16" s="4">
        <v>1989</v>
      </c>
      <c r="B16" s="5">
        <v>37.35</v>
      </c>
      <c r="C16" s="13">
        <v>850.07228500000008</v>
      </c>
      <c r="D16" s="13">
        <v>1.4067626843339998</v>
      </c>
      <c r="E16" s="13">
        <f t="shared" si="0"/>
        <v>888.82904768433411</v>
      </c>
      <c r="F16" s="5">
        <f t="shared" si="1"/>
        <v>746.43538547192009</v>
      </c>
      <c r="G16" s="5">
        <v>110.393662212414</v>
      </c>
      <c r="H16" s="13">
        <f t="shared" si="2"/>
        <v>856.82904768433411</v>
      </c>
      <c r="I16" s="13">
        <v>422.67238547192005</v>
      </c>
      <c r="J16" s="21">
        <f>+I16/247.342</f>
        <v>1.7088581214347747</v>
      </c>
      <c r="K16" s="12">
        <v>14.09</v>
      </c>
      <c r="L16" s="13"/>
      <c r="M16" s="13"/>
      <c r="N16" s="13"/>
      <c r="O16" s="13"/>
    </row>
    <row r="17" spans="1:15">
      <c r="A17" s="4">
        <v>1990</v>
      </c>
      <c r="B17" s="5">
        <v>32</v>
      </c>
      <c r="C17" s="13">
        <v>743.05269500000009</v>
      </c>
      <c r="D17" s="13">
        <v>2.9229799999999999</v>
      </c>
      <c r="E17" s="13">
        <f t="shared" si="0"/>
        <v>777.97567500000014</v>
      </c>
      <c r="F17" s="5">
        <f t="shared" si="1"/>
        <v>655.46050500000013</v>
      </c>
      <c r="G17" s="5">
        <v>97.255170000000007</v>
      </c>
      <c r="H17" s="13">
        <f t="shared" si="2"/>
        <v>752.71567500000015</v>
      </c>
      <c r="I17" s="13">
        <v>291.11750500000011</v>
      </c>
      <c r="J17" s="21">
        <f>+I17/250.132</f>
        <v>1.1638555042937333</v>
      </c>
      <c r="K17" s="12">
        <v>13.3</v>
      </c>
      <c r="L17" s="13"/>
      <c r="M17" s="13"/>
      <c r="N17" s="13"/>
      <c r="O17" s="13"/>
    </row>
    <row r="18" spans="1:15">
      <c r="A18" s="4">
        <v>1991</v>
      </c>
      <c r="B18" s="5">
        <v>25.26</v>
      </c>
      <c r="C18" s="13">
        <v>776.995135</v>
      </c>
      <c r="D18" s="13">
        <v>2.7531999999999996</v>
      </c>
      <c r="E18" s="13">
        <f t="shared" si="0"/>
        <v>805.00833499999999</v>
      </c>
      <c r="F18" s="5">
        <f t="shared" si="1"/>
        <v>646.984195</v>
      </c>
      <c r="G18" s="5">
        <v>120.60314</v>
      </c>
      <c r="H18" s="13">
        <f t="shared" si="2"/>
        <v>767.58733499999994</v>
      </c>
      <c r="I18" s="13">
        <v>253.93119500000009</v>
      </c>
      <c r="J18" s="21">
        <f>+I18/253.493</f>
        <v>1.0017286276149642</v>
      </c>
      <c r="K18" s="12">
        <v>13.47</v>
      </c>
      <c r="L18" s="13"/>
      <c r="M18" s="13"/>
      <c r="N18" s="13"/>
      <c r="O18" s="13"/>
    </row>
    <row r="19" spans="1:15">
      <c r="A19" s="4">
        <v>1992</v>
      </c>
      <c r="B19" s="5">
        <v>37.420999999999999</v>
      </c>
      <c r="C19" s="13">
        <v>838.30971</v>
      </c>
      <c r="D19" s="13">
        <v>2.4576739999999999</v>
      </c>
      <c r="E19" s="13">
        <f t="shared" si="0"/>
        <v>878.18838400000004</v>
      </c>
      <c r="F19" s="5">
        <f t="shared" si="1"/>
        <v>719.19815900000003</v>
      </c>
      <c r="G19" s="5">
        <v>136.27022499999998</v>
      </c>
      <c r="H19" s="13">
        <f t="shared" si="2"/>
        <v>855.46838400000001</v>
      </c>
      <c r="I19" s="13">
        <v>239.48515900000015</v>
      </c>
      <c r="J19" s="21">
        <f>+I19/256.894</f>
        <v>0.93223336862674933</v>
      </c>
      <c r="K19" s="12">
        <v>13.3</v>
      </c>
      <c r="L19" s="13"/>
      <c r="M19" s="13"/>
      <c r="N19" s="13"/>
      <c r="O19" s="13"/>
    </row>
    <row r="20" spans="1:15">
      <c r="A20" s="4">
        <v>1993</v>
      </c>
      <c r="B20" s="5">
        <v>22.72</v>
      </c>
      <c r="C20" s="13">
        <v>801.26045299999998</v>
      </c>
      <c r="D20" s="13">
        <v>3.098055</v>
      </c>
      <c r="E20" s="13">
        <f t="shared" si="0"/>
        <v>827.07850800000006</v>
      </c>
      <c r="F20" s="5">
        <f t="shared" si="1"/>
        <v>674.93820100000016</v>
      </c>
      <c r="G20" s="5">
        <v>114.42630699999999</v>
      </c>
      <c r="H20" s="13">
        <f t="shared" si="2"/>
        <v>789.36450800000011</v>
      </c>
      <c r="I20" s="13">
        <v>200.63820100000007</v>
      </c>
      <c r="J20" s="21">
        <f>+I20/260.255</f>
        <v>0.7709292847399668</v>
      </c>
      <c r="K20" s="12">
        <v>15.42</v>
      </c>
      <c r="L20" s="13"/>
      <c r="M20" s="13"/>
      <c r="N20" s="13"/>
      <c r="O20" s="13"/>
    </row>
    <row r="21" spans="1:15">
      <c r="A21" s="4">
        <v>1994</v>
      </c>
      <c r="B21" s="5">
        <v>37.713999999999999</v>
      </c>
      <c r="C21" s="13">
        <v>743.75176700000009</v>
      </c>
      <c r="D21" s="13">
        <v>2.745319190274</v>
      </c>
      <c r="E21" s="13">
        <f t="shared" si="0"/>
        <v>784.21108619027416</v>
      </c>
      <c r="F21" s="5">
        <f t="shared" si="1"/>
        <v>606.60077201482227</v>
      </c>
      <c r="G21" s="5">
        <v>136.99831417545198</v>
      </c>
      <c r="H21" s="13">
        <f t="shared" si="2"/>
        <v>743.59908619027419</v>
      </c>
      <c r="I21" s="13">
        <v>154.60077201482204</v>
      </c>
      <c r="J21" s="21">
        <f>+I21/263.436</f>
        <v>0.58686273711573989</v>
      </c>
      <c r="K21" s="12">
        <v>17.53</v>
      </c>
      <c r="L21" s="13"/>
      <c r="M21" s="13"/>
      <c r="N21" s="13"/>
      <c r="O21" s="13"/>
    </row>
    <row r="22" spans="1:15">
      <c r="A22" s="4">
        <v>1995</v>
      </c>
      <c r="B22" s="5">
        <v>40.612000000000002</v>
      </c>
      <c r="C22" s="13">
        <v>714.64624600000002</v>
      </c>
      <c r="D22" s="13">
        <v>1.4571890033399999</v>
      </c>
      <c r="E22" s="13">
        <f t="shared" si="0"/>
        <v>756.71543500333996</v>
      </c>
      <c r="F22" s="5">
        <f t="shared" si="1"/>
        <v>594.31062084715199</v>
      </c>
      <c r="G22" s="5">
        <v>124.03281415618804</v>
      </c>
      <c r="H22" s="13">
        <f t="shared" si="2"/>
        <v>718.34343500334001</v>
      </c>
      <c r="I22" s="13">
        <v>106.17222921558604</v>
      </c>
      <c r="J22" s="21">
        <f>+I22/266.557</f>
        <v>0.39830966440793542</v>
      </c>
      <c r="K22" s="12">
        <v>20.260000000000002</v>
      </c>
      <c r="L22" s="13"/>
      <c r="M22" s="13"/>
      <c r="N22" s="13"/>
      <c r="O22" s="13"/>
    </row>
    <row r="23" spans="1:15">
      <c r="A23" s="4">
        <v>1996</v>
      </c>
      <c r="B23" s="5">
        <v>38.372</v>
      </c>
      <c r="C23" s="13">
        <v>679.5079320000001</v>
      </c>
      <c r="D23" s="13">
        <v>1.4931948898439997</v>
      </c>
      <c r="E23" s="13">
        <f t="shared" si="0"/>
        <v>719.373126889844</v>
      </c>
      <c r="F23" s="5">
        <f t="shared" si="1"/>
        <v>599.69656941324797</v>
      </c>
      <c r="G23" s="5">
        <v>100.72855747659602</v>
      </c>
      <c r="H23" s="13">
        <f t="shared" si="2"/>
        <v>700.42512688984402</v>
      </c>
      <c r="I23" s="13">
        <v>151.80156941324805</v>
      </c>
      <c r="J23" s="21">
        <f>+I23/269.667</f>
        <v>0.56292230570758772</v>
      </c>
      <c r="K23" s="12">
        <v>21.9</v>
      </c>
      <c r="L23" s="13"/>
      <c r="M23" s="13"/>
      <c r="N23" s="13"/>
      <c r="O23" s="13"/>
    </row>
    <row r="24" spans="1:15">
      <c r="A24" s="4">
        <v>1997</v>
      </c>
      <c r="B24" s="5">
        <v>18.948</v>
      </c>
      <c r="C24" s="13">
        <v>682.48304200000007</v>
      </c>
      <c r="D24" s="13">
        <v>1.22359827933</v>
      </c>
      <c r="E24" s="13">
        <f t="shared" si="0"/>
        <v>702.65464027933001</v>
      </c>
      <c r="F24" s="5">
        <f t="shared" si="1"/>
        <v>590.08195259490594</v>
      </c>
      <c r="G24" s="5">
        <v>90.419687684424019</v>
      </c>
      <c r="H24" s="13">
        <f t="shared" si="2"/>
        <v>680.50164027932999</v>
      </c>
      <c r="I24" s="13">
        <v>209.04795259490606</v>
      </c>
      <c r="J24" s="21">
        <f>+I24/272.912</f>
        <v>0.76599032873199446</v>
      </c>
      <c r="K24" s="12">
        <v>23.42</v>
      </c>
      <c r="L24" s="13"/>
      <c r="M24" s="13"/>
      <c r="N24" s="13"/>
      <c r="O24" s="13"/>
    </row>
    <row r="25" spans="1:15">
      <c r="A25" s="4">
        <v>1998</v>
      </c>
      <c r="B25" s="5">
        <v>22.152999999999999</v>
      </c>
      <c r="C25" s="13">
        <v>743.88144199999999</v>
      </c>
      <c r="D25" s="13">
        <v>2.2460931444420003</v>
      </c>
      <c r="E25" s="13">
        <f t="shared" si="0"/>
        <v>768.28053514444207</v>
      </c>
      <c r="F25" s="5">
        <f t="shared" si="1"/>
        <v>608.48239822002608</v>
      </c>
      <c r="G25" s="5">
        <v>131.445136924416</v>
      </c>
      <c r="H25" s="13">
        <f t="shared" si="2"/>
        <v>739.92753514444212</v>
      </c>
      <c r="I25" s="13">
        <v>195.58539822002606</v>
      </c>
      <c r="J25" s="21">
        <f>+I25/276.115</f>
        <v>0.70834760233969929</v>
      </c>
      <c r="K25" s="12">
        <v>17.86</v>
      </c>
      <c r="L25" s="13"/>
      <c r="M25" s="13"/>
      <c r="N25" s="13"/>
      <c r="O25" s="13"/>
    </row>
    <row r="26" spans="1:15">
      <c r="A26" s="4">
        <v>1999</v>
      </c>
      <c r="B26" s="5">
        <v>28.353000000000002</v>
      </c>
      <c r="C26" s="13">
        <v>735.1751680000001</v>
      </c>
      <c r="D26" s="13">
        <v>1.824009444054</v>
      </c>
      <c r="E26" s="13">
        <f t="shared" si="0"/>
        <v>765.35217744405406</v>
      </c>
      <c r="F26" s="5">
        <f t="shared" si="1"/>
        <v>591.24050537986614</v>
      </c>
      <c r="G26" s="5">
        <v>147.43267206418798</v>
      </c>
      <c r="H26" s="13">
        <f t="shared" si="2"/>
        <v>738.67317744405409</v>
      </c>
      <c r="I26" s="13">
        <v>202.47850537986605</v>
      </c>
      <c r="J26" s="21">
        <f>+I26/279.295</f>
        <v>0.72496287215978106</v>
      </c>
      <c r="K26" s="12">
        <v>14.909999999999998</v>
      </c>
      <c r="L26" s="13"/>
      <c r="M26" s="13"/>
      <c r="N26" s="13"/>
      <c r="O26" s="13"/>
    </row>
    <row r="27" spans="1:15">
      <c r="A27" s="4">
        <v>2000</v>
      </c>
      <c r="B27" s="5">
        <v>26.678999999999998</v>
      </c>
      <c r="C27" s="13">
        <v>718.48378000000002</v>
      </c>
      <c r="D27" s="13">
        <v>2.4835265245980001</v>
      </c>
      <c r="E27" s="13">
        <f t="shared" si="0"/>
        <v>747.646306524598</v>
      </c>
      <c r="F27" s="5">
        <f t="shared" si="1"/>
        <v>557.50655144090194</v>
      </c>
      <c r="G27" s="5">
        <v>173.93975508369599</v>
      </c>
      <c r="H27" s="13">
        <f t="shared" si="2"/>
        <v>731.44630652459796</v>
      </c>
      <c r="I27" s="13">
        <v>221.02555144090203</v>
      </c>
      <c r="J27" s="21">
        <f>+I27/282.385</f>
        <v>0.78270995782673314</v>
      </c>
      <c r="K27" s="12">
        <v>12.25</v>
      </c>
      <c r="L27" s="13"/>
      <c r="M27" s="13"/>
      <c r="N27" s="13"/>
      <c r="O27" s="13"/>
    </row>
    <row r="28" spans="1:15">
      <c r="A28" s="4">
        <v>2001</v>
      </c>
      <c r="B28" s="5">
        <v>16.2</v>
      </c>
      <c r="C28" s="13">
        <v>724.190292</v>
      </c>
      <c r="D28" s="13">
        <v>3.2403181416480002</v>
      </c>
      <c r="E28" s="13">
        <f t="shared" si="0"/>
        <v>743.63061014164805</v>
      </c>
      <c r="F28" s="5">
        <f t="shared" si="1"/>
        <v>626.68004273246208</v>
      </c>
      <c r="G28" s="5">
        <v>103.32856740918599</v>
      </c>
      <c r="H28" s="13">
        <f t="shared" si="2"/>
        <v>730.00861014164809</v>
      </c>
      <c r="I28" s="13">
        <v>325.47404273246201</v>
      </c>
      <c r="J28" s="21">
        <f>+I28/285.309</f>
        <v>1.140777342223561</v>
      </c>
      <c r="K28" s="12">
        <v>14.93</v>
      </c>
      <c r="L28" s="13"/>
      <c r="M28" s="13"/>
      <c r="N28" s="13"/>
      <c r="O28" s="13"/>
    </row>
    <row r="29" spans="1:15">
      <c r="A29" s="4">
        <v>2002</v>
      </c>
      <c r="B29" s="5">
        <v>13.622</v>
      </c>
      <c r="C29" s="13">
        <v>743.72054400000013</v>
      </c>
      <c r="D29" s="13">
        <v>8.3558480732999989</v>
      </c>
      <c r="E29" s="13">
        <f t="shared" si="0"/>
        <v>765.69839207330006</v>
      </c>
      <c r="F29" s="5">
        <f t="shared" si="1"/>
        <v>670.94937082460604</v>
      </c>
      <c r="G29" s="5">
        <v>84.22202124869402</v>
      </c>
      <c r="H29" s="13">
        <f t="shared" si="2"/>
        <v>755.17139207330001</v>
      </c>
      <c r="I29" s="13">
        <v>370.31737082460597</v>
      </c>
      <c r="J29" s="21">
        <f>+I29/288.105</f>
        <v>1.2853555850283958</v>
      </c>
      <c r="K29" s="12">
        <v>14.22</v>
      </c>
      <c r="L29" s="13"/>
      <c r="M29" s="13"/>
      <c r="N29" s="13"/>
      <c r="O29" s="13"/>
    </row>
    <row r="30" spans="1:15">
      <c r="A30" s="4">
        <v>2003</v>
      </c>
      <c r="B30" s="5">
        <v>10.526999999999999</v>
      </c>
      <c r="C30" s="13">
        <v>752.52086000000008</v>
      </c>
      <c r="D30" s="13">
        <v>7.1872947960660012</v>
      </c>
      <c r="E30" s="13">
        <f t="shared" si="0"/>
        <v>770.23515479606613</v>
      </c>
      <c r="F30" s="5">
        <f t="shared" si="1"/>
        <v>639.61561525048023</v>
      </c>
      <c r="G30" s="5">
        <v>117.319539545586</v>
      </c>
      <c r="H30" s="13">
        <f t="shared" si="2"/>
        <v>756.93515479606617</v>
      </c>
      <c r="I30" s="13">
        <v>368.51761525047999</v>
      </c>
      <c r="J30" s="21">
        <f>+I30/290.82</f>
        <v>1.2671673724313322</v>
      </c>
      <c r="K30" s="12">
        <v>20.63</v>
      </c>
      <c r="L30" s="13"/>
      <c r="M30" s="13"/>
      <c r="N30" s="13"/>
      <c r="O30" s="13"/>
    </row>
    <row r="31" spans="1:15">
      <c r="A31" s="4">
        <v>2004</v>
      </c>
      <c r="B31" s="5">
        <v>13.3</v>
      </c>
      <c r="C31" s="13">
        <v>772.47290400000009</v>
      </c>
      <c r="D31" s="13">
        <v>4.9995425636100004</v>
      </c>
      <c r="E31" s="13">
        <f t="shared" si="0"/>
        <v>790.77244656361006</v>
      </c>
      <c r="F31" s="5">
        <f t="shared" si="1"/>
        <v>487.79641512037597</v>
      </c>
      <c r="G31" s="5">
        <v>289.20903144323404</v>
      </c>
      <c r="H31" s="13">
        <f t="shared" si="2"/>
        <v>777.00544656361001</v>
      </c>
      <c r="I31" s="13">
        <v>220.18941512037597</v>
      </c>
      <c r="J31" s="21">
        <f>+I31/293.463</f>
        <v>0.75031406044501681</v>
      </c>
      <c r="K31" s="12">
        <v>26.35</v>
      </c>
      <c r="L31" s="13"/>
      <c r="M31" s="13"/>
      <c r="N31" s="13"/>
      <c r="O31" s="13"/>
    </row>
    <row r="32" spans="1:15">
      <c r="A32" s="4">
        <v>2005</v>
      </c>
      <c r="B32" s="5">
        <v>13.766999999999999</v>
      </c>
      <c r="C32" s="13">
        <v>779.18800399999998</v>
      </c>
      <c r="D32" s="13">
        <v>4.9972762121940004</v>
      </c>
      <c r="E32" s="13">
        <f t="shared" si="0"/>
        <v>797.95228021219407</v>
      </c>
      <c r="F32" s="5">
        <f t="shared" si="1"/>
        <v>694.75367150942805</v>
      </c>
      <c r="G32" s="5">
        <v>93.828608702766005</v>
      </c>
      <c r="H32" s="13">
        <f t="shared" si="2"/>
        <v>788.58228021219406</v>
      </c>
      <c r="I32" s="13">
        <v>459.74267150942802</v>
      </c>
      <c r="J32" s="21">
        <f>+I32/296.186</f>
        <v>1.5522093262660221</v>
      </c>
      <c r="K32" s="12">
        <v>21.14</v>
      </c>
      <c r="L32" s="13"/>
      <c r="M32" s="13"/>
      <c r="N32" s="13"/>
      <c r="O32" s="13"/>
    </row>
    <row r="33" spans="1:15">
      <c r="A33" s="4">
        <v>2006</v>
      </c>
      <c r="B33" s="5">
        <v>9.3699999999999992</v>
      </c>
      <c r="C33" s="13">
        <v>787.99352799999997</v>
      </c>
      <c r="D33" s="13">
        <v>7.2840843157320005</v>
      </c>
      <c r="E33" s="13">
        <f t="shared" si="0"/>
        <v>804.64761231573198</v>
      </c>
      <c r="F33" s="5">
        <f t="shared" si="1"/>
        <v>718.50725803742193</v>
      </c>
      <c r="G33" s="5">
        <v>71.940354278309997</v>
      </c>
      <c r="H33" s="13">
        <f t="shared" si="2"/>
        <v>790.44761231573193</v>
      </c>
      <c r="I33" s="13">
        <v>498.62325803742209</v>
      </c>
      <c r="J33" s="21">
        <f>+I33/298.996</f>
        <v>1.6676586243208007</v>
      </c>
      <c r="K33" s="12">
        <v>21.17</v>
      </c>
      <c r="L33" s="13"/>
      <c r="M33" s="13"/>
      <c r="N33" s="13"/>
      <c r="O33" s="13"/>
    </row>
    <row r="34" spans="1:15">
      <c r="A34" s="4">
        <v>2007</v>
      </c>
      <c r="B34" s="5">
        <v>14.2</v>
      </c>
      <c r="C34" s="13">
        <v>820.78726799999993</v>
      </c>
      <c r="D34" s="13">
        <v>8.633134405349999</v>
      </c>
      <c r="E34" s="13">
        <f t="shared" si="0"/>
        <v>843.62040240534998</v>
      </c>
      <c r="F34" s="5">
        <f t="shared" si="1"/>
        <v>756.84678672630798</v>
      </c>
      <c r="G34" s="5">
        <v>72.869615679042013</v>
      </c>
      <c r="H34" s="13">
        <f t="shared" si="2"/>
        <v>829.71640240534998</v>
      </c>
      <c r="I34" s="13">
        <v>486.71278672630802</v>
      </c>
      <c r="J34" s="21">
        <f>+I34/302.004</f>
        <v>1.6116103982937577</v>
      </c>
      <c r="K34" s="12">
        <v>31.32</v>
      </c>
      <c r="L34" s="13"/>
      <c r="M34" s="13"/>
      <c r="N34" s="13"/>
      <c r="O34" s="13"/>
    </row>
    <row r="35" spans="1:15">
      <c r="A35" s="4">
        <v>2008</v>
      </c>
      <c r="B35" s="5">
        <v>13.904</v>
      </c>
      <c r="C35" s="13">
        <v>873.56340399999999</v>
      </c>
      <c r="D35" s="13">
        <v>6.9303196465020012</v>
      </c>
      <c r="E35" s="13">
        <f t="shared" si="0"/>
        <v>894.39772364650196</v>
      </c>
      <c r="F35" s="5">
        <f t="shared" si="1"/>
        <v>801.13594857445196</v>
      </c>
      <c r="G35" s="5">
        <v>81.120775072050023</v>
      </c>
      <c r="H35" s="13">
        <f t="shared" si="2"/>
        <v>882.256723646502</v>
      </c>
      <c r="I35" s="13">
        <v>317.43394857445196</v>
      </c>
      <c r="J35" s="21">
        <f>+I35/304.798</f>
        <v>1.041456796220618</v>
      </c>
      <c r="K35" s="12">
        <v>39.340000000000003</v>
      </c>
      <c r="L35" s="13"/>
      <c r="M35" s="13"/>
      <c r="N35" s="13"/>
      <c r="O35" s="13"/>
    </row>
    <row r="36" spans="1:15">
      <c r="A36" s="4">
        <v>2009</v>
      </c>
      <c r="B36" s="5">
        <v>12.141</v>
      </c>
      <c r="C36" s="13">
        <v>860.24881600000003</v>
      </c>
      <c r="D36" s="13">
        <v>16.553208075642001</v>
      </c>
      <c r="E36" s="13">
        <f t="shared" si="0"/>
        <v>888.94302407564203</v>
      </c>
      <c r="F36" s="5">
        <f t="shared" si="1"/>
        <v>787.97323087645805</v>
      </c>
      <c r="G36" s="5">
        <v>83.469793199183997</v>
      </c>
      <c r="H36" s="13">
        <f t="shared" si="2"/>
        <v>871.44302407564203</v>
      </c>
      <c r="I36" s="13">
        <v>447.67323087645798</v>
      </c>
      <c r="J36" s="21">
        <f>+I36/307.439</f>
        <v>1.4561367649402253</v>
      </c>
      <c r="K36" s="12">
        <v>26.81</v>
      </c>
      <c r="L36" s="13"/>
      <c r="M36" s="13"/>
      <c r="N36" s="13"/>
      <c r="O36" s="13"/>
    </row>
    <row r="37" spans="1:15">
      <c r="A37" s="4">
        <v>2010</v>
      </c>
      <c r="B37" s="5">
        <v>17.5</v>
      </c>
      <c r="C37" s="13">
        <v>840.12989199999993</v>
      </c>
      <c r="D37" s="13">
        <v>15.375547504925999</v>
      </c>
      <c r="E37" s="13">
        <f t="shared" si="0"/>
        <v>873.0054395049259</v>
      </c>
      <c r="F37" s="5">
        <f t="shared" si="1"/>
        <v>775.81970316725585</v>
      </c>
      <c r="G37" s="5">
        <v>71.580736337670004</v>
      </c>
      <c r="H37" s="13">
        <f t="shared" si="2"/>
        <v>847.40043950492588</v>
      </c>
      <c r="I37" s="13">
        <v>479.76326316725607</v>
      </c>
      <c r="J37" s="21">
        <f>+I37/310.062</f>
        <v>1.5473139667784381</v>
      </c>
      <c r="K37" s="12">
        <v>35.130000000000003</v>
      </c>
      <c r="L37" s="13"/>
      <c r="M37" s="13"/>
      <c r="N37" s="13"/>
      <c r="O37" s="13"/>
    </row>
    <row r="38" spans="1:15">
      <c r="A38" s="4">
        <v>2011</v>
      </c>
      <c r="B38" s="5">
        <v>25.605</v>
      </c>
      <c r="C38" s="13">
        <v>851.819164</v>
      </c>
      <c r="D38" s="13">
        <v>13.405772863475999</v>
      </c>
      <c r="E38" s="13">
        <f t="shared" si="0"/>
        <v>890.82993686347606</v>
      </c>
      <c r="F38" s="5">
        <f t="shared" si="1"/>
        <v>794.16272089824804</v>
      </c>
      <c r="G38" s="5">
        <v>76.66721596522801</v>
      </c>
      <c r="H38" s="13">
        <f t="shared" si="2"/>
        <v>870.82993686347606</v>
      </c>
      <c r="I38" s="21" t="s">
        <v>72</v>
      </c>
      <c r="J38" s="21" t="s">
        <v>72</v>
      </c>
      <c r="K38" s="12">
        <v>54.55</v>
      </c>
      <c r="L38" s="13"/>
      <c r="M38" s="13"/>
      <c r="N38" s="13"/>
      <c r="O38" s="13"/>
    </row>
    <row r="39" spans="1:15">
      <c r="A39" s="4">
        <v>2012</v>
      </c>
      <c r="B39" s="5">
        <v>20</v>
      </c>
      <c r="C39" s="13">
        <v>870.57829600000002</v>
      </c>
      <c r="D39" s="13">
        <v>14.309564266242001</v>
      </c>
      <c r="E39" s="13">
        <f t="shared" si="0"/>
        <v>904.887860266242</v>
      </c>
      <c r="F39" s="5">
        <f t="shared" si="1"/>
        <v>830.15700578213205</v>
      </c>
      <c r="G39" s="5">
        <v>54.730854484109997</v>
      </c>
      <c r="H39" s="13">
        <f t="shared" si="2"/>
        <v>884.887860266242</v>
      </c>
      <c r="I39" s="21" t="s">
        <v>72</v>
      </c>
      <c r="J39" s="21" t="s">
        <v>72</v>
      </c>
      <c r="K39" s="12">
        <v>53.87</v>
      </c>
      <c r="L39" s="13"/>
      <c r="M39" s="13"/>
      <c r="N39" s="13"/>
      <c r="O39" s="13"/>
    </row>
    <row r="40" spans="1:15">
      <c r="A40" s="4">
        <v>2013</v>
      </c>
      <c r="B40" s="5">
        <v>20</v>
      </c>
      <c r="C40" s="13">
        <v>867.08425999999997</v>
      </c>
      <c r="D40" s="13">
        <v>14.153479233264001</v>
      </c>
      <c r="E40" s="13">
        <f t="shared" si="0"/>
        <v>901.23773923326394</v>
      </c>
      <c r="F40" s="5">
        <f t="shared" si="1"/>
        <v>816.42700683949988</v>
      </c>
      <c r="G40" s="5">
        <v>64.810732393763999</v>
      </c>
      <c r="H40" s="13">
        <f t="shared" si="2"/>
        <v>881.23773923326394</v>
      </c>
      <c r="I40" s="21" t="s">
        <v>72</v>
      </c>
      <c r="J40" s="21" t="s">
        <v>72</v>
      </c>
      <c r="K40" s="12">
        <v>49.27</v>
      </c>
      <c r="L40" s="13"/>
      <c r="M40" s="13"/>
      <c r="N40" s="13"/>
      <c r="O40" s="13"/>
    </row>
    <row r="41" spans="1:15">
      <c r="A41" s="4">
        <v>2014</v>
      </c>
      <c r="B41" s="5">
        <v>20</v>
      </c>
      <c r="C41" s="13">
        <v>852.07024000000001</v>
      </c>
      <c r="D41" s="13">
        <v>16.192507665600001</v>
      </c>
      <c r="E41" s="13">
        <f t="shared" si="0"/>
        <v>888.26274766560005</v>
      </c>
      <c r="F41" s="5">
        <f t="shared" si="1"/>
        <v>821.10542011498001</v>
      </c>
      <c r="G41" s="5">
        <v>47.157327550619996</v>
      </c>
      <c r="H41" s="13">
        <f t="shared" si="2"/>
        <v>868.26274766560005</v>
      </c>
      <c r="I41" s="21" t="s">
        <v>72</v>
      </c>
      <c r="J41" s="21" t="s">
        <v>72</v>
      </c>
      <c r="K41" s="12">
        <v>43.36</v>
      </c>
      <c r="L41" s="13"/>
      <c r="M41" s="13"/>
      <c r="N41" s="13"/>
      <c r="O41" s="13"/>
    </row>
    <row r="42" spans="1:15">
      <c r="A42" s="4">
        <v>2015</v>
      </c>
      <c r="B42" s="102">
        <v>20</v>
      </c>
      <c r="C42" s="13">
        <v>914.89451199999996</v>
      </c>
      <c r="D42" s="13">
        <v>14.241337829208002</v>
      </c>
      <c r="E42" s="13">
        <f>SUM(B42:D42)</f>
        <v>949.13584982920793</v>
      </c>
      <c r="F42" s="5">
        <f t="shared" si="1"/>
        <v>896.93644210719594</v>
      </c>
      <c r="G42" s="5">
        <v>43.580407722011998</v>
      </c>
      <c r="H42" s="13">
        <f t="shared" si="2"/>
        <v>940.5168498292079</v>
      </c>
      <c r="I42" s="21" t="s">
        <v>72</v>
      </c>
      <c r="J42" s="21" t="s">
        <v>72</v>
      </c>
      <c r="K42" s="12">
        <v>30.17</v>
      </c>
      <c r="L42" s="13"/>
      <c r="M42" s="13"/>
      <c r="N42" s="13"/>
      <c r="O42" s="13"/>
    </row>
    <row r="43" spans="1:15">
      <c r="A43" s="4">
        <v>2016</v>
      </c>
      <c r="B43" s="5">
        <v>8.6189999999999998</v>
      </c>
      <c r="C43" s="13">
        <v>932.46078799999998</v>
      </c>
      <c r="D43" s="13">
        <v>10.378692375534001</v>
      </c>
      <c r="E43" s="13">
        <f t="shared" si="0"/>
        <v>951.45848037553401</v>
      </c>
      <c r="F43" s="5">
        <f t="shared" si="1"/>
        <v>901.39535744796001</v>
      </c>
      <c r="G43" s="5">
        <v>42.063122927574</v>
      </c>
      <c r="H43" s="13">
        <f t="shared" si="2"/>
        <v>943.45848037553401</v>
      </c>
      <c r="I43" s="21" t="s">
        <v>72</v>
      </c>
      <c r="J43" s="21" t="s">
        <v>72</v>
      </c>
      <c r="K43" s="12">
        <v>32.04</v>
      </c>
      <c r="L43" s="13"/>
      <c r="M43" s="13"/>
      <c r="N43" s="13"/>
      <c r="O43" s="13"/>
    </row>
    <row r="44" spans="1:15">
      <c r="A44" s="4">
        <v>2017</v>
      </c>
      <c r="B44" s="5">
        <v>8</v>
      </c>
      <c r="C44" s="148">
        <v>958.73691200000007</v>
      </c>
      <c r="D44" s="13">
        <v>12.802460416200001</v>
      </c>
      <c r="E44" s="13">
        <f>SUM(B44:D44)</f>
        <v>979.53937241620008</v>
      </c>
      <c r="F44" s="102">
        <f t="shared" si="1"/>
        <v>934.90324685104008</v>
      </c>
      <c r="G44" s="5">
        <v>37.877125565159993</v>
      </c>
      <c r="H44" s="13">
        <f t="shared" si="2"/>
        <v>972.78037241620007</v>
      </c>
      <c r="I44" s="26" t="s">
        <v>72</v>
      </c>
      <c r="J44" s="26" t="s">
        <v>72</v>
      </c>
      <c r="K44" s="12">
        <v>35.25333333333333</v>
      </c>
      <c r="L44" s="13"/>
      <c r="M44" s="13"/>
      <c r="N44" s="13"/>
      <c r="O44" s="149"/>
    </row>
    <row r="45" spans="1:15">
      <c r="A45" s="4">
        <v>2018</v>
      </c>
      <c r="B45" s="5">
        <v>6.7590000000000003</v>
      </c>
      <c r="C45" s="148">
        <v>986.50003200000015</v>
      </c>
      <c r="D45" s="13">
        <v>15.111361036799998</v>
      </c>
      <c r="E45" s="13">
        <f t="shared" ref="E45:E49" si="3">SUM(B45:D45)</f>
        <v>1008.3703930368001</v>
      </c>
      <c r="F45" s="102">
        <f t="shared" si="1"/>
        <v>960.47184834900008</v>
      </c>
      <c r="G45" s="5">
        <v>37.092544687800007</v>
      </c>
      <c r="H45" s="13">
        <f t="shared" si="2"/>
        <v>997.56439303680008</v>
      </c>
      <c r="I45" s="26" t="s">
        <v>72</v>
      </c>
      <c r="J45" s="26" t="s">
        <v>72</v>
      </c>
      <c r="K45" s="12">
        <v>32.552500000000002</v>
      </c>
      <c r="L45" s="54"/>
      <c r="M45" s="13"/>
      <c r="N45" s="13"/>
      <c r="O45" s="149"/>
    </row>
    <row r="46" spans="1:15">
      <c r="A46" s="4">
        <v>2019</v>
      </c>
      <c r="B46" s="5">
        <v>10.805999999999999</v>
      </c>
      <c r="C46" s="148">
        <v>1036.6697879999999</v>
      </c>
      <c r="D46" s="13">
        <v>13.725976572000002</v>
      </c>
      <c r="E46" s="13">
        <f t="shared" si="3"/>
        <v>1061.201764572</v>
      </c>
      <c r="F46" s="102">
        <f t="shared" si="1"/>
        <v>1005.6868864225999</v>
      </c>
      <c r="G46" s="5">
        <v>49.576878149400009</v>
      </c>
      <c r="H46" s="13">
        <f>E46-B47</f>
        <v>1055.2637645719999</v>
      </c>
      <c r="I46" s="26" t="s">
        <v>72</v>
      </c>
      <c r="J46" s="26" t="s">
        <v>72</v>
      </c>
      <c r="K46" s="26" t="s">
        <v>72</v>
      </c>
      <c r="L46" s="11"/>
      <c r="M46" s="13"/>
      <c r="N46" s="13"/>
      <c r="O46" s="149"/>
    </row>
    <row r="47" spans="1:15">
      <c r="A47" s="4">
        <v>2020</v>
      </c>
      <c r="B47" s="5">
        <v>5.9379999999999997</v>
      </c>
      <c r="C47" s="148">
        <v>1062.947844</v>
      </c>
      <c r="D47" s="13">
        <v>11.526204740400001</v>
      </c>
      <c r="E47" s="13">
        <f t="shared" si="3"/>
        <v>1080.4120487404002</v>
      </c>
      <c r="F47" s="102">
        <f t="shared" si="1"/>
        <v>1031.9164453308003</v>
      </c>
      <c r="G47" s="5">
        <v>39.896603409599997</v>
      </c>
      <c r="H47" s="13">
        <f>E47-B48</f>
        <v>1071.8130487404003</v>
      </c>
      <c r="I47" s="26" t="s">
        <v>72</v>
      </c>
      <c r="J47" s="26" t="s">
        <v>72</v>
      </c>
      <c r="K47" s="150">
        <v>36.9</v>
      </c>
      <c r="L47" s="54"/>
      <c r="M47" s="13"/>
      <c r="N47" s="13"/>
      <c r="O47" s="149"/>
    </row>
    <row r="48" spans="1:15">
      <c r="A48" s="4" t="s">
        <v>218</v>
      </c>
      <c r="B48" s="5">
        <v>8.5990000000000002</v>
      </c>
      <c r="C48" s="148">
        <v>1039.2892160000001</v>
      </c>
      <c r="D48" s="13">
        <v>16.860949056000003</v>
      </c>
      <c r="E48" s="13">
        <f t="shared" si="3"/>
        <v>1064.749165056</v>
      </c>
      <c r="F48" s="102">
        <f t="shared" si="1"/>
        <v>880.49637594720002</v>
      </c>
      <c r="G48" s="5">
        <v>179.3027891088</v>
      </c>
      <c r="H48" s="13">
        <f>E48-B49</f>
        <v>1059.799165056</v>
      </c>
      <c r="I48" s="26" t="s">
        <v>72</v>
      </c>
      <c r="J48" s="26" t="s">
        <v>72</v>
      </c>
      <c r="K48" s="150">
        <v>63.33</v>
      </c>
      <c r="L48" s="151"/>
      <c r="M48" s="11"/>
      <c r="N48" s="13"/>
      <c r="O48" s="149"/>
    </row>
    <row r="49" spans="1:15">
      <c r="A49" s="99" t="s">
        <v>219</v>
      </c>
      <c r="B49" s="53">
        <v>4.95</v>
      </c>
      <c r="C49" s="152">
        <v>1015.076608</v>
      </c>
      <c r="D49" s="48">
        <v>31.7055508308</v>
      </c>
      <c r="E49" s="48">
        <f t="shared" si="3"/>
        <v>1051.7321588308</v>
      </c>
      <c r="F49" s="153">
        <f t="shared" si="1"/>
        <v>987.255730922</v>
      </c>
      <c r="G49" s="53">
        <v>58.930427908800006</v>
      </c>
      <c r="H49" s="152">
        <f>E49-5.546</f>
        <v>1046.1861588308</v>
      </c>
      <c r="I49" s="34" t="s">
        <v>72</v>
      </c>
      <c r="J49" s="34" t="s">
        <v>72</v>
      </c>
      <c r="K49" s="49">
        <v>85</v>
      </c>
      <c r="L49" s="54"/>
      <c r="M49" s="11"/>
      <c r="N49" s="13"/>
      <c r="O49" s="149"/>
    </row>
    <row r="50" spans="1:15">
      <c r="A50" s="22" t="s">
        <v>175</v>
      </c>
      <c r="C50" s="13"/>
      <c r="D50" s="13"/>
      <c r="J50" s="20"/>
    </row>
    <row r="51" spans="1:15" ht="13.15" customHeight="1">
      <c r="A51" s="22" t="s">
        <v>167</v>
      </c>
      <c r="C51" s="13"/>
      <c r="D51" s="13"/>
      <c r="J51" s="20"/>
    </row>
    <row r="52" spans="1:15" ht="13.15" customHeight="1">
      <c r="A52" s="22" t="s">
        <v>166</v>
      </c>
      <c r="C52" s="13"/>
      <c r="D52" s="13"/>
      <c r="J52" s="20"/>
    </row>
    <row r="53" spans="1:15">
      <c r="A53" s="22" t="s">
        <v>220</v>
      </c>
      <c r="J53" s="20"/>
    </row>
    <row r="54" spans="1:15">
      <c r="A54" t="s">
        <v>221</v>
      </c>
      <c r="J54" s="20"/>
    </row>
    <row r="55" spans="1:15">
      <c r="A55" t="s">
        <v>222</v>
      </c>
      <c r="J55" s="20"/>
    </row>
    <row r="56" spans="1:15" ht="10.15" customHeight="1">
      <c r="K56" s="56" t="s">
        <v>191</v>
      </c>
      <c r="L56" s="33"/>
    </row>
    <row r="57" spans="1:15">
      <c r="H57" s="13"/>
    </row>
    <row r="58" spans="1:15">
      <c r="J58" s="20"/>
    </row>
    <row r="59" spans="1:15">
      <c r="J59" s="20"/>
    </row>
    <row r="60" spans="1:15">
      <c r="J60" s="20"/>
    </row>
    <row r="61" spans="1:15">
      <c r="J61" s="20"/>
    </row>
    <row r="62" spans="1:15">
      <c r="J62" s="20"/>
    </row>
    <row r="63" spans="1:15">
      <c r="J63" s="20"/>
    </row>
    <row r="64" spans="1:15">
      <c r="J64" s="20"/>
    </row>
    <row r="65" spans="10:10">
      <c r="J65" s="20"/>
    </row>
    <row r="66" spans="10:10">
      <c r="J66" s="20"/>
    </row>
    <row r="67" spans="10:10">
      <c r="J67" s="20"/>
    </row>
    <row r="68" spans="10:10">
      <c r="J68" s="20"/>
    </row>
    <row r="69" spans="10:10">
      <c r="J69" s="20"/>
    </row>
  </sheetData>
  <pageMargins left="0.7" right="0.7" top="0.75" bottom="0.75" header="0.3" footer="0.3"/>
  <pageSetup scale="74" firstPageNumber="41" orientation="portrait" useFirstPageNumber="1" r:id="rId1"/>
  <headerFooter alignWithMargins="0">
    <oddFooter>&amp;C&amp;P
Oil Crops Yearbook/OCS-2020
March 2020
Economic Research Service, USDA</oddFooter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C649C-3903-4250-96BD-7365DD14F1D0}">
  <sheetPr>
    <pageSetUpPr fitToPage="1"/>
  </sheetPr>
  <dimension ref="A1:N53"/>
  <sheetViews>
    <sheetView zoomScaleNormal="100" zoomScaleSheetLayoutView="100"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1.25"/>
  <cols>
    <col min="1" max="1" width="11.6640625" customWidth="1"/>
    <col min="2" max="9" width="11.83203125" customWidth="1"/>
    <col min="10" max="10" width="13.33203125" customWidth="1"/>
    <col min="11" max="11" width="11.83203125" customWidth="1"/>
    <col min="13" max="13" width="11.83203125" bestFit="1" customWidth="1"/>
    <col min="14" max="14" width="10" bestFit="1" customWidth="1"/>
  </cols>
  <sheetData>
    <row r="1" spans="1:11">
      <c r="A1" s="1" t="s">
        <v>223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3"/>
      <c r="B2" s="66"/>
      <c r="C2" s="59"/>
      <c r="D2" s="59" t="s">
        <v>25</v>
      </c>
      <c r="E2" s="65"/>
      <c r="F2" s="59"/>
      <c r="G2" s="59" t="s">
        <v>23</v>
      </c>
      <c r="H2" s="59"/>
      <c r="I2" s="59"/>
      <c r="J2" s="62" t="s">
        <v>59</v>
      </c>
      <c r="K2" s="63" t="s">
        <v>41</v>
      </c>
    </row>
    <row r="3" spans="1:11">
      <c r="A3" s="3" t="s">
        <v>60</v>
      </c>
      <c r="B3" s="63" t="s">
        <v>57</v>
      </c>
      <c r="C3" s="3" t="s">
        <v>83</v>
      </c>
      <c r="D3" s="3" t="s">
        <v>16</v>
      </c>
      <c r="E3" s="64" t="s">
        <v>0</v>
      </c>
      <c r="F3" s="3" t="s">
        <v>28</v>
      </c>
      <c r="G3" s="3" t="s">
        <v>17</v>
      </c>
      <c r="H3" s="3" t="s">
        <v>0</v>
      </c>
      <c r="I3" s="3" t="s">
        <v>63</v>
      </c>
      <c r="J3" s="63" t="s">
        <v>64</v>
      </c>
      <c r="K3" s="63"/>
    </row>
    <row r="4" spans="1:11">
      <c r="A4" s="59" t="s">
        <v>153</v>
      </c>
      <c r="B4" s="88" t="s">
        <v>58</v>
      </c>
      <c r="C4" s="59"/>
      <c r="D4" s="59"/>
      <c r="E4" s="65"/>
      <c r="F4" s="59"/>
      <c r="G4" s="59"/>
      <c r="H4" s="59"/>
      <c r="I4" s="59" t="s">
        <v>67</v>
      </c>
      <c r="J4" s="86" t="s">
        <v>101</v>
      </c>
      <c r="K4" s="66"/>
    </row>
    <row r="5" spans="1:11" ht="12" customHeight="1">
      <c r="A5" s="32"/>
      <c r="B5" s="32"/>
      <c r="C5" s="82"/>
      <c r="D5" s="82"/>
      <c r="E5" s="82"/>
      <c r="F5" s="82" t="s">
        <v>92</v>
      </c>
      <c r="G5" s="82"/>
      <c r="H5" s="82"/>
      <c r="I5" s="82"/>
      <c r="J5" s="81" t="s">
        <v>20</v>
      </c>
      <c r="K5" s="81" t="s">
        <v>82</v>
      </c>
    </row>
    <row r="6" spans="1:11" ht="12" customHeight="1">
      <c r="B6" s="35"/>
      <c r="C6" s="35"/>
      <c r="D6" s="35"/>
      <c r="E6" s="35"/>
      <c r="F6" s="35"/>
      <c r="G6" s="35"/>
      <c r="H6" s="35"/>
      <c r="I6" s="35"/>
      <c r="J6" s="3"/>
      <c r="K6" s="3"/>
    </row>
    <row r="7" spans="1:11">
      <c r="A7" s="4">
        <v>1980</v>
      </c>
      <c r="B7" s="8">
        <v>56.6</v>
      </c>
      <c r="C7" s="8">
        <v>1042.6400000000001</v>
      </c>
      <c r="D7" s="8">
        <v>0</v>
      </c>
      <c r="E7" s="8">
        <f>SUM(B7:D7)</f>
        <v>1099.24</v>
      </c>
      <c r="F7" s="8">
        <f>+H7-G7</f>
        <v>955.33999999999992</v>
      </c>
      <c r="G7" s="8">
        <v>88</v>
      </c>
      <c r="H7" s="8">
        <f t="shared" ref="H7:H45" si="0">E7-B8</f>
        <v>1043.3399999999999</v>
      </c>
      <c r="I7" s="8">
        <v>241</v>
      </c>
      <c r="J7" s="21">
        <f>+I7/227.726</f>
        <v>1.0582893477248976</v>
      </c>
      <c r="K7" s="12">
        <v>21.55</v>
      </c>
    </row>
    <row r="8" spans="1:11">
      <c r="A8" s="4">
        <v>1981</v>
      </c>
      <c r="B8" s="8">
        <v>55.9</v>
      </c>
      <c r="C8" s="8">
        <v>1130.0739999999998</v>
      </c>
      <c r="D8" s="8">
        <v>0</v>
      </c>
      <c r="E8" s="8">
        <f t="shared" ref="E8:E49" si="1">SUM(B8:D8)</f>
        <v>1185.9739999999999</v>
      </c>
      <c r="F8" s="8">
        <f t="shared" ref="F8:F46" si="2">+H8-G8</f>
        <v>990.07399999999984</v>
      </c>
      <c r="G8" s="8">
        <v>142</v>
      </c>
      <c r="H8" s="8">
        <f t="shared" si="0"/>
        <v>1132.0739999999998</v>
      </c>
      <c r="I8" s="8">
        <v>223</v>
      </c>
      <c r="J8" s="21">
        <f>+I8/229.966</f>
        <v>0.96970856561404728</v>
      </c>
      <c r="K8" s="12">
        <v>30.25</v>
      </c>
    </row>
    <row r="9" spans="1:11">
      <c r="A9" s="4">
        <v>1982</v>
      </c>
      <c r="B9" s="8">
        <v>53.9</v>
      </c>
      <c r="C9" s="8">
        <v>1109.9669999999999</v>
      </c>
      <c r="D9" s="8">
        <v>0</v>
      </c>
      <c r="E9" s="8">
        <f t="shared" si="1"/>
        <v>1163.867</v>
      </c>
      <c r="F9" s="8">
        <f t="shared" si="2"/>
        <v>1030.1779999999999</v>
      </c>
      <c r="G9" s="8">
        <v>74.88900000000001</v>
      </c>
      <c r="H9" s="8">
        <f t="shared" si="0"/>
        <v>1105.067</v>
      </c>
      <c r="I9" s="8">
        <v>303.892</v>
      </c>
      <c r="J9" s="21">
        <f>+I9/232.188</f>
        <v>1.3088187158681759</v>
      </c>
      <c r="K9" s="12">
        <v>20.719916666666666</v>
      </c>
    </row>
    <row r="10" spans="1:11">
      <c r="A10" s="4">
        <v>1983</v>
      </c>
      <c r="B10" s="8">
        <v>58.8</v>
      </c>
      <c r="C10" s="8">
        <v>1260.163</v>
      </c>
      <c r="D10" s="8">
        <v>0</v>
      </c>
      <c r="E10" s="8">
        <f t="shared" si="1"/>
        <v>1318.963</v>
      </c>
      <c r="F10" s="8">
        <f>+H10-G10</f>
        <v>1172.6679999999999</v>
      </c>
      <c r="G10" s="8">
        <v>103.79500000000002</v>
      </c>
      <c r="H10" s="8">
        <f t="shared" si="0"/>
        <v>1276.463</v>
      </c>
      <c r="I10" s="8">
        <v>495.51679999999999</v>
      </c>
      <c r="J10" s="21">
        <f>+I10/234.307</f>
        <v>2.1148185927010292</v>
      </c>
      <c r="K10" s="12">
        <v>18.820805555555555</v>
      </c>
    </row>
    <row r="11" spans="1:11">
      <c r="A11" s="4">
        <v>1984</v>
      </c>
      <c r="B11" s="8">
        <v>42.5</v>
      </c>
      <c r="C11" s="8">
        <v>1337.81</v>
      </c>
      <c r="D11" s="8">
        <v>7.9129999999999994</v>
      </c>
      <c r="E11" s="8">
        <f t="shared" si="1"/>
        <v>1388.223</v>
      </c>
      <c r="F11" s="8">
        <f t="shared" si="2"/>
        <v>1298.836</v>
      </c>
      <c r="G11" s="8">
        <v>53.186999999999998</v>
      </c>
      <c r="H11" s="8">
        <f t="shared" si="0"/>
        <v>1352.0229999999999</v>
      </c>
      <c r="I11" s="8">
        <v>410.29100000000011</v>
      </c>
      <c r="J11" s="21">
        <f>+I11/236.348</f>
        <v>1.7359613789835331</v>
      </c>
      <c r="K11" s="12">
        <v>28.503125000000001</v>
      </c>
    </row>
    <row r="12" spans="1:11">
      <c r="A12" s="4">
        <v>1985</v>
      </c>
      <c r="B12" s="8">
        <v>36.200000000000003</v>
      </c>
      <c r="C12" s="8">
        <v>1610.713</v>
      </c>
      <c r="D12" s="8">
        <v>7.8890000000000002</v>
      </c>
      <c r="E12" s="8">
        <f t="shared" si="1"/>
        <v>1654.8019999999999</v>
      </c>
      <c r="F12" s="8">
        <f>+H12-G12</f>
        <v>1539.7449999999999</v>
      </c>
      <c r="G12" s="8">
        <v>74.557000000000002</v>
      </c>
      <c r="H12" s="8">
        <f t="shared" si="0"/>
        <v>1614.3019999999999</v>
      </c>
      <c r="I12" s="8">
        <v>471.11299999999994</v>
      </c>
      <c r="J12" s="21">
        <f>+I12/238.466</f>
        <v>1.9755981984853184</v>
      </c>
      <c r="K12" s="12">
        <v>20.136458333333334</v>
      </c>
    </row>
    <row r="13" spans="1:11">
      <c r="A13" s="4">
        <v>1986</v>
      </c>
      <c r="B13" s="8">
        <v>40.5</v>
      </c>
      <c r="C13" s="8">
        <v>1523.066</v>
      </c>
      <c r="D13" s="8">
        <v>4.8279999999999994</v>
      </c>
      <c r="E13" s="8">
        <f t="shared" si="1"/>
        <v>1568.394</v>
      </c>
      <c r="F13" s="8">
        <f t="shared" si="2"/>
        <v>1478.057</v>
      </c>
      <c r="G13" s="8">
        <v>57.537000000000013</v>
      </c>
      <c r="H13" s="8">
        <f t="shared" si="0"/>
        <v>1535.5940000000001</v>
      </c>
      <c r="I13" s="8">
        <v>437.50499999999994</v>
      </c>
      <c r="J13" s="21">
        <f>+I13/240.651</f>
        <v>1.8180061582956228</v>
      </c>
      <c r="K13" s="12">
        <v>13.48958333333333</v>
      </c>
    </row>
    <row r="14" spans="1:11">
      <c r="A14" s="4">
        <v>1987</v>
      </c>
      <c r="B14" s="8">
        <v>32.799999999999997</v>
      </c>
      <c r="C14" s="8">
        <v>1257.9789999999998</v>
      </c>
      <c r="D14" s="8">
        <v>4.9450000000000003</v>
      </c>
      <c r="E14" s="8">
        <f t="shared" si="1"/>
        <v>1295.7239999999997</v>
      </c>
      <c r="F14" s="8">
        <f t="shared" si="2"/>
        <v>1192.0439999999999</v>
      </c>
      <c r="G14" s="8">
        <v>64.080000000000013</v>
      </c>
      <c r="H14" s="8">
        <f t="shared" si="0"/>
        <v>1256.1239999999998</v>
      </c>
      <c r="I14" s="8">
        <v>226.04100000000005</v>
      </c>
      <c r="J14" s="21">
        <f>+I14/242.804</f>
        <v>0.93096077494604723</v>
      </c>
      <c r="K14" s="12">
        <v>15.606472222222223</v>
      </c>
    </row>
    <row r="15" spans="1:11">
      <c r="A15" s="4">
        <v>1988</v>
      </c>
      <c r="B15" s="8">
        <v>39.6</v>
      </c>
      <c r="C15" s="8">
        <v>1296.213</v>
      </c>
      <c r="D15" s="8">
        <v>2.3449999999999998</v>
      </c>
      <c r="E15" s="8">
        <f t="shared" si="1"/>
        <v>1338.1579999999999</v>
      </c>
      <c r="F15" s="8">
        <f t="shared" si="2"/>
        <v>1156.7670000000001</v>
      </c>
      <c r="G15" s="8">
        <v>133.09099999999998</v>
      </c>
      <c r="H15" s="8">
        <f t="shared" si="0"/>
        <v>1289.8579999999999</v>
      </c>
      <c r="I15" s="8">
        <v>205.30899999999997</v>
      </c>
      <c r="J15" s="21">
        <f>+I15/245.021</f>
        <v>0.83792409630194953</v>
      </c>
      <c r="K15" s="12">
        <v>17.762541666666667</v>
      </c>
    </row>
    <row r="16" spans="1:11">
      <c r="A16" s="4">
        <v>1989</v>
      </c>
      <c r="B16" s="8">
        <v>48.3</v>
      </c>
      <c r="C16" s="8">
        <v>1156.913</v>
      </c>
      <c r="D16" s="8">
        <v>0.26470896354000001</v>
      </c>
      <c r="E16" s="8">
        <f t="shared" si="1"/>
        <v>1205.47770896354</v>
      </c>
      <c r="F16" s="8">
        <f t="shared" si="2"/>
        <v>965.28289001238784</v>
      </c>
      <c r="G16" s="8">
        <v>201.794818951152</v>
      </c>
      <c r="H16" s="8">
        <f t="shared" si="0"/>
        <v>1167.0777089635399</v>
      </c>
      <c r="I16" s="8">
        <v>63.101890012387862</v>
      </c>
      <c r="J16" s="21">
        <f>+I16/247.342</f>
        <v>0.25511999584537953</v>
      </c>
      <c r="K16" s="12">
        <v>16.088888888888892</v>
      </c>
    </row>
    <row r="17" spans="1:11">
      <c r="A17" s="4">
        <v>1990</v>
      </c>
      <c r="B17" s="8">
        <v>38.4</v>
      </c>
      <c r="C17" s="8">
        <v>1206.7470000000001</v>
      </c>
      <c r="D17" s="8">
        <v>6.234327094968001</v>
      </c>
      <c r="E17" s="8">
        <f t="shared" si="1"/>
        <v>1251.3813270949681</v>
      </c>
      <c r="F17" s="8">
        <f t="shared" si="2"/>
        <v>962.54561133128414</v>
      </c>
      <c r="G17" s="8">
        <v>251.59371576368403</v>
      </c>
      <c r="H17" s="8">
        <f t="shared" si="0"/>
        <v>1214.1393270949682</v>
      </c>
      <c r="I17" s="8">
        <v>154.24861133128394</v>
      </c>
      <c r="J17" s="21">
        <f>+I17/250.132</f>
        <v>0.61666884417541112</v>
      </c>
      <c r="K17" s="12">
        <v>21.263333333333332</v>
      </c>
    </row>
    <row r="18" spans="1:11">
      <c r="A18" s="4">
        <v>1991</v>
      </c>
      <c r="B18" s="8">
        <v>37.241999999999997</v>
      </c>
      <c r="C18" s="8">
        <v>1251.3</v>
      </c>
      <c r="D18" s="8">
        <v>10.794252128438</v>
      </c>
      <c r="E18" s="8">
        <f t="shared" si="1"/>
        <v>1299.336252128438</v>
      </c>
      <c r="F18" s="8">
        <f t="shared" si="2"/>
        <v>975.46847739085194</v>
      </c>
      <c r="G18" s="8">
        <v>285.167774737586</v>
      </c>
      <c r="H18" s="8">
        <f t="shared" si="0"/>
        <v>1260.6362521284379</v>
      </c>
      <c r="I18" s="8">
        <v>363.86847739085215</v>
      </c>
      <c r="J18" s="21">
        <f>+I18/253.493</f>
        <v>1.435418245832635</v>
      </c>
      <c r="K18" s="12">
        <v>14.265875000000001</v>
      </c>
    </row>
    <row r="19" spans="1:11">
      <c r="A19" s="4">
        <v>1992</v>
      </c>
      <c r="B19" s="8">
        <v>38.700000000000003</v>
      </c>
      <c r="C19" s="8">
        <v>1526.7</v>
      </c>
      <c r="D19" s="8">
        <v>5.5068920000000006</v>
      </c>
      <c r="E19" s="8">
        <f t="shared" si="1"/>
        <v>1570.9068920000002</v>
      </c>
      <c r="F19" s="8">
        <f t="shared" si="2"/>
        <v>1205.0472930000003</v>
      </c>
      <c r="G19" s="8">
        <v>332.58659899999998</v>
      </c>
      <c r="H19" s="8">
        <f t="shared" si="0"/>
        <v>1537.6338920000003</v>
      </c>
      <c r="I19" s="8">
        <v>609.84729300000004</v>
      </c>
      <c r="J19" s="21">
        <f>+I19/256.894</f>
        <v>2.3739257942964804</v>
      </c>
      <c r="K19" s="12">
        <v>15.539791666666668</v>
      </c>
    </row>
    <row r="20" spans="1:11">
      <c r="A20" s="4">
        <v>1993</v>
      </c>
      <c r="B20" s="8">
        <v>33.273000000000003</v>
      </c>
      <c r="C20" s="8">
        <v>1425.2</v>
      </c>
      <c r="D20" s="8">
        <v>11.819735999999999</v>
      </c>
      <c r="E20" s="8">
        <f t="shared" si="1"/>
        <v>1470.2927359999999</v>
      </c>
      <c r="F20" s="8">
        <f t="shared" si="2"/>
        <v>1127.0699839999997</v>
      </c>
      <c r="G20" s="8">
        <v>310.02275199999997</v>
      </c>
      <c r="H20" s="8">
        <f t="shared" si="0"/>
        <v>1437.0927359999998</v>
      </c>
      <c r="I20" s="8">
        <v>564.96998399999995</v>
      </c>
      <c r="J20" s="21">
        <f>+I20/260.255</f>
        <v>2.1708323913085241</v>
      </c>
      <c r="K20" s="12">
        <v>16.201666666666668</v>
      </c>
    </row>
    <row r="21" spans="1:11">
      <c r="A21" s="4">
        <v>1994</v>
      </c>
      <c r="B21" s="8">
        <v>33.200000000000003</v>
      </c>
      <c r="C21" s="8">
        <v>1557.2</v>
      </c>
      <c r="D21" s="8">
        <v>16.05078</v>
      </c>
      <c r="E21" s="8">
        <f t="shared" si="1"/>
        <v>1606.4507800000001</v>
      </c>
      <c r="F21" s="8">
        <f t="shared" si="2"/>
        <v>1275.4760690000003</v>
      </c>
      <c r="G21" s="8">
        <v>294.703711</v>
      </c>
      <c r="H21" s="8">
        <f t="shared" si="0"/>
        <v>1570.1797800000002</v>
      </c>
      <c r="I21" s="8">
        <v>639.17606899999976</v>
      </c>
      <c r="J21" s="21">
        <f>+I21/263.436</f>
        <v>2.4263049431360932</v>
      </c>
      <c r="K21" s="12">
        <v>18.420499999999997</v>
      </c>
    </row>
    <row r="22" spans="1:11">
      <c r="A22" s="4">
        <v>1995</v>
      </c>
      <c r="B22" s="8">
        <v>36.271000000000001</v>
      </c>
      <c r="C22" s="8">
        <v>1536.2570000000001</v>
      </c>
      <c r="D22" s="8">
        <v>18.049033000000001</v>
      </c>
      <c r="E22" s="8">
        <f t="shared" si="1"/>
        <v>1590.577033</v>
      </c>
      <c r="F22" s="8">
        <f t="shared" si="2"/>
        <v>1268.2285649999999</v>
      </c>
      <c r="G22" s="8">
        <v>279.29146800000001</v>
      </c>
      <c r="H22" s="8">
        <f t="shared" si="0"/>
        <v>1547.520033</v>
      </c>
      <c r="I22" s="8">
        <v>710.52456499999994</v>
      </c>
      <c r="J22" s="21">
        <f>+I22/266.557</f>
        <v>2.6655633316701488</v>
      </c>
      <c r="K22" s="12">
        <v>21.347291666666663</v>
      </c>
    </row>
    <row r="23" spans="1:11">
      <c r="A23" s="4">
        <v>1996</v>
      </c>
      <c r="B23" s="8">
        <v>43.057000000000002</v>
      </c>
      <c r="C23" s="8">
        <v>1519.6</v>
      </c>
      <c r="D23" s="8">
        <v>5.3267690000000005</v>
      </c>
      <c r="E23" s="8">
        <f t="shared" si="1"/>
        <v>1567.9837689999999</v>
      </c>
      <c r="F23" s="8">
        <f t="shared" si="2"/>
        <v>1305.424485</v>
      </c>
      <c r="G23" s="8">
        <v>229.24128400000001</v>
      </c>
      <c r="H23" s="8">
        <f t="shared" si="0"/>
        <v>1534.665769</v>
      </c>
      <c r="I23" s="8">
        <v>784.40548499999989</v>
      </c>
      <c r="J23" s="21">
        <f>+I23/269.667</f>
        <v>2.9087930113807028</v>
      </c>
      <c r="K23" s="12">
        <v>22.033333333333335</v>
      </c>
    </row>
    <row r="24" spans="1:11">
      <c r="A24" s="4">
        <v>1997</v>
      </c>
      <c r="B24" s="8">
        <v>33.317999999999998</v>
      </c>
      <c r="C24" s="8">
        <v>1416.2230000000004</v>
      </c>
      <c r="D24" s="8">
        <v>5.7592214426000004</v>
      </c>
      <c r="E24" s="8">
        <f t="shared" si="1"/>
        <v>1455.3002214426003</v>
      </c>
      <c r="F24" s="8">
        <f t="shared" si="2"/>
        <v>1223.0754429308204</v>
      </c>
      <c r="G24" s="8">
        <v>184.86077851178001</v>
      </c>
      <c r="H24" s="8">
        <f t="shared" si="0"/>
        <v>1407.9362214426003</v>
      </c>
      <c r="I24" s="8">
        <v>580.32344293081997</v>
      </c>
      <c r="J24" s="21">
        <f>+I24/272.912</f>
        <v>2.1264123341253591</v>
      </c>
      <c r="K24" s="12">
        <v>23.454166666666666</v>
      </c>
    </row>
    <row r="25" spans="1:11">
      <c r="A25" s="4">
        <v>1998</v>
      </c>
      <c r="B25" s="8">
        <v>47.363999999999997</v>
      </c>
      <c r="C25" s="8">
        <v>1536.7909999999999</v>
      </c>
      <c r="D25" s="8">
        <v>2.2793873458859997</v>
      </c>
      <c r="E25" s="8">
        <f t="shared" si="1"/>
        <v>1586.4343873458861</v>
      </c>
      <c r="F25" s="8">
        <f t="shared" si="2"/>
        <v>1300.838662770394</v>
      </c>
      <c r="G25" s="8">
        <v>246.47472457549202</v>
      </c>
      <c r="H25" s="8">
        <f t="shared" si="0"/>
        <v>1547.313387345886</v>
      </c>
      <c r="I25" s="8">
        <v>868.33866277039419</v>
      </c>
      <c r="J25" s="21">
        <f>+I25/276.115</f>
        <v>3.1448442234952618</v>
      </c>
      <c r="K25" s="12">
        <v>19.051666666666669</v>
      </c>
    </row>
    <row r="26" spans="1:11">
      <c r="A26" s="4">
        <v>1999</v>
      </c>
      <c r="B26" s="8">
        <v>39.121000000000002</v>
      </c>
      <c r="C26" s="8">
        <v>1729.2600000000002</v>
      </c>
      <c r="D26" s="8">
        <v>6.7996076081220007</v>
      </c>
      <c r="E26" s="8">
        <f t="shared" si="1"/>
        <v>1775.1806076081223</v>
      </c>
      <c r="F26" s="8">
        <f t="shared" si="2"/>
        <v>1424.8409544453702</v>
      </c>
      <c r="G26" s="8">
        <v>317.06965316275205</v>
      </c>
      <c r="H26" s="8">
        <f t="shared" si="0"/>
        <v>1741.9106076081223</v>
      </c>
      <c r="I26" s="8">
        <v>996.31295444537</v>
      </c>
      <c r="J26" s="21">
        <f>+I26/279.295</f>
        <v>3.5672423582426105</v>
      </c>
      <c r="K26" s="12">
        <v>15.112499999999999</v>
      </c>
    </row>
    <row r="27" spans="1:11">
      <c r="A27" s="4">
        <v>2000</v>
      </c>
      <c r="B27" s="8">
        <v>33.270000000000003</v>
      </c>
      <c r="C27" s="8">
        <v>1824.9999999999998</v>
      </c>
      <c r="D27" s="8">
        <v>7.42643455365</v>
      </c>
      <c r="E27" s="8">
        <f t="shared" si="1"/>
        <v>1865.6964345536499</v>
      </c>
      <c r="F27" s="8">
        <f t="shared" si="2"/>
        <v>1581.3553811645218</v>
      </c>
      <c r="G27" s="8">
        <v>247.64105338912799</v>
      </c>
      <c r="H27" s="8">
        <f t="shared" si="0"/>
        <v>1828.9964345536498</v>
      </c>
      <c r="I27" s="8">
        <v>1125.094381164522</v>
      </c>
      <c r="J27" s="21">
        <f>+I27/282.385</f>
        <v>3.9842568874569189</v>
      </c>
      <c r="K27" s="12">
        <v>11.657499999999999</v>
      </c>
    </row>
    <row r="28" spans="1:11">
      <c r="A28" s="4">
        <v>2001</v>
      </c>
      <c r="B28" s="8">
        <v>36.700000000000003</v>
      </c>
      <c r="C28" s="8">
        <v>1791.6869999999999</v>
      </c>
      <c r="D28" s="8">
        <v>31.133017111266003</v>
      </c>
      <c r="E28" s="8">
        <f t="shared" si="1"/>
        <v>1859.520017111266</v>
      </c>
      <c r="F28" s="8">
        <f t="shared" si="2"/>
        <v>1454.808993891766</v>
      </c>
      <c r="G28" s="8">
        <v>364.45102321950003</v>
      </c>
      <c r="H28" s="8">
        <f t="shared" si="0"/>
        <v>1819.2600171112661</v>
      </c>
      <c r="I28" s="8">
        <v>868.68999389176588</v>
      </c>
      <c r="J28" s="21">
        <f>+I28/285.309</f>
        <v>3.0447339337061425</v>
      </c>
      <c r="K28" s="12">
        <v>13.713333333333333</v>
      </c>
    </row>
    <row r="29" spans="1:11">
      <c r="A29" s="4">
        <v>2002</v>
      </c>
      <c r="B29" s="8">
        <v>40.26</v>
      </c>
      <c r="C29" s="8">
        <v>1974.1110000000001</v>
      </c>
      <c r="D29" s="8">
        <v>8.7088014416340016</v>
      </c>
      <c r="E29" s="8">
        <f t="shared" si="1"/>
        <v>2023.0798014416341</v>
      </c>
      <c r="F29" s="8">
        <f t="shared" si="2"/>
        <v>1486.3612354224001</v>
      </c>
      <c r="G29" s="8">
        <v>511.45256601923398</v>
      </c>
      <c r="H29" s="8">
        <f t="shared" si="0"/>
        <v>1997.813801441634</v>
      </c>
      <c r="I29" s="8">
        <v>973.59023542239993</v>
      </c>
      <c r="J29" s="21">
        <f>+I29/288.105</f>
        <v>3.3792896180989564</v>
      </c>
      <c r="K29" s="12">
        <v>14.799999999999999</v>
      </c>
    </row>
    <row r="30" spans="1:11">
      <c r="A30" s="4">
        <v>2003</v>
      </c>
      <c r="B30" s="8">
        <v>25.265999999999998</v>
      </c>
      <c r="C30" s="8">
        <v>1965.7079999999999</v>
      </c>
      <c r="D30" s="8">
        <v>4.6857895790579995</v>
      </c>
      <c r="E30" s="8">
        <f t="shared" si="1"/>
        <v>1995.659789579058</v>
      </c>
      <c r="F30" s="8">
        <f t="shared" si="2"/>
        <v>1552.3566775052323</v>
      </c>
      <c r="G30" s="8">
        <v>419.70311207382599</v>
      </c>
      <c r="H30" s="8">
        <f t="shared" si="0"/>
        <v>1972.0597895790581</v>
      </c>
      <c r="I30" s="8">
        <v>1107.6326775052321</v>
      </c>
      <c r="J30" s="21">
        <f>+I30/290.82</f>
        <v>3.808653729128781</v>
      </c>
      <c r="K30" s="12">
        <v>20.341666666666665</v>
      </c>
    </row>
    <row r="31" spans="1:11">
      <c r="A31" s="4">
        <v>2004</v>
      </c>
      <c r="B31" s="8">
        <v>23.6</v>
      </c>
      <c r="C31" s="8">
        <v>1817.691</v>
      </c>
      <c r="D31" s="8">
        <v>0.96644455538399998</v>
      </c>
      <c r="E31" s="8">
        <f t="shared" si="1"/>
        <v>1842.2574445553839</v>
      </c>
      <c r="F31" s="8">
        <f t="shared" si="2"/>
        <v>1564.5349549963098</v>
      </c>
      <c r="G31" s="8">
        <v>255.37848955907401</v>
      </c>
      <c r="H31" s="8">
        <f t="shared" si="0"/>
        <v>1819.9134445553839</v>
      </c>
      <c r="I31" s="8">
        <v>1163.2779549963097</v>
      </c>
      <c r="J31" s="21">
        <f>+I31/293.463</f>
        <v>3.9639680470666137</v>
      </c>
      <c r="K31" s="12">
        <v>19.741666666666667</v>
      </c>
    </row>
    <row r="32" spans="1:11">
      <c r="A32" s="4">
        <v>2005</v>
      </c>
      <c r="B32" s="8">
        <v>22.344000000000001</v>
      </c>
      <c r="C32" s="8">
        <v>1812.5000000000002</v>
      </c>
      <c r="D32" s="8">
        <v>1.0410136899120002</v>
      </c>
      <c r="E32" s="8">
        <f t="shared" si="1"/>
        <v>1835.8850136899123</v>
      </c>
      <c r="F32" s="8">
        <f t="shared" si="2"/>
        <v>1517.7210791812004</v>
      </c>
      <c r="G32" s="8">
        <v>293.45193450871199</v>
      </c>
      <c r="H32" s="8">
        <f t="shared" si="0"/>
        <v>1811.1730136899123</v>
      </c>
      <c r="I32" s="8">
        <v>1115.7740791812</v>
      </c>
      <c r="J32" s="21">
        <f>+I32/296.186</f>
        <v>3.7671398350401439</v>
      </c>
      <c r="K32" s="12">
        <v>19.139999999999997</v>
      </c>
    </row>
    <row r="33" spans="1:14">
      <c r="A33" s="4">
        <v>2006</v>
      </c>
      <c r="B33" s="8">
        <v>24.712</v>
      </c>
      <c r="C33" s="8">
        <v>1861.2999999999997</v>
      </c>
      <c r="D33" s="8">
        <v>6.519677934294001</v>
      </c>
      <c r="E33" s="8">
        <f t="shared" si="1"/>
        <v>1892.5316779342936</v>
      </c>
      <c r="F33" s="8">
        <f t="shared" si="2"/>
        <v>1583.0290713755737</v>
      </c>
      <c r="G33" s="8">
        <v>274.90260655871998</v>
      </c>
      <c r="H33" s="8">
        <f t="shared" si="0"/>
        <v>1857.9316779342937</v>
      </c>
      <c r="I33" s="8">
        <v>1160.452071375574</v>
      </c>
      <c r="J33" s="21">
        <f>+I33/298.996</f>
        <v>3.881162528514007</v>
      </c>
      <c r="K33" s="12">
        <v>18.740833333333331</v>
      </c>
    </row>
    <row r="34" spans="1:14">
      <c r="A34" s="4">
        <v>2007</v>
      </c>
      <c r="B34" s="8">
        <v>34.6</v>
      </c>
      <c r="C34" s="8">
        <v>1788.9390000000001</v>
      </c>
      <c r="D34" s="8">
        <v>7.4656415512979999</v>
      </c>
      <c r="E34" s="8">
        <f t="shared" si="1"/>
        <v>1831.0046415512979</v>
      </c>
      <c r="F34" s="8">
        <f t="shared" si="2"/>
        <v>1403.931995104268</v>
      </c>
      <c r="G34" s="8">
        <v>388.19064644702996</v>
      </c>
      <c r="H34" s="8">
        <f t="shared" si="0"/>
        <v>1792.1226415512979</v>
      </c>
      <c r="I34" s="8">
        <v>889.44699510426767</v>
      </c>
      <c r="J34" s="21">
        <f>+I34/302.004</f>
        <v>2.945149716905298</v>
      </c>
      <c r="K34" s="12">
        <v>30.757500000000004</v>
      </c>
    </row>
    <row r="35" spans="1:14">
      <c r="A35" s="4">
        <v>2008</v>
      </c>
      <c r="B35" s="8">
        <v>38.881999999999998</v>
      </c>
      <c r="C35" s="8">
        <v>1793.7999999999997</v>
      </c>
      <c r="D35" s="8">
        <v>30.284713839618</v>
      </c>
      <c r="E35" s="8">
        <f t="shared" si="1"/>
        <v>1862.9667138396178</v>
      </c>
      <c r="F35" s="8">
        <f t="shared" si="2"/>
        <v>1648.1578205958319</v>
      </c>
      <c r="G35" s="8">
        <v>185.30589324378602</v>
      </c>
      <c r="H35" s="8">
        <f t="shared" si="0"/>
        <v>1833.4637138396179</v>
      </c>
      <c r="I35" s="8">
        <v>896.26082059583189</v>
      </c>
      <c r="J35" s="21">
        <f>+I35/304.798</f>
        <v>2.9405075512169763</v>
      </c>
      <c r="K35" s="12">
        <v>38.055833333333339</v>
      </c>
    </row>
    <row r="36" spans="1:14">
      <c r="A36" s="4">
        <v>2009</v>
      </c>
      <c r="B36" s="8">
        <v>29.503</v>
      </c>
      <c r="C36" s="8">
        <v>1837.3</v>
      </c>
      <c r="D36" s="8">
        <v>35.888933511521998</v>
      </c>
      <c r="E36" s="8">
        <f t="shared" si="1"/>
        <v>1902.6919335115219</v>
      </c>
      <c r="F36" s="8">
        <f t="shared" si="2"/>
        <v>1710.1766933281838</v>
      </c>
      <c r="G36" s="8">
        <v>161.81524018333801</v>
      </c>
      <c r="H36" s="8">
        <f t="shared" si="0"/>
        <v>1871.9919335115219</v>
      </c>
      <c r="I36" s="8">
        <v>211.57369332818405</v>
      </c>
      <c r="J36" s="21">
        <f>+I36/307.439</f>
        <v>0.68818104836466432</v>
      </c>
      <c r="K36" s="12">
        <v>27.522499999999997</v>
      </c>
    </row>
    <row r="37" spans="1:14">
      <c r="A37" s="4">
        <v>2010</v>
      </c>
      <c r="B37" s="8">
        <v>30.7</v>
      </c>
      <c r="C37" s="8">
        <v>1859.34608</v>
      </c>
      <c r="D37" s="8">
        <v>23.258830443281997</v>
      </c>
      <c r="E37" s="8">
        <f t="shared" si="1"/>
        <v>1913.3049104432821</v>
      </c>
      <c r="F37" s="8">
        <f t="shared" si="2"/>
        <v>1692.9546697296</v>
      </c>
      <c r="G37" s="8">
        <v>182.74824071368201</v>
      </c>
      <c r="H37" s="8">
        <f t="shared" si="0"/>
        <v>1875.702910443282</v>
      </c>
      <c r="I37" s="8">
        <v>1050.0342197296</v>
      </c>
      <c r="J37" s="21">
        <f>+I37/309.348193</f>
        <v>3.3943441193128288</v>
      </c>
      <c r="K37" s="12">
        <v>35.302500000000002</v>
      </c>
    </row>
    <row r="38" spans="1:14">
      <c r="A38" s="4">
        <v>2011</v>
      </c>
      <c r="B38" s="8">
        <v>37.601999999999997</v>
      </c>
      <c r="C38" s="8">
        <v>2050.1001679999999</v>
      </c>
      <c r="D38" s="8">
        <v>28.790562143825998</v>
      </c>
      <c r="E38" s="8">
        <f t="shared" si="1"/>
        <v>2116.4927301438256</v>
      </c>
      <c r="F38" s="8">
        <f t="shared" si="2"/>
        <v>1954.1203600709175</v>
      </c>
      <c r="G38" s="8">
        <v>132.37237007290801</v>
      </c>
      <c r="H38" s="8">
        <f t="shared" si="0"/>
        <v>2086.4927301438256</v>
      </c>
      <c r="I38" s="21" t="s">
        <v>72</v>
      </c>
      <c r="J38" s="21" t="s">
        <v>72</v>
      </c>
      <c r="K38" s="12">
        <v>53.396666666666668</v>
      </c>
    </row>
    <row r="39" spans="1:14">
      <c r="A39" s="4">
        <v>2012</v>
      </c>
      <c r="B39" s="8">
        <v>30</v>
      </c>
      <c r="C39" s="8">
        <v>2055.283488</v>
      </c>
      <c r="D39" s="8">
        <v>51.365293971264002</v>
      </c>
      <c r="E39" s="8">
        <f t="shared" si="1"/>
        <v>2136.6487819712638</v>
      </c>
      <c r="F39" s="8">
        <f t="shared" si="2"/>
        <v>1940.4232197277679</v>
      </c>
      <c r="G39" s="8">
        <v>166.225562243496</v>
      </c>
      <c r="H39" s="8">
        <f t="shared" si="0"/>
        <v>2106.6487819712638</v>
      </c>
      <c r="I39" s="21" t="s">
        <v>72</v>
      </c>
      <c r="J39" s="21" t="s">
        <v>72</v>
      </c>
      <c r="K39" s="12">
        <v>47.990833333333335</v>
      </c>
    </row>
    <row r="40" spans="1:14">
      <c r="A40" s="4">
        <v>2013</v>
      </c>
      <c r="B40" s="8">
        <v>30</v>
      </c>
      <c r="C40" s="8">
        <v>2042.8225439999999</v>
      </c>
      <c r="D40" s="8">
        <v>49.489934471586004</v>
      </c>
      <c r="E40" s="8">
        <f t="shared" si="1"/>
        <v>2122.3124784715856</v>
      </c>
      <c r="F40" s="8">
        <f t="shared" si="2"/>
        <v>1935.4579839139014</v>
      </c>
      <c r="G40" s="8">
        <v>156.85449455768401</v>
      </c>
      <c r="H40" s="8">
        <f t="shared" si="0"/>
        <v>2092.3124784715856</v>
      </c>
      <c r="I40" s="21" t="s">
        <v>72</v>
      </c>
      <c r="J40" s="21" t="s">
        <v>72</v>
      </c>
      <c r="K40" s="12">
        <v>42.519166666666671</v>
      </c>
    </row>
    <row r="41" spans="1:14">
      <c r="A41" s="4">
        <v>2014</v>
      </c>
      <c r="B41" s="8">
        <v>30</v>
      </c>
      <c r="C41" s="8">
        <v>1922.1753600000004</v>
      </c>
      <c r="D41" s="8">
        <v>51.677933621706003</v>
      </c>
      <c r="E41" s="8">
        <f t="shared" si="1"/>
        <v>2003.8532936217064</v>
      </c>
      <c r="F41" s="8">
        <f t="shared" si="2"/>
        <v>1883.9429573949183</v>
      </c>
      <c r="G41" s="8">
        <v>89.910336226788004</v>
      </c>
      <c r="H41" s="8">
        <f t="shared" si="0"/>
        <v>1973.8532936217064</v>
      </c>
      <c r="I41" s="21" t="s">
        <v>72</v>
      </c>
      <c r="J41" s="21" t="s">
        <v>72</v>
      </c>
      <c r="K41" s="12">
        <v>38.910833333333336</v>
      </c>
    </row>
    <row r="42" spans="1:14">
      <c r="A42" s="4">
        <v>2015</v>
      </c>
      <c r="B42" s="8">
        <v>30</v>
      </c>
      <c r="C42" s="8">
        <v>1927.5174400000001</v>
      </c>
      <c r="D42" s="8">
        <v>45.307188926621997</v>
      </c>
      <c r="E42" s="8">
        <f t="shared" si="1"/>
        <v>2002.8246289266222</v>
      </c>
      <c r="F42" s="8">
        <f t="shared" si="2"/>
        <v>1830.281096480214</v>
      </c>
      <c r="G42" s="8">
        <v>142.77653244640803</v>
      </c>
      <c r="H42" s="8">
        <f t="shared" si="0"/>
        <v>1973.0576289266221</v>
      </c>
      <c r="I42" s="21" t="s">
        <v>72</v>
      </c>
      <c r="J42" s="21" t="s">
        <v>72</v>
      </c>
      <c r="K42" s="12">
        <v>28.418333333333337</v>
      </c>
    </row>
    <row r="43" spans="1:14">
      <c r="A43" s="4">
        <v>2016</v>
      </c>
      <c r="B43" s="8">
        <v>29.767000000000003</v>
      </c>
      <c r="C43" s="8">
        <v>2143.2270000000003</v>
      </c>
      <c r="D43" s="8">
        <v>62.274325805874</v>
      </c>
      <c r="E43" s="8">
        <f t="shared" si="1"/>
        <v>2235.2683258058742</v>
      </c>
      <c r="F43" s="8">
        <f t="shared" si="2"/>
        <v>1929.456829937084</v>
      </c>
      <c r="G43" s="8">
        <v>264.87749586878999</v>
      </c>
      <c r="H43" s="8">
        <f t="shared" si="0"/>
        <v>2194.334325805874</v>
      </c>
      <c r="I43" s="21" t="s">
        <v>72</v>
      </c>
      <c r="J43" s="21" t="s">
        <v>72</v>
      </c>
      <c r="K43" s="12">
        <v>32.962499999999999</v>
      </c>
    </row>
    <row r="44" spans="1:14">
      <c r="A44" s="4">
        <v>2017</v>
      </c>
      <c r="B44" s="8">
        <v>40.933999999999997</v>
      </c>
      <c r="C44" s="8">
        <v>2052.788</v>
      </c>
      <c r="D44" s="8">
        <v>64.637</v>
      </c>
      <c r="E44" s="8">
        <f t="shared" si="1"/>
        <v>2158.3590000000004</v>
      </c>
      <c r="F44" s="8">
        <f t="shared" si="2"/>
        <v>1954.0710000000004</v>
      </c>
      <c r="G44" s="8">
        <v>171.25</v>
      </c>
      <c r="H44" s="8">
        <f t="shared" si="0"/>
        <v>2125.3210000000004</v>
      </c>
      <c r="I44" s="21" t="s">
        <v>72</v>
      </c>
      <c r="J44" s="21" t="s">
        <v>72</v>
      </c>
      <c r="K44" s="154">
        <v>34.432499999999997</v>
      </c>
      <c r="M44" s="8"/>
      <c r="N44" s="155"/>
    </row>
    <row r="45" spans="1:14">
      <c r="A45" s="4">
        <v>2018</v>
      </c>
      <c r="B45" s="8">
        <v>33.037999999999997</v>
      </c>
      <c r="C45" s="8">
        <v>2233.3879999999999</v>
      </c>
      <c r="D45" s="8">
        <v>35.267000000000003</v>
      </c>
      <c r="E45" s="8">
        <f t="shared" si="1"/>
        <v>2301.6929999999998</v>
      </c>
      <c r="F45" s="8">
        <f t="shared" si="2"/>
        <v>2009.6469999999997</v>
      </c>
      <c r="G45" s="8">
        <v>259.93200000000002</v>
      </c>
      <c r="H45" s="8">
        <f t="shared" si="0"/>
        <v>2269.5789999999997</v>
      </c>
      <c r="I45" s="21" t="s">
        <v>72</v>
      </c>
      <c r="J45" s="21" t="s">
        <v>72</v>
      </c>
      <c r="K45" s="154">
        <v>31.23</v>
      </c>
      <c r="M45" s="8"/>
      <c r="N45" s="155"/>
    </row>
    <row r="46" spans="1:14">
      <c r="A46" s="4">
        <v>2019</v>
      </c>
      <c r="B46" s="8">
        <v>32.113999999999997</v>
      </c>
      <c r="C46" s="8">
        <v>2252.0439999999999</v>
      </c>
      <c r="D46" s="8">
        <v>14.128</v>
      </c>
      <c r="E46" s="8">
        <f t="shared" si="1"/>
        <v>2298.2860000000001</v>
      </c>
      <c r="F46" s="8">
        <f t="shared" si="2"/>
        <v>2012.3469999999998</v>
      </c>
      <c r="G46" s="8">
        <v>268.09199999999998</v>
      </c>
      <c r="H46" s="8">
        <f>E46-B47</f>
        <v>2280.4389999999999</v>
      </c>
      <c r="I46" s="21" t="s">
        <v>72</v>
      </c>
      <c r="J46" s="21" t="s">
        <v>72</v>
      </c>
      <c r="K46" s="154">
        <v>33.479999999999997</v>
      </c>
      <c r="M46" s="8"/>
      <c r="N46" s="155"/>
    </row>
    <row r="47" spans="1:14">
      <c r="A47" s="4">
        <v>2020</v>
      </c>
      <c r="B47" s="156">
        <v>17.847000000000001</v>
      </c>
      <c r="C47" s="156">
        <v>2202.4030000000002</v>
      </c>
      <c r="D47" s="156">
        <v>24.094999999999999</v>
      </c>
      <c r="E47" s="156">
        <f t="shared" si="1"/>
        <v>2244.3450000000003</v>
      </c>
      <c r="F47" s="156">
        <f>+H47-G47</f>
        <v>2007.3500000000004</v>
      </c>
      <c r="G47" s="8">
        <v>226.995</v>
      </c>
      <c r="H47" s="8">
        <f>E47-B48</f>
        <v>2234.3450000000003</v>
      </c>
      <c r="I47" s="101" t="s">
        <v>72</v>
      </c>
      <c r="J47" s="101" t="s">
        <v>72</v>
      </c>
      <c r="K47" s="157">
        <v>37.909999999999997</v>
      </c>
      <c r="L47" s="12"/>
      <c r="M47" s="8"/>
      <c r="N47" s="155"/>
    </row>
    <row r="48" spans="1:14">
      <c r="A48" s="4" t="s">
        <v>218</v>
      </c>
      <c r="B48" s="156">
        <v>10</v>
      </c>
      <c r="C48" s="156">
        <v>2365.402</v>
      </c>
      <c r="D48" s="156">
        <v>30.372</v>
      </c>
      <c r="E48" s="156">
        <f t="shared" si="1"/>
        <v>2405.7739999999999</v>
      </c>
      <c r="F48" s="156">
        <f>+H48-G48</f>
        <v>2134.9639999999999</v>
      </c>
      <c r="G48" s="8">
        <v>250.274</v>
      </c>
      <c r="H48" s="8">
        <f>E48-B49</f>
        <v>2385.2379999999998</v>
      </c>
      <c r="I48" s="101" t="s">
        <v>72</v>
      </c>
      <c r="J48" s="101" t="s">
        <v>72</v>
      </c>
      <c r="K48" s="157">
        <v>64.180000000000007</v>
      </c>
      <c r="L48" s="12"/>
      <c r="M48" s="8"/>
      <c r="N48" s="155"/>
    </row>
    <row r="49" spans="1:14">
      <c r="A49" s="99" t="s">
        <v>219</v>
      </c>
      <c r="B49" s="158">
        <v>20.536000000000001</v>
      </c>
      <c r="C49" s="158">
        <v>2292.0820000000003</v>
      </c>
      <c r="D49" s="98">
        <v>72.641000000000005</v>
      </c>
      <c r="E49" s="158">
        <f t="shared" si="1"/>
        <v>2385.2590000000005</v>
      </c>
      <c r="F49" s="158">
        <f>+H49-G49</f>
        <v>2209.1210000000005</v>
      </c>
      <c r="G49" s="50">
        <v>153.13800000000001</v>
      </c>
      <c r="H49" s="50">
        <f>E49-23</f>
        <v>2362.2590000000005</v>
      </c>
      <c r="I49" s="100" t="s">
        <v>72</v>
      </c>
      <c r="J49" s="100" t="s">
        <v>72</v>
      </c>
      <c r="K49" s="159">
        <v>84.22</v>
      </c>
      <c r="L49" s="12"/>
      <c r="M49" s="8"/>
      <c r="N49" s="155"/>
    </row>
    <row r="50" spans="1:14">
      <c r="A50" s="22" t="s">
        <v>168</v>
      </c>
    </row>
    <row r="51" spans="1:14">
      <c r="A51" s="22" t="s">
        <v>224</v>
      </c>
    </row>
    <row r="52" spans="1:14" ht="10.15" customHeight="1">
      <c r="A52" s="22" t="s">
        <v>176</v>
      </c>
      <c r="K52" s="33"/>
      <c r="L52" s="33"/>
    </row>
    <row r="53" spans="1:14">
      <c r="J53" s="56"/>
      <c r="K53" s="56" t="s">
        <v>191</v>
      </c>
    </row>
  </sheetData>
  <pageMargins left="0.7" right="0.7" top="0.75" bottom="0.75" header="0.3" footer="0.3"/>
  <pageSetup scale="87" firstPageNumber="42" orientation="portrait" useFirstPageNumber="1" r:id="rId1"/>
  <headerFooter alignWithMargins="0">
    <oddFooter>&amp;C&amp;P
Oil Crops Yearbook/OCS-2020
March 2020
Economic Research Service, USDA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7664B-58CC-44F4-B2CD-B33FFC65E7A4}">
  <sheetPr>
    <pageSetUpPr fitToPage="1"/>
  </sheetPr>
  <dimension ref="A1:S92"/>
  <sheetViews>
    <sheetView zoomScaleNormal="100" zoomScaleSheetLayoutView="100" workbookViewId="0">
      <pane xSplit="1" ySplit="3" topLeftCell="J4" activePane="bottomRight" state="frozen"/>
      <selection activeCell="A2" sqref="A2"/>
      <selection pane="topRight" activeCell="A2" sqref="A2"/>
      <selection pane="bottomLeft" activeCell="A2" sqref="A2"/>
      <selection pane="bottomRight" activeCell="A39" sqref="A39"/>
    </sheetView>
  </sheetViews>
  <sheetFormatPr defaultRowHeight="11.25"/>
  <cols>
    <col min="1" max="1" width="59.6640625" customWidth="1"/>
    <col min="2" max="15" width="8.83203125" customWidth="1"/>
    <col min="18" max="18" width="12.83203125" bestFit="1" customWidth="1"/>
    <col min="19" max="19" width="12.5" customWidth="1"/>
  </cols>
  <sheetData>
    <row r="1" spans="1:19">
      <c r="A1" s="23" t="s">
        <v>188</v>
      </c>
      <c r="B1" s="1"/>
      <c r="C1" s="1"/>
      <c r="D1" s="1"/>
      <c r="E1" s="1"/>
      <c r="F1" s="1"/>
      <c r="G1" s="1"/>
      <c r="H1" s="1" t="s">
        <v>12</v>
      </c>
      <c r="I1" s="1"/>
      <c r="J1" s="1"/>
      <c r="K1" s="1"/>
      <c r="L1" s="1"/>
      <c r="M1" s="1"/>
      <c r="N1" s="1"/>
    </row>
    <row r="2" spans="1:19">
      <c r="A2" s="2" t="s">
        <v>105</v>
      </c>
      <c r="B2" s="15">
        <v>2006</v>
      </c>
      <c r="C2" s="69">
        <v>2007</v>
      </c>
      <c r="D2" s="68">
        <v>2008</v>
      </c>
      <c r="E2" s="68">
        <v>2009</v>
      </c>
      <c r="F2" s="68">
        <v>2010</v>
      </c>
      <c r="G2" s="68">
        <v>2011</v>
      </c>
      <c r="H2" s="68">
        <v>2012</v>
      </c>
      <c r="I2" s="68">
        <v>2013</v>
      </c>
      <c r="J2" s="68">
        <v>2014</v>
      </c>
      <c r="K2" s="68">
        <v>2015</v>
      </c>
      <c r="L2" s="68">
        <v>2016</v>
      </c>
      <c r="M2" s="68">
        <v>2017</v>
      </c>
      <c r="N2" s="68">
        <v>2018</v>
      </c>
      <c r="O2" s="70">
        <v>2019</v>
      </c>
      <c r="P2" s="70">
        <v>2020</v>
      </c>
      <c r="Q2" s="70">
        <v>2021</v>
      </c>
      <c r="R2" s="70" t="s">
        <v>189</v>
      </c>
    </row>
    <row r="3" spans="1:19">
      <c r="B3" s="57"/>
      <c r="C3" s="57"/>
      <c r="D3" s="57"/>
      <c r="E3" s="57"/>
      <c r="F3" s="57"/>
      <c r="I3" s="87" t="s">
        <v>18</v>
      </c>
      <c r="J3" s="57"/>
      <c r="K3" s="57"/>
      <c r="L3" s="57"/>
    </row>
    <row r="4" spans="1:19" ht="10.15" customHeight="1">
      <c r="A4" s="83" t="s">
        <v>182</v>
      </c>
      <c r="D4" s="6"/>
    </row>
    <row r="5" spans="1:19" ht="10.15" customHeight="1">
      <c r="A5" s="45" t="s">
        <v>106</v>
      </c>
      <c r="B5" s="6">
        <v>222.251</v>
      </c>
      <c r="C5" s="6">
        <v>128.428</v>
      </c>
      <c r="D5" s="6">
        <v>181.36699999999999</v>
      </c>
      <c r="E5" s="6">
        <v>183.01499999999999</v>
      </c>
      <c r="F5" s="6">
        <v>185.96899999999999</v>
      </c>
      <c r="G5" s="6">
        <v>165</v>
      </c>
      <c r="H5" s="6">
        <v>165.34665000000001</v>
      </c>
      <c r="I5" s="6">
        <v>165.34665000000001</v>
      </c>
      <c r="J5" s="6">
        <v>165.34665000000001</v>
      </c>
      <c r="K5" s="6">
        <v>133.905</v>
      </c>
      <c r="L5" s="6">
        <v>62.790999999999997</v>
      </c>
      <c r="M5" s="6">
        <v>51.331000000000003</v>
      </c>
      <c r="N5" s="6">
        <v>56.305999999999997</v>
      </c>
      <c r="O5" s="60">
        <v>104.741</v>
      </c>
      <c r="P5" s="6">
        <v>110.2311</v>
      </c>
      <c r="Q5" s="6">
        <v>110.2311</v>
      </c>
      <c r="R5" s="6">
        <v>140</v>
      </c>
    </row>
    <row r="6" spans="1:19" ht="10.15" customHeight="1">
      <c r="A6" s="45" t="s">
        <v>107</v>
      </c>
      <c r="B6" s="6">
        <v>199.88499999999999</v>
      </c>
      <c r="C6" s="6">
        <v>178.65700000000001</v>
      </c>
      <c r="D6" s="6">
        <v>205.36099999999999</v>
      </c>
      <c r="E6" s="6">
        <v>285.8</v>
      </c>
      <c r="F6" s="6">
        <v>138.82400000000001</v>
      </c>
      <c r="G6" s="6">
        <v>240</v>
      </c>
      <c r="H6" s="6">
        <v>165</v>
      </c>
      <c r="I6" s="6">
        <v>165</v>
      </c>
      <c r="J6" s="6">
        <v>165</v>
      </c>
      <c r="K6" s="6">
        <v>165</v>
      </c>
      <c r="L6" s="6">
        <v>165</v>
      </c>
      <c r="M6" s="6">
        <v>127.15</v>
      </c>
      <c r="N6" s="6">
        <v>104.453</v>
      </c>
      <c r="O6" s="60">
        <v>81.605000000000004</v>
      </c>
      <c r="P6" s="6">
        <v>101.995</v>
      </c>
      <c r="Q6" s="6">
        <v>155.96799999999999</v>
      </c>
      <c r="R6" s="6">
        <v>148.273</v>
      </c>
    </row>
    <row r="7" spans="1:19" ht="10.15" customHeight="1">
      <c r="A7" s="45" t="s">
        <v>108</v>
      </c>
      <c r="B7" s="6">
        <v>101.137</v>
      </c>
      <c r="C7" s="6">
        <v>99.427000000000007</v>
      </c>
      <c r="D7" s="6">
        <v>146.60499999999999</v>
      </c>
      <c r="E7" s="6">
        <v>121.1</v>
      </c>
      <c r="F7" s="6">
        <v>92.539000000000001</v>
      </c>
      <c r="G7" s="6">
        <v>165</v>
      </c>
      <c r="H7" s="6">
        <v>100</v>
      </c>
      <c r="I7" s="6">
        <v>115</v>
      </c>
      <c r="J7" s="6">
        <v>90</v>
      </c>
      <c r="K7" s="6">
        <v>58</v>
      </c>
      <c r="L7" s="6">
        <v>41.546999999999997</v>
      </c>
      <c r="M7" s="6">
        <v>44.128999999999998</v>
      </c>
      <c r="N7" s="6">
        <v>32.087000000000003</v>
      </c>
      <c r="O7" s="60">
        <v>35.040999999999997</v>
      </c>
      <c r="P7" s="6">
        <v>44.537999999999997</v>
      </c>
      <c r="Q7" s="6">
        <v>48.207999999999998</v>
      </c>
      <c r="R7" s="6">
        <v>49.698</v>
      </c>
    </row>
    <row r="8" spans="1:19" ht="10.15" customHeight="1">
      <c r="A8" s="45" t="s">
        <v>109</v>
      </c>
      <c r="B8" s="6">
        <v>11.41</v>
      </c>
      <c r="C8" s="6">
        <v>9.3859999999999992</v>
      </c>
      <c r="D8" s="6">
        <v>17.876000000000001</v>
      </c>
      <c r="E8" s="6">
        <v>30.3</v>
      </c>
      <c r="F8" s="6">
        <v>21.734999999999999</v>
      </c>
      <c r="G8" s="6">
        <v>25</v>
      </c>
      <c r="H8" s="6">
        <v>20</v>
      </c>
      <c r="I8" s="6">
        <v>20</v>
      </c>
      <c r="J8" s="6">
        <v>20</v>
      </c>
      <c r="K8" s="6">
        <v>6.4359999999999999</v>
      </c>
      <c r="L8" s="6">
        <v>9.1440000000000001</v>
      </c>
      <c r="M8" s="6">
        <v>5.4009999999999998</v>
      </c>
      <c r="N8" s="6">
        <v>13.111000000000001</v>
      </c>
      <c r="O8" s="60">
        <v>16.442</v>
      </c>
      <c r="P8" s="6">
        <v>6.6440000000000001</v>
      </c>
      <c r="Q8" s="6">
        <v>6.1319999999999997</v>
      </c>
      <c r="R8" s="6">
        <v>6.5220000000000002</v>
      </c>
    </row>
    <row r="9" spans="1:19" ht="10.15" customHeight="1">
      <c r="A9" s="45" t="s">
        <v>110</v>
      </c>
      <c r="B9" s="6">
        <v>207.16900000000001</v>
      </c>
      <c r="C9" s="6">
        <v>201.679</v>
      </c>
      <c r="D9" s="6">
        <v>161.304</v>
      </c>
      <c r="E9" s="6">
        <v>285.70100000000002</v>
      </c>
      <c r="F9" s="6">
        <v>332.22</v>
      </c>
      <c r="G9" s="6">
        <v>325</v>
      </c>
      <c r="H9" s="6">
        <v>260.14539600000001</v>
      </c>
      <c r="I9" s="6">
        <v>299.82859200000001</v>
      </c>
      <c r="J9" s="6">
        <v>299.82859200000001</v>
      </c>
      <c r="K9" s="6">
        <v>363.76263</v>
      </c>
      <c r="L9" s="6">
        <v>416.67355800000001</v>
      </c>
      <c r="M9" s="6">
        <v>405.93099999999998</v>
      </c>
      <c r="N9" s="6">
        <v>291.11500000000001</v>
      </c>
      <c r="O9" s="60">
        <v>343.57400000000001</v>
      </c>
      <c r="P9" s="6">
        <v>376.32900000000001</v>
      </c>
      <c r="Q9" s="6">
        <v>312.60500000000002</v>
      </c>
      <c r="R9" s="6">
        <v>353.14690068543342</v>
      </c>
      <c r="S9" s="108"/>
    </row>
    <row r="10" spans="1:19" ht="10.15" customHeight="1">
      <c r="A10" s="45" t="s">
        <v>111</v>
      </c>
      <c r="B10" s="6">
        <v>78.2</v>
      </c>
      <c r="C10" s="6">
        <v>94.260999999999996</v>
      </c>
      <c r="D10" s="6">
        <v>72.483000000000004</v>
      </c>
      <c r="E10" s="6">
        <v>76.221000000000004</v>
      </c>
      <c r="F10" s="6">
        <v>73.968999999999994</v>
      </c>
      <c r="G10" s="6">
        <v>80</v>
      </c>
      <c r="H10" s="6">
        <v>81.571014000000005</v>
      </c>
      <c r="I10" s="6">
        <v>74.957148000000004</v>
      </c>
      <c r="J10" s="6">
        <v>74.957148000000004</v>
      </c>
      <c r="K10" s="6">
        <v>85.980258000000006</v>
      </c>
      <c r="L10" s="6">
        <v>94.798746000000008</v>
      </c>
      <c r="M10" s="6">
        <v>92.191000000000003</v>
      </c>
      <c r="N10" s="6">
        <v>66.754000000000005</v>
      </c>
      <c r="O10" s="60">
        <v>73.298000000000002</v>
      </c>
      <c r="P10" s="6">
        <v>72.289000000000001</v>
      </c>
      <c r="Q10" s="6">
        <v>43.173999999999999</v>
      </c>
      <c r="R10" s="6">
        <v>43.552999999999997</v>
      </c>
      <c r="S10" s="6"/>
    </row>
    <row r="11" spans="1:19" ht="10.15" customHeight="1">
      <c r="A11" s="45" t="s">
        <v>112</v>
      </c>
      <c r="B11" s="6">
        <v>36.084000000000003</v>
      </c>
      <c r="C11" s="6">
        <v>22.276</v>
      </c>
      <c r="D11" s="6">
        <v>24.164999999999999</v>
      </c>
      <c r="E11" s="6">
        <v>18.099</v>
      </c>
      <c r="F11" s="6">
        <v>21.658999999999999</v>
      </c>
      <c r="G11" s="6">
        <v>29.669</v>
      </c>
      <c r="H11" s="6">
        <v>12.39</v>
      </c>
      <c r="I11" s="6">
        <v>20</v>
      </c>
      <c r="J11" s="6">
        <v>25</v>
      </c>
      <c r="K11" s="6">
        <v>16.925999999999998</v>
      </c>
      <c r="L11" s="6">
        <v>20</v>
      </c>
      <c r="M11" s="6">
        <v>25</v>
      </c>
      <c r="N11" s="6">
        <v>53.930999999999997</v>
      </c>
      <c r="O11" s="60">
        <v>23.625</v>
      </c>
      <c r="P11" s="6">
        <v>11.766</v>
      </c>
      <c r="Q11" s="6">
        <v>12</v>
      </c>
      <c r="R11" s="6">
        <v>28.599</v>
      </c>
    </row>
    <row r="12" spans="1:19" ht="10.15" customHeight="1">
      <c r="A12" s="45" t="s">
        <v>113</v>
      </c>
      <c r="B12" s="6">
        <v>14.4</v>
      </c>
      <c r="C12" s="6">
        <v>18.242999999999999</v>
      </c>
      <c r="D12" s="6">
        <v>22.2</v>
      </c>
      <c r="E12" s="6">
        <v>25.7</v>
      </c>
      <c r="F12" s="6">
        <v>20.646000000000001</v>
      </c>
      <c r="G12" s="6">
        <v>20.260276671126679</v>
      </c>
      <c r="H12" s="6">
        <v>18.504230203077462</v>
      </c>
      <c r="I12" s="6">
        <v>17.661297637807699</v>
      </c>
      <c r="J12" s="6">
        <v>15.369059985793312</v>
      </c>
      <c r="K12" s="6">
        <v>12.482448931415117</v>
      </c>
      <c r="L12" s="109">
        <v>10.892017436132459</v>
      </c>
      <c r="M12" s="109">
        <v>0.94199999999999995</v>
      </c>
      <c r="N12" s="109">
        <v>10.855</v>
      </c>
      <c r="O12" s="110">
        <v>4.923</v>
      </c>
      <c r="P12" s="109">
        <v>3.4089999999999998</v>
      </c>
      <c r="Q12" s="109">
        <v>3</v>
      </c>
      <c r="R12" s="109">
        <v>4.16</v>
      </c>
    </row>
    <row r="13" spans="1:19" ht="10.15" customHeight="1">
      <c r="A13" s="45" t="s">
        <v>114</v>
      </c>
      <c r="B13" s="6">
        <v>3009.826</v>
      </c>
      <c r="C13" s="6">
        <v>3085.2249999999999</v>
      </c>
      <c r="D13" s="6">
        <v>2484.5970000000002</v>
      </c>
      <c r="E13" s="6">
        <v>2860.5</v>
      </c>
      <c r="F13" s="6">
        <v>3405.78</v>
      </c>
      <c r="G13" s="6">
        <v>2675.0010299999999</v>
      </c>
      <c r="H13" s="6">
        <v>2589.6953916000002</v>
      </c>
      <c r="I13" s="6">
        <v>1654.972092</v>
      </c>
      <c r="J13" s="6">
        <v>1165.01028</v>
      </c>
      <c r="K13" s="6">
        <v>1854.818</v>
      </c>
      <c r="L13" s="6">
        <v>1686.8130000000001</v>
      </c>
      <c r="M13" s="6">
        <v>1710.954</v>
      </c>
      <c r="N13" s="6">
        <v>1995.434</v>
      </c>
      <c r="O13" s="60">
        <v>1775.316</v>
      </c>
      <c r="P13" s="6">
        <v>1852.675</v>
      </c>
      <c r="Q13" s="6">
        <v>2131.2330000000002</v>
      </c>
      <c r="R13" s="6">
        <v>1991.1479999999999</v>
      </c>
    </row>
    <row r="14" spans="1:19" ht="10.15" customHeight="1">
      <c r="A14" s="45" t="s">
        <v>115</v>
      </c>
      <c r="B14" s="6">
        <v>54.106000000000002</v>
      </c>
      <c r="C14" s="6">
        <v>59.9</v>
      </c>
      <c r="D14" s="6">
        <v>26.324999999999999</v>
      </c>
      <c r="E14" s="6">
        <v>111.1</v>
      </c>
      <c r="F14" s="6">
        <v>83.447000000000003</v>
      </c>
      <c r="G14" s="6">
        <v>60</v>
      </c>
      <c r="H14" s="6">
        <v>50</v>
      </c>
      <c r="I14" s="6">
        <v>50</v>
      </c>
      <c r="J14" s="6">
        <v>50</v>
      </c>
      <c r="K14" s="6">
        <v>50</v>
      </c>
      <c r="L14" s="6">
        <v>75.756</v>
      </c>
      <c r="M14" s="6">
        <v>90.813999999999993</v>
      </c>
      <c r="N14" s="6">
        <v>72.441999999999993</v>
      </c>
      <c r="O14" s="60">
        <v>41.530999999999999</v>
      </c>
      <c r="P14" s="6">
        <v>47.962000000000003</v>
      </c>
      <c r="Q14" s="6">
        <v>56.875999999999998</v>
      </c>
      <c r="R14" s="6">
        <v>63.933999999999997</v>
      </c>
    </row>
    <row r="15" spans="1:19" ht="10.15" customHeight="1">
      <c r="A15" s="45" t="s">
        <v>116</v>
      </c>
      <c r="B15" s="6">
        <v>263.5</v>
      </c>
      <c r="C15" s="6">
        <v>149.19999999999999</v>
      </c>
      <c r="D15" s="6">
        <v>133</v>
      </c>
      <c r="E15" s="6">
        <v>171.8</v>
      </c>
      <c r="F15" s="6">
        <v>193.732</v>
      </c>
      <c r="G15" s="6">
        <v>299</v>
      </c>
      <c r="H15" s="6">
        <v>188</v>
      </c>
      <c r="I15" s="6">
        <v>140</v>
      </c>
      <c r="J15" s="6">
        <v>275</v>
      </c>
      <c r="K15" s="6">
        <v>267</v>
      </c>
      <c r="L15" s="6">
        <v>252.78300000000002</v>
      </c>
      <c r="M15" s="6">
        <v>294.80700000000002</v>
      </c>
      <c r="N15" s="6">
        <v>194.56799999999998</v>
      </c>
      <c r="O15" s="60">
        <v>157.93</v>
      </c>
      <c r="P15" s="6">
        <v>131.876</v>
      </c>
      <c r="Q15" s="6">
        <v>138.392</v>
      </c>
      <c r="R15" s="6">
        <v>169.55</v>
      </c>
      <c r="S15" s="6"/>
    </row>
    <row r="16" spans="1:19" ht="10.15" customHeight="1">
      <c r="A16" s="45" t="s">
        <v>117</v>
      </c>
      <c r="B16" s="6">
        <v>35.1</v>
      </c>
      <c r="C16" s="6">
        <v>27.076000000000001</v>
      </c>
      <c r="D16" s="6">
        <v>31.2</v>
      </c>
      <c r="E16" s="6">
        <v>47.5</v>
      </c>
      <c r="F16" s="6">
        <v>32.637999999999998</v>
      </c>
      <c r="G16" s="6">
        <v>35</v>
      </c>
      <c r="H16" s="6">
        <v>30</v>
      </c>
      <c r="I16" s="6">
        <v>30</v>
      </c>
      <c r="J16" s="6">
        <v>30</v>
      </c>
      <c r="K16" s="6">
        <v>39.029000000000003</v>
      </c>
      <c r="L16" s="6">
        <v>30.198</v>
      </c>
      <c r="M16" s="6">
        <v>23.69</v>
      </c>
      <c r="N16" s="6">
        <v>31.361999999999998</v>
      </c>
      <c r="O16" s="60">
        <v>25.112000000000002</v>
      </c>
      <c r="P16" s="6">
        <v>10</v>
      </c>
      <c r="Q16" s="6">
        <v>21.943000000000001</v>
      </c>
      <c r="R16" s="6">
        <v>25</v>
      </c>
      <c r="S16" s="6"/>
    </row>
    <row r="17" spans="1:19" ht="10.15" customHeight="1">
      <c r="A17" s="89" t="s">
        <v>118</v>
      </c>
      <c r="B17" s="6">
        <f t="shared" ref="B17:I17" si="0">SUM(B5:B16)</f>
        <v>4233.0680000000011</v>
      </c>
      <c r="C17" s="6">
        <f t="shared" si="0"/>
        <v>4073.7579999999998</v>
      </c>
      <c r="D17" s="6">
        <f t="shared" si="0"/>
        <v>3506.4829999999997</v>
      </c>
      <c r="E17" s="6">
        <f t="shared" si="0"/>
        <v>4216.8359999999993</v>
      </c>
      <c r="F17" s="6">
        <f t="shared" si="0"/>
        <v>4603.1580000000004</v>
      </c>
      <c r="G17" s="6">
        <f t="shared" si="0"/>
        <v>4118.9303066711263</v>
      </c>
      <c r="H17" s="6">
        <f t="shared" si="0"/>
        <v>3680.6526818030779</v>
      </c>
      <c r="I17" s="6">
        <f t="shared" si="0"/>
        <v>2752.7657796378076</v>
      </c>
      <c r="J17" s="6">
        <f>SUM(J5:J16)</f>
        <v>2375.5117299857934</v>
      </c>
      <c r="K17" s="6">
        <f>SUM(K5:K16)</f>
        <v>3053.3393369314149</v>
      </c>
      <c r="L17" s="6">
        <f>SUM(L5:L16)</f>
        <v>2866.3963214361324</v>
      </c>
      <c r="M17" s="6">
        <f t="shared" ref="M17:P17" si="1">SUM(M5:M16)</f>
        <v>2872.3399999999997</v>
      </c>
      <c r="N17" s="6">
        <f t="shared" si="1"/>
        <v>2922.4180000000006</v>
      </c>
      <c r="O17" s="6">
        <f t="shared" si="1"/>
        <v>2683.1379999999999</v>
      </c>
      <c r="P17" s="6">
        <f t="shared" si="1"/>
        <v>2769.7141000000001</v>
      </c>
      <c r="Q17" s="6">
        <f>SUM(Q5:Q16)</f>
        <v>3039.7621000000004</v>
      </c>
      <c r="R17" s="6">
        <f>SUM(R5:R16)</f>
        <v>3023.5839006854339</v>
      </c>
    </row>
    <row r="18" spans="1:19" ht="10.15" customHeight="1">
      <c r="A18" s="83" t="s">
        <v>16</v>
      </c>
      <c r="B18" s="6"/>
      <c r="C18" s="6"/>
      <c r="D18" s="6"/>
      <c r="E18" s="6"/>
      <c r="F18" s="6"/>
      <c r="G18" s="6"/>
      <c r="H18" s="6"/>
      <c r="I18" s="6"/>
      <c r="J18" s="96"/>
      <c r="K18" s="96"/>
      <c r="L18" s="96"/>
      <c r="M18" s="96"/>
      <c r="N18" s="96"/>
      <c r="O18" s="90"/>
    </row>
    <row r="19" spans="1:19" ht="10.15" customHeight="1">
      <c r="A19" s="89" t="s">
        <v>106</v>
      </c>
      <c r="B19" s="6">
        <v>914.86630374602407</v>
      </c>
      <c r="C19" s="6">
        <v>1182.492158561784</v>
      </c>
      <c r="D19" s="6">
        <v>958.176299147382</v>
      </c>
      <c r="E19" s="6">
        <v>1334.3966770722843</v>
      </c>
      <c r="F19" s="6">
        <v>1077.0048054486001</v>
      </c>
      <c r="G19" s="6">
        <v>1161.5172239163778</v>
      </c>
      <c r="H19" s="6">
        <v>1214.7467220000001</v>
      </c>
      <c r="I19" s="6">
        <v>1168.44966</v>
      </c>
      <c r="J19" s="6">
        <v>1267.6576500000001</v>
      </c>
      <c r="K19" s="6">
        <v>1148.608062</v>
      </c>
      <c r="L19" s="6">
        <v>1036.2339999999999</v>
      </c>
      <c r="M19" s="6">
        <v>988.029</v>
      </c>
      <c r="N19" s="6">
        <v>996.13599999999997</v>
      </c>
      <c r="O19" s="6">
        <v>1060.9939999999999</v>
      </c>
      <c r="P19" s="6">
        <v>980.173</v>
      </c>
      <c r="Q19" s="6">
        <v>1178.922</v>
      </c>
      <c r="R19" s="6">
        <v>975</v>
      </c>
    </row>
    <row r="20" spans="1:19" ht="10.15" customHeight="1">
      <c r="A20" s="89" t="s">
        <v>107</v>
      </c>
      <c r="B20" s="6">
        <v>43.093466247005999</v>
      </c>
      <c r="C20" s="6">
        <v>45.188242955856005</v>
      </c>
      <c r="D20" s="6">
        <v>43.485108526818003</v>
      </c>
      <c r="E20" s="6">
        <v>37.046113143858008</v>
      </c>
      <c r="F20" s="6">
        <v>47.564953339931989</v>
      </c>
      <c r="G20" s="6">
        <v>45.753717475746001</v>
      </c>
      <c r="H20" s="6">
        <v>60.04575499708799</v>
      </c>
      <c r="I20" s="6">
        <v>42.076685762118004</v>
      </c>
      <c r="J20" s="6">
        <v>38.809559416950002</v>
      </c>
      <c r="K20" s="6">
        <v>82.835172914886016</v>
      </c>
      <c r="L20" s="6">
        <v>73.525276643720005</v>
      </c>
      <c r="M20" s="6">
        <v>62.467523445600001</v>
      </c>
      <c r="N20" s="6">
        <v>64.352034331200002</v>
      </c>
      <c r="O20" s="6">
        <v>54.213639139800009</v>
      </c>
      <c r="P20" s="6">
        <v>51.294278687400002</v>
      </c>
      <c r="Q20" s="6">
        <v>155.4659751204</v>
      </c>
      <c r="R20" s="6">
        <v>200</v>
      </c>
    </row>
    <row r="21" spans="1:19" ht="10.15" customHeight="1">
      <c r="A21" s="89" t="s">
        <v>108</v>
      </c>
      <c r="B21" s="6">
        <v>1.317682727802</v>
      </c>
      <c r="C21" s="6">
        <v>5.0926768200000002E-3</v>
      </c>
      <c r="D21" s="6">
        <v>9.5998060368000002E-2</v>
      </c>
      <c r="E21" s="6">
        <v>9.9728280791999996E-2</v>
      </c>
      <c r="F21" s="6">
        <v>0.20214620042399997</v>
      </c>
      <c r="G21" s="6">
        <v>10.347106756139999</v>
      </c>
      <c r="H21" s="6">
        <v>19.917408336714001</v>
      </c>
      <c r="I21" s="6">
        <v>31.952836666674003</v>
      </c>
      <c r="J21" s="6">
        <v>17.423747164782</v>
      </c>
      <c r="K21" s="6">
        <v>6.6168995598719995</v>
      </c>
      <c r="L21" s="6">
        <v>0.12191563088599999</v>
      </c>
      <c r="M21" s="6">
        <v>0.16071698899799999</v>
      </c>
      <c r="N21" s="6">
        <v>4.2769678828E-2</v>
      </c>
      <c r="O21" s="6">
        <v>0.31063132715799996</v>
      </c>
      <c r="P21" s="6">
        <v>21.365218272682</v>
      </c>
      <c r="Q21" s="6">
        <v>24.878284417651997</v>
      </c>
      <c r="R21" s="6">
        <v>20</v>
      </c>
    </row>
    <row r="22" spans="1:19" ht="10.15" customHeight="1">
      <c r="A22" s="89" t="s">
        <v>109</v>
      </c>
      <c r="B22" s="6">
        <v>8.7463351311840007</v>
      </c>
      <c r="C22" s="6">
        <v>6.1739645446080003</v>
      </c>
      <c r="D22" s="6">
        <v>15.400719878922001</v>
      </c>
      <c r="E22" s="6">
        <v>15.920970987726001</v>
      </c>
      <c r="F22" s="6">
        <v>13.596536600514</v>
      </c>
      <c r="G22" s="6">
        <v>13.687206089508001</v>
      </c>
      <c r="H22" s="6">
        <v>14.477494733226001</v>
      </c>
      <c r="I22" s="6">
        <v>16.064269213104001</v>
      </c>
      <c r="J22" s="6">
        <v>13.724539158456002</v>
      </c>
      <c r="K22" s="6">
        <v>11.225260609668</v>
      </c>
      <c r="L22" s="6">
        <v>11.01</v>
      </c>
      <c r="M22" s="6">
        <v>16.306000000000001</v>
      </c>
      <c r="N22" s="6">
        <v>13.459</v>
      </c>
      <c r="O22" s="6">
        <v>11.680999999999999</v>
      </c>
      <c r="P22" s="6">
        <v>14.297000000000001</v>
      </c>
      <c r="Q22" s="6">
        <v>24.526</v>
      </c>
      <c r="R22" s="6">
        <v>42.267000000000003</v>
      </c>
    </row>
    <row r="23" spans="1:19" ht="10.15" customHeight="1">
      <c r="A23" s="89" t="s">
        <v>119</v>
      </c>
      <c r="B23" s="6">
        <v>577.63620030803406</v>
      </c>
      <c r="C23" s="6">
        <v>582.66148844735994</v>
      </c>
      <c r="D23" s="6">
        <v>608.92835078311737</v>
      </c>
      <c r="E23" s="6">
        <v>591.2425210209841</v>
      </c>
      <c r="F23" s="6">
        <v>640.40612734413003</v>
      </c>
      <c r="G23" s="6">
        <v>696.05580875304611</v>
      </c>
      <c r="H23" s="6">
        <v>653.46774548567407</v>
      </c>
      <c r="I23" s="6">
        <v>686.72186469709209</v>
      </c>
      <c r="J23" s="6">
        <v>684.03296661008392</v>
      </c>
      <c r="K23" s="6">
        <v>728.57268252606593</v>
      </c>
      <c r="L23" s="109">
        <v>696.66</v>
      </c>
      <c r="M23" s="109">
        <v>709.89</v>
      </c>
      <c r="N23" s="109">
        <v>784.85</v>
      </c>
      <c r="O23" s="109">
        <v>875.23</v>
      </c>
      <c r="P23" s="109">
        <v>859.8</v>
      </c>
      <c r="Q23" s="109">
        <v>906.1</v>
      </c>
      <c r="R23" s="109">
        <v>826.73</v>
      </c>
    </row>
    <row r="24" spans="1:19" ht="10.15" customHeight="1">
      <c r="A24" s="89" t="s">
        <v>110</v>
      </c>
      <c r="B24" s="6">
        <v>1548.4957361184781</v>
      </c>
      <c r="C24" s="6">
        <v>2098.1183073263278</v>
      </c>
      <c r="D24" s="6">
        <v>2283.8647876629479</v>
      </c>
      <c r="E24" s="6">
        <v>2192.3852544074884</v>
      </c>
      <c r="F24" s="6">
        <v>2160.140408943048</v>
      </c>
      <c r="G24" s="6">
        <v>2275.2666648595805</v>
      </c>
      <c r="H24" s="6">
        <v>2849.8716598319093</v>
      </c>
      <c r="I24" s="6">
        <v>2689.7602485335406</v>
      </c>
      <c r="J24" s="6">
        <v>2519.4272770880639</v>
      </c>
      <c r="K24" s="6">
        <v>2881.8164694698821</v>
      </c>
      <c r="L24" s="6">
        <v>3012.76</v>
      </c>
      <c r="M24" s="6">
        <v>3365.3150000000001</v>
      </c>
      <c r="N24" s="6">
        <v>3365.1080000000002</v>
      </c>
      <c r="O24" s="6">
        <v>3312.5039999999999</v>
      </c>
      <c r="P24" s="6">
        <v>3475.4409999999998</v>
      </c>
      <c r="Q24" s="6">
        <v>3510.877</v>
      </c>
      <c r="R24" s="6">
        <v>3802.9349999999999</v>
      </c>
      <c r="S24" s="6"/>
    </row>
    <row r="25" spans="1:19" ht="10.15" customHeight="1">
      <c r="A25" s="89" t="s">
        <v>111</v>
      </c>
      <c r="B25" s="6">
        <v>658.12460601484815</v>
      </c>
      <c r="C25" s="6">
        <v>504.59156630227801</v>
      </c>
      <c r="D25" s="6">
        <v>744.09085143741618</v>
      </c>
      <c r="E25" s="6">
        <v>664.94505832397999</v>
      </c>
      <c r="F25" s="6">
        <v>630.62821430519409</v>
      </c>
      <c r="G25" s="6">
        <v>671.07864742128004</v>
      </c>
      <c r="H25" s="6">
        <v>604.48826257810197</v>
      </c>
      <c r="I25" s="6">
        <v>593.22941014302012</v>
      </c>
      <c r="J25" s="6">
        <v>672.70219058687405</v>
      </c>
      <c r="K25" s="6">
        <v>782.7090606878761</v>
      </c>
      <c r="L25" s="6">
        <v>796.21600000000001</v>
      </c>
      <c r="M25" s="6">
        <v>830.66899999999998</v>
      </c>
      <c r="N25" s="6">
        <v>721.41200000000003</v>
      </c>
      <c r="O25" s="6">
        <v>829.745</v>
      </c>
      <c r="P25" s="6">
        <v>833.39800000000002</v>
      </c>
      <c r="Q25" s="6">
        <v>744.21</v>
      </c>
      <c r="R25" s="6">
        <v>837.75599999999997</v>
      </c>
      <c r="S25" s="6"/>
    </row>
    <row r="26" spans="1:19" ht="10.15" customHeight="1">
      <c r="A26" s="45" t="s">
        <v>112</v>
      </c>
      <c r="B26" s="6">
        <v>104.62311483372</v>
      </c>
      <c r="C26" s="6">
        <v>75.546055447127998</v>
      </c>
      <c r="D26" s="6">
        <v>54.304908285978001</v>
      </c>
      <c r="E26" s="6">
        <v>73.18414909978199</v>
      </c>
      <c r="F26" s="6">
        <v>60.011653903992013</v>
      </c>
      <c r="G26" s="6">
        <v>28.289508883398003</v>
      </c>
      <c r="H26" s="6">
        <v>10.359457048584002</v>
      </c>
      <c r="I26" s="6">
        <v>55.264873457303999</v>
      </c>
      <c r="J26" s="6">
        <v>30.173854422347997</v>
      </c>
      <c r="K26" s="6">
        <v>93.313743485507999</v>
      </c>
      <c r="L26" s="6">
        <v>40.445</v>
      </c>
      <c r="M26" s="6">
        <v>71.353999999999999</v>
      </c>
      <c r="N26" s="6">
        <v>58.844000000000001</v>
      </c>
      <c r="O26" s="6">
        <v>3.3170000000000002</v>
      </c>
      <c r="P26" s="6">
        <v>27.617999999999999</v>
      </c>
      <c r="Q26" s="6">
        <v>78.870999999999995</v>
      </c>
      <c r="R26" s="6">
        <v>65</v>
      </c>
    </row>
    <row r="27" spans="1:19" ht="10.15" customHeight="1">
      <c r="A27" s="89" t="s">
        <v>116</v>
      </c>
      <c r="B27" s="6">
        <v>1567.806</v>
      </c>
      <c r="C27" s="6">
        <v>2240.6689999999999</v>
      </c>
      <c r="D27" s="6">
        <v>2315.194</v>
      </c>
      <c r="E27" s="6">
        <v>2350.9380000000001</v>
      </c>
      <c r="F27" s="6">
        <v>3130.9859999999999</v>
      </c>
      <c r="G27" s="6">
        <v>3288.7330000000002</v>
      </c>
      <c r="H27" s="6">
        <v>2760.56</v>
      </c>
      <c r="I27" s="6">
        <v>3385.470621679272</v>
      </c>
      <c r="J27" s="6">
        <v>3691.5499652081398</v>
      </c>
      <c r="K27" s="6">
        <v>3961.8659438807399</v>
      </c>
      <c r="L27" s="111">
        <v>4410.2439999999997</v>
      </c>
      <c r="M27" s="111">
        <v>4083.0529999999999</v>
      </c>
      <c r="N27" s="111">
        <v>3911.4110000000001</v>
      </c>
      <c r="O27" s="111">
        <v>4029.0050000000001</v>
      </c>
      <c r="P27" s="111">
        <v>4119.1809999999996</v>
      </c>
      <c r="Q27" s="111">
        <v>4371.9840000000004</v>
      </c>
      <c r="R27" s="6">
        <v>4839.1469999999999</v>
      </c>
    </row>
    <row r="28" spans="1:19" ht="10.15" customHeight="1">
      <c r="A28" s="89" t="s">
        <v>113</v>
      </c>
      <c r="B28" s="6">
        <v>58.459417032366005</v>
      </c>
      <c r="C28" s="6">
        <v>62.82548791974002</v>
      </c>
      <c r="D28" s="6">
        <v>38.418426404819996</v>
      </c>
      <c r="E28" s="6">
        <v>45.764037311328003</v>
      </c>
      <c r="F28" s="6">
        <v>56.512433773152004</v>
      </c>
      <c r="G28" s="6">
        <v>66.042168104303997</v>
      </c>
      <c r="H28" s="6">
        <v>67.685760102366004</v>
      </c>
      <c r="I28" s="6">
        <v>60.65651465748001</v>
      </c>
      <c r="J28" s="6">
        <v>46.547570993237997</v>
      </c>
      <c r="K28" s="6">
        <v>32.019612462431994</v>
      </c>
      <c r="L28" s="6">
        <v>29.338000000000001</v>
      </c>
      <c r="M28" s="6">
        <v>30.728999999999999</v>
      </c>
      <c r="N28" s="6">
        <v>36.79</v>
      </c>
      <c r="O28" s="6">
        <v>38.238</v>
      </c>
      <c r="P28" s="6">
        <v>42.158000000000001</v>
      </c>
      <c r="Q28" s="6">
        <v>86.421000000000006</v>
      </c>
      <c r="R28" s="6">
        <v>100</v>
      </c>
    </row>
    <row r="29" spans="1:19" ht="10.15" customHeight="1">
      <c r="A29" s="89" t="s">
        <v>120</v>
      </c>
      <c r="B29" s="6">
        <v>26.480768651316001</v>
      </c>
      <c r="C29" s="6">
        <v>27.805995595601999</v>
      </c>
      <c r="D29" s="6">
        <v>23.613589397034001</v>
      </c>
      <c r="E29" s="6">
        <v>31.416344107596</v>
      </c>
      <c r="F29" s="6">
        <v>27.768340651842006</v>
      </c>
      <c r="G29" s="6">
        <v>27.526328271791996</v>
      </c>
      <c r="H29" s="6">
        <v>29.380979757024001</v>
      </c>
      <c r="I29" s="6">
        <v>28.898884041174</v>
      </c>
      <c r="J29" s="6">
        <v>33.845359148622002</v>
      </c>
      <c r="K29" s="6">
        <v>33.852872500398007</v>
      </c>
      <c r="L29" s="6">
        <v>38.393999999999998</v>
      </c>
      <c r="M29" s="6">
        <v>41.999000000000002</v>
      </c>
      <c r="N29" s="6">
        <v>42.418999999999997</v>
      </c>
      <c r="O29" s="6">
        <v>46.863</v>
      </c>
      <c r="P29" s="6">
        <v>51.006</v>
      </c>
      <c r="Q29" s="6">
        <v>56.514000000000003</v>
      </c>
      <c r="R29" s="6">
        <v>54</v>
      </c>
      <c r="S29" s="6"/>
    </row>
    <row r="30" spans="1:19" ht="10.15" customHeight="1">
      <c r="A30" s="89" t="s">
        <v>114</v>
      </c>
      <c r="B30" s="6">
        <v>37.473177085344005</v>
      </c>
      <c r="C30" s="6">
        <v>65.355102067247998</v>
      </c>
      <c r="D30" s="6">
        <v>89.577464760251985</v>
      </c>
      <c r="E30" s="6">
        <v>102.57960440485799</v>
      </c>
      <c r="F30" s="6">
        <v>159.00528189306598</v>
      </c>
      <c r="G30" s="6">
        <v>149.136403945788</v>
      </c>
      <c r="H30" s="6">
        <v>195.58962152667002</v>
      </c>
      <c r="I30" s="6">
        <v>165.03883626711601</v>
      </c>
      <c r="J30" s="6">
        <v>264.32139319702196</v>
      </c>
      <c r="K30" s="6">
        <v>286.55315418454205</v>
      </c>
      <c r="L30" s="6">
        <v>318.71126906029997</v>
      </c>
      <c r="M30" s="6">
        <v>335.30017242675194</v>
      </c>
      <c r="N30" s="6">
        <v>397.26197301089996</v>
      </c>
      <c r="O30" s="6">
        <v>319.92954352011202</v>
      </c>
      <c r="P30" s="6">
        <v>301.58179222742399</v>
      </c>
      <c r="Q30" s="6">
        <v>303.28839059756598</v>
      </c>
      <c r="R30" s="6">
        <v>300</v>
      </c>
    </row>
    <row r="31" spans="1:19" ht="10.15" customHeight="1">
      <c r="A31" s="89" t="s">
        <v>115</v>
      </c>
      <c r="B31" s="6">
        <v>155.797</v>
      </c>
      <c r="C31" s="6">
        <v>103.49299999999999</v>
      </c>
      <c r="D31" s="6">
        <v>67.033000000000001</v>
      </c>
      <c r="E31" s="6">
        <v>48.64</v>
      </c>
      <c r="F31" s="6">
        <v>102.559</v>
      </c>
      <c r="G31" s="6">
        <v>162.607</v>
      </c>
      <c r="H31" s="6">
        <v>71.561000000000007</v>
      </c>
      <c r="I31" s="6">
        <v>76.427000000000007</v>
      </c>
      <c r="J31" s="6">
        <v>176.88200000000001</v>
      </c>
      <c r="K31" s="6">
        <v>92.754000000000005</v>
      </c>
      <c r="L31" s="6">
        <v>119.834</v>
      </c>
      <c r="M31" s="6">
        <v>160.809</v>
      </c>
      <c r="N31" s="6">
        <v>131.464</v>
      </c>
      <c r="O31" s="6">
        <v>372.44</v>
      </c>
      <c r="P31" s="6">
        <v>294.58800000000002</v>
      </c>
      <c r="Q31" s="6">
        <v>450.18200000000002</v>
      </c>
      <c r="R31" s="111">
        <v>275</v>
      </c>
    </row>
    <row r="32" spans="1:19" ht="10.15" customHeight="1">
      <c r="A32" s="89" t="s">
        <v>117</v>
      </c>
      <c r="B32" s="6">
        <v>6.0849330897599998</v>
      </c>
      <c r="C32" s="6">
        <v>27.554831829629997</v>
      </c>
      <c r="D32" s="6">
        <v>32.780619316745998</v>
      </c>
      <c r="E32" s="6">
        <v>27.866937961547997</v>
      </c>
      <c r="F32" s="6">
        <v>22.629413066904</v>
      </c>
      <c r="G32" s="6">
        <v>47.323150398972004</v>
      </c>
      <c r="H32" s="6">
        <v>49.670060907474003</v>
      </c>
      <c r="I32" s="6">
        <v>50.91656080013999</v>
      </c>
      <c r="J32" s="6">
        <v>45.465145683678003</v>
      </c>
      <c r="K32" s="6">
        <v>59.329345441211998</v>
      </c>
      <c r="L32" s="6">
        <v>67.442801939478002</v>
      </c>
      <c r="M32" s="6">
        <v>44.428475099105995</v>
      </c>
      <c r="N32" s="6">
        <v>15.794156721042002</v>
      </c>
      <c r="O32" s="6">
        <v>20.379069411246004</v>
      </c>
      <c r="P32" s="6">
        <v>23.273903443896003</v>
      </c>
      <c r="Q32" s="6">
        <v>67.76963935560002</v>
      </c>
      <c r="R32">
        <v>80</v>
      </c>
    </row>
    <row r="33" spans="1:19" ht="10.15" customHeight="1">
      <c r="A33" s="89" t="s">
        <v>121</v>
      </c>
      <c r="B33" s="6">
        <f t="shared" ref="B33:R33" si="2">SUM(B19:B32)</f>
        <v>5709.0047409858826</v>
      </c>
      <c r="C33" s="6">
        <f t="shared" si="2"/>
        <v>7022.4802936743818</v>
      </c>
      <c r="D33" s="6">
        <f t="shared" si="2"/>
        <v>7274.9641236618018</v>
      </c>
      <c r="E33" s="6">
        <f t="shared" si="2"/>
        <v>7516.4253961222257</v>
      </c>
      <c r="F33" s="6">
        <f t="shared" si="2"/>
        <v>8129.0153154707978</v>
      </c>
      <c r="G33" s="6">
        <f t="shared" si="2"/>
        <v>8643.3639348759316</v>
      </c>
      <c r="H33" s="6">
        <f t="shared" si="2"/>
        <v>8601.8219273048308</v>
      </c>
      <c r="I33" s="6">
        <f t="shared" si="2"/>
        <v>9050.9282659180353</v>
      </c>
      <c r="J33" s="6">
        <f t="shared" si="2"/>
        <v>9502.5632186782568</v>
      </c>
      <c r="K33" s="6">
        <f t="shared" si="2"/>
        <v>10202.072279723085</v>
      </c>
      <c r="L33" s="6">
        <f t="shared" si="2"/>
        <v>10650.936263274385</v>
      </c>
      <c r="M33" s="6">
        <f t="shared" si="2"/>
        <v>10740.509887960454</v>
      </c>
      <c r="N33" s="6">
        <f t="shared" si="2"/>
        <v>10539.343933741971</v>
      </c>
      <c r="O33" s="6">
        <f t="shared" si="2"/>
        <v>10974.849883398316</v>
      </c>
      <c r="P33" s="6">
        <f t="shared" si="2"/>
        <v>11095.175192631401</v>
      </c>
      <c r="Q33" s="6">
        <f t="shared" si="2"/>
        <v>11960.00928949122</v>
      </c>
      <c r="R33" s="6">
        <f t="shared" si="2"/>
        <v>12417.835000000001</v>
      </c>
    </row>
    <row r="34" spans="1:19" ht="10.15" customHeight="1">
      <c r="A34" s="83" t="s">
        <v>13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9" ht="10.15" customHeight="1">
      <c r="A35" s="45" t="s">
        <v>107</v>
      </c>
      <c r="B35" s="6">
        <v>2560.2550000000001</v>
      </c>
      <c r="C35" s="6">
        <v>2506.8400499999998</v>
      </c>
      <c r="D35" s="6">
        <v>2418.4557500000001</v>
      </c>
      <c r="E35" s="6">
        <v>2485.1489999999999</v>
      </c>
      <c r="F35" s="6">
        <v>3650</v>
      </c>
      <c r="G35" s="6">
        <v>3625</v>
      </c>
      <c r="H35" s="6">
        <v>3685</v>
      </c>
      <c r="I35" s="6">
        <v>3890</v>
      </c>
      <c r="J35" s="6">
        <v>4740</v>
      </c>
      <c r="K35" s="6">
        <v>5300</v>
      </c>
      <c r="L35" s="6">
        <v>5850</v>
      </c>
      <c r="M35" s="6">
        <v>6066.1379999999999</v>
      </c>
      <c r="N35" s="6">
        <v>5764.6880000000001</v>
      </c>
      <c r="O35" s="6">
        <v>5394.1009999999997</v>
      </c>
      <c r="P35" s="6">
        <v>5723.7129999999997</v>
      </c>
      <c r="Q35" s="6">
        <v>6088.36</v>
      </c>
      <c r="R35">
        <v>6100</v>
      </c>
    </row>
    <row r="36" spans="1:19" ht="10.15" customHeight="1">
      <c r="A36" s="45" t="s">
        <v>108</v>
      </c>
      <c r="B36" s="6">
        <v>848.70311000000004</v>
      </c>
      <c r="C36" s="6">
        <v>856.2844399999999</v>
      </c>
      <c r="D36" s="6">
        <v>668.67881000000011</v>
      </c>
      <c r="E36" s="6">
        <v>617.29017999999996</v>
      </c>
      <c r="F36" s="6">
        <v>835</v>
      </c>
      <c r="G36" s="6">
        <v>755</v>
      </c>
      <c r="H36" s="6">
        <v>800</v>
      </c>
      <c r="I36" s="6">
        <v>630</v>
      </c>
      <c r="J36" s="6">
        <v>610</v>
      </c>
      <c r="K36" s="6">
        <v>465</v>
      </c>
      <c r="L36" s="55">
        <v>541.625</v>
      </c>
      <c r="M36" s="55">
        <v>561.30100000000004</v>
      </c>
      <c r="N36" s="6">
        <v>455.77300000000002</v>
      </c>
      <c r="O36" s="6">
        <v>481.34800000000001</v>
      </c>
      <c r="P36" s="6">
        <v>399.91800000000001</v>
      </c>
      <c r="Q36" s="6">
        <v>430</v>
      </c>
      <c r="R36" s="74">
        <v>400</v>
      </c>
      <c r="S36" s="74"/>
    </row>
    <row r="37" spans="1:19" ht="10.15" customHeight="1">
      <c r="A37" s="45" t="s">
        <v>109</v>
      </c>
      <c r="B37" s="6">
        <v>801.06079200000011</v>
      </c>
      <c r="C37" s="6">
        <v>875.86494800000014</v>
      </c>
      <c r="D37" s="6">
        <v>863.8575679999999</v>
      </c>
      <c r="E37" s="6">
        <v>835.19556399999988</v>
      </c>
      <c r="F37" s="6">
        <v>849.58409199999994</v>
      </c>
      <c r="G37" s="6">
        <v>868.11505199999988</v>
      </c>
      <c r="H37" s="6">
        <v>866.95400400000005</v>
      </c>
      <c r="I37" s="6">
        <v>857.47575199999994</v>
      </c>
      <c r="J37" s="6">
        <v>902.10134000000005</v>
      </c>
      <c r="K37" s="6">
        <v>925.16054400000007</v>
      </c>
      <c r="L37" s="112">
        <v>952.94547599999999</v>
      </c>
      <c r="M37" s="112">
        <v>977.42604400000005</v>
      </c>
      <c r="N37" s="112">
        <v>1019.621456</v>
      </c>
      <c r="O37" s="112">
        <v>1061.3526280000001</v>
      </c>
      <c r="P37" s="112">
        <v>1051.7519320000001</v>
      </c>
      <c r="Q37" s="112">
        <v>1024.5359599999999</v>
      </c>
      <c r="R37" s="112">
        <v>1003.3858257042502</v>
      </c>
    </row>
    <row r="38" spans="1:19" ht="10.15" customHeight="1">
      <c r="A38" s="89" t="s">
        <v>119</v>
      </c>
      <c r="B38" s="6">
        <v>2.2046220000000001</v>
      </c>
      <c r="C38" s="6">
        <v>4.4092440000000002</v>
      </c>
      <c r="D38" s="6">
        <v>4.4092440000000002</v>
      </c>
      <c r="E38" s="6">
        <v>6.6138659999999998</v>
      </c>
      <c r="F38" s="6">
        <v>11.023110000000001</v>
      </c>
      <c r="G38" s="6">
        <v>13.227732</v>
      </c>
      <c r="H38" s="6">
        <v>22.046220000000002</v>
      </c>
      <c r="I38" s="6">
        <v>22.046220000000002</v>
      </c>
      <c r="J38" s="6">
        <v>17.636976000000001</v>
      </c>
      <c r="K38" s="6">
        <v>30.864708</v>
      </c>
      <c r="L38" s="113">
        <v>33.07</v>
      </c>
      <c r="M38" s="113">
        <v>35.270000000000003</v>
      </c>
      <c r="N38" s="109">
        <v>35.270000000000003</v>
      </c>
      <c r="O38" s="109">
        <v>35.270000000000003</v>
      </c>
      <c r="P38" s="109">
        <v>35.270000000000003</v>
      </c>
      <c r="Q38" s="109">
        <v>35.270000000000003</v>
      </c>
      <c r="R38" s="114">
        <v>35.270000000000003</v>
      </c>
    </row>
    <row r="39" spans="1:19" ht="10.15" customHeight="1">
      <c r="A39" s="45" t="s">
        <v>112</v>
      </c>
      <c r="B39" s="6">
        <v>166.45</v>
      </c>
      <c r="C39" s="6">
        <v>158.14400000000001</v>
      </c>
      <c r="D39" s="6">
        <v>142.666</v>
      </c>
      <c r="E39" s="6">
        <v>139.90299999999999</v>
      </c>
      <c r="F39" s="6">
        <v>190.11</v>
      </c>
      <c r="G39" s="6">
        <v>188.47900000000001</v>
      </c>
      <c r="H39" s="6">
        <v>210.702</v>
      </c>
      <c r="I39" s="6">
        <v>209.80799999999999</v>
      </c>
      <c r="J39" s="6">
        <v>214.041</v>
      </c>
      <c r="K39" s="6">
        <v>226.21899999999999</v>
      </c>
      <c r="L39" s="112">
        <v>283.68900000000002</v>
      </c>
      <c r="M39" s="112">
        <v>231.74799999999999</v>
      </c>
      <c r="N39" s="6">
        <v>219.334</v>
      </c>
      <c r="O39" s="6">
        <v>254.10900000000001</v>
      </c>
      <c r="P39" s="6">
        <v>282.50299999999999</v>
      </c>
      <c r="Q39" s="6">
        <v>283.745</v>
      </c>
      <c r="R39">
        <v>269.60000000000002</v>
      </c>
    </row>
    <row r="40" spans="1:19" ht="10.15" customHeight="1">
      <c r="A40" s="45" t="s">
        <v>116</v>
      </c>
      <c r="B40" s="6">
        <v>932.35848317969794</v>
      </c>
      <c r="C40" s="6">
        <v>1015.0025294441491</v>
      </c>
      <c r="D40" s="6">
        <v>1103</v>
      </c>
      <c r="E40" s="6">
        <v>1072</v>
      </c>
      <c r="F40" s="6">
        <v>1136</v>
      </c>
      <c r="G40" s="6">
        <v>1099</v>
      </c>
      <c r="H40" s="6">
        <v>1274</v>
      </c>
      <c r="I40" s="6">
        <v>1562</v>
      </c>
      <c r="J40" s="6">
        <v>1552</v>
      </c>
      <c r="K40" s="6">
        <v>1587.894</v>
      </c>
      <c r="L40" s="112">
        <v>1751.6469999999999</v>
      </c>
      <c r="M40" s="112">
        <v>1654.492</v>
      </c>
      <c r="N40" s="6">
        <v>1531.4369999999999</v>
      </c>
      <c r="O40" s="6">
        <v>1810.0920000000001</v>
      </c>
      <c r="P40" s="6">
        <v>1787.7819999999999</v>
      </c>
      <c r="Q40" s="6">
        <v>1475.2470000000001</v>
      </c>
      <c r="R40">
        <v>1865.5</v>
      </c>
    </row>
    <row r="41" spans="1:19" ht="10.15" customHeight="1">
      <c r="A41" s="115" t="s">
        <v>113</v>
      </c>
      <c r="B41" s="109">
        <v>71.409101654248431</v>
      </c>
      <c r="C41" s="109">
        <v>69.235649845376614</v>
      </c>
      <c r="D41" s="109">
        <v>104.28680716746665</v>
      </c>
      <c r="E41" s="109">
        <v>94.84309191996941</v>
      </c>
      <c r="F41" s="109">
        <v>81.434211243702975</v>
      </c>
      <c r="G41" s="109">
        <v>62.255684269380808</v>
      </c>
      <c r="H41" s="109">
        <v>57.551207058402817</v>
      </c>
      <c r="I41" s="109">
        <v>52.325076002018911</v>
      </c>
      <c r="J41" s="109">
        <v>52.231312756700767</v>
      </c>
      <c r="K41" s="109">
        <v>60.557541431435183</v>
      </c>
      <c r="L41" s="55">
        <v>62.207696114027875</v>
      </c>
      <c r="M41" s="55">
        <v>66.8</v>
      </c>
      <c r="N41" s="6">
        <v>86.1</v>
      </c>
      <c r="O41" s="6">
        <v>69.900000000000006</v>
      </c>
      <c r="P41" s="6">
        <v>53</v>
      </c>
      <c r="Q41" s="6">
        <v>49.9</v>
      </c>
      <c r="R41">
        <v>57</v>
      </c>
    </row>
    <row r="42" spans="1:19" ht="10.15" customHeight="1">
      <c r="A42" s="45" t="s">
        <v>114</v>
      </c>
      <c r="B42" s="6">
        <v>20488.99351</v>
      </c>
      <c r="C42" s="6">
        <v>20579.830779999997</v>
      </c>
      <c r="D42" s="6">
        <v>18744.967840000001</v>
      </c>
      <c r="E42" s="6">
        <v>19615.31352</v>
      </c>
      <c r="F42" s="6">
        <v>18887.582520000004</v>
      </c>
      <c r="G42" s="6">
        <v>19740.489905999999</v>
      </c>
      <c r="H42" s="6">
        <v>19819.526644000001</v>
      </c>
      <c r="I42" s="6">
        <v>20129.804834999995</v>
      </c>
      <c r="J42" s="6">
        <v>21398.771410000005</v>
      </c>
      <c r="K42" s="6">
        <v>21950.231</v>
      </c>
      <c r="L42" s="6">
        <v>22123.409</v>
      </c>
      <c r="M42" s="6">
        <v>23772.428</v>
      </c>
      <c r="N42" s="6">
        <v>24197.199000000001</v>
      </c>
      <c r="O42" s="6">
        <v>24911.125</v>
      </c>
      <c r="P42" s="6">
        <v>25022.667000000001</v>
      </c>
      <c r="Q42" s="6">
        <v>26155.172999999999</v>
      </c>
      <c r="R42">
        <v>26195</v>
      </c>
      <c r="S42" s="6"/>
    </row>
    <row r="43" spans="1:19" ht="10.15" customHeight="1">
      <c r="A43" s="45" t="s">
        <v>115</v>
      </c>
      <c r="B43" s="6">
        <v>600</v>
      </c>
      <c r="C43" s="6">
        <v>632</v>
      </c>
      <c r="D43" s="6">
        <v>646</v>
      </c>
      <c r="E43" s="6">
        <v>722</v>
      </c>
      <c r="F43" s="6">
        <v>487</v>
      </c>
      <c r="G43" s="6">
        <v>322</v>
      </c>
      <c r="H43" s="6">
        <v>428</v>
      </c>
      <c r="I43" s="6">
        <v>430</v>
      </c>
      <c r="J43" s="6">
        <v>322</v>
      </c>
      <c r="K43" s="6">
        <v>452</v>
      </c>
      <c r="L43" s="6">
        <v>465.18</v>
      </c>
      <c r="M43" s="6">
        <v>440.92</v>
      </c>
      <c r="N43" s="6">
        <v>449.74</v>
      </c>
      <c r="O43" s="6">
        <v>359.35</v>
      </c>
      <c r="P43" s="6">
        <v>467.38</v>
      </c>
      <c r="Q43" s="6">
        <v>403.45</v>
      </c>
      <c r="R43" s="6">
        <v>555.55999999999995</v>
      </c>
    </row>
    <row r="44" spans="1:19" ht="10.15" customHeight="1">
      <c r="A44" s="45" t="s">
        <v>117</v>
      </c>
      <c r="B44" s="6">
        <v>1797.7930000000003</v>
      </c>
      <c r="C44" s="6">
        <v>1789.0459999999996</v>
      </c>
      <c r="D44" s="6">
        <v>1846.1</v>
      </c>
      <c r="E44" s="6">
        <v>1821.1536900000001</v>
      </c>
      <c r="F44" s="6">
        <v>2021.0007019999998</v>
      </c>
      <c r="G44" s="6">
        <v>2050.8921600000003</v>
      </c>
      <c r="H44" s="6">
        <v>2053.6843680000002</v>
      </c>
      <c r="I44" s="6">
        <v>1957.91112</v>
      </c>
      <c r="J44" s="6">
        <v>1876.1680400000002</v>
      </c>
      <c r="K44" s="6">
        <v>2111.09</v>
      </c>
      <c r="L44" s="6">
        <v>2051.0079999999998</v>
      </c>
      <c r="M44" s="6">
        <v>2218.9740000000002</v>
      </c>
      <c r="N44" s="6">
        <v>2251.326</v>
      </c>
      <c r="O44" s="6">
        <v>2283.4180000000001</v>
      </c>
      <c r="P44" s="6">
        <v>2272.8179999999998</v>
      </c>
      <c r="Q44" s="6">
        <v>2315.701</v>
      </c>
      <c r="R44">
        <v>2320</v>
      </c>
    </row>
    <row r="45" spans="1:19" ht="10.15" customHeight="1">
      <c r="A45" s="89" t="s">
        <v>122</v>
      </c>
      <c r="B45" s="6">
        <f t="shared" ref="B45:R45" si="3">SUM(B35:B44)</f>
        <v>28269.227618833949</v>
      </c>
      <c r="C45" s="6">
        <f t="shared" si="3"/>
        <v>28486.657641289519</v>
      </c>
      <c r="D45" s="6">
        <f t="shared" si="3"/>
        <v>26542.422019167469</v>
      </c>
      <c r="E45" s="6">
        <f t="shared" si="3"/>
        <v>27409.461911919967</v>
      </c>
      <c r="F45" s="6">
        <f t="shared" si="3"/>
        <v>28148.734635243705</v>
      </c>
      <c r="G45" s="6">
        <f t="shared" si="3"/>
        <v>28724.459534269379</v>
      </c>
      <c r="H45" s="6">
        <f t="shared" si="3"/>
        <v>29217.464443058409</v>
      </c>
      <c r="I45" s="6">
        <f t="shared" si="3"/>
        <v>29741.371003002016</v>
      </c>
      <c r="J45" s="6">
        <f t="shared" si="3"/>
        <v>31684.950078756705</v>
      </c>
      <c r="K45" s="6">
        <f t="shared" si="3"/>
        <v>33109.016793431438</v>
      </c>
      <c r="L45" s="6">
        <f t="shared" si="3"/>
        <v>34114.781172114032</v>
      </c>
      <c r="M45" s="6">
        <f t="shared" si="3"/>
        <v>36025.497044000003</v>
      </c>
      <c r="N45" s="6">
        <f t="shared" si="3"/>
        <v>36010.488455999999</v>
      </c>
      <c r="O45" s="6">
        <f t="shared" si="3"/>
        <v>36660.065627999997</v>
      </c>
      <c r="P45" s="6">
        <f t="shared" si="3"/>
        <v>37096.802931999999</v>
      </c>
      <c r="Q45" s="6">
        <f t="shared" si="3"/>
        <v>38261.381959999999</v>
      </c>
      <c r="R45" s="6">
        <f t="shared" si="3"/>
        <v>38801.315825704252</v>
      </c>
      <c r="S45" s="19"/>
    </row>
    <row r="46" spans="1:19" ht="10.15" customHeight="1">
      <c r="A46" s="83" t="s">
        <v>17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9" ht="10.15" customHeight="1">
      <c r="A47" s="45" t="s">
        <v>106</v>
      </c>
      <c r="B47" s="6">
        <v>9.0144590542020016</v>
      </c>
      <c r="C47" s="6">
        <v>8.4873185016479997</v>
      </c>
      <c r="D47" s="6">
        <v>13.888393279362001</v>
      </c>
      <c r="E47" s="6">
        <v>13.550473228445998</v>
      </c>
      <c r="F47" s="6">
        <v>25.953259926887998</v>
      </c>
      <c r="G47" s="6">
        <v>25.497562354866002</v>
      </c>
      <c r="H47" s="6">
        <v>24.250842000000002</v>
      </c>
      <c r="I47" s="6">
        <v>37.478574000000002</v>
      </c>
      <c r="J47" s="6">
        <v>59.524794</v>
      </c>
      <c r="K47" s="6">
        <v>59.524794</v>
      </c>
      <c r="L47" s="6">
        <v>42.667758148049998</v>
      </c>
      <c r="M47" s="6">
        <v>20.150549317836003</v>
      </c>
      <c r="N47" s="6">
        <v>20.890607853906001</v>
      </c>
      <c r="O47" s="6">
        <v>17.209993629528004</v>
      </c>
      <c r="P47" s="6">
        <v>20.652237509400003</v>
      </c>
      <c r="Q47" s="6">
        <v>16.569277565400004</v>
      </c>
      <c r="R47" s="116">
        <v>15</v>
      </c>
    </row>
    <row r="48" spans="1:19" ht="10.15" customHeight="1">
      <c r="A48" s="45" t="s">
        <v>123</v>
      </c>
      <c r="B48" s="6">
        <v>792.96945084226809</v>
      </c>
      <c r="C48" s="6">
        <v>769.257643330512</v>
      </c>
      <c r="D48" s="6">
        <v>813.70250538494417</v>
      </c>
      <c r="E48" s="6">
        <v>774.09081189027006</v>
      </c>
      <c r="F48" s="6">
        <v>791.74480316286599</v>
      </c>
      <c r="G48" s="6">
        <v>1003.3988261799599</v>
      </c>
      <c r="H48" s="6">
        <v>1018.7799337415701</v>
      </c>
      <c r="I48" s="6">
        <v>1004.1465347543701</v>
      </c>
      <c r="J48" s="6">
        <v>908.59042173097805</v>
      </c>
      <c r="K48" s="6">
        <v>1093.9486196317139</v>
      </c>
      <c r="L48" s="6">
        <v>1119.985454574</v>
      </c>
      <c r="M48" s="6">
        <v>728.41857283440004</v>
      </c>
      <c r="N48" s="6">
        <v>573.02975948400001</v>
      </c>
      <c r="O48" s="6">
        <v>482.23989812879995</v>
      </c>
      <c r="P48" s="6">
        <v>423.88928580599998</v>
      </c>
      <c r="Q48" s="6">
        <v>271.307397186</v>
      </c>
      <c r="R48" s="116">
        <v>320</v>
      </c>
    </row>
    <row r="49" spans="1:19" ht="10.15" customHeight="1">
      <c r="A49" s="45" t="s">
        <v>108</v>
      </c>
      <c r="B49" s="6">
        <v>137.81836181925001</v>
      </c>
      <c r="C49" s="6">
        <v>186.49135376713801</v>
      </c>
      <c r="D49" s="6">
        <v>192.22683001905602</v>
      </c>
      <c r="E49" s="6">
        <v>94.027681660121999</v>
      </c>
      <c r="F49" s="6">
        <v>163.23590300938201</v>
      </c>
      <c r="G49" s="6">
        <v>258.72821206747204</v>
      </c>
      <c r="H49" s="6">
        <v>220.66299256251602</v>
      </c>
      <c r="I49" s="6">
        <v>148.403212807248</v>
      </c>
      <c r="J49" s="6">
        <v>118.49962299588</v>
      </c>
      <c r="K49" s="6">
        <v>54.826321230575999</v>
      </c>
      <c r="L49" s="6">
        <v>102.76738111998999</v>
      </c>
      <c r="M49" s="6">
        <v>99.018420354680003</v>
      </c>
      <c r="N49" s="6">
        <v>83.139185009605995</v>
      </c>
      <c r="O49" s="6">
        <v>83.915873558632001</v>
      </c>
      <c r="P49" s="6">
        <v>62.676539237551999</v>
      </c>
      <c r="Q49" s="6">
        <v>127.79756403616</v>
      </c>
      <c r="R49" s="116">
        <v>65</v>
      </c>
      <c r="S49" s="6"/>
    </row>
    <row r="50" spans="1:19" ht="10.15" customHeight="1">
      <c r="A50" s="45" t="s">
        <v>109</v>
      </c>
      <c r="B50" s="6">
        <v>79.380896208138012</v>
      </c>
      <c r="C50" s="6">
        <v>74.713947328692015</v>
      </c>
      <c r="D50" s="6">
        <v>86.878456276752004</v>
      </c>
      <c r="E50" s="6">
        <v>68.718817311479995</v>
      </c>
      <c r="F50" s="6">
        <v>70.372887877908013</v>
      </c>
      <c r="G50" s="6">
        <v>66.008512344852008</v>
      </c>
      <c r="H50" s="6">
        <v>61.456728509442009</v>
      </c>
      <c r="I50" s="6">
        <v>51.786850766994</v>
      </c>
      <c r="J50" s="6">
        <v>46.586295178667996</v>
      </c>
      <c r="K50" s="6">
        <v>43.325469643175992</v>
      </c>
      <c r="L50" s="111">
        <v>38.889382165703992</v>
      </c>
      <c r="M50" s="111">
        <v>36.256415338836</v>
      </c>
      <c r="N50" s="111">
        <v>48.044659245534007</v>
      </c>
      <c r="O50" s="111">
        <v>42.380215914456002</v>
      </c>
      <c r="P50" s="111">
        <v>98.288883088200009</v>
      </c>
      <c r="Q50" s="111">
        <v>139.14405614340001</v>
      </c>
      <c r="R50" s="116">
        <v>86.772251656404336</v>
      </c>
    </row>
    <row r="51" spans="1:19" ht="10.15" customHeight="1">
      <c r="A51" s="45" t="s">
        <v>119</v>
      </c>
      <c r="B51" s="6">
        <v>20.520570869694001</v>
      </c>
      <c r="C51" s="6">
        <v>8.2202748434099995</v>
      </c>
      <c r="D51" s="6">
        <v>10.612554268050003</v>
      </c>
      <c r="E51" s="6">
        <v>7.4812701166560007</v>
      </c>
      <c r="F51" s="6">
        <v>7.8151843693979988</v>
      </c>
      <c r="G51" s="6">
        <v>8.1777609127620003</v>
      </c>
      <c r="H51" s="6">
        <v>15.432354</v>
      </c>
      <c r="I51" s="6">
        <v>13.227732</v>
      </c>
      <c r="J51" s="6">
        <v>17.636976000000001</v>
      </c>
      <c r="K51" s="6">
        <v>17.636976000000001</v>
      </c>
      <c r="L51" s="111">
        <v>28.66</v>
      </c>
      <c r="M51" s="111">
        <v>26.46</v>
      </c>
      <c r="N51" s="111">
        <v>15.43</v>
      </c>
      <c r="O51" s="111">
        <v>15.43</v>
      </c>
      <c r="P51" s="111">
        <v>24.25</v>
      </c>
      <c r="Q51" s="111">
        <v>8.82</v>
      </c>
      <c r="R51" s="116">
        <v>22.05</v>
      </c>
    </row>
    <row r="52" spans="1:19" ht="10.15" customHeight="1">
      <c r="A52" s="45" t="s">
        <v>111</v>
      </c>
      <c r="B52" s="6">
        <v>2.6838957996900001</v>
      </c>
      <c r="C52" s="6">
        <v>5.8580863044480012</v>
      </c>
      <c r="D52" s="6">
        <v>5.4681085142459995</v>
      </c>
      <c r="E52" s="6">
        <v>2.6741976675119998</v>
      </c>
      <c r="F52" s="6">
        <v>2.7318397143239999</v>
      </c>
      <c r="G52" s="6">
        <v>1.9594812613320001</v>
      </c>
      <c r="H52" s="6">
        <v>2.2046220000000001</v>
      </c>
      <c r="I52" s="6">
        <v>2.2046220000000001</v>
      </c>
      <c r="J52" s="6">
        <v>2.2046220000000001</v>
      </c>
      <c r="K52" s="6">
        <v>4.4092440000000002</v>
      </c>
      <c r="L52" s="6">
        <v>2.234</v>
      </c>
      <c r="M52" s="6">
        <v>4.55</v>
      </c>
      <c r="N52" s="6">
        <v>7.3390000000000004</v>
      </c>
      <c r="O52" s="6">
        <v>1.5920000000000001</v>
      </c>
      <c r="P52" s="6">
        <v>1.1080000000000001</v>
      </c>
      <c r="Q52" s="6">
        <v>3.9670000000000001</v>
      </c>
      <c r="R52" s="116">
        <v>4.4089999999999998</v>
      </c>
    </row>
    <row r="53" spans="1:19" ht="10.15" customHeight="1">
      <c r="A53" s="45" t="s">
        <v>110</v>
      </c>
      <c r="B53" s="6">
        <v>92.901053679462009</v>
      </c>
      <c r="C53" s="6">
        <v>48.400941593088007</v>
      </c>
      <c r="D53" s="6">
        <v>43.292157804755995</v>
      </c>
      <c r="E53" s="6">
        <v>34.414475704056002</v>
      </c>
      <c r="F53" s="6">
        <v>59.413290833106004</v>
      </c>
      <c r="G53" s="6">
        <v>40.645209265164006</v>
      </c>
      <c r="H53" s="6">
        <v>59.413290833106004</v>
      </c>
      <c r="I53" s="6">
        <v>40.645209265164006</v>
      </c>
      <c r="J53" s="6">
        <v>81.286364230469999</v>
      </c>
      <c r="K53" s="6">
        <v>27.653367409920001</v>
      </c>
      <c r="L53" s="111">
        <v>38.338999999999999</v>
      </c>
      <c r="M53" s="111">
        <v>35.030999999999999</v>
      </c>
      <c r="N53" s="111">
        <v>12.987</v>
      </c>
      <c r="O53" s="111">
        <v>10.48</v>
      </c>
      <c r="P53" s="111">
        <v>15.285</v>
      </c>
      <c r="Q53" s="111">
        <v>20.661000000000001</v>
      </c>
      <c r="R53" s="116">
        <v>22.045999999999999</v>
      </c>
    </row>
    <row r="54" spans="1:19" ht="10.15" customHeight="1">
      <c r="A54" s="45" t="s">
        <v>112</v>
      </c>
      <c r="B54" s="6">
        <v>11.008921052807999</v>
      </c>
      <c r="C54" s="6">
        <v>12.978894110237999</v>
      </c>
      <c r="D54" s="6">
        <v>9.3111196043880007</v>
      </c>
      <c r="E54" s="6">
        <v>10.76435351586</v>
      </c>
      <c r="F54" s="6">
        <v>15.933208844448</v>
      </c>
      <c r="G54" s="6">
        <v>15.646171469292</v>
      </c>
      <c r="H54" s="6">
        <v>12.597635600046001</v>
      </c>
      <c r="I54" s="6">
        <v>8.9400751079220004</v>
      </c>
      <c r="J54" s="6">
        <v>18.840011769936002</v>
      </c>
      <c r="K54" s="6">
        <v>10.252786413114</v>
      </c>
      <c r="L54" s="6">
        <v>11.907999999999999</v>
      </c>
      <c r="M54" s="6">
        <v>10.943</v>
      </c>
      <c r="N54" s="6">
        <v>9.3989999999999991</v>
      </c>
      <c r="O54" s="6">
        <v>26.803999999999998</v>
      </c>
      <c r="P54" s="6">
        <v>29.167999999999999</v>
      </c>
      <c r="Q54" s="6">
        <v>18.721</v>
      </c>
      <c r="R54" s="116">
        <v>25</v>
      </c>
    </row>
    <row r="55" spans="1:19" ht="10.15" customHeight="1">
      <c r="A55" s="45" t="s">
        <v>116</v>
      </c>
      <c r="B55" s="6">
        <v>629.70799999999997</v>
      </c>
      <c r="C55" s="6">
        <v>348.505</v>
      </c>
      <c r="D55" s="6">
        <v>548.72400000000005</v>
      </c>
      <c r="E55" s="6">
        <v>553.09400000000005</v>
      </c>
      <c r="F55" s="6">
        <v>510.63337037185198</v>
      </c>
      <c r="G55" s="6">
        <v>663.94035255378606</v>
      </c>
      <c r="H55" s="6">
        <v>475.19288210782082</v>
      </c>
      <c r="I55" s="6">
        <v>262.20648211637035</v>
      </c>
      <c r="J55" s="6">
        <v>241.398143700714</v>
      </c>
      <c r="K55" s="6">
        <v>245.60552148728394</v>
      </c>
      <c r="L55" s="6">
        <v>271.15300000000002</v>
      </c>
      <c r="M55" s="111">
        <v>230.822</v>
      </c>
      <c r="N55" s="111">
        <v>198.976</v>
      </c>
      <c r="O55" s="111">
        <v>234.38499999999999</v>
      </c>
      <c r="P55" s="111">
        <v>312.125</v>
      </c>
      <c r="Q55" s="111">
        <v>217.33699999999999</v>
      </c>
      <c r="R55" s="116">
        <v>200.62100000000001</v>
      </c>
    </row>
    <row r="56" spans="1:19" ht="10.15" customHeight="1">
      <c r="A56" s="45" t="s">
        <v>113</v>
      </c>
      <c r="B56" s="6">
        <v>37.232125920485998</v>
      </c>
      <c r="C56" s="6">
        <v>38.639426532588004</v>
      </c>
      <c r="D56" s="6">
        <v>44.291830422924001</v>
      </c>
      <c r="E56" s="6">
        <v>57.051170637426011</v>
      </c>
      <c r="F56" s="6">
        <v>42.156530557092005</v>
      </c>
      <c r="G56" s="6">
        <v>43.863972817518011</v>
      </c>
      <c r="H56" s="6">
        <v>45.138339132264001</v>
      </c>
      <c r="I56" s="6">
        <v>29.561547117312003</v>
      </c>
      <c r="J56" s="6">
        <v>51.611153416703992</v>
      </c>
      <c r="K56" s="109">
        <v>45.716999999999999</v>
      </c>
      <c r="L56" s="6">
        <v>31.33</v>
      </c>
      <c r="M56" s="6">
        <v>29.285</v>
      </c>
      <c r="N56" s="6">
        <v>25.553999999999998</v>
      </c>
      <c r="O56" s="6">
        <v>31.783999999999999</v>
      </c>
      <c r="P56" s="6">
        <v>21.193000000000001</v>
      </c>
      <c r="Q56" s="6">
        <v>17.890999999999998</v>
      </c>
      <c r="R56" s="116">
        <v>18.117999999999999</v>
      </c>
      <c r="S56" s="6"/>
    </row>
    <row r="57" spans="1:19" ht="10.15" customHeight="1">
      <c r="A57" s="89" t="s">
        <v>120</v>
      </c>
      <c r="B57" s="6">
        <v>0.79759696564800009</v>
      </c>
      <c r="C57" s="6">
        <v>1.55814966783</v>
      </c>
      <c r="D57" s="6">
        <v>1.5873498862200002</v>
      </c>
      <c r="E57" s="6">
        <v>1.9717411642740004</v>
      </c>
      <c r="F57" s="6">
        <v>2.2627292220539998</v>
      </c>
      <c r="G57" s="6">
        <v>1.7166421480319998</v>
      </c>
      <c r="H57" s="6">
        <v>1.7691143562540002</v>
      </c>
      <c r="I57" s="6">
        <v>2.5224160566780003</v>
      </c>
      <c r="J57" s="6">
        <v>2.6097168832560005</v>
      </c>
      <c r="K57" s="6">
        <v>2.8829378923379996</v>
      </c>
      <c r="L57" s="6">
        <v>2.6059999999999999</v>
      </c>
      <c r="M57" s="6">
        <v>2.3279999999999998</v>
      </c>
      <c r="N57" s="6">
        <v>3.17</v>
      </c>
      <c r="O57" s="6">
        <v>2.6709999999999998</v>
      </c>
      <c r="P57" s="6">
        <v>2.98</v>
      </c>
      <c r="Q57" s="6">
        <v>3.181</v>
      </c>
      <c r="R57" s="116">
        <v>2.5</v>
      </c>
    </row>
    <row r="58" spans="1:19" ht="10.15" customHeight="1">
      <c r="A58" s="45" t="s">
        <v>114</v>
      </c>
      <c r="B58" s="6">
        <v>1876.6194984711722</v>
      </c>
      <c r="C58" s="6">
        <v>2911.0484564629019</v>
      </c>
      <c r="D58" s="6">
        <v>2193.4384199738643</v>
      </c>
      <c r="E58" s="6">
        <v>3358.4855391315896</v>
      </c>
      <c r="F58" s="6">
        <v>3233.0068589106531</v>
      </c>
      <c r="G58" s="6">
        <v>1464.1127377805883</v>
      </c>
      <c r="H58" s="6">
        <v>2163.493910173554</v>
      </c>
      <c r="I58" s="6">
        <v>1878.4999153737178</v>
      </c>
      <c r="J58" s="6">
        <v>2014.3727820536042</v>
      </c>
      <c r="K58" s="6">
        <v>2242.5412316407378</v>
      </c>
      <c r="L58" s="6">
        <v>2555.6629160845036</v>
      </c>
      <c r="M58" s="6">
        <v>2443.0375649191838</v>
      </c>
      <c r="N58" s="6">
        <v>1940.4219679927719</v>
      </c>
      <c r="O58" s="6">
        <v>2836.6949799463837</v>
      </c>
      <c r="P58" s="6">
        <v>1731.3591481740061</v>
      </c>
      <c r="Q58" s="6">
        <v>1773.4436302917097</v>
      </c>
      <c r="R58" s="116">
        <v>500</v>
      </c>
    </row>
    <row r="59" spans="1:19" ht="10.15" customHeight="1">
      <c r="A59" s="45" t="s">
        <v>115</v>
      </c>
      <c r="B59" s="6">
        <v>169.93776649651201</v>
      </c>
      <c r="C59" s="6">
        <v>169.066583657748</v>
      </c>
      <c r="D59" s="6">
        <v>199.71018791274602</v>
      </c>
      <c r="E59" s="6">
        <v>215.02181240278202</v>
      </c>
      <c r="F59" s="6">
        <v>83.700392251140002</v>
      </c>
      <c r="G59" s="6">
        <v>41.353675567974001</v>
      </c>
      <c r="H59" s="6">
        <v>62.485965108630005</v>
      </c>
      <c r="I59" s="6">
        <v>81.749345873580012</v>
      </c>
      <c r="J59" s="6">
        <v>63.549816477840011</v>
      </c>
      <c r="K59" s="6">
        <v>85.619</v>
      </c>
      <c r="L59" s="6">
        <v>71.472999999999999</v>
      </c>
      <c r="M59" s="6">
        <v>89.088999999999999</v>
      </c>
      <c r="N59" s="6">
        <v>122.309</v>
      </c>
      <c r="O59" s="6">
        <v>87.382999999999996</v>
      </c>
      <c r="P59" s="6">
        <v>98.275999999999996</v>
      </c>
      <c r="Q59" s="6">
        <v>123.95099999999999</v>
      </c>
      <c r="R59" s="116">
        <v>100</v>
      </c>
    </row>
    <row r="60" spans="1:19" ht="10.15" customHeight="1">
      <c r="A60" s="45" t="s">
        <v>117</v>
      </c>
      <c r="B60" s="6">
        <v>334.90629516342602</v>
      </c>
      <c r="C60" s="6">
        <v>247.93102291154401</v>
      </c>
      <c r="D60" s="6">
        <v>181.32182161959602</v>
      </c>
      <c r="E60" s="6">
        <v>183.22264229875202</v>
      </c>
      <c r="F60" s="6">
        <v>139.376793678696</v>
      </c>
      <c r="G60" s="6">
        <v>141.61652869329001</v>
      </c>
      <c r="H60" s="6">
        <v>181.96295656190398</v>
      </c>
      <c r="I60" s="6">
        <v>104.61279058889397</v>
      </c>
      <c r="J60" s="6">
        <v>119.97237001667401</v>
      </c>
      <c r="K60" s="6">
        <v>230.25271245366602</v>
      </c>
      <c r="L60" s="6">
        <v>191.219562478098</v>
      </c>
      <c r="M60" s="6">
        <v>248.42781022840205</v>
      </c>
      <c r="N60" s="6">
        <v>264.33632730645002</v>
      </c>
      <c r="O60" s="6">
        <v>249.38479254616203</v>
      </c>
      <c r="P60" s="6">
        <v>243.07981392996004</v>
      </c>
      <c r="Q60" s="6">
        <v>188.19402963480002</v>
      </c>
      <c r="R60" s="116">
        <v>120</v>
      </c>
    </row>
    <row r="61" spans="1:19" ht="10.15" customHeight="1">
      <c r="A61" s="89" t="s">
        <v>124</v>
      </c>
      <c r="B61" s="6">
        <f t="shared" ref="B61:R61" si="4">SUM(B47:B60)</f>
        <v>4195.4988923427563</v>
      </c>
      <c r="C61" s="6">
        <f t="shared" si="4"/>
        <v>4831.1570990117852</v>
      </c>
      <c r="D61" s="6">
        <f t="shared" si="4"/>
        <v>4344.4537349669054</v>
      </c>
      <c r="E61" s="6">
        <f t="shared" si="4"/>
        <v>5374.5689867292258</v>
      </c>
      <c r="F61" s="6">
        <f t="shared" si="4"/>
        <v>5148.3370527298075</v>
      </c>
      <c r="G61" s="6">
        <f t="shared" si="4"/>
        <v>3776.6656454168888</v>
      </c>
      <c r="H61" s="6">
        <f t="shared" si="4"/>
        <v>4344.8415666871069</v>
      </c>
      <c r="I61" s="6">
        <f t="shared" si="4"/>
        <v>3665.9853078282499</v>
      </c>
      <c r="J61" s="6">
        <f t="shared" si="4"/>
        <v>3746.6830904547242</v>
      </c>
      <c r="K61" s="6">
        <f t="shared" si="4"/>
        <v>4164.1959818025261</v>
      </c>
      <c r="L61" s="6">
        <f t="shared" si="4"/>
        <v>4508.8954545703455</v>
      </c>
      <c r="M61" s="6">
        <f t="shared" si="4"/>
        <v>4003.8173329933375</v>
      </c>
      <c r="N61" s="6">
        <f t="shared" si="4"/>
        <v>3325.0265068922681</v>
      </c>
      <c r="O61" s="6">
        <f t="shared" si="4"/>
        <v>4122.3547537239619</v>
      </c>
      <c r="P61" s="6">
        <f t="shared" si="4"/>
        <v>3084.3309077451181</v>
      </c>
      <c r="Q61" s="6">
        <f t="shared" si="4"/>
        <v>2930.9849548574703</v>
      </c>
      <c r="R61" s="6">
        <f t="shared" si="4"/>
        <v>1501.5162516564046</v>
      </c>
    </row>
    <row r="62" spans="1:19" ht="10.15" customHeight="1">
      <c r="A62" s="83" t="s">
        <v>19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9" ht="10.15" customHeight="1">
      <c r="A63" s="45" t="s">
        <v>106</v>
      </c>
      <c r="B63" s="6">
        <v>999.67484469182216</v>
      </c>
      <c r="C63" s="6">
        <v>1121.065840060136</v>
      </c>
      <c r="D63" s="6">
        <v>942.63990586802004</v>
      </c>
      <c r="E63" s="6">
        <v>1317.8922038438384</v>
      </c>
      <c r="F63" s="6">
        <v>1072.0205455217122</v>
      </c>
      <c r="G63" s="6">
        <v>1135.6730115615119</v>
      </c>
      <c r="H63" s="6">
        <v>1190.4958800000002</v>
      </c>
      <c r="I63" s="6">
        <v>1130.971086</v>
      </c>
      <c r="J63" s="6">
        <v>1238.9975640000002</v>
      </c>
      <c r="K63" s="6">
        <v>1161.8357940000003</v>
      </c>
      <c r="L63" s="6">
        <v>1005.026</v>
      </c>
      <c r="M63" s="6">
        <v>962.90300000000002</v>
      </c>
      <c r="N63" s="6">
        <v>926.81</v>
      </c>
      <c r="O63" s="6">
        <v>1038.2940000000001</v>
      </c>
      <c r="P63" s="6">
        <v>959.52099999999996</v>
      </c>
      <c r="Q63" s="6">
        <v>1132.5840000000001</v>
      </c>
      <c r="R63" s="6">
        <v>1100</v>
      </c>
    </row>
    <row r="64" spans="1:19" ht="10.15" customHeight="1">
      <c r="A64" s="45" t="s">
        <v>107</v>
      </c>
      <c r="B64" s="6">
        <v>1831.6070154047379</v>
      </c>
      <c r="C64" s="6">
        <v>1756.0666496253439</v>
      </c>
      <c r="D64" s="6">
        <v>1567.7993531418733</v>
      </c>
      <c r="E64" s="6">
        <v>1895.0803012535878</v>
      </c>
      <c r="F64" s="6">
        <v>2804.644150177066</v>
      </c>
      <c r="G64" s="6">
        <v>2742.3548912957858</v>
      </c>
      <c r="H64" s="6">
        <v>2726.2658212555179</v>
      </c>
      <c r="I64" s="6">
        <v>2927.9301510077485</v>
      </c>
      <c r="J64" s="6">
        <v>3870.2191376859719</v>
      </c>
      <c r="K64" s="6">
        <v>4288.8865532831724</v>
      </c>
      <c r="L64" s="6">
        <v>4841.3898220697201</v>
      </c>
      <c r="M64" s="6">
        <v>5422.883950611199</v>
      </c>
      <c r="N64" s="6">
        <v>5278.8582748472008</v>
      </c>
      <c r="O64" s="6">
        <v>4945.6847410109995</v>
      </c>
      <c r="P64" s="6">
        <v>5297.1449928814</v>
      </c>
      <c r="Q64" s="6">
        <v>5979.9375779343991</v>
      </c>
      <c r="R64" s="6">
        <v>5978</v>
      </c>
    </row>
    <row r="65" spans="1:19" ht="10.15" customHeight="1">
      <c r="A65" s="45" t="s">
        <v>108</v>
      </c>
      <c r="B65" s="6">
        <v>713.9124309085521</v>
      </c>
      <c r="C65" s="6">
        <v>622.62017890968195</v>
      </c>
      <c r="D65" s="6">
        <v>502.05297804131203</v>
      </c>
      <c r="E65" s="6">
        <v>551.92322662066999</v>
      </c>
      <c r="F65" s="6">
        <v>599.50524319104193</v>
      </c>
      <c r="G65" s="6">
        <v>571.61889468866798</v>
      </c>
      <c r="H65" s="6">
        <v>584.25441577419792</v>
      </c>
      <c r="I65" s="6">
        <v>538.54962385942599</v>
      </c>
      <c r="J65" s="6">
        <v>540.92412416890193</v>
      </c>
      <c r="K65" s="6">
        <v>433.24357832929593</v>
      </c>
      <c r="L65" s="6">
        <v>436.4</v>
      </c>
      <c r="M65" s="6">
        <v>474.49</v>
      </c>
      <c r="N65" s="6">
        <v>369.72</v>
      </c>
      <c r="O65" s="6">
        <v>388.25</v>
      </c>
      <c r="P65" s="6">
        <v>354.94</v>
      </c>
      <c r="Q65" s="6">
        <v>325.58999999999997</v>
      </c>
      <c r="R65" s="6">
        <v>359.7</v>
      </c>
    </row>
    <row r="66" spans="1:19" ht="10.15" customHeight="1">
      <c r="A66" s="45" t="s">
        <v>109</v>
      </c>
      <c r="B66" s="6">
        <v>732.45023092304609</v>
      </c>
      <c r="C66" s="6">
        <v>798.8349652159161</v>
      </c>
      <c r="D66" s="6">
        <v>779.95583160216995</v>
      </c>
      <c r="E66" s="6">
        <v>790.9627176762458</v>
      </c>
      <c r="F66" s="6">
        <v>789.54274072260591</v>
      </c>
      <c r="G66" s="6">
        <v>820.79374574465589</v>
      </c>
      <c r="H66" s="6">
        <v>819.97477022378405</v>
      </c>
      <c r="I66" s="6">
        <v>821.75317044610995</v>
      </c>
      <c r="J66" s="6">
        <v>882.80358397978796</v>
      </c>
      <c r="K66" s="6">
        <v>890.35233496649209</v>
      </c>
      <c r="L66" s="6">
        <v>928.80904224095605</v>
      </c>
      <c r="M66" s="6">
        <v>949.76564790430007</v>
      </c>
      <c r="N66" s="6">
        <v>981.70497217664786</v>
      </c>
      <c r="O66" s="6">
        <v>1040.4511586235221</v>
      </c>
      <c r="P66" s="6">
        <v>968.27237532132017</v>
      </c>
      <c r="Q66" s="6">
        <v>909.52788268220002</v>
      </c>
      <c r="R66" s="6">
        <v>960.88103690191667</v>
      </c>
    </row>
    <row r="67" spans="1:19" ht="10.15" customHeight="1">
      <c r="A67" s="45" t="s">
        <v>119</v>
      </c>
      <c r="B67" s="6">
        <v>559.32025143834005</v>
      </c>
      <c r="C67" s="6">
        <v>578.85045760394985</v>
      </c>
      <c r="D67" s="6">
        <v>602.72504051506735</v>
      </c>
      <c r="E67" s="6">
        <v>590.37511690432814</v>
      </c>
      <c r="F67" s="6">
        <v>643.61405297473198</v>
      </c>
      <c r="G67" s="6">
        <v>701.10577984028407</v>
      </c>
      <c r="H67" s="6">
        <v>660.08161148567399</v>
      </c>
      <c r="I67" s="6">
        <v>695.54035269709209</v>
      </c>
      <c r="J67" s="6">
        <v>684.03296661008392</v>
      </c>
      <c r="K67" s="6">
        <v>741.80041452606588</v>
      </c>
      <c r="L67" s="6">
        <v>701.07</v>
      </c>
      <c r="M67" s="6">
        <v>718.69999999999993</v>
      </c>
      <c r="N67" s="6">
        <v>804.69</v>
      </c>
      <c r="O67" s="6">
        <v>895.07</v>
      </c>
      <c r="P67" s="6">
        <v>870.81999999999994</v>
      </c>
      <c r="Q67" s="6">
        <v>932.55</v>
      </c>
      <c r="R67" s="6">
        <v>839.95</v>
      </c>
    </row>
    <row r="68" spans="1:19" ht="10.15" customHeight="1">
      <c r="A68" s="45" t="s">
        <v>110</v>
      </c>
      <c r="B68" s="6">
        <v>1461.0846824390162</v>
      </c>
      <c r="C68" s="6">
        <v>2090.0923657332396</v>
      </c>
      <c r="D68" s="6">
        <v>2116.1756298581922</v>
      </c>
      <c r="E68" s="6">
        <v>2111.4517787034329</v>
      </c>
      <c r="F68" s="6">
        <v>2107.947118109942</v>
      </c>
      <c r="G68" s="6">
        <v>2299.4760595944167</v>
      </c>
      <c r="H68" s="6">
        <v>2750.7751729988031</v>
      </c>
      <c r="I68" s="6">
        <v>2649.1150392683767</v>
      </c>
      <c r="J68" s="6">
        <v>2374.2068748575934</v>
      </c>
      <c r="K68" s="6">
        <v>2801.2521740599623</v>
      </c>
      <c r="L68" s="6">
        <v>2985.16</v>
      </c>
      <c r="M68" s="6">
        <v>3445.1</v>
      </c>
      <c r="N68" s="6">
        <v>3299.66</v>
      </c>
      <c r="O68" s="6">
        <v>3269.27</v>
      </c>
      <c r="P68" s="6">
        <v>3523.88</v>
      </c>
      <c r="Q68" s="6">
        <v>3449.67</v>
      </c>
      <c r="R68" s="6">
        <v>3784.04</v>
      </c>
      <c r="S68" s="117"/>
    </row>
    <row r="69" spans="1:19" ht="10.15" customHeight="1">
      <c r="A69" s="45" t="s">
        <v>111</v>
      </c>
      <c r="B69" s="6">
        <v>639.37971021515818</v>
      </c>
      <c r="C69" s="6">
        <v>520.51147999783007</v>
      </c>
      <c r="D69" s="6">
        <v>734.88474292317017</v>
      </c>
      <c r="E69" s="6">
        <v>664.52286065646808</v>
      </c>
      <c r="F69" s="6">
        <v>621.86537459087003</v>
      </c>
      <c r="G69" s="6">
        <v>667.54815215994802</v>
      </c>
      <c r="H69" s="6">
        <v>608.89750657810202</v>
      </c>
      <c r="I69" s="6">
        <v>591.02478814302015</v>
      </c>
      <c r="J69" s="6">
        <v>659.47445858687399</v>
      </c>
      <c r="K69" s="6">
        <v>769.48132868787616</v>
      </c>
      <c r="L69" s="6">
        <v>796.59</v>
      </c>
      <c r="M69" s="6">
        <v>851.56</v>
      </c>
      <c r="N69" s="6">
        <v>707.53</v>
      </c>
      <c r="O69" s="6">
        <v>829.16</v>
      </c>
      <c r="P69" s="6">
        <v>861.41</v>
      </c>
      <c r="Q69" s="6">
        <v>739.86</v>
      </c>
      <c r="R69" s="6">
        <v>831.9</v>
      </c>
    </row>
    <row r="70" spans="1:19" ht="10.15" customHeight="1">
      <c r="A70" s="45" t="s">
        <v>112</v>
      </c>
      <c r="B70" s="6">
        <v>273.87219378091203</v>
      </c>
      <c r="C70" s="6">
        <v>218.82216133689002</v>
      </c>
      <c r="D70" s="6">
        <v>193.72578868158999</v>
      </c>
      <c r="E70" s="6">
        <v>198.76279558392199</v>
      </c>
      <c r="F70" s="6">
        <v>226.178445059544</v>
      </c>
      <c r="G70" s="6">
        <v>218.40133741410605</v>
      </c>
      <c r="H70" s="6">
        <v>200.85382144853799</v>
      </c>
      <c r="I70" s="6">
        <v>251.132798349382</v>
      </c>
      <c r="J70" s="6">
        <v>233.44884265241197</v>
      </c>
      <c r="K70" s="6">
        <v>306.20595707239397</v>
      </c>
      <c r="L70" s="6">
        <v>307.23</v>
      </c>
      <c r="M70" s="6">
        <v>263.23</v>
      </c>
      <c r="N70" s="6">
        <v>299.08999999999997</v>
      </c>
      <c r="O70" s="6">
        <v>242.48</v>
      </c>
      <c r="P70" s="6">
        <v>280.72000000000003</v>
      </c>
      <c r="Q70" s="6">
        <v>327.3</v>
      </c>
      <c r="R70" s="6">
        <v>326.2</v>
      </c>
    </row>
    <row r="71" spans="1:19" ht="10.15" customHeight="1">
      <c r="A71" s="45" t="s">
        <v>116</v>
      </c>
      <c r="B71" s="6">
        <v>1984.7564831796981</v>
      </c>
      <c r="C71" s="6">
        <v>2923.3665294441489</v>
      </c>
      <c r="D71" s="6">
        <v>2830.6699999999996</v>
      </c>
      <c r="E71" s="6">
        <v>2847.9120000000003</v>
      </c>
      <c r="F71" s="6">
        <v>3651.0846296281479</v>
      </c>
      <c r="G71" s="6">
        <v>3834.7926474462142</v>
      </c>
      <c r="H71" s="6">
        <v>3607.3671178921786</v>
      </c>
      <c r="I71" s="6">
        <v>4550.2641395629016</v>
      </c>
      <c r="J71" s="6">
        <v>5010.1518215074257</v>
      </c>
      <c r="K71" s="6">
        <v>5318.3714223934558</v>
      </c>
      <c r="L71" s="6">
        <v>5848.71</v>
      </c>
      <c r="M71" s="6">
        <v>5606.96</v>
      </c>
      <c r="N71" s="6">
        <v>5280.51</v>
      </c>
      <c r="O71" s="6">
        <v>5630.77</v>
      </c>
      <c r="P71" s="6">
        <v>5588.32</v>
      </c>
      <c r="Q71" s="6">
        <v>5598.74</v>
      </c>
      <c r="R71" s="6">
        <v>6473.58</v>
      </c>
    </row>
    <row r="72" spans="1:19" ht="10.15" customHeight="1">
      <c r="A72" s="45" t="s">
        <v>113</v>
      </c>
      <c r="B72" s="6">
        <v>88.793392766128449</v>
      </c>
      <c r="C72" s="6">
        <v>89.464711232528629</v>
      </c>
      <c r="D72" s="6">
        <v>94.913403149362665</v>
      </c>
      <c r="E72" s="6">
        <v>88.609958593871411</v>
      </c>
      <c r="F72" s="6">
        <v>96.175837788636301</v>
      </c>
      <c r="G72" s="6">
        <v>86.189926024216021</v>
      </c>
      <c r="H72" s="6">
        <v>80.941560593774568</v>
      </c>
      <c r="I72" s="6">
        <v>85.71228119420131</v>
      </c>
      <c r="J72" s="6">
        <v>50.054341387612958</v>
      </c>
      <c r="K72" s="6">
        <v>48.450222130183832</v>
      </c>
      <c r="L72" s="6">
        <v>70.17</v>
      </c>
      <c r="M72" s="6">
        <v>58.33</v>
      </c>
      <c r="N72" s="6">
        <v>103.27</v>
      </c>
      <c r="O72" s="6">
        <v>77.87</v>
      </c>
      <c r="P72" s="6">
        <v>74.37</v>
      </c>
      <c r="Q72" s="6">
        <v>117.27</v>
      </c>
      <c r="R72" s="6">
        <v>138.04</v>
      </c>
      <c r="S72" s="118"/>
    </row>
    <row r="73" spans="1:19" ht="10.15" customHeight="1">
      <c r="A73" s="89" t="s">
        <v>120</v>
      </c>
      <c r="B73" s="6">
        <v>25.683171685668</v>
      </c>
      <c r="C73" s="6">
        <v>26.247845927771998</v>
      </c>
      <c r="D73" s="6">
        <v>22.026239510814001</v>
      </c>
      <c r="E73" s="6">
        <v>29.444602943322</v>
      </c>
      <c r="F73" s="6">
        <v>25.505611429788008</v>
      </c>
      <c r="G73" s="6">
        <v>25.809686123759995</v>
      </c>
      <c r="H73" s="6">
        <v>27.61186540077</v>
      </c>
      <c r="I73" s="6">
        <v>26.376467984495999</v>
      </c>
      <c r="J73" s="6">
        <v>31.235642265366003</v>
      </c>
      <c r="K73" s="6">
        <v>30.969934608060008</v>
      </c>
      <c r="L73" s="6">
        <v>35.79</v>
      </c>
      <c r="M73" s="6">
        <v>39.67</v>
      </c>
      <c r="N73" s="6">
        <v>39.25</v>
      </c>
      <c r="O73" s="6">
        <v>44.19</v>
      </c>
      <c r="P73" s="6">
        <v>48.03</v>
      </c>
      <c r="Q73" s="6">
        <v>53.33</v>
      </c>
      <c r="R73" s="6">
        <v>51.5</v>
      </c>
      <c r="S73" s="6"/>
    </row>
    <row r="74" spans="1:19" ht="10.15" customHeight="1">
      <c r="A74" s="45" t="s">
        <v>114</v>
      </c>
      <c r="B74" s="6">
        <v>18574.448188614173</v>
      </c>
      <c r="C74" s="6">
        <v>18334.765425604342</v>
      </c>
      <c r="D74" s="6">
        <v>16265.203884786391</v>
      </c>
      <c r="E74" s="6">
        <v>15814.127585273269</v>
      </c>
      <c r="F74" s="6">
        <v>16544.359912982418</v>
      </c>
      <c r="G74" s="6">
        <v>18510.819210565198</v>
      </c>
      <c r="H74" s="6">
        <v>18786.345654953118</v>
      </c>
      <c r="I74" s="6">
        <v>18906.305567893392</v>
      </c>
      <c r="J74" s="6">
        <v>18958.91230114342</v>
      </c>
      <c r="K74" s="6">
        <v>20162.2479225438</v>
      </c>
      <c r="L74" s="6">
        <v>19862.32</v>
      </c>
      <c r="M74" s="6">
        <v>21380.21</v>
      </c>
      <c r="N74" s="6">
        <v>22874.16</v>
      </c>
      <c r="O74" s="6">
        <v>22317</v>
      </c>
      <c r="P74" s="6">
        <v>23314.33</v>
      </c>
      <c r="Q74" s="6">
        <v>24825.1</v>
      </c>
      <c r="R74" s="6">
        <v>26050</v>
      </c>
    </row>
    <row r="75" spans="1:19" ht="10.15" customHeight="1">
      <c r="A75" s="45" t="s">
        <v>115</v>
      </c>
      <c r="B75" s="6">
        <v>580.065233503488</v>
      </c>
      <c r="C75" s="6">
        <v>600.00141634225201</v>
      </c>
      <c r="D75" s="6">
        <v>428.54781208725399</v>
      </c>
      <c r="E75" s="6">
        <v>583.27118759721793</v>
      </c>
      <c r="F75" s="6">
        <v>529.30560774885998</v>
      </c>
      <c r="G75" s="6">
        <v>453.25332443202598</v>
      </c>
      <c r="H75" s="6">
        <v>437.07503489137002</v>
      </c>
      <c r="I75" s="6">
        <v>424.67765412642001</v>
      </c>
      <c r="J75" s="6">
        <v>435.33218352216005</v>
      </c>
      <c r="K75" s="6">
        <v>433.37900000000002</v>
      </c>
      <c r="L75" s="6">
        <v>498.47800000000001</v>
      </c>
      <c r="M75" s="6">
        <v>531.01700000000005</v>
      </c>
      <c r="N75" s="6">
        <v>489.80799999999999</v>
      </c>
      <c r="O75" s="6">
        <v>637.98</v>
      </c>
      <c r="P75" s="6">
        <v>654.77800000000002</v>
      </c>
      <c r="Q75" s="6">
        <v>722.61900000000003</v>
      </c>
      <c r="R75" s="6">
        <v>737.17899999999997</v>
      </c>
    </row>
    <row r="76" spans="1:19" ht="10.15" customHeight="1">
      <c r="A76" s="45" t="s">
        <v>117</v>
      </c>
      <c r="B76" s="6">
        <v>1476.9956379263342</v>
      </c>
      <c r="C76" s="6">
        <v>1564.5458089180856</v>
      </c>
      <c r="D76" s="6">
        <v>1681.2587976971499</v>
      </c>
      <c r="E76" s="6">
        <v>1680.6599856627963</v>
      </c>
      <c r="F76" s="6">
        <v>1901.8913213882076</v>
      </c>
      <c r="G76" s="6">
        <v>1961.5987817056821</v>
      </c>
      <c r="H76" s="6">
        <v>1921.3914723455705</v>
      </c>
      <c r="I76" s="6">
        <v>1904.2148902112458</v>
      </c>
      <c r="J76" s="6">
        <v>1792.6318156670043</v>
      </c>
      <c r="K76" s="6">
        <v>1948.9976329875462</v>
      </c>
      <c r="L76" s="6">
        <v>1933.74</v>
      </c>
      <c r="M76" s="6">
        <v>2007.3</v>
      </c>
      <c r="N76" s="6">
        <v>2009.03</v>
      </c>
      <c r="O76" s="6">
        <v>2069.52</v>
      </c>
      <c r="P76" s="6">
        <v>2041.07</v>
      </c>
      <c r="Q76" s="6">
        <v>2192.2199999999998</v>
      </c>
      <c r="R76" s="6">
        <v>2280</v>
      </c>
    </row>
    <row r="77" spans="1:19" ht="10.15" customHeight="1">
      <c r="A77" s="46" t="s">
        <v>125</v>
      </c>
      <c r="B77" s="7">
        <f t="shared" ref="B77:N77" si="5">SUM(B63:B76)</f>
        <v>29942.043467477073</v>
      </c>
      <c r="C77" s="7">
        <f t="shared" si="5"/>
        <v>31245.255835952117</v>
      </c>
      <c r="D77" s="7">
        <f t="shared" si="5"/>
        <v>28762.579407862366</v>
      </c>
      <c r="E77" s="7">
        <f t="shared" si="5"/>
        <v>29164.996321312967</v>
      </c>
      <c r="F77" s="7">
        <f t="shared" si="5"/>
        <v>31613.640591313571</v>
      </c>
      <c r="G77" s="7">
        <f t="shared" si="5"/>
        <v>34029.435448596472</v>
      </c>
      <c r="H77" s="7">
        <f t="shared" si="5"/>
        <v>34402.331705841396</v>
      </c>
      <c r="I77" s="7">
        <f t="shared" si="5"/>
        <v>35503.568010743809</v>
      </c>
      <c r="J77" s="7">
        <f t="shared" si="5"/>
        <v>36762.425658034612</v>
      </c>
      <c r="K77" s="7">
        <f t="shared" si="5"/>
        <v>39335.474269588303</v>
      </c>
      <c r="L77" s="7">
        <f t="shared" si="5"/>
        <v>40250.882864310675</v>
      </c>
      <c r="M77" s="7">
        <f t="shared" si="5"/>
        <v>42712.119598515499</v>
      </c>
      <c r="N77" s="7">
        <f t="shared" si="5"/>
        <v>43464.091247023847</v>
      </c>
      <c r="O77" s="7">
        <f>SUM(O63:O76)</f>
        <v>43425.989899634522</v>
      </c>
      <c r="P77" s="7">
        <f>SUM(P63:P76)</f>
        <v>44837.606368202716</v>
      </c>
      <c r="Q77" s="7">
        <f>SUM(Q63:Q76)</f>
        <v>47306.298460616599</v>
      </c>
      <c r="R77" s="7">
        <f>SUM(R63:R76)</f>
        <v>49910.970036901919</v>
      </c>
    </row>
    <row r="78" spans="1:19" ht="13.15" customHeight="1">
      <c r="A78" s="22" t="s">
        <v>184</v>
      </c>
    </row>
    <row r="79" spans="1:19">
      <c r="A79" s="22" t="s">
        <v>190</v>
      </c>
    </row>
    <row r="80" spans="1:19">
      <c r="A80" t="s">
        <v>185</v>
      </c>
      <c r="K80" s="33"/>
      <c r="L80" s="33"/>
      <c r="Q80" s="56" t="s">
        <v>191</v>
      </c>
    </row>
    <row r="81" spans="1:18" ht="10.15" customHeight="1">
      <c r="A81" s="36"/>
      <c r="L81" s="6"/>
      <c r="M81" s="6"/>
      <c r="N81" s="6"/>
      <c r="O81" s="6"/>
      <c r="P81" s="6"/>
      <c r="Q81" s="6"/>
      <c r="R81" s="6"/>
    </row>
    <row r="83" spans="1:18">
      <c r="L83" s="6"/>
      <c r="M83" s="6"/>
      <c r="N83" s="6"/>
      <c r="O83" s="6"/>
      <c r="P83" s="6"/>
      <c r="Q83" s="6"/>
      <c r="R83" s="6"/>
    </row>
    <row r="84" spans="1:18">
      <c r="H84" s="119"/>
      <c r="I84" s="119"/>
      <c r="J84" s="119"/>
      <c r="L84" s="119"/>
      <c r="M84" s="119"/>
      <c r="N84" s="119"/>
      <c r="O84" s="119"/>
      <c r="P84" s="119"/>
      <c r="Q84" s="119"/>
      <c r="R84" s="119"/>
    </row>
    <row r="85" spans="1:18">
      <c r="L85" s="119"/>
      <c r="M85" s="119"/>
      <c r="N85" s="119"/>
      <c r="O85" s="119"/>
      <c r="P85" s="119"/>
      <c r="Q85" s="119"/>
      <c r="R85" s="119"/>
    </row>
    <row r="86" spans="1:18">
      <c r="L86" s="6"/>
      <c r="M86" s="6"/>
      <c r="N86" s="6"/>
      <c r="O86" s="6"/>
      <c r="P86" s="6"/>
      <c r="Q86" s="6"/>
      <c r="R86" s="6"/>
    </row>
    <row r="87" spans="1:18">
      <c r="L87" s="6"/>
      <c r="M87" s="6"/>
      <c r="N87" s="6"/>
      <c r="O87" s="6"/>
      <c r="P87" s="6"/>
      <c r="Q87" s="6"/>
      <c r="R87" s="6"/>
    </row>
    <row r="88" spans="1:18">
      <c r="L88" s="6"/>
      <c r="M88" s="6"/>
      <c r="N88" s="6"/>
      <c r="O88" s="6"/>
      <c r="P88" s="6"/>
      <c r="Q88" s="6"/>
      <c r="R88" s="6"/>
    </row>
    <row r="91" spans="1:18">
      <c r="L91" s="6"/>
      <c r="M91" s="6"/>
      <c r="N91" s="6"/>
      <c r="O91" s="6"/>
      <c r="P91" s="6"/>
      <c r="Q91" s="6"/>
      <c r="R91" s="6"/>
    </row>
    <row r="92" spans="1:18">
      <c r="L92" s="6"/>
      <c r="M92" s="6"/>
      <c r="N92" s="6"/>
      <c r="O92" s="6"/>
      <c r="P92" s="6"/>
      <c r="Q92" s="6"/>
      <c r="R92" s="6"/>
    </row>
  </sheetData>
  <pageMargins left="0.7" right="0.7" top="0.75" bottom="0.75" header="0.3" footer="0.3"/>
  <pageSetup scale="57" firstPageNumber="32" orientation="portrait" useFirstPageNumber="1" r:id="rId1"/>
  <headerFooter alignWithMargins="0">
    <oddFooter>&amp;C&amp;P
Oil Crops Yearbook/OCS-2020
March 2020
Economic Research Service, USDA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11F1-6F1D-42A7-B0F6-52089F5CE77D}">
  <sheetPr>
    <pageSetUpPr fitToPage="1"/>
  </sheetPr>
  <dimension ref="A1:U59"/>
  <sheetViews>
    <sheetView zoomScaleNormal="100" zoomScaleSheetLayoutView="100"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1.25"/>
  <cols>
    <col min="1" max="7" width="12.6640625" customWidth="1"/>
    <col min="8" max="8" width="15.5" customWidth="1"/>
    <col min="9" max="11" width="12.6640625" customWidth="1"/>
    <col min="12" max="12" width="11.6640625" customWidth="1"/>
    <col min="13" max="13" width="14.83203125" customWidth="1"/>
    <col min="16" max="16" width="16.33203125" customWidth="1"/>
    <col min="17" max="17" width="10.33203125" customWidth="1"/>
    <col min="19" max="19" width="13.5" bestFit="1" customWidth="1"/>
    <col min="21" max="21" width="13.5" bestFit="1" customWidth="1"/>
  </cols>
  <sheetData>
    <row r="1" spans="1:13">
      <c r="A1" s="120" t="s">
        <v>192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3" t="s">
        <v>102</v>
      </c>
      <c r="B2" s="71"/>
      <c r="C2" s="59" t="s">
        <v>25</v>
      </c>
      <c r="D2" s="59"/>
      <c r="E2" s="59"/>
      <c r="F2" s="71"/>
      <c r="G2" s="59"/>
      <c r="H2" s="59" t="s">
        <v>23</v>
      </c>
      <c r="I2" s="58"/>
      <c r="J2" s="72"/>
      <c r="K2" s="3" t="s">
        <v>29</v>
      </c>
      <c r="L2" s="71" t="s">
        <v>24</v>
      </c>
      <c r="M2" s="58"/>
    </row>
    <row r="3" spans="1:13">
      <c r="A3" s="3" t="s">
        <v>21</v>
      </c>
      <c r="B3" s="63" t="s">
        <v>27</v>
      </c>
      <c r="C3" s="3" t="s">
        <v>40</v>
      </c>
      <c r="D3" s="3" t="s">
        <v>16</v>
      </c>
      <c r="E3" s="3" t="s">
        <v>0</v>
      </c>
      <c r="F3" s="71"/>
      <c r="G3" s="58" t="s">
        <v>96</v>
      </c>
      <c r="H3" s="72"/>
      <c r="I3" s="3" t="s">
        <v>17</v>
      </c>
      <c r="J3" s="64" t="s">
        <v>0</v>
      </c>
      <c r="K3" s="3" t="s">
        <v>22</v>
      </c>
      <c r="L3" s="63" t="s">
        <v>65</v>
      </c>
      <c r="M3" s="3" t="s">
        <v>85</v>
      </c>
    </row>
    <row r="4" spans="1:13">
      <c r="A4" s="59" t="s">
        <v>26</v>
      </c>
      <c r="B4" s="66" t="s">
        <v>22</v>
      </c>
      <c r="C4" s="59"/>
      <c r="D4" s="59"/>
      <c r="E4" s="59"/>
      <c r="F4" s="66" t="s">
        <v>0</v>
      </c>
      <c r="G4" s="58" t="s">
        <v>172</v>
      </c>
      <c r="H4" s="65" t="s">
        <v>170</v>
      </c>
      <c r="I4" s="59"/>
      <c r="J4" s="65"/>
      <c r="K4" s="59"/>
      <c r="L4" s="66" t="s">
        <v>154</v>
      </c>
      <c r="M4" s="59" t="s">
        <v>84</v>
      </c>
    </row>
    <row r="5" spans="1:13">
      <c r="A5" s="32"/>
      <c r="B5" s="32"/>
      <c r="C5" s="81"/>
      <c r="D5" s="81"/>
      <c r="E5" s="81"/>
      <c r="F5" s="84" t="s">
        <v>18</v>
      </c>
      <c r="G5" s="84"/>
      <c r="H5" s="84"/>
      <c r="I5" s="81"/>
      <c r="J5" s="81"/>
      <c r="K5" s="81"/>
      <c r="L5" s="81" t="s">
        <v>82</v>
      </c>
      <c r="M5" s="81" t="s">
        <v>82</v>
      </c>
    </row>
    <row r="6" spans="1:13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>
      <c r="A7" s="4" t="s">
        <v>43</v>
      </c>
      <c r="B7" s="10">
        <v>66</v>
      </c>
      <c r="C7" s="10">
        <v>863.505</v>
      </c>
      <c r="D7" s="10">
        <v>0</v>
      </c>
      <c r="E7" s="10">
        <f>+B7+C7+D7</f>
        <v>929.505</v>
      </c>
      <c r="F7" s="10">
        <f t="shared" ref="F7:F48" si="0">+J7-I7</f>
        <v>673.27199999999993</v>
      </c>
      <c r="G7" s="10">
        <v>0</v>
      </c>
      <c r="H7" s="10">
        <f>F7-G7</f>
        <v>673.27199999999993</v>
      </c>
      <c r="I7" s="10">
        <v>180.53299999999999</v>
      </c>
      <c r="J7" s="10">
        <f t="shared" ref="J7:J45" si="1">+E7-K7</f>
        <v>853.80499999999995</v>
      </c>
      <c r="K7" s="10">
        <v>75.7</v>
      </c>
      <c r="L7" s="11">
        <v>25.22</v>
      </c>
      <c r="M7" s="52" t="s">
        <v>72</v>
      </c>
    </row>
    <row r="8" spans="1:13">
      <c r="A8" s="4" t="s">
        <v>44</v>
      </c>
      <c r="B8" s="10">
        <f t="shared" ref="B8:B37" si="2">+K7</f>
        <v>75.7</v>
      </c>
      <c r="C8" s="10">
        <v>871.52300000000002</v>
      </c>
      <c r="D8" s="10">
        <v>0</v>
      </c>
      <c r="E8" s="10">
        <f t="shared" ref="E8:E42" si="3">+B8+C8+D8</f>
        <v>947.22300000000007</v>
      </c>
      <c r="F8" s="10">
        <f t="shared" si="0"/>
        <v>692.17400000000009</v>
      </c>
      <c r="G8" s="10">
        <v>0</v>
      </c>
      <c r="H8" s="10">
        <f t="shared" ref="H8:H48" si="4">F8-G8</f>
        <v>692.17400000000009</v>
      </c>
      <c r="I8" s="10">
        <v>202.249</v>
      </c>
      <c r="J8" s="10">
        <f t="shared" si="1"/>
        <v>894.42300000000012</v>
      </c>
      <c r="K8" s="10">
        <v>52.8</v>
      </c>
      <c r="L8" s="11">
        <v>23.42</v>
      </c>
      <c r="M8" s="52" t="s">
        <v>72</v>
      </c>
    </row>
    <row r="9" spans="1:13">
      <c r="A9" s="4" t="s">
        <v>45</v>
      </c>
      <c r="B9" s="10">
        <f t="shared" si="2"/>
        <v>52.8</v>
      </c>
      <c r="C9" s="10">
        <v>982.59699999999998</v>
      </c>
      <c r="D9" s="10">
        <v>0.56000000000000005</v>
      </c>
      <c r="E9" s="10">
        <f t="shared" si="3"/>
        <v>1035.9569999999999</v>
      </c>
      <c r="F9" s="10">
        <f t="shared" si="0"/>
        <v>722.07899999999995</v>
      </c>
      <c r="G9" s="10">
        <v>0</v>
      </c>
      <c r="H9" s="10">
        <f t="shared" si="4"/>
        <v>722.07899999999995</v>
      </c>
      <c r="I9" s="10">
        <v>224.37799999999999</v>
      </c>
      <c r="J9" s="10">
        <f t="shared" si="1"/>
        <v>946.45699999999988</v>
      </c>
      <c r="K9" s="10">
        <v>89.5</v>
      </c>
      <c r="L9" s="11">
        <v>23.82</v>
      </c>
      <c r="M9" s="52" t="s">
        <v>72</v>
      </c>
    </row>
    <row r="10" spans="1:13">
      <c r="A10" s="4" t="s">
        <v>46</v>
      </c>
      <c r="B10" s="10">
        <f t="shared" si="2"/>
        <v>89.5</v>
      </c>
      <c r="C10" s="10">
        <v>1052.9839999999999</v>
      </c>
      <c r="D10" s="10">
        <v>0</v>
      </c>
      <c r="E10" s="10">
        <f t="shared" si="3"/>
        <v>1142.4839999999999</v>
      </c>
      <c r="F10" s="10">
        <f t="shared" si="0"/>
        <v>762.15299999999991</v>
      </c>
      <c r="G10" s="10">
        <v>0</v>
      </c>
      <c r="H10" s="10">
        <f t="shared" si="4"/>
        <v>762.15299999999991</v>
      </c>
      <c r="I10" s="10">
        <v>310.63099999999997</v>
      </c>
      <c r="J10" s="10">
        <f t="shared" si="1"/>
        <v>1072.7839999999999</v>
      </c>
      <c r="K10" s="10">
        <v>69.7</v>
      </c>
      <c r="L10" s="11">
        <v>28.62</v>
      </c>
      <c r="M10" s="52" t="s">
        <v>72</v>
      </c>
    </row>
    <row r="11" spans="1:13">
      <c r="A11" s="4" t="s">
        <v>47</v>
      </c>
      <c r="B11" s="10">
        <f t="shared" si="2"/>
        <v>69.7</v>
      </c>
      <c r="C11" s="10">
        <v>1193.9480000000001</v>
      </c>
      <c r="D11" s="10">
        <v>0</v>
      </c>
      <c r="E11" s="10">
        <f t="shared" si="3"/>
        <v>1263.6480000000001</v>
      </c>
      <c r="F11" s="10">
        <f t="shared" si="0"/>
        <v>930.08800000000019</v>
      </c>
      <c r="G11" s="10">
        <v>0</v>
      </c>
      <c r="H11" s="10">
        <f t="shared" si="4"/>
        <v>930.08800000000019</v>
      </c>
      <c r="I11" s="10">
        <v>260.06</v>
      </c>
      <c r="J11" s="10">
        <f t="shared" si="1"/>
        <v>1190.1480000000001</v>
      </c>
      <c r="K11" s="10">
        <v>73.5</v>
      </c>
      <c r="L11" s="11">
        <v>29.14</v>
      </c>
      <c r="M11" s="52" t="s">
        <v>72</v>
      </c>
    </row>
    <row r="12" spans="1:13">
      <c r="A12" s="4" t="s">
        <v>48</v>
      </c>
      <c r="B12" s="10">
        <f t="shared" si="2"/>
        <v>73.5</v>
      </c>
      <c r="C12" s="10">
        <v>1252.7260000000001</v>
      </c>
      <c r="D12" s="10">
        <v>0</v>
      </c>
      <c r="E12" s="10">
        <f t="shared" si="3"/>
        <v>1326.2260000000001</v>
      </c>
      <c r="F12" s="10">
        <f t="shared" si="0"/>
        <v>862.09400000000005</v>
      </c>
      <c r="G12" s="10">
        <v>0</v>
      </c>
      <c r="H12" s="10">
        <f t="shared" si="4"/>
        <v>862.09400000000005</v>
      </c>
      <c r="I12" s="10">
        <v>343.93200000000002</v>
      </c>
      <c r="J12" s="10">
        <f t="shared" si="1"/>
        <v>1206.0260000000001</v>
      </c>
      <c r="K12" s="10">
        <v>120.2</v>
      </c>
      <c r="L12" s="11">
        <v>18.46</v>
      </c>
      <c r="M12" s="52" t="s">
        <v>72</v>
      </c>
    </row>
    <row r="13" spans="1:13">
      <c r="A13" s="4" t="s">
        <v>49</v>
      </c>
      <c r="B13" s="10">
        <f t="shared" si="2"/>
        <v>120.2</v>
      </c>
      <c r="C13" s="10">
        <v>1400.1</v>
      </c>
      <c r="D13" s="10">
        <v>0</v>
      </c>
      <c r="E13" s="10">
        <f t="shared" si="3"/>
        <v>1520.3</v>
      </c>
      <c r="F13" s="10">
        <f t="shared" si="0"/>
        <v>1143.1129999999998</v>
      </c>
      <c r="G13" s="10">
        <v>0</v>
      </c>
      <c r="H13" s="10">
        <f t="shared" si="4"/>
        <v>1143.1129999999998</v>
      </c>
      <c r="I13" s="10">
        <v>267.78699999999998</v>
      </c>
      <c r="J13" s="10">
        <f t="shared" si="1"/>
        <v>1410.8999999999999</v>
      </c>
      <c r="K13" s="10">
        <v>109.4</v>
      </c>
      <c r="L13" s="11">
        <v>21.43</v>
      </c>
      <c r="M13" s="52" t="s">
        <v>72</v>
      </c>
    </row>
    <row r="14" spans="1:13">
      <c r="A14" s="4" t="s">
        <v>50</v>
      </c>
      <c r="B14" s="10">
        <f t="shared" si="2"/>
        <v>109.4</v>
      </c>
      <c r="C14" s="10">
        <v>1435.2950000000001</v>
      </c>
      <c r="D14" s="10">
        <v>2.234</v>
      </c>
      <c r="E14" s="10">
        <f t="shared" si="3"/>
        <v>1546.9290000000001</v>
      </c>
      <c r="F14" s="10">
        <f t="shared" si="0"/>
        <v>1065.9180000000001</v>
      </c>
      <c r="G14" s="10">
        <v>0</v>
      </c>
      <c r="H14" s="10">
        <f t="shared" si="4"/>
        <v>1065.9180000000001</v>
      </c>
      <c r="I14" s="10">
        <v>369.911</v>
      </c>
      <c r="J14" s="10">
        <f t="shared" si="1"/>
        <v>1435.8290000000002</v>
      </c>
      <c r="K14" s="10">
        <v>111.1</v>
      </c>
      <c r="L14" s="11">
        <v>23.27</v>
      </c>
      <c r="M14" s="52" t="s">
        <v>72</v>
      </c>
    </row>
    <row r="15" spans="1:13">
      <c r="A15" s="4" t="s">
        <v>51</v>
      </c>
      <c r="B15" s="10">
        <f t="shared" si="2"/>
        <v>111.1</v>
      </c>
      <c r="C15" s="10">
        <v>1414.8869999999999</v>
      </c>
      <c r="D15" s="10">
        <v>0.80338098975399985</v>
      </c>
      <c r="E15" s="10">
        <f t="shared" si="3"/>
        <v>1526.7903809897539</v>
      </c>
      <c r="F15" s="10">
        <f t="shared" si="0"/>
        <v>1064.395915756128</v>
      </c>
      <c r="G15" s="10">
        <v>0</v>
      </c>
      <c r="H15" s="10">
        <f t="shared" si="4"/>
        <v>1064.395915756128</v>
      </c>
      <c r="I15" s="10">
        <v>363.89446523362597</v>
      </c>
      <c r="J15" s="10">
        <f t="shared" si="1"/>
        <v>1428.2903809897539</v>
      </c>
      <c r="K15" s="10">
        <v>98.5</v>
      </c>
      <c r="L15" s="11">
        <v>21.01</v>
      </c>
      <c r="M15" s="52" t="s">
        <v>72</v>
      </c>
    </row>
    <row r="16" spans="1:13">
      <c r="A16" s="4" t="s">
        <v>1</v>
      </c>
      <c r="B16" s="10">
        <f t="shared" si="2"/>
        <v>98.5</v>
      </c>
      <c r="C16" s="10">
        <v>1470.3</v>
      </c>
      <c r="D16" s="10">
        <v>0</v>
      </c>
      <c r="E16" s="10">
        <f t="shared" si="3"/>
        <v>1568.8</v>
      </c>
      <c r="F16" s="10">
        <f t="shared" si="0"/>
        <v>1111.1774949968681</v>
      </c>
      <c r="G16" s="10">
        <v>0</v>
      </c>
      <c r="H16" s="10">
        <f t="shared" si="4"/>
        <v>1111.1774949968681</v>
      </c>
      <c r="I16" s="10">
        <v>413.52250500313204</v>
      </c>
      <c r="J16" s="10">
        <f t="shared" si="1"/>
        <v>1524.7</v>
      </c>
      <c r="K16" s="10">
        <v>44.1</v>
      </c>
      <c r="L16" s="11">
        <v>24.82</v>
      </c>
      <c r="M16" s="52" t="s">
        <v>72</v>
      </c>
    </row>
    <row r="17" spans="1:13">
      <c r="A17" s="4" t="s">
        <v>2</v>
      </c>
      <c r="B17" s="10">
        <f t="shared" si="2"/>
        <v>44.1</v>
      </c>
      <c r="C17" s="10">
        <v>1655.9290000000001</v>
      </c>
      <c r="D17" s="10">
        <v>1.7629999999999999</v>
      </c>
      <c r="E17" s="10">
        <f t="shared" si="3"/>
        <v>1701.7919999999999</v>
      </c>
      <c r="F17" s="10">
        <f t="shared" si="0"/>
        <v>1065.3483889999998</v>
      </c>
      <c r="G17" s="10">
        <v>0</v>
      </c>
      <c r="H17" s="10">
        <f t="shared" si="4"/>
        <v>1065.3483889999998</v>
      </c>
      <c r="I17" s="10">
        <v>498.05261100000001</v>
      </c>
      <c r="J17" s="10">
        <f t="shared" si="1"/>
        <v>1563.4009999999998</v>
      </c>
      <c r="K17" s="10">
        <v>138.39099999999999</v>
      </c>
      <c r="L17" s="11">
        <v>27.5</v>
      </c>
      <c r="M17" s="52" t="s">
        <v>72</v>
      </c>
    </row>
    <row r="18" spans="1:13">
      <c r="A18" s="4" t="s">
        <v>3</v>
      </c>
      <c r="B18" s="10">
        <f t="shared" si="2"/>
        <v>138.39099999999999</v>
      </c>
      <c r="C18" s="10">
        <v>1821.2860000000001</v>
      </c>
      <c r="D18" s="10">
        <v>5.0516480000000001</v>
      </c>
      <c r="E18" s="10">
        <f t="shared" si="3"/>
        <v>1964.7286480000002</v>
      </c>
      <c r="F18" s="10">
        <f t="shared" si="0"/>
        <v>1201.9076180000002</v>
      </c>
      <c r="G18" s="10">
        <v>0</v>
      </c>
      <c r="H18" s="10">
        <f t="shared" si="4"/>
        <v>1201.9076180000002</v>
      </c>
      <c r="I18" s="10">
        <v>566.41503</v>
      </c>
      <c r="J18" s="10">
        <f t="shared" si="1"/>
        <v>1768.3226480000003</v>
      </c>
      <c r="K18" s="10">
        <v>196.40600000000001</v>
      </c>
      <c r="L18" s="11">
        <v>25.82</v>
      </c>
      <c r="M18" s="52" t="s">
        <v>72</v>
      </c>
    </row>
    <row r="19" spans="1:13">
      <c r="A19" s="4" t="s">
        <v>4</v>
      </c>
      <c r="B19" s="10">
        <f t="shared" si="2"/>
        <v>196.40600000000001</v>
      </c>
      <c r="C19" s="10">
        <v>1877.7349999999999</v>
      </c>
      <c r="D19" s="10">
        <v>7.1773719999999983</v>
      </c>
      <c r="E19" s="10">
        <f t="shared" si="3"/>
        <v>2081.3183720000002</v>
      </c>
      <c r="F19" s="10">
        <f t="shared" si="0"/>
        <v>1220.0821429999999</v>
      </c>
      <c r="G19" s="10">
        <v>0</v>
      </c>
      <c r="H19" s="10">
        <f t="shared" si="4"/>
        <v>1220.0821429999999</v>
      </c>
      <c r="I19" s="10">
        <v>711.5392290000002</v>
      </c>
      <c r="J19" s="10">
        <f t="shared" si="1"/>
        <v>1931.6213720000001</v>
      </c>
      <c r="K19" s="10">
        <v>149.697</v>
      </c>
      <c r="L19" s="11">
        <v>20.9</v>
      </c>
      <c r="M19" s="52" t="s">
        <v>72</v>
      </c>
    </row>
    <row r="20" spans="1:13">
      <c r="A20" s="4" t="s">
        <v>5</v>
      </c>
      <c r="B20" s="10">
        <f t="shared" si="2"/>
        <v>149.697</v>
      </c>
      <c r="C20" s="10">
        <v>1906.184</v>
      </c>
      <c r="D20" s="10">
        <v>6.6099520000000007</v>
      </c>
      <c r="E20" s="10">
        <f t="shared" si="3"/>
        <v>2062.4909519999997</v>
      </c>
      <c r="F20" s="10">
        <f t="shared" si="0"/>
        <v>1227.6414919999997</v>
      </c>
      <c r="G20" s="10">
        <v>0</v>
      </c>
      <c r="H20" s="10">
        <f t="shared" si="4"/>
        <v>1227.6414919999997</v>
      </c>
      <c r="I20" s="10">
        <v>716.57746000000009</v>
      </c>
      <c r="J20" s="10">
        <f t="shared" si="1"/>
        <v>1944.2189519999997</v>
      </c>
      <c r="K20" s="10">
        <v>118.27200000000001</v>
      </c>
      <c r="L20" s="11">
        <v>27.17</v>
      </c>
      <c r="M20" s="52" t="s">
        <v>72</v>
      </c>
    </row>
    <row r="21" spans="1:13">
      <c r="A21" s="4" t="s">
        <v>6</v>
      </c>
      <c r="B21" s="10">
        <f t="shared" si="2"/>
        <v>118.27200000000001</v>
      </c>
      <c r="C21" s="10">
        <v>2227.46</v>
      </c>
      <c r="D21" s="10">
        <v>10.077254118994</v>
      </c>
      <c r="E21" s="10">
        <f t="shared" si="3"/>
        <v>2355.809254118994</v>
      </c>
      <c r="F21" s="10">
        <f t="shared" si="0"/>
        <v>1249.6817045895559</v>
      </c>
      <c r="G21" s="10">
        <v>0</v>
      </c>
      <c r="H21" s="10">
        <f t="shared" si="4"/>
        <v>1249.6817045895559</v>
      </c>
      <c r="I21" s="10">
        <v>865.47554952943801</v>
      </c>
      <c r="J21" s="10">
        <f t="shared" si="1"/>
        <v>2115.1572541189939</v>
      </c>
      <c r="K21" s="10">
        <v>240.65199999999999</v>
      </c>
      <c r="L21" s="11">
        <v>26.47</v>
      </c>
      <c r="M21" s="52" t="s">
        <v>72</v>
      </c>
    </row>
    <row r="22" spans="1:13">
      <c r="A22" s="4" t="s">
        <v>7</v>
      </c>
      <c r="B22" s="10">
        <f t="shared" si="2"/>
        <v>240.65199999999999</v>
      </c>
      <c r="C22" s="10">
        <v>2138.9589999999998</v>
      </c>
      <c r="D22" s="10">
        <v>10.992614835148885</v>
      </c>
      <c r="E22" s="10">
        <f t="shared" si="3"/>
        <v>2390.6036148351486</v>
      </c>
      <c r="F22" s="10">
        <f t="shared" si="0"/>
        <v>1298.3008951060265</v>
      </c>
      <c r="G22" s="10">
        <v>0</v>
      </c>
      <c r="H22" s="10">
        <f t="shared" si="4"/>
        <v>1298.3008951060265</v>
      </c>
      <c r="I22" s="10">
        <v>976.51471972912202</v>
      </c>
      <c r="J22" s="10">
        <f t="shared" si="1"/>
        <v>2274.8156148351486</v>
      </c>
      <c r="K22" s="10">
        <v>115.788</v>
      </c>
      <c r="L22" s="11">
        <v>25.24</v>
      </c>
      <c r="M22" s="52" t="s">
        <v>72</v>
      </c>
    </row>
    <row r="23" spans="1:13">
      <c r="A23" s="4" t="s">
        <v>8</v>
      </c>
      <c r="B23" s="10">
        <f t="shared" si="2"/>
        <v>115.788</v>
      </c>
      <c r="C23" s="10">
        <v>2231.3690000000001</v>
      </c>
      <c r="D23" s="10">
        <v>13.522084310952</v>
      </c>
      <c r="E23" s="10">
        <f t="shared" si="3"/>
        <v>2360.679084310952</v>
      </c>
      <c r="F23" s="10">
        <f t="shared" si="0"/>
        <v>1244.2017755718139</v>
      </c>
      <c r="G23" s="10">
        <v>0</v>
      </c>
      <c r="H23" s="10">
        <f t="shared" si="4"/>
        <v>1244.2017755718139</v>
      </c>
      <c r="I23" s="10">
        <v>987.70830873913803</v>
      </c>
      <c r="J23" s="10">
        <f t="shared" si="1"/>
        <v>2231.9100843109518</v>
      </c>
      <c r="K23" s="10">
        <v>128.76900000000001</v>
      </c>
      <c r="L23" s="11">
        <v>24.05</v>
      </c>
      <c r="M23" s="52" t="s">
        <v>72</v>
      </c>
    </row>
    <row r="24" spans="1:13">
      <c r="A24" s="4" t="s">
        <v>9</v>
      </c>
      <c r="B24" s="10">
        <f t="shared" si="2"/>
        <v>128.76900000000001</v>
      </c>
      <c r="C24" s="10">
        <v>2334.7849999999999</v>
      </c>
      <c r="D24" s="10">
        <v>28.141759526202001</v>
      </c>
      <c r="E24" s="10">
        <f t="shared" si="3"/>
        <v>2491.695759526202</v>
      </c>
      <c r="F24" s="10">
        <f t="shared" si="0"/>
        <v>1271.3171383667341</v>
      </c>
      <c r="G24" s="10">
        <v>0</v>
      </c>
      <c r="H24" s="10">
        <f t="shared" si="4"/>
        <v>1271.3171383667341</v>
      </c>
      <c r="I24" s="10">
        <v>1118.4876211594678</v>
      </c>
      <c r="J24" s="10">
        <f t="shared" si="1"/>
        <v>2389.8047595262019</v>
      </c>
      <c r="K24" s="10">
        <v>101.89100000000001</v>
      </c>
      <c r="L24" s="11">
        <v>28.94</v>
      </c>
      <c r="M24" s="52" t="s">
        <v>72</v>
      </c>
    </row>
    <row r="25" spans="1:13">
      <c r="A25" s="4" t="s">
        <v>10</v>
      </c>
      <c r="B25" s="10">
        <f t="shared" si="2"/>
        <v>101.89100000000001</v>
      </c>
      <c r="C25" s="10">
        <v>2374.4160000000002</v>
      </c>
      <c r="D25" s="10">
        <v>42.447928674564004</v>
      </c>
      <c r="E25" s="10">
        <f t="shared" si="3"/>
        <v>2518.7549286745643</v>
      </c>
      <c r="F25" s="10">
        <f t="shared" si="0"/>
        <v>1394.0783954758404</v>
      </c>
      <c r="G25" s="10">
        <v>0</v>
      </c>
      <c r="H25" s="10">
        <f t="shared" si="4"/>
        <v>1394.0783954758404</v>
      </c>
      <c r="I25" s="10">
        <v>989.25653319872401</v>
      </c>
      <c r="J25" s="10">
        <f t="shared" si="1"/>
        <v>2383.3349286745643</v>
      </c>
      <c r="K25" s="10">
        <v>135.41999999999999</v>
      </c>
      <c r="L25" s="11">
        <v>25.3</v>
      </c>
      <c r="M25" s="52" t="s">
        <v>72</v>
      </c>
    </row>
    <row r="26" spans="1:13">
      <c r="A26" s="4" t="s">
        <v>11</v>
      </c>
      <c r="B26" s="10">
        <f t="shared" si="2"/>
        <v>135.41999999999999</v>
      </c>
      <c r="C26" s="10">
        <v>2501.3969999999999</v>
      </c>
      <c r="D26" s="10">
        <v>17.533043505054</v>
      </c>
      <c r="E26" s="10">
        <f t="shared" si="3"/>
        <v>2654.3500435050541</v>
      </c>
      <c r="F26" s="10">
        <f t="shared" si="0"/>
        <v>1416.9118689254624</v>
      </c>
      <c r="G26" s="10">
        <v>0</v>
      </c>
      <c r="H26" s="10">
        <f t="shared" si="4"/>
        <v>1416.9118689254624</v>
      </c>
      <c r="I26" s="10">
        <v>970.07917457959184</v>
      </c>
      <c r="J26" s="10">
        <f t="shared" si="1"/>
        <v>2386.9910435050542</v>
      </c>
      <c r="K26" s="10">
        <v>267.35899999999998</v>
      </c>
      <c r="L26" s="11">
        <v>17.809999999999999</v>
      </c>
      <c r="M26" s="52" t="s">
        <v>72</v>
      </c>
    </row>
    <row r="27" spans="1:13">
      <c r="A27" s="4" t="s">
        <v>103</v>
      </c>
      <c r="B27" s="10">
        <f t="shared" si="2"/>
        <v>267.35899999999998</v>
      </c>
      <c r="C27" s="10">
        <v>2403.192</v>
      </c>
      <c r="D27" s="10">
        <v>27.287245834379998</v>
      </c>
      <c r="E27" s="10">
        <f t="shared" si="3"/>
        <v>2697.8382458343799</v>
      </c>
      <c r="F27" s="10">
        <f t="shared" si="0"/>
        <v>1630.443410628096</v>
      </c>
      <c r="G27" s="10">
        <v>0</v>
      </c>
      <c r="H27" s="10">
        <f t="shared" si="4"/>
        <v>1630.443410628096</v>
      </c>
      <c r="I27" s="10">
        <v>950.78583520628399</v>
      </c>
      <c r="J27" s="10">
        <f t="shared" si="1"/>
        <v>2581.22924583438</v>
      </c>
      <c r="K27" s="10">
        <v>116.60899999999999</v>
      </c>
      <c r="L27" s="11">
        <v>13.54</v>
      </c>
      <c r="M27" s="52" t="s">
        <v>72</v>
      </c>
    </row>
    <row r="28" spans="1:13">
      <c r="A28" s="4" t="s">
        <v>66</v>
      </c>
      <c r="B28" s="10">
        <f t="shared" si="2"/>
        <v>116.60899999999999</v>
      </c>
      <c r="C28" s="10">
        <v>2461.4560000000001</v>
      </c>
      <c r="D28" s="10">
        <v>61.393407356357997</v>
      </c>
      <c r="E28" s="10">
        <f t="shared" si="3"/>
        <v>2639.4584073563578</v>
      </c>
      <c r="F28" s="10">
        <f t="shared" si="0"/>
        <v>1363.0188588097576</v>
      </c>
      <c r="G28" s="10">
        <v>0</v>
      </c>
      <c r="H28" s="10">
        <f t="shared" si="4"/>
        <v>1363.0188588097576</v>
      </c>
      <c r="I28" s="10">
        <v>1172.3745485466002</v>
      </c>
      <c r="J28" s="10">
        <f t="shared" si="1"/>
        <v>2535.3934073563578</v>
      </c>
      <c r="K28" s="10">
        <v>104.065</v>
      </c>
      <c r="L28" s="11">
        <v>19.14</v>
      </c>
      <c r="M28" s="52" t="s">
        <v>72</v>
      </c>
    </row>
    <row r="29" spans="1:13">
      <c r="A29" s="4" t="s">
        <v>68</v>
      </c>
      <c r="B29" s="10">
        <f t="shared" si="2"/>
        <v>104.065</v>
      </c>
      <c r="C29" s="10">
        <v>2453.0439999999999</v>
      </c>
      <c r="D29" s="10">
        <v>65.615917668335996</v>
      </c>
      <c r="E29" s="10">
        <f t="shared" si="3"/>
        <v>2622.7249176683358</v>
      </c>
      <c r="F29" s="10">
        <f t="shared" si="0"/>
        <v>1615.0979483683259</v>
      </c>
      <c r="G29" s="10">
        <v>0</v>
      </c>
      <c r="H29" s="10">
        <f t="shared" si="4"/>
        <v>1615.0979483683259</v>
      </c>
      <c r="I29" s="10">
        <v>888.27296930001</v>
      </c>
      <c r="J29" s="10">
        <f t="shared" si="1"/>
        <v>2503.370917668336</v>
      </c>
      <c r="K29" s="10">
        <v>119.354</v>
      </c>
      <c r="L29" s="11">
        <v>28.17</v>
      </c>
      <c r="M29" s="52" t="s">
        <v>72</v>
      </c>
    </row>
    <row r="30" spans="1:13">
      <c r="A30" s="4" t="s">
        <v>104</v>
      </c>
      <c r="B30" s="10">
        <f t="shared" si="2"/>
        <v>119.354</v>
      </c>
      <c r="C30" s="10">
        <v>2396.4520000000002</v>
      </c>
      <c r="D30" s="10">
        <v>66.015042435216003</v>
      </c>
      <c r="E30" s="10">
        <f t="shared" si="3"/>
        <v>2581.821042435216</v>
      </c>
      <c r="F30" s="10">
        <f t="shared" si="0"/>
        <v>1662.059957777708</v>
      </c>
      <c r="G30" s="10">
        <v>0</v>
      </c>
      <c r="H30" s="10">
        <f t="shared" si="4"/>
        <v>1662.059957777708</v>
      </c>
      <c r="I30" s="10">
        <v>766.88308465750799</v>
      </c>
      <c r="J30" s="10">
        <f t="shared" si="1"/>
        <v>2428.9430424352158</v>
      </c>
      <c r="K30" s="10">
        <v>152.87799999999999</v>
      </c>
      <c r="L30" s="11">
        <v>28.43</v>
      </c>
      <c r="M30" s="52" t="s">
        <v>72</v>
      </c>
    </row>
    <row r="31" spans="1:13">
      <c r="A31" s="4" t="s">
        <v>69</v>
      </c>
      <c r="B31" s="10">
        <f t="shared" si="2"/>
        <v>152.87799999999999</v>
      </c>
      <c r="C31" s="10">
        <v>2396.105</v>
      </c>
      <c r="D31" s="10">
        <v>49.0514064957</v>
      </c>
      <c r="E31" s="10">
        <f t="shared" si="3"/>
        <v>2598.0344064957003</v>
      </c>
      <c r="F31" s="10">
        <f t="shared" si="0"/>
        <v>1653.0855688741904</v>
      </c>
      <c r="G31" s="10">
        <v>0</v>
      </c>
      <c r="H31" s="10">
        <f t="shared" si="4"/>
        <v>1653.0855688741904</v>
      </c>
      <c r="I31" s="10">
        <v>789.40283762151012</v>
      </c>
      <c r="J31" s="10">
        <f t="shared" si="1"/>
        <v>2442.4884064957005</v>
      </c>
      <c r="K31" s="10">
        <v>155.54599999999999</v>
      </c>
      <c r="L31" s="11">
        <v>27.86</v>
      </c>
      <c r="M31" s="52" t="s">
        <v>72</v>
      </c>
    </row>
    <row r="32" spans="1:13">
      <c r="A32" s="4" t="s">
        <v>70</v>
      </c>
      <c r="B32" s="10">
        <f t="shared" si="2"/>
        <v>155.54599999999999</v>
      </c>
      <c r="C32" s="10">
        <v>2482.7339999999999</v>
      </c>
      <c r="D32" s="10">
        <v>45.018266599656002</v>
      </c>
      <c r="E32" s="10">
        <f t="shared" si="3"/>
        <v>2683.2982665996556</v>
      </c>
      <c r="F32" s="10">
        <f t="shared" si="0"/>
        <v>1684.6369031388035</v>
      </c>
      <c r="G32" s="10">
        <v>0</v>
      </c>
      <c r="H32" s="10">
        <f t="shared" si="4"/>
        <v>1684.6369031388035</v>
      </c>
      <c r="I32" s="10">
        <v>798.77636346085228</v>
      </c>
      <c r="J32" s="10">
        <f t="shared" si="1"/>
        <v>2483.4132665996558</v>
      </c>
      <c r="K32" s="10">
        <v>199.88499999999999</v>
      </c>
      <c r="L32" s="11">
        <v>25.18</v>
      </c>
      <c r="M32" s="52" t="s">
        <v>72</v>
      </c>
    </row>
    <row r="33" spans="1:21">
      <c r="A33" s="4" t="s">
        <v>71</v>
      </c>
      <c r="B33" s="10">
        <f t="shared" si="2"/>
        <v>199.88499999999999</v>
      </c>
      <c r="C33" s="10">
        <v>2560.2550000000001</v>
      </c>
      <c r="D33" s="10">
        <v>43.093466247005999</v>
      </c>
      <c r="E33" s="10">
        <f t="shared" si="3"/>
        <v>2803.2334662470062</v>
      </c>
      <c r="F33" s="10">
        <f t="shared" si="0"/>
        <v>1831.6070154047379</v>
      </c>
      <c r="G33" s="10">
        <v>0</v>
      </c>
      <c r="H33" s="10">
        <f t="shared" si="4"/>
        <v>1831.6070154047379</v>
      </c>
      <c r="I33" s="10">
        <v>792.96945084226809</v>
      </c>
      <c r="J33" s="10">
        <f t="shared" si="1"/>
        <v>2624.576466247006</v>
      </c>
      <c r="K33" s="10">
        <v>178.65700000000001</v>
      </c>
      <c r="L33" s="11">
        <v>31.81</v>
      </c>
      <c r="M33" s="52" t="s">
        <v>72</v>
      </c>
    </row>
    <row r="34" spans="1:21">
      <c r="A34" s="4" t="s">
        <v>73</v>
      </c>
      <c r="B34" s="10">
        <f t="shared" si="2"/>
        <v>178.65700000000001</v>
      </c>
      <c r="C34" s="10">
        <v>2506.8400499999998</v>
      </c>
      <c r="D34" s="10">
        <v>45.188242955856005</v>
      </c>
      <c r="E34" s="10">
        <f t="shared" si="3"/>
        <v>2730.6852929558559</v>
      </c>
      <c r="F34" s="10">
        <f t="shared" si="0"/>
        <v>1756.0666496253439</v>
      </c>
      <c r="G34" s="10">
        <v>0</v>
      </c>
      <c r="H34" s="10">
        <f t="shared" si="4"/>
        <v>1756.0666496253439</v>
      </c>
      <c r="I34" s="10">
        <v>769.257643330512</v>
      </c>
      <c r="J34" s="10">
        <f t="shared" si="1"/>
        <v>2525.324292955856</v>
      </c>
      <c r="K34" s="10">
        <v>205.36099999999999</v>
      </c>
      <c r="L34" s="11">
        <v>69.400000000000006</v>
      </c>
      <c r="M34" s="52" t="s">
        <v>72</v>
      </c>
    </row>
    <row r="35" spans="1:21">
      <c r="A35" s="4" t="s">
        <v>74</v>
      </c>
      <c r="B35" s="10">
        <f t="shared" si="2"/>
        <v>205.36099999999999</v>
      </c>
      <c r="C35" s="10">
        <v>2418.4557500000001</v>
      </c>
      <c r="D35" s="10">
        <v>43.485108526818003</v>
      </c>
      <c r="E35" s="10">
        <f t="shared" si="3"/>
        <v>2667.3018585268178</v>
      </c>
      <c r="F35" s="10">
        <f t="shared" si="0"/>
        <v>1567.7993531418733</v>
      </c>
      <c r="G35" s="10">
        <v>0</v>
      </c>
      <c r="H35" s="10">
        <f t="shared" si="4"/>
        <v>1567.7993531418733</v>
      </c>
      <c r="I35" s="10">
        <v>813.70250538494417</v>
      </c>
      <c r="J35" s="10">
        <f t="shared" si="1"/>
        <v>2381.5018585268176</v>
      </c>
      <c r="K35" s="10">
        <v>285.8</v>
      </c>
      <c r="L35" s="11">
        <v>32.75</v>
      </c>
      <c r="M35" s="52" t="s">
        <v>72</v>
      </c>
    </row>
    <row r="36" spans="1:21">
      <c r="A36" s="4" t="s">
        <v>76</v>
      </c>
      <c r="B36" s="10">
        <f t="shared" si="2"/>
        <v>285.8</v>
      </c>
      <c r="C36" s="10">
        <v>2485.1489999999999</v>
      </c>
      <c r="D36" s="10">
        <v>37.046113143858008</v>
      </c>
      <c r="E36" s="10">
        <f t="shared" si="3"/>
        <v>2807.9951131438579</v>
      </c>
      <c r="F36" s="10">
        <f t="shared" si="0"/>
        <v>1895.0803012535878</v>
      </c>
      <c r="G36" s="10">
        <v>102</v>
      </c>
      <c r="H36" s="10">
        <f t="shared" si="4"/>
        <v>1793.0803012535878</v>
      </c>
      <c r="I36" s="10">
        <v>774.09081189027006</v>
      </c>
      <c r="J36" s="10">
        <f t="shared" si="1"/>
        <v>2669.1711131438578</v>
      </c>
      <c r="K36" s="10">
        <v>138.82400000000001</v>
      </c>
      <c r="L36" s="11">
        <v>39.29</v>
      </c>
      <c r="M36" s="52" t="s">
        <v>72</v>
      </c>
    </row>
    <row r="37" spans="1:21">
      <c r="A37" s="4" t="s">
        <v>78</v>
      </c>
      <c r="B37" s="10">
        <f t="shared" si="2"/>
        <v>138.82400000000001</v>
      </c>
      <c r="C37" s="10">
        <v>3650</v>
      </c>
      <c r="D37" s="10">
        <v>47.564953339931989</v>
      </c>
      <c r="E37" s="10">
        <f t="shared" si="3"/>
        <v>3836.388953339932</v>
      </c>
      <c r="F37" s="10">
        <f t="shared" si="0"/>
        <v>2804.644150177066</v>
      </c>
      <c r="G37" s="10">
        <v>261</v>
      </c>
      <c r="H37" s="10">
        <f t="shared" si="4"/>
        <v>2543.644150177066</v>
      </c>
      <c r="I37" s="10">
        <v>791.74480316286599</v>
      </c>
      <c r="J37" s="10">
        <f t="shared" si="1"/>
        <v>3596.388953339932</v>
      </c>
      <c r="K37" s="10">
        <v>240</v>
      </c>
      <c r="L37" s="11">
        <v>60.76</v>
      </c>
      <c r="M37" s="52" t="s">
        <v>72</v>
      </c>
    </row>
    <row r="38" spans="1:21">
      <c r="A38" s="4" t="s">
        <v>79</v>
      </c>
      <c r="B38" s="10">
        <f>+K37</f>
        <v>240</v>
      </c>
      <c r="C38" s="10">
        <v>3625</v>
      </c>
      <c r="D38" s="10">
        <v>45.753717475746001</v>
      </c>
      <c r="E38" s="10">
        <f t="shared" si="3"/>
        <v>3910.7537174757458</v>
      </c>
      <c r="F38" s="10">
        <f t="shared" si="0"/>
        <v>2742.3548912957858</v>
      </c>
      <c r="G38" s="10">
        <v>575</v>
      </c>
      <c r="H38" s="10">
        <f t="shared" si="4"/>
        <v>2167.3548912957858</v>
      </c>
      <c r="I38" s="10">
        <v>1003.3988261799599</v>
      </c>
      <c r="J38" s="10">
        <f t="shared" si="1"/>
        <v>3745.7537174757458</v>
      </c>
      <c r="K38" s="10">
        <v>165</v>
      </c>
      <c r="L38" s="11">
        <v>56.09</v>
      </c>
      <c r="M38" s="52" t="s">
        <v>72</v>
      </c>
    </row>
    <row r="39" spans="1:21">
      <c r="A39" s="4" t="s">
        <v>81</v>
      </c>
      <c r="B39" s="10">
        <f>+K38</f>
        <v>165</v>
      </c>
      <c r="C39" s="10">
        <v>3685</v>
      </c>
      <c r="D39" s="10">
        <v>60.04575499708799</v>
      </c>
      <c r="E39" s="10">
        <f t="shared" si="3"/>
        <v>3910.0457549970879</v>
      </c>
      <c r="F39" s="10">
        <f t="shared" si="0"/>
        <v>2726.2658212555179</v>
      </c>
      <c r="G39" s="10">
        <v>918</v>
      </c>
      <c r="H39" s="10">
        <f t="shared" si="4"/>
        <v>1808.2658212555179</v>
      </c>
      <c r="I39" s="10">
        <v>1018.7799337415701</v>
      </c>
      <c r="J39" s="10">
        <f t="shared" si="1"/>
        <v>3745.0457549970879</v>
      </c>
      <c r="K39" s="10">
        <v>165</v>
      </c>
      <c r="L39" s="11">
        <v>46.66</v>
      </c>
      <c r="M39" s="11">
        <v>36.770000000000003</v>
      </c>
    </row>
    <row r="40" spans="1:21">
      <c r="A40" s="4" t="s">
        <v>86</v>
      </c>
      <c r="B40" s="10">
        <f>+K39</f>
        <v>165</v>
      </c>
      <c r="C40" s="10">
        <v>3890</v>
      </c>
      <c r="D40" s="10">
        <v>42.076685762118004</v>
      </c>
      <c r="E40" s="10">
        <f t="shared" si="3"/>
        <v>4097.0766857621184</v>
      </c>
      <c r="F40" s="10">
        <f t="shared" si="0"/>
        <v>2927.9301510077485</v>
      </c>
      <c r="G40" s="10">
        <v>1010.76</v>
      </c>
      <c r="H40" s="10">
        <f t="shared" si="4"/>
        <v>1917.1701510077485</v>
      </c>
      <c r="I40" s="10">
        <v>1004.1465347543701</v>
      </c>
      <c r="J40" s="10">
        <f t="shared" si="1"/>
        <v>3932.0766857621184</v>
      </c>
      <c r="K40" s="10">
        <v>165</v>
      </c>
      <c r="L40" s="11">
        <v>39.43</v>
      </c>
      <c r="M40" s="11">
        <v>31.55</v>
      </c>
    </row>
    <row r="41" spans="1:21">
      <c r="A41" s="4" t="s">
        <v>88</v>
      </c>
      <c r="B41" s="10">
        <f t="shared" ref="B41:B48" si="5">+K40</f>
        <v>165</v>
      </c>
      <c r="C41" s="10">
        <v>4740</v>
      </c>
      <c r="D41" s="10">
        <v>38.809559416950002</v>
      </c>
      <c r="E41" s="10">
        <f t="shared" si="3"/>
        <v>4943.8095594169499</v>
      </c>
      <c r="F41" s="10">
        <f t="shared" si="0"/>
        <v>3870.2191376859719</v>
      </c>
      <c r="G41" s="10">
        <v>1030.8900000000001</v>
      </c>
      <c r="H41" s="10">
        <f t="shared" si="4"/>
        <v>2839.3291376859715</v>
      </c>
      <c r="I41" s="10">
        <v>908.59042173097805</v>
      </c>
      <c r="J41" s="10">
        <f t="shared" si="1"/>
        <v>4778.8095594169499</v>
      </c>
      <c r="K41" s="10">
        <v>165</v>
      </c>
      <c r="L41" s="11">
        <v>37.479999999999997</v>
      </c>
      <c r="M41" s="11">
        <v>26.82</v>
      </c>
    </row>
    <row r="42" spans="1:21">
      <c r="A42" s="4" t="s">
        <v>90</v>
      </c>
      <c r="B42" s="10">
        <f t="shared" si="5"/>
        <v>165</v>
      </c>
      <c r="C42" s="10">
        <v>5300</v>
      </c>
      <c r="D42" s="10">
        <v>83.430314425480006</v>
      </c>
      <c r="E42" s="10">
        <f t="shared" si="3"/>
        <v>5548.43031442548</v>
      </c>
      <c r="F42" s="10">
        <f t="shared" si="0"/>
        <v>4289.43031442548</v>
      </c>
      <c r="G42" s="10">
        <v>1205.93</v>
      </c>
      <c r="H42" s="10">
        <f t="shared" si="4"/>
        <v>3083.5003144254797</v>
      </c>
      <c r="I42" s="10">
        <v>1094</v>
      </c>
      <c r="J42" s="10">
        <f t="shared" si="1"/>
        <v>5383.43031442548</v>
      </c>
      <c r="K42" s="10">
        <v>165</v>
      </c>
      <c r="L42" s="11">
        <v>39.25</v>
      </c>
      <c r="M42" s="11">
        <v>26.21</v>
      </c>
    </row>
    <row r="43" spans="1:21">
      <c r="A43" s="4" t="s">
        <v>89</v>
      </c>
      <c r="B43" s="10">
        <f t="shared" si="5"/>
        <v>165</v>
      </c>
      <c r="C43" s="10">
        <v>5850</v>
      </c>
      <c r="D43" s="10">
        <v>73.525276643720005</v>
      </c>
      <c r="E43" s="10">
        <f>+B43+C43+D43</f>
        <v>6088.5252766437197</v>
      </c>
      <c r="F43" s="10">
        <f t="shared" si="0"/>
        <v>4841.3898220697201</v>
      </c>
      <c r="G43" s="10">
        <v>1669.845</v>
      </c>
      <c r="H43" s="10">
        <f t="shared" si="4"/>
        <v>3171.5448220697199</v>
      </c>
      <c r="I43" s="10">
        <v>1119.985454574</v>
      </c>
      <c r="J43" s="10">
        <f t="shared" si="1"/>
        <v>5961.3752766437201</v>
      </c>
      <c r="K43" s="10">
        <v>127.15</v>
      </c>
      <c r="L43" s="121">
        <v>37.408749999999998</v>
      </c>
      <c r="M43" s="11">
        <v>28.133278508771934</v>
      </c>
    </row>
    <row r="44" spans="1:21">
      <c r="A44" s="14" t="s">
        <v>91</v>
      </c>
      <c r="B44" s="10">
        <f t="shared" si="5"/>
        <v>127.15</v>
      </c>
      <c r="C44" s="10">
        <v>6066.1379999999999</v>
      </c>
      <c r="D44" s="10">
        <v>62.467523445600001</v>
      </c>
      <c r="E44" s="10">
        <f>+B44+C44+D44</f>
        <v>6255.7555234455995</v>
      </c>
      <c r="F44" s="10">
        <f t="shared" si="0"/>
        <v>5422.883950611199</v>
      </c>
      <c r="G44" s="106">
        <v>2336.1190000000001</v>
      </c>
      <c r="H44" s="106">
        <f t="shared" si="4"/>
        <v>3086.7649506111989</v>
      </c>
      <c r="I44" s="10">
        <v>728.41857283440004</v>
      </c>
      <c r="J44" s="10">
        <f t="shared" si="1"/>
        <v>6151.302523445599</v>
      </c>
      <c r="K44" s="10">
        <v>104.453</v>
      </c>
      <c r="L44" s="121">
        <v>30.394791666666663</v>
      </c>
      <c r="M44" s="121">
        <v>24.56</v>
      </c>
      <c r="N44" s="122"/>
      <c r="O44" s="123"/>
      <c r="P44" s="19"/>
      <c r="Q44" s="73"/>
      <c r="R44" s="117"/>
      <c r="S44" s="124"/>
      <c r="U44" s="124"/>
    </row>
    <row r="45" spans="1:21">
      <c r="A45" s="14" t="s">
        <v>94</v>
      </c>
      <c r="B45" s="10">
        <f t="shared" si="5"/>
        <v>104.453</v>
      </c>
      <c r="C45" s="10">
        <v>5764.6880000000001</v>
      </c>
      <c r="D45" s="10">
        <v>64.352034331200002</v>
      </c>
      <c r="E45" s="10">
        <f t="shared" ref="E45:E49" si="6">+B45+C45+D45</f>
        <v>5933.4930343312008</v>
      </c>
      <c r="F45" s="10">
        <f t="shared" si="0"/>
        <v>5278.8582748472008</v>
      </c>
      <c r="G45" s="106">
        <v>2825.5</v>
      </c>
      <c r="H45" s="106">
        <f t="shared" si="4"/>
        <v>2453.3582748472008</v>
      </c>
      <c r="I45" s="10">
        <v>573.02975948400001</v>
      </c>
      <c r="J45" s="10">
        <f t="shared" si="1"/>
        <v>5851.8880343312012</v>
      </c>
      <c r="K45" s="10">
        <v>81.605000000000004</v>
      </c>
      <c r="L45" s="121">
        <v>26.93416666666667</v>
      </c>
      <c r="M45" s="121">
        <v>25.091999999999999</v>
      </c>
      <c r="N45" s="122"/>
      <c r="O45" s="123"/>
      <c r="P45" s="19"/>
      <c r="Q45" s="73"/>
      <c r="R45" s="117"/>
      <c r="S45" s="124"/>
      <c r="U45" s="124"/>
    </row>
    <row r="46" spans="1:21">
      <c r="A46" s="14" t="s">
        <v>95</v>
      </c>
      <c r="B46" s="10">
        <f t="shared" si="5"/>
        <v>81.605000000000004</v>
      </c>
      <c r="C46" s="10">
        <v>5394.1009999999997</v>
      </c>
      <c r="D46" s="10">
        <v>54.213639139800009</v>
      </c>
      <c r="E46" s="10">
        <f t="shared" si="6"/>
        <v>5529.9196391397991</v>
      </c>
      <c r="F46" s="10">
        <f t="shared" si="0"/>
        <v>4945.6847410109995</v>
      </c>
      <c r="G46" s="106">
        <v>2296.6030000000001</v>
      </c>
      <c r="H46" s="106">
        <f t="shared" si="4"/>
        <v>2649.0817410109994</v>
      </c>
      <c r="I46" s="10">
        <v>482.23989812879995</v>
      </c>
      <c r="J46" s="10">
        <f>+E46-K46</f>
        <v>5427.9246391397992</v>
      </c>
      <c r="K46" s="10">
        <v>101.995</v>
      </c>
      <c r="L46" s="121">
        <v>39.538333333333334</v>
      </c>
      <c r="M46" s="121">
        <v>26.123000000000001</v>
      </c>
      <c r="N46" s="122"/>
      <c r="O46" s="123"/>
      <c r="P46" s="19"/>
      <c r="Q46" s="73"/>
      <c r="R46" s="117"/>
      <c r="S46" s="124"/>
      <c r="U46" s="124"/>
    </row>
    <row r="47" spans="1:21">
      <c r="A47" s="125" t="s">
        <v>193</v>
      </c>
      <c r="B47" s="10">
        <f t="shared" si="5"/>
        <v>101.995</v>
      </c>
      <c r="C47" s="10">
        <v>5723.7129999999997</v>
      </c>
      <c r="D47" s="10">
        <v>51.294278687400002</v>
      </c>
      <c r="E47" s="10">
        <f t="shared" si="6"/>
        <v>5877.0022786873997</v>
      </c>
      <c r="F47" s="106">
        <f t="shared" si="0"/>
        <v>5297.1449928814</v>
      </c>
      <c r="G47" s="106">
        <v>2486.1309999999999</v>
      </c>
      <c r="H47" s="106">
        <f t="shared" si="4"/>
        <v>2811.0139928814001</v>
      </c>
      <c r="I47" s="10">
        <v>423.88928580599998</v>
      </c>
      <c r="J47" s="106">
        <f>+E47-K47</f>
        <v>5721.0342786873998</v>
      </c>
      <c r="K47" s="106">
        <f>155.968</f>
        <v>155.96799999999999</v>
      </c>
      <c r="L47" s="121">
        <v>54.403333333333336</v>
      </c>
      <c r="M47" s="121">
        <v>47.792999999999999</v>
      </c>
      <c r="N47" s="122"/>
      <c r="O47" s="123"/>
      <c r="P47" s="19"/>
      <c r="R47" s="117"/>
      <c r="S47" s="124"/>
      <c r="U47" s="124"/>
    </row>
    <row r="48" spans="1:21">
      <c r="A48" s="125" t="s">
        <v>194</v>
      </c>
      <c r="B48" s="10">
        <f t="shared" si="5"/>
        <v>155.96799999999999</v>
      </c>
      <c r="C48" s="106">
        <v>6088.0839999999998</v>
      </c>
      <c r="D48" s="10">
        <v>155.4659751204</v>
      </c>
      <c r="E48" s="106">
        <f t="shared" si="6"/>
        <v>6399.5179751203996</v>
      </c>
      <c r="F48" s="106">
        <f t="shared" si="0"/>
        <v>5979.9375779343991</v>
      </c>
      <c r="G48" s="106">
        <v>3027.606843</v>
      </c>
      <c r="H48" s="106">
        <f t="shared" si="4"/>
        <v>2952.3307349343991</v>
      </c>
      <c r="I48" s="10">
        <v>271.307397186</v>
      </c>
      <c r="J48" s="106">
        <f>+E48-K48</f>
        <v>6251.2449751203994</v>
      </c>
      <c r="K48" s="10">
        <v>148.273</v>
      </c>
      <c r="L48" s="121">
        <v>64.267208333333329</v>
      </c>
      <c r="M48" s="121">
        <v>70.611000000000004</v>
      </c>
      <c r="N48" s="122"/>
      <c r="O48" s="123"/>
      <c r="P48" s="19"/>
      <c r="R48" s="117"/>
      <c r="S48" s="124"/>
      <c r="U48" s="124"/>
    </row>
    <row r="49" spans="1:14">
      <c r="A49" s="126" t="s">
        <v>195</v>
      </c>
      <c r="B49" s="104">
        <f>K48</f>
        <v>148.273</v>
      </c>
      <c r="C49" s="104">
        <v>6100</v>
      </c>
      <c r="D49" s="104">
        <v>200</v>
      </c>
      <c r="E49" s="104">
        <f t="shared" si="6"/>
        <v>6448.2730000000001</v>
      </c>
      <c r="F49" s="104">
        <f>SUM(G49:H49)</f>
        <v>5978</v>
      </c>
      <c r="G49" s="104">
        <v>3050</v>
      </c>
      <c r="H49" s="104">
        <v>2928</v>
      </c>
      <c r="I49" s="104">
        <v>320</v>
      </c>
      <c r="J49" s="104">
        <f>SUM(F49,I49)</f>
        <v>6298</v>
      </c>
      <c r="K49" s="104">
        <f>E49-J49</f>
        <v>150.27300000000014</v>
      </c>
      <c r="L49" s="127">
        <v>62</v>
      </c>
      <c r="M49" s="127">
        <v>68</v>
      </c>
      <c r="N49" s="122"/>
    </row>
    <row r="50" spans="1:14">
      <c r="A50" s="105" t="s">
        <v>169</v>
      </c>
      <c r="B50" s="10"/>
      <c r="C50" s="10"/>
      <c r="D50" s="10"/>
      <c r="E50" s="10"/>
      <c r="F50" s="10"/>
      <c r="G50" s="10"/>
      <c r="H50" s="106"/>
      <c r="I50" s="10"/>
      <c r="J50" s="10"/>
      <c r="K50" s="10"/>
      <c r="L50" s="11"/>
      <c r="M50" s="11"/>
    </row>
    <row r="51" spans="1:14">
      <c r="A51" s="14" t="s">
        <v>165</v>
      </c>
      <c r="B51" s="10"/>
      <c r="C51" s="10"/>
      <c r="D51" s="10"/>
      <c r="E51" s="10"/>
      <c r="F51" s="10"/>
      <c r="G51" s="10"/>
      <c r="H51" s="106"/>
      <c r="I51" s="10"/>
      <c r="J51" s="10"/>
      <c r="K51" s="10"/>
      <c r="L51" s="11"/>
      <c r="M51" s="11"/>
    </row>
    <row r="52" spans="1:14" ht="13.15" customHeight="1">
      <c r="A52" s="22" t="s">
        <v>171</v>
      </c>
    </row>
    <row r="53" spans="1:14" ht="13.15" customHeight="1">
      <c r="A53" t="s">
        <v>196</v>
      </c>
    </row>
    <row r="54" spans="1:14" ht="13.15" customHeight="1">
      <c r="A54" t="s">
        <v>197</v>
      </c>
    </row>
    <row r="55" spans="1:14" ht="13.15" customHeight="1">
      <c r="A55" s="4" t="s">
        <v>166</v>
      </c>
    </row>
    <row r="56" spans="1:14">
      <c r="A56" s="22" t="s">
        <v>198</v>
      </c>
    </row>
    <row r="57" spans="1:14">
      <c r="A57" t="s">
        <v>199</v>
      </c>
      <c r="M57" s="33"/>
      <c r="N57" s="33"/>
    </row>
    <row r="58" spans="1:14">
      <c r="A58" t="s">
        <v>200</v>
      </c>
    </row>
    <row r="59" spans="1:14" ht="10.15" customHeight="1">
      <c r="M59" s="128" t="s">
        <v>191</v>
      </c>
      <c r="N59" s="37"/>
    </row>
  </sheetData>
  <pageMargins left="0.7" right="0.7" top="0.75" bottom="0.75" header="0.3" footer="0.3"/>
  <pageSetup scale="68" firstPageNumber="33" orientation="portrait" useFirstPageNumber="1" r:id="rId1"/>
  <headerFooter alignWithMargins="0">
    <oddFooter>&amp;C&amp;P
Oil Crops Yearbook/OCS-2020
March 2020
Economic Research Service, USDA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75E13-70C6-4956-B374-F15BC007AADC}">
  <sheetPr>
    <pageSetUpPr fitToPage="1"/>
  </sheetPr>
  <dimension ref="A1:O54"/>
  <sheetViews>
    <sheetView zoomScaleNormal="100" zoomScaleSheetLayoutView="100" workbookViewId="0">
      <pane xSplit="2" ySplit="3" topLeftCell="F4" activePane="bottomRight" state="frozen"/>
      <selection activeCell="A2" sqref="A2"/>
      <selection pane="topRight" activeCell="A2" sqref="A2"/>
      <selection pane="bottomLeft" activeCell="A2" sqref="A2"/>
      <selection pane="bottomRight" activeCell="H3" sqref="H3:I3"/>
    </sheetView>
  </sheetViews>
  <sheetFormatPr defaultRowHeight="11.25"/>
  <cols>
    <col min="1" max="1" width="52.83203125" customWidth="1"/>
    <col min="2" max="2" width="19.5" bestFit="1" customWidth="1"/>
    <col min="3" max="14" width="9.6640625" customWidth="1"/>
  </cols>
  <sheetData>
    <row r="1" spans="1:15">
      <c r="A1" s="120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>
      <c r="C2" s="47"/>
      <c r="D2" s="47"/>
      <c r="E2" s="47"/>
      <c r="F2" s="47"/>
      <c r="G2" s="47"/>
      <c r="H2" s="85">
        <v>2014</v>
      </c>
      <c r="I2" s="47"/>
      <c r="J2" s="47"/>
      <c r="K2" s="47"/>
      <c r="L2" s="47"/>
      <c r="M2" s="47"/>
      <c r="N2" s="58"/>
    </row>
    <row r="3" spans="1:15">
      <c r="A3" s="1" t="s">
        <v>126</v>
      </c>
      <c r="B3" s="46" t="s">
        <v>56</v>
      </c>
      <c r="C3" s="47" t="s">
        <v>34</v>
      </c>
      <c r="D3" s="47" t="s">
        <v>35</v>
      </c>
      <c r="E3" s="47" t="s">
        <v>36</v>
      </c>
      <c r="F3" s="47" t="s">
        <v>37</v>
      </c>
      <c r="G3" s="47" t="s">
        <v>30</v>
      </c>
      <c r="H3" s="47" t="s">
        <v>228</v>
      </c>
      <c r="I3" s="47" t="s">
        <v>229</v>
      </c>
      <c r="J3" s="47" t="s">
        <v>38</v>
      </c>
      <c r="K3" s="47" t="s">
        <v>39</v>
      </c>
      <c r="L3" s="47" t="s">
        <v>31</v>
      </c>
      <c r="M3" s="47" t="s">
        <v>32</v>
      </c>
      <c r="N3" s="47" t="s">
        <v>33</v>
      </c>
      <c r="O3" s="3"/>
    </row>
    <row r="4" spans="1:15">
      <c r="A4" s="83" t="s">
        <v>52</v>
      </c>
    </row>
    <row r="5" spans="1:15">
      <c r="A5" s="83" t="s">
        <v>227</v>
      </c>
    </row>
    <row r="6" spans="1:15">
      <c r="A6" t="s">
        <v>15</v>
      </c>
      <c r="B6" t="s">
        <v>99</v>
      </c>
      <c r="C6" s="19">
        <v>19.8</v>
      </c>
      <c r="D6" s="19">
        <v>18.5</v>
      </c>
      <c r="E6" s="19">
        <v>18.399999999999999</v>
      </c>
      <c r="F6" s="19">
        <v>19.5</v>
      </c>
      <c r="G6" s="19">
        <v>21.7</v>
      </c>
      <c r="H6" s="19">
        <v>20.8</v>
      </c>
      <c r="I6" s="19">
        <v>20.7</v>
      </c>
      <c r="J6" s="19">
        <v>17.8</v>
      </c>
      <c r="K6" s="19">
        <v>16.2</v>
      </c>
      <c r="L6" s="19">
        <v>15.6</v>
      </c>
      <c r="M6" s="19">
        <v>17.100000000000001</v>
      </c>
      <c r="N6" s="19">
        <v>16.600000000000001</v>
      </c>
    </row>
    <row r="7" spans="1:15">
      <c r="A7" t="s">
        <v>14</v>
      </c>
      <c r="B7" t="s">
        <v>98</v>
      </c>
      <c r="C7" s="19">
        <v>230</v>
      </c>
      <c r="D7" s="19">
        <v>226</v>
      </c>
      <c r="E7" s="16" t="s">
        <v>72</v>
      </c>
      <c r="F7" s="16" t="s">
        <v>72</v>
      </c>
      <c r="G7" s="16" t="s">
        <v>72</v>
      </c>
      <c r="H7" s="16" t="s">
        <v>72</v>
      </c>
      <c r="I7" s="16" t="s">
        <v>72</v>
      </c>
      <c r="J7" s="19">
        <v>182</v>
      </c>
      <c r="K7" s="19">
        <v>175</v>
      </c>
      <c r="L7" s="19">
        <v>201</v>
      </c>
      <c r="M7" s="19">
        <v>198</v>
      </c>
      <c r="N7" s="19">
        <v>186</v>
      </c>
    </row>
    <row r="8" spans="1:15">
      <c r="A8" t="s">
        <v>127</v>
      </c>
      <c r="B8" t="s">
        <v>97</v>
      </c>
      <c r="C8" s="19">
        <v>13.8</v>
      </c>
      <c r="D8" s="19">
        <v>13.8</v>
      </c>
      <c r="E8" s="19">
        <v>13.5</v>
      </c>
      <c r="F8" s="19">
        <v>13.9</v>
      </c>
      <c r="G8" s="19">
        <v>14.9</v>
      </c>
      <c r="H8" s="19">
        <v>14.4</v>
      </c>
      <c r="I8" s="19">
        <v>14</v>
      </c>
      <c r="J8" s="19">
        <v>13.3</v>
      </c>
      <c r="K8" s="19">
        <v>11.7</v>
      </c>
      <c r="L8" s="19">
        <v>11.5</v>
      </c>
      <c r="M8" s="19">
        <v>11.6</v>
      </c>
      <c r="N8" s="19">
        <v>11.4</v>
      </c>
    </row>
    <row r="9" spans="1:15">
      <c r="A9" t="s">
        <v>62</v>
      </c>
      <c r="B9" t="s">
        <v>82</v>
      </c>
      <c r="C9" s="19">
        <v>25.4</v>
      </c>
      <c r="D9" s="19">
        <v>24.3</v>
      </c>
      <c r="E9" s="19">
        <v>25</v>
      </c>
      <c r="F9" s="19">
        <v>24.2</v>
      </c>
      <c r="G9" s="19">
        <v>23.7</v>
      </c>
      <c r="H9" s="19">
        <v>20</v>
      </c>
      <c r="I9" s="19">
        <v>21.7</v>
      </c>
      <c r="J9" s="19">
        <v>22.1</v>
      </c>
      <c r="K9" s="19">
        <v>21.5</v>
      </c>
      <c r="L9" s="19">
        <v>21</v>
      </c>
      <c r="M9" s="19">
        <v>21.4</v>
      </c>
      <c r="N9" s="19">
        <v>20.9</v>
      </c>
    </row>
    <row r="10" spans="1:15">
      <c r="A10" t="s">
        <v>61</v>
      </c>
      <c r="B10" t="s">
        <v>97</v>
      </c>
      <c r="C10" s="19">
        <v>12.9</v>
      </c>
      <c r="D10" s="19">
        <v>13.2</v>
      </c>
      <c r="E10" s="19">
        <v>13.7</v>
      </c>
      <c r="F10" s="19">
        <v>14.3</v>
      </c>
      <c r="G10" s="19">
        <v>14.4</v>
      </c>
      <c r="H10" s="19">
        <v>14.3</v>
      </c>
      <c r="I10" s="19">
        <v>13.1</v>
      </c>
      <c r="J10" s="19">
        <v>12.4</v>
      </c>
      <c r="K10" s="19">
        <v>13.3</v>
      </c>
      <c r="L10" s="19">
        <v>12.5</v>
      </c>
      <c r="M10" s="19">
        <v>12.7</v>
      </c>
      <c r="N10" s="19">
        <v>13</v>
      </c>
    </row>
    <row r="11" spans="1:15">
      <c r="A11" t="s">
        <v>128</v>
      </c>
      <c r="B11" t="s">
        <v>99</v>
      </c>
      <c r="C11" s="19">
        <v>19.600000000000001</v>
      </c>
      <c r="D11" s="19">
        <v>22.8</v>
      </c>
      <c r="E11" s="19">
        <v>21.6</v>
      </c>
      <c r="F11" s="19">
        <v>22.3</v>
      </c>
      <c r="G11" s="19">
        <v>24.1</v>
      </c>
      <c r="H11" s="19">
        <v>22.8</v>
      </c>
      <c r="I11" s="19">
        <v>22.1</v>
      </c>
      <c r="J11" s="19">
        <v>22.4</v>
      </c>
      <c r="K11" s="19">
        <v>20.2</v>
      </c>
      <c r="L11" s="19">
        <v>21.7</v>
      </c>
      <c r="M11" s="19">
        <v>20.3</v>
      </c>
      <c r="N11" s="19">
        <v>19.7</v>
      </c>
    </row>
    <row r="12" spans="1:15">
      <c r="A12" t="s">
        <v>173</v>
      </c>
      <c r="B12" t="s">
        <v>99</v>
      </c>
      <c r="C12" s="19">
        <v>18.7</v>
      </c>
      <c r="D12" s="19">
        <v>20</v>
      </c>
      <c r="E12" s="19">
        <v>19.399999999999999</v>
      </c>
      <c r="F12" s="19">
        <v>19.7</v>
      </c>
      <c r="G12" s="19">
        <v>21.7</v>
      </c>
      <c r="H12" s="19">
        <v>20.7</v>
      </c>
      <c r="I12" s="19">
        <v>20.5</v>
      </c>
      <c r="J12" s="19">
        <v>19.399999999999999</v>
      </c>
      <c r="K12" s="19">
        <v>19.3</v>
      </c>
      <c r="L12" s="19">
        <v>18.100000000000001</v>
      </c>
      <c r="M12" s="19">
        <v>17.5</v>
      </c>
      <c r="N12" s="19">
        <v>17.7</v>
      </c>
    </row>
    <row r="13" spans="1:15">
      <c r="A13" t="s">
        <v>129</v>
      </c>
      <c r="B13" t="s">
        <v>99</v>
      </c>
      <c r="C13" s="19">
        <v>34</v>
      </c>
      <c r="D13" s="19">
        <v>32</v>
      </c>
      <c r="E13" s="19">
        <v>33</v>
      </c>
      <c r="F13" s="19">
        <v>32</v>
      </c>
      <c r="G13" s="19">
        <v>30.8</v>
      </c>
      <c r="H13" s="19">
        <v>30.8</v>
      </c>
      <c r="I13" s="19">
        <v>32.4</v>
      </c>
      <c r="J13" s="19">
        <v>31.8</v>
      </c>
      <c r="K13" s="19">
        <v>33.6</v>
      </c>
      <c r="L13" s="19">
        <v>32.799999999999997</v>
      </c>
      <c r="M13" s="19">
        <v>32.6</v>
      </c>
      <c r="N13" s="19">
        <v>31.3</v>
      </c>
    </row>
    <row r="14" spans="1:15">
      <c r="A14" s="83" t="s">
        <v>130</v>
      </c>
    </row>
    <row r="15" spans="1:15">
      <c r="A15" t="s">
        <v>131</v>
      </c>
      <c r="B15" t="s">
        <v>99</v>
      </c>
      <c r="C15" s="19">
        <v>17.13</v>
      </c>
      <c r="D15" s="19">
        <v>17.260000000000002</v>
      </c>
      <c r="E15" s="19">
        <v>19.07</v>
      </c>
      <c r="F15" s="19">
        <v>19.920000000000002</v>
      </c>
      <c r="G15" s="19">
        <v>20.89</v>
      </c>
      <c r="H15" s="19">
        <v>19.25</v>
      </c>
      <c r="I15" s="19">
        <v>18.61</v>
      </c>
      <c r="J15" s="19">
        <v>16.809999999999999</v>
      </c>
      <c r="K15" s="19">
        <v>15.91</v>
      </c>
      <c r="L15" s="19">
        <v>16.41</v>
      </c>
      <c r="M15" s="19">
        <v>17.39</v>
      </c>
      <c r="N15" s="19">
        <v>17.13</v>
      </c>
    </row>
    <row r="16" spans="1:15">
      <c r="A16" t="s">
        <v>132</v>
      </c>
      <c r="B16" t="s">
        <v>98</v>
      </c>
      <c r="C16" s="19">
        <v>320.25</v>
      </c>
      <c r="D16" s="19">
        <v>371.25</v>
      </c>
      <c r="E16" s="19">
        <v>400.5</v>
      </c>
      <c r="F16" s="19">
        <v>421</v>
      </c>
      <c r="G16" s="19">
        <v>451.75</v>
      </c>
      <c r="H16" s="19">
        <v>453.25</v>
      </c>
      <c r="I16" s="19">
        <v>383</v>
      </c>
      <c r="J16" s="19">
        <v>356.25</v>
      </c>
      <c r="K16" s="19">
        <v>346</v>
      </c>
      <c r="L16" s="19">
        <v>236.75</v>
      </c>
      <c r="M16" s="19">
        <v>220</v>
      </c>
      <c r="N16" s="19">
        <v>259</v>
      </c>
    </row>
    <row r="17" spans="1:15">
      <c r="A17" t="s">
        <v>133</v>
      </c>
      <c r="B17" t="s">
        <v>97</v>
      </c>
      <c r="C17" s="19">
        <v>14.07</v>
      </c>
      <c r="D17" s="19">
        <v>14.06</v>
      </c>
      <c r="E17" s="19">
        <v>14.6</v>
      </c>
      <c r="F17" s="19">
        <v>15.48</v>
      </c>
      <c r="G17" s="19">
        <v>15.71</v>
      </c>
      <c r="H17" s="19">
        <v>15.73</v>
      </c>
      <c r="I17" s="19">
        <v>14.8</v>
      </c>
      <c r="J17" s="19">
        <v>13.82</v>
      </c>
      <c r="K17" s="19">
        <v>13.2</v>
      </c>
      <c r="L17" s="19">
        <v>12.84</v>
      </c>
      <c r="M17" s="19">
        <v>13</v>
      </c>
      <c r="N17" s="19">
        <v>12.89</v>
      </c>
    </row>
    <row r="18" spans="1:15">
      <c r="A18" t="s">
        <v>134</v>
      </c>
      <c r="B18" t="s">
        <v>97</v>
      </c>
      <c r="C18" s="19">
        <v>12.93</v>
      </c>
      <c r="D18" s="19">
        <v>13.43</v>
      </c>
      <c r="E18" s="19">
        <v>14.17</v>
      </c>
      <c r="F18" s="19">
        <v>14.89</v>
      </c>
      <c r="G18" s="19">
        <v>14.91</v>
      </c>
      <c r="H18" s="19">
        <v>14.45</v>
      </c>
      <c r="I18" s="19">
        <v>12.85</v>
      </c>
      <c r="J18" s="19">
        <v>12.38</v>
      </c>
      <c r="K18" s="19">
        <v>10.37</v>
      </c>
      <c r="L18" s="19">
        <v>9.4</v>
      </c>
      <c r="M18" s="19">
        <v>10.15</v>
      </c>
      <c r="N18" s="19">
        <v>10.23</v>
      </c>
    </row>
    <row r="19" spans="1:15">
      <c r="A19" t="s">
        <v>135</v>
      </c>
      <c r="B19" t="s">
        <v>97</v>
      </c>
      <c r="C19" s="19">
        <v>14.05</v>
      </c>
      <c r="D19" s="19">
        <v>14.47</v>
      </c>
      <c r="E19" s="19">
        <v>15.12</v>
      </c>
      <c r="F19" s="19">
        <v>15.59</v>
      </c>
      <c r="G19" s="19">
        <v>15.58</v>
      </c>
      <c r="H19" s="19">
        <v>15.07</v>
      </c>
      <c r="I19" s="19">
        <v>13.62</v>
      </c>
      <c r="J19" s="19">
        <v>13.71</v>
      </c>
      <c r="K19">
        <v>11.12</v>
      </c>
      <c r="L19">
        <v>10.84</v>
      </c>
      <c r="M19">
        <v>11.41</v>
      </c>
      <c r="N19">
        <v>11.23</v>
      </c>
    </row>
    <row r="20" spans="1:15">
      <c r="A20" t="s">
        <v>136</v>
      </c>
      <c r="B20" t="s">
        <v>99</v>
      </c>
      <c r="C20" s="19">
        <v>19.260000000000002</v>
      </c>
      <c r="D20" s="19">
        <v>19.690000000000001</v>
      </c>
      <c r="E20" s="19">
        <v>20.49</v>
      </c>
      <c r="F20" s="19">
        <v>21.43</v>
      </c>
      <c r="G20" s="19">
        <v>21.25</v>
      </c>
      <c r="H20" s="19">
        <v>21.39</v>
      </c>
      <c r="I20" s="19">
        <v>19.96</v>
      </c>
      <c r="J20" s="19">
        <v>17.78</v>
      </c>
      <c r="K20">
        <v>17.420000000000002</v>
      </c>
      <c r="L20">
        <v>17.3</v>
      </c>
      <c r="M20">
        <v>17.54</v>
      </c>
      <c r="N20">
        <v>18.53</v>
      </c>
    </row>
    <row r="21" spans="1:15">
      <c r="A21" s="83" t="s">
        <v>53</v>
      </c>
    </row>
    <row r="22" spans="1:15">
      <c r="A22" s="83" t="s">
        <v>137</v>
      </c>
    </row>
    <row r="23" spans="1:15">
      <c r="A23" t="s">
        <v>138</v>
      </c>
      <c r="B23" t="s">
        <v>82</v>
      </c>
      <c r="C23" s="19">
        <v>39.75</v>
      </c>
      <c r="D23" s="19">
        <v>42.56</v>
      </c>
      <c r="E23" s="19">
        <v>45.75</v>
      </c>
      <c r="F23" s="19">
        <v>47.63</v>
      </c>
      <c r="G23" s="19">
        <v>47.5</v>
      </c>
      <c r="H23" s="19">
        <v>46</v>
      </c>
      <c r="I23" s="19">
        <v>43.63</v>
      </c>
      <c r="J23" s="19">
        <v>40.1</v>
      </c>
      <c r="K23" s="19">
        <v>38.94</v>
      </c>
      <c r="L23" s="19">
        <v>39.450000000000003</v>
      </c>
      <c r="M23" s="19">
        <v>38.94</v>
      </c>
      <c r="N23" s="19">
        <v>39.25</v>
      </c>
      <c r="O23" s="16"/>
    </row>
    <row r="24" spans="1:15">
      <c r="A24" t="s">
        <v>155</v>
      </c>
      <c r="B24" t="s">
        <v>82</v>
      </c>
      <c r="C24" s="19">
        <v>59.7</v>
      </c>
      <c r="D24" s="19">
        <v>63</v>
      </c>
      <c r="E24" s="19">
        <v>65.38</v>
      </c>
      <c r="F24" s="19">
        <v>62.75</v>
      </c>
      <c r="G24" s="19">
        <v>65.7</v>
      </c>
      <c r="H24" s="19">
        <v>65.31</v>
      </c>
      <c r="I24" s="19">
        <v>62.88</v>
      </c>
      <c r="J24" s="19">
        <v>56.6</v>
      </c>
      <c r="K24" s="19">
        <v>55.31</v>
      </c>
      <c r="L24" s="19">
        <v>53.75</v>
      </c>
      <c r="M24" s="19">
        <v>55.69</v>
      </c>
      <c r="N24" s="19">
        <v>56.5</v>
      </c>
      <c r="O24" s="16"/>
    </row>
    <row r="25" spans="1:15">
      <c r="A25" t="s">
        <v>139</v>
      </c>
      <c r="B25" t="s">
        <v>82</v>
      </c>
      <c r="C25" s="19">
        <v>38.79</v>
      </c>
      <c r="D25" s="19">
        <v>41.07</v>
      </c>
      <c r="E25" s="19">
        <v>43.19</v>
      </c>
      <c r="F25" s="19">
        <v>41.94</v>
      </c>
      <c r="G25" s="19">
        <v>41.02</v>
      </c>
      <c r="H25" s="19">
        <v>40.01</v>
      </c>
      <c r="I25" s="19">
        <v>39.020000000000003</v>
      </c>
      <c r="J25" s="19">
        <v>38</v>
      </c>
      <c r="K25" s="19">
        <v>35.17</v>
      </c>
      <c r="L25">
        <v>34.5</v>
      </c>
      <c r="M25">
        <v>33.96</v>
      </c>
      <c r="N25">
        <v>33.68</v>
      </c>
      <c r="O25" s="16"/>
    </row>
    <row r="26" spans="1:15">
      <c r="A26" t="s">
        <v>156</v>
      </c>
      <c r="B26" t="s">
        <v>82</v>
      </c>
      <c r="C26" s="19">
        <v>29.78</v>
      </c>
      <c r="D26" s="19">
        <v>31.22</v>
      </c>
      <c r="E26" s="19">
        <v>33.92</v>
      </c>
      <c r="F26" s="19">
        <v>34.770000000000003</v>
      </c>
      <c r="G26" s="19">
        <v>35.520000000000003</v>
      </c>
      <c r="H26" s="19">
        <v>35.119999999999997</v>
      </c>
      <c r="I26" s="19">
        <v>32.28</v>
      </c>
      <c r="J26" s="19">
        <v>29.57</v>
      </c>
      <c r="K26" s="19">
        <v>28.02</v>
      </c>
      <c r="L26" s="19">
        <v>28.13</v>
      </c>
      <c r="M26" s="19">
        <v>30.1</v>
      </c>
      <c r="N26" s="19">
        <v>30.017857142857142</v>
      </c>
      <c r="O26" s="16"/>
    </row>
    <row r="27" spans="1:15">
      <c r="A27" t="s">
        <v>140</v>
      </c>
      <c r="B27" t="s">
        <v>82</v>
      </c>
      <c r="C27" s="19">
        <v>47.1</v>
      </c>
      <c r="D27" s="19">
        <v>57.8125</v>
      </c>
      <c r="E27" s="19">
        <v>69.9375</v>
      </c>
      <c r="F27" s="19">
        <v>75</v>
      </c>
      <c r="G27" s="19">
        <v>84.25</v>
      </c>
      <c r="H27" s="19">
        <v>83.3125</v>
      </c>
      <c r="I27" s="19">
        <v>73.150000000000006</v>
      </c>
      <c r="J27" s="19">
        <v>61.25</v>
      </c>
      <c r="K27" s="19">
        <v>49.625</v>
      </c>
      <c r="L27" s="19">
        <v>41.45</v>
      </c>
      <c r="M27" s="19">
        <v>40.75</v>
      </c>
      <c r="N27" s="19">
        <v>40.3125</v>
      </c>
      <c r="O27" s="16"/>
    </row>
    <row r="28" spans="1:15">
      <c r="A28" t="s">
        <v>141</v>
      </c>
      <c r="B28" t="s">
        <v>82</v>
      </c>
      <c r="C28" s="19">
        <v>33</v>
      </c>
      <c r="D28" s="19">
        <v>38</v>
      </c>
      <c r="E28" s="19">
        <v>40.67</v>
      </c>
      <c r="F28" s="19">
        <v>53</v>
      </c>
      <c r="G28" s="75" t="s">
        <v>72</v>
      </c>
      <c r="H28" s="19">
        <v>45</v>
      </c>
      <c r="I28" s="75" t="s">
        <v>72</v>
      </c>
      <c r="J28" s="19">
        <v>46.5</v>
      </c>
      <c r="K28" s="19">
        <v>50.67</v>
      </c>
      <c r="L28" s="19">
        <v>48</v>
      </c>
      <c r="M28" s="19">
        <v>42.81</v>
      </c>
      <c r="N28" s="19">
        <v>35.909999999999997</v>
      </c>
      <c r="O28" s="16"/>
    </row>
    <row r="29" spans="1:15">
      <c r="A29" t="s">
        <v>157</v>
      </c>
      <c r="B29" t="s">
        <v>82</v>
      </c>
      <c r="C29" s="19">
        <v>40.9</v>
      </c>
      <c r="D29" s="19">
        <v>42.5</v>
      </c>
      <c r="E29" s="19">
        <v>45</v>
      </c>
      <c r="F29" s="19">
        <v>43.44</v>
      </c>
      <c r="G29" s="19">
        <v>42.4</v>
      </c>
      <c r="H29" s="19">
        <v>40.380000000000003</v>
      </c>
      <c r="I29" s="19">
        <v>40.630000000000003</v>
      </c>
      <c r="J29" s="19">
        <v>38.35</v>
      </c>
      <c r="K29" s="19">
        <v>36.56</v>
      </c>
      <c r="L29" s="19">
        <v>37</v>
      </c>
      <c r="M29" s="19">
        <v>36.94</v>
      </c>
      <c r="N29" s="19">
        <v>34.19</v>
      </c>
      <c r="O29" s="16"/>
    </row>
    <row r="30" spans="1:15">
      <c r="A30" t="s">
        <v>158</v>
      </c>
      <c r="B30" t="s">
        <v>82</v>
      </c>
      <c r="C30" s="19">
        <v>46.6</v>
      </c>
      <c r="D30" s="19">
        <v>47.25</v>
      </c>
      <c r="E30" s="19">
        <v>49.75</v>
      </c>
      <c r="F30" s="19">
        <v>48.75</v>
      </c>
      <c r="G30" s="19">
        <v>48.45</v>
      </c>
      <c r="H30" s="19">
        <v>46.19</v>
      </c>
      <c r="I30" s="19">
        <v>45.5</v>
      </c>
      <c r="J30" s="19">
        <v>43.8</v>
      </c>
      <c r="K30" s="19">
        <v>42.63</v>
      </c>
      <c r="L30" s="19">
        <v>43</v>
      </c>
      <c r="M30" s="19">
        <v>41.94</v>
      </c>
      <c r="N30" s="19">
        <v>40</v>
      </c>
      <c r="O30" s="16"/>
    </row>
    <row r="31" spans="1:15">
      <c r="A31" t="s">
        <v>159</v>
      </c>
      <c r="B31" t="s">
        <v>82</v>
      </c>
      <c r="C31" s="19">
        <v>65.7</v>
      </c>
      <c r="D31" s="19">
        <v>62.0625</v>
      </c>
      <c r="E31" s="19">
        <v>59.0625</v>
      </c>
      <c r="F31" s="19">
        <v>57.75</v>
      </c>
      <c r="G31" s="19">
        <v>57.2</v>
      </c>
      <c r="H31" s="19">
        <v>58.25</v>
      </c>
      <c r="I31" s="19">
        <v>58.625</v>
      </c>
      <c r="J31" s="19">
        <v>62.8</v>
      </c>
      <c r="K31" s="19">
        <v>61.75</v>
      </c>
      <c r="L31" s="19">
        <v>59.95</v>
      </c>
      <c r="M31" s="19">
        <v>60.625</v>
      </c>
      <c r="N31" s="19">
        <v>60.125</v>
      </c>
      <c r="O31" s="16"/>
    </row>
    <row r="32" spans="1:15">
      <c r="A32" t="s">
        <v>160</v>
      </c>
      <c r="B32" t="s">
        <v>82</v>
      </c>
      <c r="C32" s="19">
        <v>34.950000000000003</v>
      </c>
      <c r="D32" s="19">
        <v>37.11</v>
      </c>
      <c r="E32" s="19">
        <v>40.82</v>
      </c>
      <c r="F32" s="19">
        <v>41.87</v>
      </c>
      <c r="G32" s="19">
        <v>40.68</v>
      </c>
      <c r="H32" s="19">
        <v>39.840000000000003</v>
      </c>
      <c r="I32" s="19">
        <v>37.6</v>
      </c>
      <c r="J32" s="19">
        <v>35.04</v>
      </c>
      <c r="K32" s="19">
        <v>33.99</v>
      </c>
      <c r="L32" s="19">
        <v>34.1</v>
      </c>
      <c r="M32" s="19">
        <v>33.450000000000003</v>
      </c>
      <c r="N32" s="19">
        <v>32.56</v>
      </c>
      <c r="O32" s="16"/>
    </row>
    <row r="33" spans="1:15">
      <c r="A33" t="s">
        <v>142</v>
      </c>
      <c r="B33" t="s">
        <v>82</v>
      </c>
      <c r="C33" s="19">
        <v>57</v>
      </c>
      <c r="D33" s="19">
        <v>57</v>
      </c>
      <c r="E33" s="19">
        <v>58</v>
      </c>
      <c r="F33" s="19">
        <v>59</v>
      </c>
      <c r="G33" s="19">
        <v>59</v>
      </c>
      <c r="H33" s="19">
        <v>57.5</v>
      </c>
      <c r="I33" s="19">
        <v>61</v>
      </c>
      <c r="J33" s="19">
        <v>63</v>
      </c>
      <c r="K33" s="19">
        <v>63</v>
      </c>
      <c r="L33" s="19">
        <v>63</v>
      </c>
      <c r="M33" s="19">
        <v>61.75</v>
      </c>
      <c r="N33" s="19">
        <v>58</v>
      </c>
      <c r="O33" s="16"/>
    </row>
    <row r="34" spans="1:15">
      <c r="A34" t="s">
        <v>143</v>
      </c>
      <c r="B34" t="s">
        <v>82</v>
      </c>
      <c r="C34" s="19">
        <v>35.840000000000003</v>
      </c>
      <c r="D34" s="19">
        <v>35.67</v>
      </c>
      <c r="E34" s="19">
        <v>41.63</v>
      </c>
      <c r="F34" s="19">
        <v>45.5</v>
      </c>
      <c r="G34" s="19">
        <v>47</v>
      </c>
      <c r="H34" s="19">
        <v>42</v>
      </c>
      <c r="I34" s="19">
        <v>40.83</v>
      </c>
      <c r="J34" s="19">
        <v>40.9</v>
      </c>
      <c r="K34" s="19">
        <v>36.07</v>
      </c>
      <c r="L34" s="19">
        <v>30.33</v>
      </c>
      <c r="M34" s="19">
        <v>35.049999999999997</v>
      </c>
      <c r="N34" s="19">
        <v>36.11</v>
      </c>
      <c r="O34" s="16"/>
    </row>
    <row r="35" spans="1:15">
      <c r="A35" s="22" t="s">
        <v>144</v>
      </c>
      <c r="B35" t="s">
        <v>82</v>
      </c>
      <c r="C35" s="19">
        <v>27</v>
      </c>
      <c r="D35" s="19">
        <v>27.44</v>
      </c>
      <c r="E35" s="19">
        <v>32</v>
      </c>
      <c r="F35" s="19">
        <v>34.299999999999997</v>
      </c>
      <c r="G35" s="19">
        <v>36.090000000000003</v>
      </c>
      <c r="H35" s="19">
        <v>35.81</v>
      </c>
      <c r="I35" s="19">
        <v>34.6</v>
      </c>
      <c r="J35" s="19">
        <v>30.94</v>
      </c>
      <c r="K35" s="19">
        <v>28.05</v>
      </c>
      <c r="L35" s="19">
        <v>26.06</v>
      </c>
      <c r="M35" s="19">
        <v>27.09</v>
      </c>
      <c r="N35" s="19">
        <v>26.38</v>
      </c>
      <c r="O35" s="16"/>
    </row>
    <row r="36" spans="1:15">
      <c r="A36" s="22" t="s">
        <v>77</v>
      </c>
      <c r="B36" s="22" t="s">
        <v>100</v>
      </c>
      <c r="C36" s="19">
        <v>3.347</v>
      </c>
      <c r="D36" s="19">
        <v>3.3812500000000001</v>
      </c>
      <c r="E36" s="19">
        <v>3.6737500000000001</v>
      </c>
      <c r="F36" s="19">
        <v>3.7450000000000001</v>
      </c>
      <c r="G36" s="19">
        <v>3.7509999999999999</v>
      </c>
      <c r="H36" s="19">
        <v>3.7250000000000001</v>
      </c>
      <c r="I36" s="19">
        <v>3.6625000000000001</v>
      </c>
      <c r="J36" s="19">
        <v>3.4919999999999995</v>
      </c>
      <c r="K36" s="19">
        <v>3.36625</v>
      </c>
      <c r="L36" s="19">
        <v>3.1390000000000002</v>
      </c>
      <c r="M36" s="19">
        <v>3.1174999999999997</v>
      </c>
      <c r="N36" s="19">
        <v>3.0274999999999999</v>
      </c>
    </row>
    <row r="37" spans="1:15">
      <c r="A37" s="83" t="s">
        <v>54</v>
      </c>
    </row>
    <row r="38" spans="1:15">
      <c r="A38" t="s">
        <v>161</v>
      </c>
      <c r="B38" t="s">
        <v>98</v>
      </c>
      <c r="C38">
        <v>365.48</v>
      </c>
      <c r="D38">
        <v>384.21</v>
      </c>
      <c r="E38">
        <v>383.68</v>
      </c>
      <c r="F38">
        <v>398.39</v>
      </c>
      <c r="G38">
        <v>407.14</v>
      </c>
      <c r="H38">
        <v>387.65</v>
      </c>
      <c r="I38">
        <v>317.81</v>
      </c>
      <c r="J38">
        <v>303.74</v>
      </c>
      <c r="K38">
        <v>316.94</v>
      </c>
      <c r="L38">
        <v>301.75</v>
      </c>
      <c r="M38">
        <v>356.31</v>
      </c>
      <c r="N38">
        <v>349.31</v>
      </c>
    </row>
    <row r="39" spans="1:15">
      <c r="A39" t="s">
        <v>162</v>
      </c>
      <c r="B39" t="s">
        <v>98</v>
      </c>
      <c r="C39" s="19">
        <v>375.63</v>
      </c>
      <c r="D39" s="19">
        <v>388.75</v>
      </c>
      <c r="E39" s="19">
        <v>401.25</v>
      </c>
      <c r="F39" s="19">
        <v>405.5</v>
      </c>
      <c r="G39" s="19">
        <v>416.88</v>
      </c>
      <c r="H39" s="19">
        <v>412.5</v>
      </c>
      <c r="I39" s="19">
        <v>359.5</v>
      </c>
      <c r="J39" s="19">
        <v>310</v>
      </c>
      <c r="K39" s="19">
        <v>360.63</v>
      </c>
      <c r="L39" s="19">
        <v>346.88</v>
      </c>
      <c r="M39" s="19">
        <v>313.13</v>
      </c>
      <c r="N39" s="19">
        <v>332.5</v>
      </c>
    </row>
    <row r="40" spans="1:15">
      <c r="A40" t="s">
        <v>163</v>
      </c>
      <c r="B40" t="s">
        <v>98</v>
      </c>
      <c r="C40" s="19">
        <v>330</v>
      </c>
      <c r="D40" s="19">
        <v>377.5</v>
      </c>
      <c r="E40" s="19">
        <v>413.75</v>
      </c>
      <c r="F40" s="19">
        <v>388</v>
      </c>
      <c r="G40" s="19">
        <v>355</v>
      </c>
      <c r="H40" s="19">
        <v>323.75</v>
      </c>
      <c r="I40" s="19">
        <v>295</v>
      </c>
      <c r="J40" s="19">
        <v>252.5</v>
      </c>
      <c r="K40" s="19">
        <v>302.5</v>
      </c>
      <c r="L40" s="19">
        <v>214.38</v>
      </c>
      <c r="M40" s="19">
        <v>283.75</v>
      </c>
      <c r="N40" s="19">
        <v>287.5</v>
      </c>
    </row>
    <row r="41" spans="1:15">
      <c r="A41" t="s">
        <v>145</v>
      </c>
      <c r="B41" t="s">
        <v>98</v>
      </c>
      <c r="C41">
        <v>479.54</v>
      </c>
      <c r="D41">
        <v>509.25</v>
      </c>
      <c r="E41">
        <v>495.71</v>
      </c>
      <c r="F41">
        <v>514.01</v>
      </c>
      <c r="G41">
        <v>519.38</v>
      </c>
      <c r="H41">
        <v>501.72</v>
      </c>
      <c r="I41">
        <v>450.79</v>
      </c>
      <c r="J41">
        <v>490.32</v>
      </c>
      <c r="K41">
        <v>525.72</v>
      </c>
      <c r="L41">
        <v>381.5</v>
      </c>
      <c r="M41">
        <v>441.39</v>
      </c>
      <c r="N41">
        <v>431.73</v>
      </c>
    </row>
    <row r="42" spans="1:15">
      <c r="A42" t="s">
        <v>164</v>
      </c>
      <c r="B42" t="s">
        <v>98</v>
      </c>
      <c r="C42" s="19">
        <v>283.75</v>
      </c>
      <c r="D42" s="19">
        <v>285</v>
      </c>
      <c r="E42" s="19">
        <v>271.25</v>
      </c>
      <c r="F42" s="19">
        <v>267.5</v>
      </c>
      <c r="G42" s="19">
        <v>265</v>
      </c>
      <c r="H42" s="19">
        <v>250</v>
      </c>
      <c r="I42" s="19">
        <v>192.5</v>
      </c>
      <c r="J42" s="19">
        <v>151.25</v>
      </c>
      <c r="K42" s="19">
        <v>139.5</v>
      </c>
      <c r="L42" s="19">
        <v>162.5</v>
      </c>
      <c r="M42" s="19">
        <v>208.13</v>
      </c>
      <c r="N42" s="19">
        <v>245</v>
      </c>
    </row>
    <row r="43" spans="1:15">
      <c r="A43" s="83" t="s">
        <v>75</v>
      </c>
      <c r="O43" s="9"/>
    </row>
    <row r="44" spans="1:15">
      <c r="A44" s="83" t="s">
        <v>146</v>
      </c>
      <c r="O44" s="9"/>
    </row>
    <row r="45" spans="1:15">
      <c r="A45" t="s">
        <v>147</v>
      </c>
      <c r="B45" t="s">
        <v>55</v>
      </c>
      <c r="C45" s="18">
        <v>286.10000000000002</v>
      </c>
      <c r="D45" s="18">
        <v>216</v>
      </c>
      <c r="E45" s="18">
        <v>225.3</v>
      </c>
      <c r="F45" s="18">
        <v>264.2</v>
      </c>
      <c r="G45" s="18">
        <v>323.5</v>
      </c>
      <c r="H45" s="18">
        <v>326.5</v>
      </c>
      <c r="I45" s="18">
        <v>286.2</v>
      </c>
      <c r="J45" s="18">
        <v>279.7</v>
      </c>
      <c r="K45" s="18">
        <v>283.60000000000002</v>
      </c>
      <c r="L45" s="18">
        <v>303.8</v>
      </c>
      <c r="M45" s="18">
        <v>298.89999999999998</v>
      </c>
      <c r="N45" s="18">
        <v>240.6</v>
      </c>
      <c r="O45" s="9"/>
    </row>
    <row r="46" spans="1:15">
      <c r="A46" s="83" t="s">
        <v>148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9"/>
    </row>
    <row r="47" spans="1:15">
      <c r="A47" t="s">
        <v>149</v>
      </c>
      <c r="B47" t="s">
        <v>55</v>
      </c>
      <c r="C47" s="18">
        <v>314.3</v>
      </c>
      <c r="D47" s="18">
        <v>319.2</v>
      </c>
      <c r="E47" s="18">
        <v>320.5</v>
      </c>
      <c r="F47" s="18">
        <v>313.3</v>
      </c>
      <c r="G47" s="18">
        <v>318</v>
      </c>
      <c r="H47" s="18">
        <v>319</v>
      </c>
      <c r="I47" s="18">
        <v>319.5</v>
      </c>
      <c r="J47" s="18">
        <v>319.2</v>
      </c>
      <c r="K47" s="18">
        <v>326.2</v>
      </c>
      <c r="L47" s="18">
        <v>323</v>
      </c>
      <c r="M47" s="18">
        <v>310.89999999999998</v>
      </c>
      <c r="N47" s="18">
        <v>315.60000000000002</v>
      </c>
      <c r="O47" s="9"/>
    </row>
    <row r="48" spans="1:15">
      <c r="A48" t="s">
        <v>150</v>
      </c>
      <c r="B48" t="s">
        <v>55</v>
      </c>
      <c r="C48" s="18">
        <v>260.3</v>
      </c>
      <c r="D48" s="18">
        <v>256</v>
      </c>
      <c r="E48" s="18">
        <v>251</v>
      </c>
      <c r="F48" s="18">
        <v>260.60000000000002</v>
      </c>
      <c r="G48" s="18">
        <v>259.2</v>
      </c>
      <c r="H48" s="18">
        <v>259.3</v>
      </c>
      <c r="I48" s="18">
        <v>258.60000000000002</v>
      </c>
      <c r="J48" s="18">
        <v>258</v>
      </c>
      <c r="K48" s="18">
        <v>255.5</v>
      </c>
      <c r="L48" s="18">
        <v>252.2</v>
      </c>
      <c r="M48" s="18">
        <v>251.3</v>
      </c>
      <c r="N48" s="18">
        <v>251.1</v>
      </c>
      <c r="O48" s="9"/>
    </row>
    <row r="49" spans="1:14">
      <c r="A49" t="s">
        <v>151</v>
      </c>
      <c r="B49" t="s">
        <v>55</v>
      </c>
      <c r="C49" s="18">
        <v>256.5</v>
      </c>
      <c r="D49" s="18">
        <v>256.8</v>
      </c>
      <c r="E49" s="18">
        <v>279.7</v>
      </c>
      <c r="F49" s="18">
        <v>277.5</v>
      </c>
      <c r="G49" s="18">
        <v>272.3</v>
      </c>
      <c r="H49" s="18">
        <v>269.7</v>
      </c>
      <c r="I49" s="18">
        <v>256.39999999999998</v>
      </c>
      <c r="J49" s="18">
        <v>248.7</v>
      </c>
      <c r="K49" s="18">
        <v>231.6</v>
      </c>
      <c r="L49" s="18">
        <v>226.9</v>
      </c>
      <c r="M49" s="18">
        <v>232.1</v>
      </c>
      <c r="N49" s="18">
        <v>225.3</v>
      </c>
    </row>
    <row r="50" spans="1:14">
      <c r="A50" s="1" t="s">
        <v>152</v>
      </c>
      <c r="B50" s="1" t="s">
        <v>80</v>
      </c>
      <c r="C50" s="25">
        <v>147.30000000000001</v>
      </c>
      <c r="D50" s="25">
        <v>147.30000000000001</v>
      </c>
      <c r="E50" s="25">
        <v>147.30000000000001</v>
      </c>
      <c r="F50" s="25">
        <v>147.30000000000001</v>
      </c>
      <c r="G50" s="25">
        <v>147.30000000000001</v>
      </c>
      <c r="H50" s="25">
        <v>147.30000000000001</v>
      </c>
      <c r="I50" s="25">
        <v>147.30000000000001</v>
      </c>
      <c r="J50" s="25">
        <v>147.30000000000001</v>
      </c>
      <c r="K50" s="25">
        <v>147.30000000000001</v>
      </c>
      <c r="L50" s="25">
        <v>135.80000000000001</v>
      </c>
      <c r="M50" s="25">
        <v>135.80000000000001</v>
      </c>
      <c r="N50" s="25">
        <v>135.80000000000001</v>
      </c>
    </row>
    <row r="51" spans="1:14">
      <c r="A51" s="22" t="s">
        <v>174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1:14" ht="10.15" customHeight="1">
      <c r="A52" s="22" t="s">
        <v>202</v>
      </c>
      <c r="M52" s="17"/>
    </row>
    <row r="53" spans="1:14">
      <c r="A53" s="22" t="s">
        <v>187</v>
      </c>
      <c r="K53" s="29"/>
      <c r="M53" s="33"/>
    </row>
    <row r="54" spans="1:14">
      <c r="N54" s="128" t="s">
        <v>191</v>
      </c>
    </row>
  </sheetData>
  <pageMargins left="0.7" right="0.7" top="0.75" bottom="0.75" header="0.3" footer="0.3"/>
  <pageSetup scale="80" firstPageNumber="35" orientation="landscape" useFirstPageNumber="1" r:id="rId1"/>
  <headerFooter alignWithMargins="0">
    <oddFooter>&amp;C&amp;P
Oil Crops Yearbook/OCS-2020
March 2020
Economic Research Service, USDA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9BA76-F18B-4ECD-AFE2-B971155078C7}">
  <sheetPr>
    <pageSetUpPr fitToPage="1"/>
  </sheetPr>
  <dimension ref="A1:O54"/>
  <sheetViews>
    <sheetView zoomScaleNormal="100" zoomScaleSheetLayoutView="90" workbookViewId="0">
      <pane xSplit="2" ySplit="3" topLeftCell="C4" activePane="bottomRight" state="frozen"/>
      <selection activeCell="H3" sqref="H3:I3"/>
      <selection pane="topRight" activeCell="H3" sqref="H3:I3"/>
      <selection pane="bottomLeft" activeCell="H3" sqref="H3:I3"/>
      <selection pane="bottomRight" activeCell="H3" sqref="H3:I3"/>
    </sheetView>
  </sheetViews>
  <sheetFormatPr defaultRowHeight="11.25"/>
  <cols>
    <col min="1" max="1" width="52.5" customWidth="1"/>
    <col min="2" max="2" width="19.5" bestFit="1" customWidth="1"/>
    <col min="3" max="14" width="9.83203125" customWidth="1"/>
  </cols>
  <sheetData>
    <row r="1" spans="1:14">
      <c r="A1" s="120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47"/>
      <c r="D2" s="47"/>
      <c r="E2" s="47"/>
      <c r="F2" s="47"/>
      <c r="G2" s="47"/>
      <c r="H2" s="85">
        <v>2015</v>
      </c>
      <c r="I2" s="47"/>
      <c r="J2" s="47"/>
      <c r="K2" s="47"/>
      <c r="L2" s="47"/>
      <c r="M2" s="47"/>
      <c r="N2" s="58"/>
    </row>
    <row r="3" spans="1:14">
      <c r="A3" s="1" t="s">
        <v>126</v>
      </c>
      <c r="B3" s="46" t="s">
        <v>56</v>
      </c>
      <c r="C3" s="47" t="s">
        <v>34</v>
      </c>
      <c r="D3" s="47" t="s">
        <v>35</v>
      </c>
      <c r="E3" s="47" t="s">
        <v>36</v>
      </c>
      <c r="F3" s="47" t="s">
        <v>37</v>
      </c>
      <c r="G3" s="47" t="s">
        <v>30</v>
      </c>
      <c r="H3" s="47" t="s">
        <v>228</v>
      </c>
      <c r="I3" s="47" t="s">
        <v>229</v>
      </c>
      <c r="J3" s="47" t="s">
        <v>38</v>
      </c>
      <c r="K3" s="47" t="s">
        <v>39</v>
      </c>
      <c r="L3" s="47" t="s">
        <v>31</v>
      </c>
      <c r="M3" s="47" t="s">
        <v>32</v>
      </c>
      <c r="N3" s="47" t="s">
        <v>33</v>
      </c>
    </row>
    <row r="4" spans="1:14">
      <c r="A4" s="83" t="s">
        <v>52</v>
      </c>
    </row>
    <row r="5" spans="1:14">
      <c r="A5" s="83" t="s">
        <v>227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>
      <c r="A6" t="s">
        <v>15</v>
      </c>
      <c r="B6" t="s">
        <v>99</v>
      </c>
      <c r="C6" s="19">
        <v>17.8</v>
      </c>
      <c r="D6" s="19">
        <v>17.2</v>
      </c>
      <c r="E6" s="19">
        <v>16.600000000000001</v>
      </c>
      <c r="F6" s="19">
        <v>16.3</v>
      </c>
      <c r="G6" s="19">
        <v>16.7</v>
      </c>
      <c r="H6" s="19">
        <v>17.8</v>
      </c>
      <c r="I6" s="19">
        <v>18.100000000000001</v>
      </c>
      <c r="J6" s="19">
        <v>15.6</v>
      </c>
      <c r="K6" s="19">
        <v>15.1</v>
      </c>
      <c r="L6" s="19">
        <v>14.8</v>
      </c>
      <c r="M6" s="19">
        <v>15.1</v>
      </c>
      <c r="N6" s="19">
        <v>14.9</v>
      </c>
    </row>
    <row r="7" spans="1:14">
      <c r="A7" t="s">
        <v>14</v>
      </c>
      <c r="B7" t="s">
        <v>98</v>
      </c>
      <c r="C7" s="19">
        <v>194</v>
      </c>
      <c r="D7" s="19">
        <v>196</v>
      </c>
      <c r="E7" s="16" t="s">
        <v>72</v>
      </c>
      <c r="F7" s="16" t="s">
        <v>72</v>
      </c>
      <c r="G7" s="16" t="s">
        <v>72</v>
      </c>
      <c r="H7" s="16" t="s">
        <v>72</v>
      </c>
      <c r="I7" s="16" t="s">
        <v>72</v>
      </c>
      <c r="J7" s="19">
        <v>192</v>
      </c>
      <c r="K7" s="19">
        <v>203</v>
      </c>
      <c r="L7" s="19">
        <v>235</v>
      </c>
      <c r="M7" s="19">
        <v>233</v>
      </c>
      <c r="N7" s="19">
        <v>217</v>
      </c>
    </row>
    <row r="8" spans="1:14">
      <c r="A8" t="s">
        <v>127</v>
      </c>
      <c r="B8" t="s">
        <v>97</v>
      </c>
      <c r="C8" s="19">
        <v>11.7</v>
      </c>
      <c r="D8" s="19">
        <v>11.5</v>
      </c>
      <c r="E8" s="19">
        <v>11.5</v>
      </c>
      <c r="F8" s="19">
        <v>12</v>
      </c>
      <c r="G8" s="19">
        <v>12.1</v>
      </c>
      <c r="H8" s="19">
        <v>11.4</v>
      </c>
      <c r="I8" s="19">
        <v>11.5</v>
      </c>
      <c r="J8" s="19">
        <v>10</v>
      </c>
      <c r="K8" s="19">
        <v>9.08</v>
      </c>
      <c r="L8" s="19">
        <v>8.57</v>
      </c>
      <c r="M8" s="19">
        <v>8.7100000000000009</v>
      </c>
      <c r="N8" s="19">
        <v>8.6199999999999992</v>
      </c>
    </row>
    <row r="9" spans="1:14">
      <c r="A9" t="s">
        <v>62</v>
      </c>
      <c r="B9" t="s">
        <v>82</v>
      </c>
      <c r="C9" s="19">
        <v>22.5</v>
      </c>
      <c r="D9" s="19">
        <v>22.2</v>
      </c>
      <c r="E9" s="19">
        <v>22.5</v>
      </c>
      <c r="F9" s="19">
        <v>22.1</v>
      </c>
      <c r="G9" s="19">
        <v>22.5</v>
      </c>
      <c r="H9" s="19">
        <v>21.8</v>
      </c>
      <c r="I9" s="19">
        <v>23</v>
      </c>
      <c r="J9" s="19">
        <v>20.7</v>
      </c>
      <c r="K9" s="19">
        <v>19.600000000000001</v>
      </c>
      <c r="L9" s="19">
        <v>18.8</v>
      </c>
      <c r="M9" s="19">
        <v>18.5</v>
      </c>
      <c r="N9" s="19">
        <v>17.8</v>
      </c>
    </row>
    <row r="10" spans="1:14">
      <c r="A10" t="s">
        <v>61</v>
      </c>
      <c r="B10" t="s">
        <v>97</v>
      </c>
      <c r="C10" s="19">
        <v>10.3</v>
      </c>
      <c r="D10" s="19">
        <v>9.91</v>
      </c>
      <c r="E10" s="19">
        <v>9.85</v>
      </c>
      <c r="F10" s="19">
        <v>9.69</v>
      </c>
      <c r="G10" s="19">
        <v>9.58</v>
      </c>
      <c r="H10" s="19">
        <v>9.58</v>
      </c>
      <c r="I10" s="19">
        <v>9.9499999999999993</v>
      </c>
      <c r="J10" s="19">
        <v>9.7100000000000009</v>
      </c>
      <c r="K10" s="19">
        <v>9.0500000000000007</v>
      </c>
      <c r="L10" s="19">
        <v>8.81</v>
      </c>
      <c r="M10" s="19">
        <v>8.68</v>
      </c>
      <c r="N10" s="19">
        <v>8.76</v>
      </c>
    </row>
    <row r="11" spans="1:14">
      <c r="A11" t="s">
        <v>128</v>
      </c>
      <c r="B11" t="s">
        <v>99</v>
      </c>
      <c r="C11" s="19">
        <v>19.100000000000001</v>
      </c>
      <c r="D11" s="19">
        <v>21.5</v>
      </c>
      <c r="E11" s="19">
        <v>22.5</v>
      </c>
      <c r="F11" s="19">
        <v>23.2</v>
      </c>
      <c r="G11" s="19">
        <v>26.4</v>
      </c>
      <c r="H11" s="19">
        <v>25.4</v>
      </c>
      <c r="I11" s="19">
        <v>26.4</v>
      </c>
      <c r="J11" s="19">
        <v>24.2</v>
      </c>
      <c r="K11" s="19">
        <v>25.1</v>
      </c>
      <c r="L11" s="19">
        <v>18.399999999999999</v>
      </c>
      <c r="M11" s="19">
        <v>18.3</v>
      </c>
      <c r="N11" s="19">
        <v>19.3</v>
      </c>
    </row>
    <row r="12" spans="1:14">
      <c r="A12" t="s">
        <v>173</v>
      </c>
      <c r="B12" t="s">
        <v>99</v>
      </c>
      <c r="C12" s="19">
        <v>18.899999999999999</v>
      </c>
      <c r="D12" s="19">
        <v>19.399999999999999</v>
      </c>
      <c r="E12" s="19">
        <v>20.100000000000001</v>
      </c>
      <c r="F12" s="19">
        <v>21.4</v>
      </c>
      <c r="G12" s="19">
        <v>23.3</v>
      </c>
      <c r="H12" s="19">
        <v>23</v>
      </c>
      <c r="I12" s="19">
        <v>21.8</v>
      </c>
      <c r="J12" s="19">
        <v>21.3</v>
      </c>
      <c r="K12" s="19">
        <v>25.2</v>
      </c>
      <c r="L12" s="19">
        <v>17.5</v>
      </c>
      <c r="M12" s="19">
        <v>17.3</v>
      </c>
      <c r="N12" s="19">
        <v>17.5</v>
      </c>
    </row>
    <row r="13" spans="1:14">
      <c r="A13" t="s">
        <v>129</v>
      </c>
      <c r="B13" t="s">
        <v>99</v>
      </c>
      <c r="C13" s="19">
        <v>25.8</v>
      </c>
      <c r="D13" s="19">
        <v>31.9</v>
      </c>
      <c r="E13" s="19">
        <v>32</v>
      </c>
      <c r="F13" s="19">
        <v>31</v>
      </c>
      <c r="G13" s="19">
        <v>31.4</v>
      </c>
      <c r="H13" s="19">
        <v>29.6</v>
      </c>
      <c r="I13" s="19">
        <v>31.6</v>
      </c>
      <c r="J13" s="19">
        <v>29.1</v>
      </c>
      <c r="K13" s="19">
        <v>24.7</v>
      </c>
      <c r="L13" s="19">
        <v>27.2</v>
      </c>
      <c r="M13" s="19">
        <v>25.8</v>
      </c>
      <c r="N13" s="19">
        <v>28.4</v>
      </c>
    </row>
    <row r="14" spans="1:14">
      <c r="A14" s="83" t="s">
        <v>130</v>
      </c>
    </row>
    <row r="15" spans="1:14">
      <c r="A15" t="s">
        <v>131</v>
      </c>
      <c r="B15" t="s">
        <v>99</v>
      </c>
      <c r="C15" s="19">
        <v>17.05</v>
      </c>
      <c r="D15" s="19">
        <v>16.45</v>
      </c>
      <c r="E15" s="19">
        <v>16.12</v>
      </c>
      <c r="F15" s="19">
        <v>16.05</v>
      </c>
      <c r="G15" s="19">
        <v>16.809999999999999</v>
      </c>
      <c r="H15" s="19">
        <v>17.989999999999998</v>
      </c>
      <c r="I15" s="19">
        <v>17.14</v>
      </c>
      <c r="J15" s="19">
        <v>15.58</v>
      </c>
      <c r="K15" s="19">
        <v>14.06</v>
      </c>
      <c r="L15" s="19">
        <v>14.52</v>
      </c>
      <c r="M15" s="19">
        <v>14.35</v>
      </c>
      <c r="N15" s="19">
        <v>14.85</v>
      </c>
    </row>
    <row r="16" spans="1:14">
      <c r="A16" t="s">
        <v>132</v>
      </c>
      <c r="B16" t="s">
        <v>98</v>
      </c>
      <c r="C16" s="19">
        <v>263.25</v>
      </c>
      <c r="D16" s="19">
        <v>266.5</v>
      </c>
      <c r="E16" s="19">
        <v>277</v>
      </c>
      <c r="F16" s="19">
        <v>270</v>
      </c>
      <c r="G16" s="19">
        <v>297.5</v>
      </c>
      <c r="H16" s="19">
        <v>308.39999999999998</v>
      </c>
      <c r="I16" s="19">
        <v>315</v>
      </c>
      <c r="J16" s="19">
        <v>300.5</v>
      </c>
      <c r="K16" s="19">
        <v>288.75</v>
      </c>
      <c r="L16" s="19">
        <v>276.25</v>
      </c>
      <c r="M16" s="19">
        <v>280</v>
      </c>
      <c r="N16" s="19">
        <v>285</v>
      </c>
    </row>
    <row r="17" spans="1:14">
      <c r="A17" t="s">
        <v>133</v>
      </c>
      <c r="B17" t="s">
        <v>97</v>
      </c>
      <c r="C17" s="19">
        <v>12.75</v>
      </c>
      <c r="D17" s="19">
        <v>12.75</v>
      </c>
      <c r="E17" s="19">
        <v>12.75</v>
      </c>
      <c r="F17" s="19">
        <v>12.59</v>
      </c>
      <c r="G17" s="19">
        <v>12.45</v>
      </c>
      <c r="H17" s="19">
        <v>12.07</v>
      </c>
      <c r="I17" s="19">
        <v>11.75</v>
      </c>
      <c r="J17" s="19">
        <v>11.15</v>
      </c>
      <c r="K17" s="19">
        <v>9.58</v>
      </c>
      <c r="L17" s="19">
        <v>9.2100000000000009</v>
      </c>
      <c r="M17" s="19">
        <v>9.4</v>
      </c>
      <c r="N17" s="19">
        <v>9.27</v>
      </c>
    </row>
    <row r="18" spans="1:14">
      <c r="A18" t="s">
        <v>134</v>
      </c>
      <c r="B18" t="s">
        <v>97</v>
      </c>
      <c r="C18" s="19">
        <v>9.8800000000000008</v>
      </c>
      <c r="D18" s="19">
        <v>10.039999999999999</v>
      </c>
      <c r="E18" s="19">
        <v>9.68</v>
      </c>
      <c r="F18" s="19">
        <v>9.6199999999999992</v>
      </c>
      <c r="G18" s="19">
        <v>9.49</v>
      </c>
      <c r="H18" s="19">
        <v>9.6300000000000008</v>
      </c>
      <c r="I18" s="19">
        <v>10.11</v>
      </c>
      <c r="J18" s="19">
        <v>9.48</v>
      </c>
      <c r="K18" s="19">
        <v>8.6199999999999992</v>
      </c>
      <c r="L18" s="19">
        <v>8.7100000000000009</v>
      </c>
      <c r="M18" s="19">
        <v>8.6</v>
      </c>
      <c r="N18" s="19">
        <v>8.73</v>
      </c>
    </row>
    <row r="19" spans="1:14">
      <c r="A19" t="s">
        <v>135</v>
      </c>
      <c r="B19" t="s">
        <v>97</v>
      </c>
      <c r="C19" s="19">
        <v>10.84</v>
      </c>
      <c r="D19" s="19">
        <v>10.74</v>
      </c>
      <c r="E19" s="19">
        <v>10.52</v>
      </c>
      <c r="F19" s="19">
        <v>10.45</v>
      </c>
      <c r="G19" s="19">
        <v>10.37</v>
      </c>
      <c r="H19" s="19">
        <v>10.48</v>
      </c>
      <c r="I19" s="19">
        <v>10.92</v>
      </c>
      <c r="J19" s="19">
        <v>10</v>
      </c>
      <c r="K19">
        <v>9.69</v>
      </c>
      <c r="L19">
        <v>9.68</v>
      </c>
      <c r="M19">
        <v>9.34</v>
      </c>
      <c r="N19">
        <v>9.44</v>
      </c>
    </row>
    <row r="20" spans="1:14">
      <c r="A20" t="s">
        <v>136</v>
      </c>
      <c r="B20" t="s">
        <v>99</v>
      </c>
      <c r="C20" s="19">
        <v>19.05</v>
      </c>
      <c r="D20" s="19">
        <v>19.100000000000001</v>
      </c>
      <c r="E20" s="19">
        <v>19.239999999999998</v>
      </c>
      <c r="F20" s="19">
        <v>19.82</v>
      </c>
      <c r="G20" s="19">
        <v>21.03</v>
      </c>
      <c r="H20" s="19">
        <v>22.01</v>
      </c>
      <c r="I20" s="19">
        <v>22.95</v>
      </c>
      <c r="J20" s="19">
        <v>19.55</v>
      </c>
      <c r="K20">
        <v>16.71</v>
      </c>
      <c r="L20">
        <v>16.739999999999998</v>
      </c>
      <c r="M20">
        <v>16.59</v>
      </c>
      <c r="N20">
        <v>16.95</v>
      </c>
    </row>
    <row r="21" spans="1:14">
      <c r="A21" s="83" t="s">
        <v>53</v>
      </c>
    </row>
    <row r="22" spans="1:14">
      <c r="A22" s="83" t="s">
        <v>137</v>
      </c>
    </row>
    <row r="23" spans="1:14">
      <c r="A23" t="s">
        <v>138</v>
      </c>
      <c r="B23" t="s">
        <v>82</v>
      </c>
      <c r="C23" s="19">
        <v>38.799999999999997</v>
      </c>
      <c r="D23" s="19">
        <v>38.94</v>
      </c>
      <c r="E23" s="19">
        <v>35.69</v>
      </c>
      <c r="F23" s="19">
        <v>37.19</v>
      </c>
      <c r="G23" s="19">
        <v>38.549999999999997</v>
      </c>
      <c r="H23" s="19">
        <v>40.19</v>
      </c>
      <c r="I23" s="19">
        <v>38.299999999999997</v>
      </c>
      <c r="J23" s="19">
        <v>35.130000000000003</v>
      </c>
      <c r="K23" s="19">
        <v>33.31</v>
      </c>
      <c r="L23" s="19">
        <v>34.200000000000003</v>
      </c>
      <c r="M23" s="19">
        <v>33.630000000000003</v>
      </c>
      <c r="N23" s="19">
        <v>36.5</v>
      </c>
    </row>
    <row r="24" spans="1:14">
      <c r="A24" t="s">
        <v>155</v>
      </c>
      <c r="B24" t="s">
        <v>82</v>
      </c>
      <c r="C24" s="19">
        <v>56.3</v>
      </c>
      <c r="D24" s="19">
        <v>54.94</v>
      </c>
      <c r="E24" s="19">
        <v>52.94</v>
      </c>
      <c r="F24" s="19">
        <v>49.5</v>
      </c>
      <c r="G24" s="19">
        <v>52.25</v>
      </c>
      <c r="H24" s="19">
        <v>53.19</v>
      </c>
      <c r="I24" s="19">
        <v>52.3</v>
      </c>
      <c r="J24" s="19">
        <v>51.56</v>
      </c>
      <c r="K24" s="19">
        <v>50.75</v>
      </c>
      <c r="L24" s="19">
        <v>51.05</v>
      </c>
      <c r="M24" s="19">
        <v>50.31</v>
      </c>
      <c r="N24" s="19">
        <v>52.2</v>
      </c>
    </row>
    <row r="25" spans="1:14">
      <c r="A25" t="s">
        <v>139</v>
      </c>
      <c r="B25" t="s">
        <v>82</v>
      </c>
      <c r="C25" s="19">
        <v>34.86</v>
      </c>
      <c r="D25" s="19">
        <v>36.130000000000003</v>
      </c>
      <c r="E25" s="19">
        <v>37.729999999999997</v>
      </c>
      <c r="F25" s="19">
        <v>39.270000000000003</v>
      </c>
      <c r="G25" s="19">
        <v>39.5</v>
      </c>
      <c r="H25" s="19">
        <v>40.340000000000003</v>
      </c>
      <c r="I25" s="19">
        <v>41.49</v>
      </c>
      <c r="J25" s="19">
        <v>40.75</v>
      </c>
      <c r="K25" s="19">
        <v>37.549999999999997</v>
      </c>
      <c r="L25" s="19">
        <v>36.6</v>
      </c>
      <c r="M25">
        <v>36.43</v>
      </c>
      <c r="N25">
        <v>38.25</v>
      </c>
    </row>
    <row r="26" spans="1:14">
      <c r="A26" t="s">
        <v>156</v>
      </c>
      <c r="B26" t="s">
        <v>82</v>
      </c>
      <c r="C26" s="19">
        <v>27.68</v>
      </c>
      <c r="D26" s="19">
        <v>26.43</v>
      </c>
      <c r="E26" s="19">
        <v>28.13</v>
      </c>
      <c r="F26" s="19">
        <v>26.66</v>
      </c>
      <c r="G26" s="19">
        <v>24.87</v>
      </c>
      <c r="H26" s="19">
        <v>28.38</v>
      </c>
      <c r="I26" s="19">
        <v>25.27</v>
      </c>
      <c r="J26" s="19">
        <v>23.56</v>
      </c>
      <c r="K26" s="19">
        <v>22.63</v>
      </c>
      <c r="L26" s="19">
        <v>23.12</v>
      </c>
      <c r="M26" s="19">
        <v>23.4</v>
      </c>
      <c r="N26" s="19">
        <v>22.08</v>
      </c>
    </row>
    <row r="27" spans="1:14">
      <c r="A27" t="s">
        <v>140</v>
      </c>
      <c r="B27" t="s">
        <v>82</v>
      </c>
      <c r="C27" s="19">
        <v>44.95</v>
      </c>
      <c r="D27" s="19">
        <v>48.81</v>
      </c>
      <c r="E27" s="19">
        <v>46.06</v>
      </c>
      <c r="F27" s="19">
        <v>48.19</v>
      </c>
      <c r="G27" s="19">
        <v>48.9</v>
      </c>
      <c r="H27" s="19">
        <v>49.94</v>
      </c>
      <c r="I27" s="19">
        <v>49.15</v>
      </c>
      <c r="J27" s="19">
        <v>46.25</v>
      </c>
      <c r="K27" s="19">
        <v>44.13</v>
      </c>
      <c r="L27" s="19">
        <v>44.25</v>
      </c>
      <c r="M27" s="19">
        <v>45.19</v>
      </c>
      <c r="N27" s="19">
        <v>48.35</v>
      </c>
    </row>
    <row r="28" spans="1:14">
      <c r="A28" t="s">
        <v>141</v>
      </c>
      <c r="B28" t="s">
        <v>82</v>
      </c>
      <c r="C28" s="19">
        <v>29.5</v>
      </c>
      <c r="D28" s="19">
        <v>28</v>
      </c>
      <c r="E28" s="75" t="s">
        <v>72</v>
      </c>
      <c r="F28" s="19">
        <v>26.64</v>
      </c>
      <c r="G28" s="19">
        <v>28</v>
      </c>
      <c r="H28" s="75" t="s">
        <v>72</v>
      </c>
      <c r="I28" s="16">
        <v>31</v>
      </c>
      <c r="J28" s="19">
        <v>31</v>
      </c>
      <c r="K28" s="75" t="s">
        <v>72</v>
      </c>
      <c r="L28" s="19">
        <v>34.229999999999997</v>
      </c>
      <c r="M28" s="19">
        <v>35.5</v>
      </c>
      <c r="N28" s="19">
        <v>28.8</v>
      </c>
    </row>
    <row r="29" spans="1:14">
      <c r="A29" t="s">
        <v>157</v>
      </c>
      <c r="B29" t="s">
        <v>82</v>
      </c>
      <c r="C29" s="19">
        <v>36.049999999999997</v>
      </c>
      <c r="D29" s="19">
        <v>34.880000000000003</v>
      </c>
      <c r="E29" s="19">
        <v>34.5</v>
      </c>
      <c r="F29" s="19">
        <v>32.380000000000003</v>
      </c>
      <c r="G29" s="19">
        <v>33.049999999999997</v>
      </c>
      <c r="H29" s="19">
        <v>33.19</v>
      </c>
      <c r="I29" s="19">
        <v>32.15</v>
      </c>
      <c r="J29" s="19">
        <v>29.88</v>
      </c>
      <c r="K29" s="19">
        <v>29.25</v>
      </c>
      <c r="L29" s="19">
        <v>30.75</v>
      </c>
      <c r="M29" s="19">
        <v>29.5</v>
      </c>
      <c r="N29" s="19">
        <v>29.6</v>
      </c>
    </row>
    <row r="30" spans="1:14">
      <c r="A30" t="s">
        <v>158</v>
      </c>
      <c r="B30" t="s">
        <v>82</v>
      </c>
      <c r="C30" s="19">
        <v>41</v>
      </c>
      <c r="D30" s="19">
        <v>49.06</v>
      </c>
      <c r="E30" s="19">
        <v>55.31</v>
      </c>
      <c r="F30" s="19">
        <v>43.31</v>
      </c>
      <c r="G30" s="19">
        <v>37.549999999999997</v>
      </c>
      <c r="H30" s="19">
        <v>37</v>
      </c>
      <c r="I30" s="19">
        <v>37.6</v>
      </c>
      <c r="J30" s="19">
        <v>36.25</v>
      </c>
      <c r="K30" s="19">
        <v>36.130000000000003</v>
      </c>
      <c r="L30" s="19">
        <v>36.450000000000003</v>
      </c>
      <c r="M30" s="19">
        <v>36.06</v>
      </c>
      <c r="N30" s="19">
        <v>37.9</v>
      </c>
    </row>
    <row r="31" spans="1:14">
      <c r="A31" t="s">
        <v>159</v>
      </c>
      <c r="B31" t="s">
        <v>82</v>
      </c>
      <c r="C31" s="19">
        <v>56.15</v>
      </c>
      <c r="D31" s="19">
        <v>55.56</v>
      </c>
      <c r="E31" s="19">
        <v>54.69</v>
      </c>
      <c r="F31" s="19">
        <v>54.81</v>
      </c>
      <c r="G31" s="19">
        <v>54.65</v>
      </c>
      <c r="H31" s="19">
        <v>56.31</v>
      </c>
      <c r="I31" s="19">
        <v>58.15</v>
      </c>
      <c r="J31" s="19">
        <v>58.63</v>
      </c>
      <c r="K31" s="19">
        <v>58.69</v>
      </c>
      <c r="L31" s="19">
        <v>57.7</v>
      </c>
      <c r="M31" s="19">
        <v>58.06</v>
      </c>
      <c r="N31" s="19">
        <v>58.5</v>
      </c>
    </row>
    <row r="32" spans="1:14">
      <c r="A32" t="s">
        <v>160</v>
      </c>
      <c r="B32" t="s">
        <v>82</v>
      </c>
      <c r="C32" s="19">
        <v>32.33</v>
      </c>
      <c r="D32" s="19">
        <v>31.57</v>
      </c>
      <c r="E32" s="19">
        <v>30.89</v>
      </c>
      <c r="F32" s="19">
        <v>31.13</v>
      </c>
      <c r="G32" s="19">
        <v>32.65</v>
      </c>
      <c r="H32" s="19">
        <v>33.729999999999997</v>
      </c>
      <c r="I32" s="19">
        <v>31.54</v>
      </c>
      <c r="J32" s="19">
        <v>28.87</v>
      </c>
      <c r="K32" s="19">
        <v>26.43</v>
      </c>
      <c r="L32" s="19">
        <v>27.14</v>
      </c>
      <c r="M32">
        <v>26.42</v>
      </c>
      <c r="N32">
        <v>29.72</v>
      </c>
    </row>
    <row r="33" spans="1:15">
      <c r="A33" t="s">
        <v>142</v>
      </c>
      <c r="B33" t="s">
        <v>82</v>
      </c>
      <c r="C33" s="19">
        <v>63</v>
      </c>
      <c r="D33" s="19">
        <v>65.63</v>
      </c>
      <c r="E33" s="19">
        <v>65.56</v>
      </c>
      <c r="F33" s="19">
        <v>65.5</v>
      </c>
      <c r="G33" s="19">
        <v>65</v>
      </c>
      <c r="H33" s="19">
        <v>69.75</v>
      </c>
      <c r="I33" s="19">
        <v>73.400000000000006</v>
      </c>
      <c r="J33" s="19">
        <v>75</v>
      </c>
      <c r="K33" s="19">
        <v>75</v>
      </c>
      <c r="L33" s="19">
        <v>72</v>
      </c>
      <c r="M33" s="19">
        <v>64.5</v>
      </c>
      <c r="N33" s="19">
        <v>62</v>
      </c>
    </row>
    <row r="34" spans="1:15">
      <c r="A34" t="s">
        <v>143</v>
      </c>
      <c r="B34" t="s">
        <v>82</v>
      </c>
      <c r="C34" s="19">
        <v>31.2</v>
      </c>
      <c r="D34" s="19">
        <v>31.38</v>
      </c>
      <c r="E34" s="19">
        <v>32.299999999999997</v>
      </c>
      <c r="F34" s="19">
        <v>28.58</v>
      </c>
      <c r="G34" s="19">
        <v>31.32</v>
      </c>
      <c r="H34" s="19">
        <v>32.04</v>
      </c>
      <c r="I34" s="19">
        <v>29.75</v>
      </c>
      <c r="J34" s="19">
        <v>30.14</v>
      </c>
      <c r="K34" s="19">
        <v>28.1</v>
      </c>
      <c r="L34" s="19">
        <v>24.61</v>
      </c>
      <c r="M34" s="19">
        <v>21.1</v>
      </c>
      <c r="N34" s="19">
        <v>20.5</v>
      </c>
    </row>
    <row r="35" spans="1:15">
      <c r="A35" s="22" t="s">
        <v>144</v>
      </c>
      <c r="B35" t="s">
        <v>82</v>
      </c>
      <c r="C35" s="19">
        <v>25.47</v>
      </c>
      <c r="D35" s="19">
        <v>25.25</v>
      </c>
      <c r="E35" s="19">
        <v>25.35</v>
      </c>
      <c r="F35" s="19">
        <v>23.16</v>
      </c>
      <c r="G35" s="19">
        <v>23.16</v>
      </c>
      <c r="H35" s="19">
        <v>25.18</v>
      </c>
      <c r="I35" s="19">
        <v>24.88</v>
      </c>
      <c r="J35" s="19">
        <v>23.19</v>
      </c>
      <c r="K35" s="19">
        <v>20.8</v>
      </c>
      <c r="L35" s="19">
        <v>18.440000000000001</v>
      </c>
      <c r="M35" s="19">
        <v>18.190000000000001</v>
      </c>
      <c r="N35" s="19">
        <v>18.09</v>
      </c>
      <c r="O35" s="16"/>
    </row>
    <row r="36" spans="1:15">
      <c r="A36" s="22" t="s">
        <v>77</v>
      </c>
      <c r="B36" s="22" t="s">
        <v>100</v>
      </c>
      <c r="C36" s="19">
        <v>2.9916666666666667</v>
      </c>
      <c r="D36" s="19">
        <v>2.94625</v>
      </c>
      <c r="E36" s="19">
        <v>2.89</v>
      </c>
      <c r="F36" s="19">
        <v>2.88375</v>
      </c>
      <c r="G36" s="19">
        <v>3.097</v>
      </c>
      <c r="H36" s="19">
        <v>3.2362500000000001</v>
      </c>
      <c r="I36" s="19">
        <v>3.0129999999999999</v>
      </c>
      <c r="J36" s="19">
        <v>2.6062500000000002</v>
      </c>
      <c r="K36" s="19">
        <v>2.5237500000000002</v>
      </c>
      <c r="L36" s="19">
        <v>2.5780000000000003</v>
      </c>
      <c r="M36" s="19">
        <v>2.585</v>
      </c>
      <c r="N36" s="19">
        <v>2.7524999999999999</v>
      </c>
      <c r="O36" s="16"/>
    </row>
    <row r="37" spans="1:15">
      <c r="A37" s="83" t="s">
        <v>54</v>
      </c>
    </row>
    <row r="38" spans="1:15">
      <c r="A38" t="s">
        <v>161</v>
      </c>
      <c r="B38" t="s">
        <v>98</v>
      </c>
      <c r="C38">
        <v>311.56</v>
      </c>
      <c r="D38">
        <v>296.20999999999998</v>
      </c>
      <c r="E38">
        <v>279.54000000000002</v>
      </c>
      <c r="F38">
        <v>261.35000000000002</v>
      </c>
      <c r="G38" s="19">
        <v>274.60000000000002</v>
      </c>
      <c r="H38">
        <v>305.85000000000002</v>
      </c>
      <c r="I38">
        <v>328.03</v>
      </c>
      <c r="J38">
        <v>285.83</v>
      </c>
      <c r="K38">
        <v>264.01</v>
      </c>
      <c r="L38">
        <v>257.69</v>
      </c>
      <c r="M38">
        <v>248.98</v>
      </c>
      <c r="N38">
        <v>240.64</v>
      </c>
    </row>
    <row r="39" spans="1:15">
      <c r="A39" t="s">
        <v>162</v>
      </c>
      <c r="B39" t="s">
        <v>98</v>
      </c>
      <c r="C39" s="19">
        <v>313.75</v>
      </c>
      <c r="D39" s="19">
        <v>302.5</v>
      </c>
      <c r="E39" s="19">
        <v>310.5</v>
      </c>
      <c r="F39" s="19">
        <v>288.13</v>
      </c>
      <c r="G39" s="19">
        <v>274.38</v>
      </c>
      <c r="H39" s="19">
        <v>281</v>
      </c>
      <c r="I39" s="19">
        <v>299.38</v>
      </c>
      <c r="J39" s="19">
        <v>295.63</v>
      </c>
      <c r="K39" s="19">
        <v>293.5</v>
      </c>
      <c r="L39" s="19">
        <v>292.5</v>
      </c>
      <c r="M39" s="19">
        <v>291.88</v>
      </c>
      <c r="N39" s="19">
        <v>267.5</v>
      </c>
    </row>
    <row r="40" spans="1:15">
      <c r="A40" t="s">
        <v>163</v>
      </c>
      <c r="B40" t="s">
        <v>98</v>
      </c>
      <c r="C40" s="19">
        <v>250</v>
      </c>
      <c r="D40" s="19">
        <v>230.63</v>
      </c>
      <c r="E40" s="19">
        <v>230.5</v>
      </c>
      <c r="F40" s="19">
        <v>239.38</v>
      </c>
      <c r="G40" s="19">
        <v>256.88</v>
      </c>
      <c r="H40" s="19">
        <v>258</v>
      </c>
      <c r="I40" s="19">
        <v>284.38</v>
      </c>
      <c r="J40" s="19">
        <v>287.5</v>
      </c>
      <c r="K40" s="19">
        <v>256</v>
      </c>
      <c r="L40" s="19">
        <v>215</v>
      </c>
      <c r="M40" s="19">
        <v>209</v>
      </c>
      <c r="N40" s="19">
        <v>200</v>
      </c>
    </row>
    <row r="41" spans="1:15">
      <c r="A41" t="s">
        <v>145</v>
      </c>
      <c r="B41" t="s">
        <v>98</v>
      </c>
      <c r="C41" s="19">
        <v>380.03</v>
      </c>
      <c r="D41" s="19">
        <v>370.38</v>
      </c>
      <c r="E41" s="19">
        <v>357.83</v>
      </c>
      <c r="F41" s="19">
        <v>336.61</v>
      </c>
      <c r="G41" s="19">
        <v>320.23</v>
      </c>
      <c r="H41" s="19">
        <v>335.03</v>
      </c>
      <c r="I41" s="19">
        <v>375.71</v>
      </c>
      <c r="J41" s="19">
        <v>357.85</v>
      </c>
      <c r="K41" s="19">
        <v>333.62</v>
      </c>
      <c r="L41" s="19">
        <v>327.97</v>
      </c>
      <c r="M41" s="19">
        <v>308.60000000000002</v>
      </c>
      <c r="N41" s="19">
        <v>289.77999999999997</v>
      </c>
    </row>
    <row r="42" spans="1:15">
      <c r="A42" t="s">
        <v>164</v>
      </c>
      <c r="B42" t="s">
        <v>98</v>
      </c>
      <c r="C42" s="19">
        <v>247.5</v>
      </c>
      <c r="D42" s="19">
        <v>225.63</v>
      </c>
      <c r="E42" s="19">
        <v>202.5</v>
      </c>
      <c r="F42" s="19">
        <v>202.5</v>
      </c>
      <c r="G42" s="19">
        <v>192.5</v>
      </c>
      <c r="H42" s="19">
        <v>180.5</v>
      </c>
      <c r="I42" s="19">
        <v>214.38</v>
      </c>
      <c r="J42" s="19">
        <v>222.5</v>
      </c>
      <c r="K42" s="19">
        <v>216</v>
      </c>
      <c r="L42" s="19">
        <v>212.5</v>
      </c>
      <c r="M42" s="19">
        <v>187.5</v>
      </c>
      <c r="N42" s="19">
        <v>163.13</v>
      </c>
    </row>
    <row r="43" spans="1:15">
      <c r="A43" s="83" t="s">
        <v>75</v>
      </c>
    </row>
    <row r="44" spans="1:15">
      <c r="A44" s="83" t="s">
        <v>146</v>
      </c>
    </row>
    <row r="45" spans="1:15">
      <c r="A45" t="s">
        <v>147</v>
      </c>
      <c r="B45" t="s">
        <v>55</v>
      </c>
      <c r="C45" s="18">
        <v>213.1</v>
      </c>
      <c r="D45" s="18">
        <v>181</v>
      </c>
      <c r="E45" s="18">
        <v>174</v>
      </c>
      <c r="F45" s="18">
        <v>169.4</v>
      </c>
      <c r="G45" s="18">
        <v>164.7</v>
      </c>
      <c r="H45" s="18">
        <v>170.8</v>
      </c>
      <c r="I45" s="18">
        <v>172</v>
      </c>
      <c r="J45" s="18">
        <v>179.8</v>
      </c>
      <c r="K45" s="18">
        <v>180.3</v>
      </c>
      <c r="L45" s="75" t="s">
        <v>72</v>
      </c>
      <c r="M45" s="75" t="s">
        <v>72</v>
      </c>
      <c r="N45" s="75" t="s">
        <v>72</v>
      </c>
    </row>
    <row r="46" spans="1:15">
      <c r="A46" s="83" t="s">
        <v>148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5">
      <c r="A47" t="s">
        <v>149</v>
      </c>
      <c r="B47" t="s">
        <v>55</v>
      </c>
      <c r="C47" s="18">
        <v>309.5</v>
      </c>
      <c r="D47" s="18">
        <v>306.5</v>
      </c>
      <c r="E47" s="18">
        <v>310.60000000000002</v>
      </c>
      <c r="F47" s="18">
        <v>310.3</v>
      </c>
      <c r="G47" s="18">
        <v>312.8</v>
      </c>
      <c r="H47" s="18">
        <v>313.89999999999998</v>
      </c>
      <c r="I47" s="18">
        <v>313.39999999999998</v>
      </c>
      <c r="J47" s="18">
        <v>319.8</v>
      </c>
      <c r="K47" s="18">
        <v>322.10000000000002</v>
      </c>
      <c r="L47" s="18">
        <v>321</v>
      </c>
      <c r="M47" s="18">
        <v>325.89999999999998</v>
      </c>
      <c r="N47" s="18">
        <v>322.60000000000002</v>
      </c>
    </row>
    <row r="48" spans="1:15">
      <c r="A48" t="s">
        <v>150</v>
      </c>
      <c r="B48" t="s">
        <v>55</v>
      </c>
      <c r="C48" s="18">
        <v>245.1</v>
      </c>
      <c r="D48" s="18">
        <v>245.7</v>
      </c>
      <c r="E48" s="18">
        <v>246</v>
      </c>
      <c r="F48" s="18">
        <v>243.6</v>
      </c>
      <c r="G48" s="18">
        <v>245.1</v>
      </c>
      <c r="H48" s="18">
        <v>245.6</v>
      </c>
      <c r="I48" s="18">
        <v>246.6</v>
      </c>
      <c r="J48" s="18">
        <v>243.2</v>
      </c>
      <c r="K48" s="18">
        <v>241.9</v>
      </c>
      <c r="L48" s="18">
        <v>239</v>
      </c>
      <c r="M48" s="18">
        <v>239.4</v>
      </c>
      <c r="N48" s="18">
        <v>238.2</v>
      </c>
    </row>
    <row r="49" spans="1:14">
      <c r="A49" t="s">
        <v>151</v>
      </c>
      <c r="B49" t="s">
        <v>55</v>
      </c>
      <c r="C49" s="18">
        <v>223.8</v>
      </c>
      <c r="D49" s="18">
        <v>218.1</v>
      </c>
      <c r="E49" s="18">
        <v>213.6</v>
      </c>
      <c r="F49" s="18">
        <v>215.3</v>
      </c>
      <c r="G49" s="18">
        <v>219.6</v>
      </c>
      <c r="H49" s="18">
        <v>223.3</v>
      </c>
      <c r="I49" s="18">
        <v>213.9</v>
      </c>
      <c r="J49" s="18">
        <v>204.3</v>
      </c>
      <c r="K49" s="18">
        <v>186.5</v>
      </c>
      <c r="L49" s="18">
        <v>180</v>
      </c>
      <c r="M49" s="18">
        <v>173.8</v>
      </c>
      <c r="N49" s="18">
        <v>186.4</v>
      </c>
    </row>
    <row r="50" spans="1:14">
      <c r="A50" s="1" t="s">
        <v>152</v>
      </c>
      <c r="B50" s="1" t="s">
        <v>80</v>
      </c>
      <c r="C50" s="25">
        <v>135.80000000000001</v>
      </c>
      <c r="D50" s="25">
        <v>135.80000000000001</v>
      </c>
      <c r="E50" s="25">
        <v>135.80000000000001</v>
      </c>
      <c r="F50" s="25">
        <v>135.80000000000001</v>
      </c>
      <c r="G50" s="25">
        <v>135.80000000000001</v>
      </c>
      <c r="H50" s="25">
        <v>135.80000000000001</v>
      </c>
      <c r="I50" s="25">
        <v>135.80000000000001</v>
      </c>
      <c r="J50" s="25">
        <v>135.80000000000001</v>
      </c>
      <c r="K50" s="25">
        <v>135.80000000000001</v>
      </c>
      <c r="L50" s="25">
        <v>135.80000000000001</v>
      </c>
      <c r="M50" s="25">
        <v>135.80000000000001</v>
      </c>
      <c r="N50" s="25">
        <v>135.80000000000001</v>
      </c>
    </row>
    <row r="51" spans="1:14">
      <c r="A51" s="22" t="s">
        <v>174</v>
      </c>
      <c r="N51" s="27"/>
    </row>
    <row r="52" spans="1:14">
      <c r="A52" s="22" t="s">
        <v>202</v>
      </c>
      <c r="M52" s="17"/>
    </row>
    <row r="53" spans="1:14" ht="10.15" customHeight="1">
      <c r="A53" s="92" t="s">
        <v>203</v>
      </c>
      <c r="K53" s="29"/>
      <c r="M53" s="33"/>
    </row>
    <row r="54" spans="1:14">
      <c r="N54" s="128" t="s">
        <v>191</v>
      </c>
    </row>
  </sheetData>
  <pageMargins left="0.7" right="0.7" top="0.75" bottom="0.75" header="0.3" footer="0.3"/>
  <pageSetup scale="80" firstPageNumber="36" orientation="landscape" useFirstPageNumber="1" r:id="rId1"/>
  <headerFooter alignWithMargins="0">
    <oddFooter>&amp;C&amp;P
Oil Crops Yearbook/OCS-2020
March 2020
Economic Research Service, USDA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C3CB9-5C52-4DC6-B684-43C60E39446A}">
  <sheetPr>
    <pageSetUpPr fitToPage="1"/>
  </sheetPr>
  <dimension ref="A1:O54"/>
  <sheetViews>
    <sheetView zoomScaleNormal="100" zoomScaleSheetLayoutView="100" workbookViewId="0">
      <pane xSplit="2" ySplit="3" topLeftCell="C4" activePane="bottomRight" state="frozen"/>
      <selection activeCell="H3" sqref="H3:I3"/>
      <selection pane="topRight" activeCell="H3" sqref="H3:I3"/>
      <selection pane="bottomLeft" activeCell="H3" sqref="H3:I3"/>
      <selection pane="bottomRight" activeCell="H3" sqref="H3:I3"/>
    </sheetView>
  </sheetViews>
  <sheetFormatPr defaultRowHeight="11.25"/>
  <cols>
    <col min="1" max="1" width="52.33203125" customWidth="1"/>
    <col min="2" max="2" width="19.5" bestFit="1" customWidth="1"/>
    <col min="3" max="14" width="9.6640625" customWidth="1"/>
  </cols>
  <sheetData>
    <row r="1" spans="1:14">
      <c r="A1" s="120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47"/>
      <c r="D2" s="47"/>
      <c r="E2" s="47"/>
      <c r="F2" s="47"/>
      <c r="G2" s="47"/>
      <c r="H2" s="85">
        <v>2016</v>
      </c>
      <c r="I2" s="47"/>
      <c r="J2" s="47"/>
      <c r="K2" s="47"/>
      <c r="L2" s="47"/>
      <c r="M2" s="47"/>
      <c r="N2" s="58"/>
    </row>
    <row r="3" spans="1:14">
      <c r="A3" s="1" t="s">
        <v>126</v>
      </c>
      <c r="B3" s="46" t="s">
        <v>56</v>
      </c>
      <c r="C3" s="47" t="s">
        <v>34</v>
      </c>
      <c r="D3" s="47" t="s">
        <v>35</v>
      </c>
      <c r="E3" s="47" t="s">
        <v>36</v>
      </c>
      <c r="F3" s="47" t="s">
        <v>37</v>
      </c>
      <c r="G3" s="47" t="s">
        <v>30</v>
      </c>
      <c r="H3" s="47" t="s">
        <v>228</v>
      </c>
      <c r="I3" s="47" t="s">
        <v>229</v>
      </c>
      <c r="J3" s="47" t="s">
        <v>38</v>
      </c>
      <c r="K3" s="47" t="s">
        <v>39</v>
      </c>
      <c r="L3" s="47" t="s">
        <v>31</v>
      </c>
      <c r="M3" s="47" t="s">
        <v>32</v>
      </c>
      <c r="N3" s="47" t="s">
        <v>33</v>
      </c>
    </row>
    <row r="4" spans="1:14">
      <c r="A4" s="83" t="s">
        <v>52</v>
      </c>
    </row>
    <row r="5" spans="1:14">
      <c r="A5" s="83" t="s">
        <v>227</v>
      </c>
    </row>
    <row r="6" spans="1:14">
      <c r="A6" t="s">
        <v>15</v>
      </c>
      <c r="B6" t="s">
        <v>99</v>
      </c>
      <c r="C6" s="19">
        <v>13.8</v>
      </c>
      <c r="D6" s="19">
        <v>15.3</v>
      </c>
      <c r="E6" s="19">
        <v>15.1</v>
      </c>
      <c r="F6" s="19">
        <v>16.100000000000001</v>
      </c>
      <c r="G6" s="16" t="s">
        <v>72</v>
      </c>
      <c r="H6" s="19">
        <v>18.8</v>
      </c>
      <c r="I6" s="19">
        <v>16.100000000000001</v>
      </c>
      <c r="J6" s="19">
        <v>15.6</v>
      </c>
      <c r="K6" s="19">
        <v>15.5</v>
      </c>
      <c r="L6" s="19">
        <v>15.8</v>
      </c>
      <c r="M6" s="19">
        <v>16.2</v>
      </c>
      <c r="N6" s="19">
        <v>17.100000000000001</v>
      </c>
    </row>
    <row r="7" spans="1:14">
      <c r="A7" t="s">
        <v>14</v>
      </c>
      <c r="B7" t="s">
        <v>98</v>
      </c>
      <c r="C7" s="19">
        <v>227</v>
      </c>
      <c r="D7" s="19">
        <v>236</v>
      </c>
      <c r="E7" s="16" t="s">
        <v>72</v>
      </c>
      <c r="F7" s="16" t="s">
        <v>72</v>
      </c>
      <c r="G7" s="16" t="s">
        <v>72</v>
      </c>
      <c r="H7" s="16" t="s">
        <v>72</v>
      </c>
      <c r="I7" s="16" t="s">
        <v>72</v>
      </c>
      <c r="J7" s="19">
        <v>176</v>
      </c>
      <c r="K7" s="19">
        <v>180</v>
      </c>
      <c r="L7" s="19">
        <v>197</v>
      </c>
      <c r="M7" s="19">
        <v>195</v>
      </c>
      <c r="N7" s="19">
        <v>197</v>
      </c>
    </row>
    <row r="8" spans="1:14">
      <c r="A8" t="s">
        <v>127</v>
      </c>
      <c r="B8" t="s">
        <v>97</v>
      </c>
      <c r="C8" s="19">
        <v>8.4600000000000009</v>
      </c>
      <c r="D8" s="19">
        <v>8.1</v>
      </c>
      <c r="E8" s="19">
        <v>8.3699999999999992</v>
      </c>
      <c r="F8" s="19">
        <v>8.1</v>
      </c>
      <c r="G8" s="19">
        <v>7.93</v>
      </c>
      <c r="H8" s="19">
        <v>8.44</v>
      </c>
      <c r="I8" s="19">
        <v>8.48</v>
      </c>
      <c r="J8" s="19">
        <v>8.25</v>
      </c>
      <c r="K8" s="19">
        <v>7.61</v>
      </c>
      <c r="L8" s="19">
        <v>7.37</v>
      </c>
      <c r="M8" s="19">
        <v>7.36</v>
      </c>
      <c r="N8" s="19">
        <v>7.59</v>
      </c>
    </row>
    <row r="9" spans="1:14">
      <c r="A9" t="s">
        <v>62</v>
      </c>
      <c r="B9" t="s">
        <v>82</v>
      </c>
      <c r="C9" s="19">
        <v>19.3</v>
      </c>
      <c r="D9" s="19">
        <v>19.8</v>
      </c>
      <c r="E9" s="19">
        <v>19.5</v>
      </c>
      <c r="F9" s="19">
        <v>19.8</v>
      </c>
      <c r="G9" s="19">
        <v>19.600000000000001</v>
      </c>
      <c r="H9" s="19">
        <v>19.5</v>
      </c>
      <c r="I9" s="19">
        <v>19</v>
      </c>
      <c r="J9" s="19">
        <v>19</v>
      </c>
      <c r="K9" s="19">
        <v>19.100000000000001</v>
      </c>
      <c r="L9" s="19">
        <v>19.5</v>
      </c>
      <c r="M9" s="19">
        <v>19</v>
      </c>
      <c r="N9" s="19">
        <v>18.600000000000001</v>
      </c>
    </row>
    <row r="10" spans="1:14">
      <c r="A10" t="s">
        <v>61</v>
      </c>
      <c r="B10" t="s">
        <v>97</v>
      </c>
      <c r="C10" s="19">
        <v>8.7100000000000009</v>
      </c>
      <c r="D10" s="19">
        <v>8.51</v>
      </c>
      <c r="E10" s="19">
        <v>8.56</v>
      </c>
      <c r="F10" s="19">
        <v>9.01</v>
      </c>
      <c r="G10" s="19">
        <v>9.76</v>
      </c>
      <c r="H10" s="19">
        <v>10.199999999999999</v>
      </c>
      <c r="I10" s="19">
        <v>10.199999999999999</v>
      </c>
      <c r="J10" s="19">
        <v>9.93</v>
      </c>
      <c r="K10" s="19">
        <v>9.41</v>
      </c>
      <c r="L10" s="19">
        <v>9.3000000000000007</v>
      </c>
      <c r="M10" s="19">
        <v>9.4700000000000006</v>
      </c>
      <c r="N10" s="19">
        <v>9.64</v>
      </c>
    </row>
    <row r="11" spans="1:14">
      <c r="A11" t="s">
        <v>128</v>
      </c>
      <c r="B11" t="s">
        <v>99</v>
      </c>
      <c r="C11" s="19">
        <v>20.100000000000001</v>
      </c>
      <c r="D11" s="19">
        <v>20.399999999999999</v>
      </c>
      <c r="E11" s="19">
        <v>21.1</v>
      </c>
      <c r="F11" s="19">
        <v>20.9</v>
      </c>
      <c r="G11" s="19">
        <v>19.5</v>
      </c>
      <c r="H11" s="19">
        <v>20.100000000000001</v>
      </c>
      <c r="I11" s="19">
        <v>19</v>
      </c>
      <c r="J11" s="19">
        <v>19.600000000000001</v>
      </c>
      <c r="K11" s="19">
        <v>17.899999999999999</v>
      </c>
      <c r="L11" s="19">
        <v>17</v>
      </c>
      <c r="M11" s="19">
        <v>16.399999999999999</v>
      </c>
      <c r="N11" s="19">
        <v>17.2</v>
      </c>
    </row>
    <row r="12" spans="1:14">
      <c r="A12" t="s">
        <v>173</v>
      </c>
      <c r="B12" t="s">
        <v>99</v>
      </c>
      <c r="C12" s="19">
        <v>18.600000000000001</v>
      </c>
      <c r="D12" s="19">
        <v>18.399999999999999</v>
      </c>
      <c r="E12" s="19">
        <v>18.399999999999999</v>
      </c>
      <c r="F12" s="19">
        <v>18.600000000000001</v>
      </c>
      <c r="G12" s="19">
        <v>18</v>
      </c>
      <c r="H12" s="19">
        <v>18.600000000000001</v>
      </c>
      <c r="I12" s="19">
        <v>18</v>
      </c>
      <c r="J12" s="19">
        <v>17.8</v>
      </c>
      <c r="K12" s="19">
        <v>17.399999999999999</v>
      </c>
      <c r="L12" s="19">
        <v>16.7</v>
      </c>
      <c r="M12" s="19">
        <v>16</v>
      </c>
      <c r="N12" s="19">
        <v>16.8</v>
      </c>
    </row>
    <row r="13" spans="1:14">
      <c r="A13" t="s">
        <v>129</v>
      </c>
      <c r="B13" t="s">
        <v>99</v>
      </c>
      <c r="C13" s="19">
        <v>26.8</v>
      </c>
      <c r="D13" s="19">
        <v>26.8</v>
      </c>
      <c r="E13" s="19">
        <v>27.1</v>
      </c>
      <c r="F13" s="19">
        <v>26</v>
      </c>
      <c r="G13" s="19">
        <v>26.2</v>
      </c>
      <c r="H13" s="19">
        <v>27.5</v>
      </c>
      <c r="I13" s="19">
        <v>25.8</v>
      </c>
      <c r="J13" s="19">
        <v>26.5</v>
      </c>
      <c r="K13" s="19">
        <v>23.3</v>
      </c>
      <c r="L13" s="19">
        <v>20.9</v>
      </c>
      <c r="M13" s="19">
        <v>21.6</v>
      </c>
      <c r="N13" s="19">
        <v>19.5</v>
      </c>
    </row>
    <row r="14" spans="1:14">
      <c r="A14" s="83" t="s">
        <v>130</v>
      </c>
    </row>
    <row r="15" spans="1:14">
      <c r="A15" t="s">
        <v>131</v>
      </c>
      <c r="B15" t="s">
        <v>99</v>
      </c>
      <c r="C15" s="19">
        <v>14.51</v>
      </c>
      <c r="D15" s="19">
        <v>14.64</v>
      </c>
      <c r="E15" s="19">
        <v>15.63</v>
      </c>
      <c r="F15" s="19">
        <v>17</v>
      </c>
      <c r="G15" s="19">
        <v>17.68</v>
      </c>
      <c r="H15" s="19">
        <v>17.239999999999998</v>
      </c>
      <c r="I15" s="19">
        <v>15.65</v>
      </c>
      <c r="J15" s="19">
        <v>15.3</v>
      </c>
      <c r="K15" s="19">
        <v>14.66</v>
      </c>
      <c r="L15" s="19">
        <v>15.83</v>
      </c>
      <c r="M15" s="19">
        <v>16.54</v>
      </c>
      <c r="N15" s="19">
        <v>16.78</v>
      </c>
    </row>
    <row r="16" spans="1:14">
      <c r="A16" t="s">
        <v>132</v>
      </c>
      <c r="B16" t="s">
        <v>98</v>
      </c>
      <c r="C16" s="19">
        <v>276.25</v>
      </c>
      <c r="D16" s="19">
        <v>258</v>
      </c>
      <c r="E16" s="19">
        <v>251.7</v>
      </c>
      <c r="F16" s="19">
        <v>249</v>
      </c>
      <c r="G16" s="19">
        <v>258.75</v>
      </c>
      <c r="H16" s="19">
        <v>276.25</v>
      </c>
      <c r="I16" s="19">
        <v>260</v>
      </c>
      <c r="J16" s="19">
        <v>247</v>
      </c>
      <c r="K16" s="19">
        <v>245.75</v>
      </c>
      <c r="L16" s="19">
        <v>206.25</v>
      </c>
      <c r="M16" s="19">
        <v>203.25</v>
      </c>
      <c r="N16" s="19">
        <v>205</v>
      </c>
    </row>
    <row r="17" spans="1:14">
      <c r="A17" t="s">
        <v>133</v>
      </c>
      <c r="B17" t="s">
        <v>97</v>
      </c>
      <c r="C17" s="19">
        <v>9.17</v>
      </c>
      <c r="D17" s="19">
        <v>9.02</v>
      </c>
      <c r="E17" s="19">
        <v>8.7200000000000006</v>
      </c>
      <c r="F17" s="19">
        <v>8.6999999999999993</v>
      </c>
      <c r="G17" s="19">
        <v>9.16</v>
      </c>
      <c r="H17" s="19">
        <v>9.69</v>
      </c>
      <c r="I17" s="19">
        <v>9.48</v>
      </c>
      <c r="J17" s="19">
        <v>9.11</v>
      </c>
      <c r="K17" s="19">
        <v>8.48</v>
      </c>
      <c r="L17" s="19">
        <v>8.34</v>
      </c>
      <c r="M17" s="19">
        <v>8.75</v>
      </c>
      <c r="N17" s="19">
        <v>9.2799999999999994</v>
      </c>
    </row>
    <row r="18" spans="1:14">
      <c r="A18" t="s">
        <v>134</v>
      </c>
      <c r="B18" t="s">
        <v>97</v>
      </c>
      <c r="C18" s="19">
        <v>8.6999999999999993</v>
      </c>
      <c r="D18" s="19">
        <v>8.69</v>
      </c>
      <c r="E18" s="19">
        <v>8.77</v>
      </c>
      <c r="F18" s="19">
        <v>9.3800000000000008</v>
      </c>
      <c r="G18" s="19">
        <v>10.27</v>
      </c>
      <c r="H18" s="19">
        <v>11.21</v>
      </c>
      <c r="I18" s="19">
        <v>10.45</v>
      </c>
      <c r="J18" s="19">
        <v>9.5299999999999994</v>
      </c>
      <c r="K18" s="19">
        <v>9.5299999999999994</v>
      </c>
      <c r="L18" s="19">
        <v>9.4499999999999993</v>
      </c>
      <c r="M18" s="19">
        <v>9.74</v>
      </c>
      <c r="N18" s="19">
        <v>9.98</v>
      </c>
    </row>
    <row r="19" spans="1:14">
      <c r="A19" t="s">
        <v>135</v>
      </c>
      <c r="B19" t="s">
        <v>97</v>
      </c>
      <c r="C19" s="19">
        <v>9.4499999999999993</v>
      </c>
      <c r="D19" s="19">
        <v>9.26</v>
      </c>
      <c r="E19" s="19">
        <v>9.34</v>
      </c>
      <c r="F19" s="19">
        <v>10</v>
      </c>
      <c r="G19" s="19">
        <v>10.84</v>
      </c>
      <c r="H19" s="19">
        <v>11.92</v>
      </c>
      <c r="I19" s="19">
        <v>11.43</v>
      </c>
      <c r="J19" s="19">
        <v>10.9</v>
      </c>
      <c r="K19" s="19">
        <v>10.5</v>
      </c>
      <c r="L19" s="19">
        <v>10.9</v>
      </c>
      <c r="M19" s="19">
        <v>10.29</v>
      </c>
      <c r="N19" s="19">
        <v>10.6</v>
      </c>
    </row>
    <row r="20" spans="1:14">
      <c r="A20" t="s">
        <v>136</v>
      </c>
      <c r="B20" t="s">
        <v>99</v>
      </c>
      <c r="C20" s="19">
        <v>16.440000000000001</v>
      </c>
      <c r="D20" s="19">
        <v>16.670000000000002</v>
      </c>
      <c r="E20" s="19">
        <v>16.55</v>
      </c>
      <c r="F20" s="19">
        <v>16.559999999999999</v>
      </c>
      <c r="G20" s="19">
        <v>16.75</v>
      </c>
      <c r="H20" s="19">
        <v>17.29</v>
      </c>
      <c r="I20" s="19">
        <v>17.02</v>
      </c>
      <c r="J20" s="19">
        <v>17.97</v>
      </c>
      <c r="K20">
        <v>17.57</v>
      </c>
      <c r="L20">
        <v>16.23</v>
      </c>
      <c r="M20">
        <v>14.6</v>
      </c>
      <c r="N20">
        <v>14.51</v>
      </c>
    </row>
    <row r="21" spans="1:14">
      <c r="A21" s="83" t="s">
        <v>53</v>
      </c>
    </row>
    <row r="22" spans="1:14">
      <c r="A22" s="83" t="s">
        <v>137</v>
      </c>
    </row>
    <row r="23" spans="1:14">
      <c r="A23" t="s">
        <v>138</v>
      </c>
      <c r="B23" t="s">
        <v>82</v>
      </c>
      <c r="C23" s="19">
        <v>34.0625</v>
      </c>
      <c r="D23" s="19">
        <v>34.625</v>
      </c>
      <c r="E23" s="19">
        <v>35.549999999999997</v>
      </c>
      <c r="F23" s="19">
        <v>36.799999999999997</v>
      </c>
      <c r="G23" s="19">
        <v>35.0625</v>
      </c>
      <c r="H23" s="19">
        <v>35.1</v>
      </c>
      <c r="I23" s="19">
        <v>33.549999999999997</v>
      </c>
      <c r="J23" s="19">
        <v>36.9375</v>
      </c>
      <c r="K23" s="19">
        <v>37.25</v>
      </c>
      <c r="L23" s="19">
        <v>38.9375</v>
      </c>
      <c r="M23" s="19">
        <v>39.25</v>
      </c>
      <c r="N23" s="19">
        <v>40.200000000000003</v>
      </c>
    </row>
    <row r="24" spans="1:14">
      <c r="A24" t="s">
        <v>155</v>
      </c>
      <c r="B24" t="s">
        <v>82</v>
      </c>
      <c r="C24" s="19">
        <v>53.6875</v>
      </c>
      <c r="D24" s="19">
        <v>54.4375</v>
      </c>
      <c r="E24" s="19">
        <v>67.75</v>
      </c>
      <c r="F24" s="19">
        <v>76.900000000000006</v>
      </c>
      <c r="G24" s="19">
        <v>68.375</v>
      </c>
      <c r="H24" s="19">
        <v>69.349999999999994</v>
      </c>
      <c r="I24" s="19">
        <v>70.849999999999994</v>
      </c>
      <c r="J24" s="19">
        <v>72.0625</v>
      </c>
      <c r="K24" s="19">
        <v>74.3</v>
      </c>
      <c r="L24" s="19">
        <v>70</v>
      </c>
      <c r="M24" s="19">
        <v>73.5</v>
      </c>
      <c r="N24" s="19">
        <v>78.2</v>
      </c>
    </row>
    <row r="25" spans="1:14">
      <c r="A25" t="s">
        <v>139</v>
      </c>
      <c r="B25" t="s">
        <v>82</v>
      </c>
      <c r="C25" s="19">
        <v>39.93</v>
      </c>
      <c r="D25" s="19">
        <v>40.29</v>
      </c>
      <c r="E25" s="19">
        <v>41.05</v>
      </c>
      <c r="F25" s="19">
        <v>42.12</v>
      </c>
      <c r="G25" s="19">
        <v>40.33</v>
      </c>
      <c r="H25" s="19">
        <v>39.94</v>
      </c>
      <c r="I25" s="19">
        <v>38.86</v>
      </c>
      <c r="J25" s="19">
        <v>39.06</v>
      </c>
      <c r="K25" s="19">
        <v>38.11</v>
      </c>
      <c r="L25" s="19">
        <v>36.22</v>
      </c>
      <c r="M25">
        <v>36.83</v>
      </c>
      <c r="N25">
        <v>38.119999999999997</v>
      </c>
    </row>
    <row r="26" spans="1:14">
      <c r="A26" t="s">
        <v>156</v>
      </c>
      <c r="B26" t="s">
        <v>82</v>
      </c>
      <c r="C26" s="19">
        <v>23.75</v>
      </c>
      <c r="D26" s="19">
        <v>25.34</v>
      </c>
      <c r="E26" s="19">
        <v>27.71</v>
      </c>
      <c r="F26" s="19">
        <v>30.11</v>
      </c>
      <c r="G26" s="19">
        <v>31.04</v>
      </c>
      <c r="H26" s="19">
        <v>27.94</v>
      </c>
      <c r="I26" s="19">
        <v>26.28</v>
      </c>
      <c r="J26" s="19">
        <v>25.8</v>
      </c>
      <c r="K26" s="19">
        <v>27.93</v>
      </c>
      <c r="L26" s="19">
        <v>28.68</v>
      </c>
      <c r="M26" s="19">
        <v>27.91</v>
      </c>
      <c r="N26" s="19">
        <v>26.49</v>
      </c>
    </row>
    <row r="27" spans="1:14">
      <c r="A27" t="s">
        <v>140</v>
      </c>
      <c r="B27" t="s">
        <v>82</v>
      </c>
      <c r="C27" s="19">
        <v>47.3125</v>
      </c>
      <c r="D27" s="19">
        <v>46.0625</v>
      </c>
      <c r="E27" s="19">
        <v>46.2</v>
      </c>
      <c r="F27" s="19">
        <v>47.35</v>
      </c>
      <c r="G27" s="19">
        <v>46.0625</v>
      </c>
      <c r="H27" s="19">
        <v>45.55</v>
      </c>
      <c r="I27" s="19">
        <v>44.75</v>
      </c>
      <c r="J27" s="19">
        <v>45.25</v>
      </c>
      <c r="K27" s="19">
        <v>44.15</v>
      </c>
      <c r="L27" s="19">
        <v>44.875</v>
      </c>
      <c r="M27" s="19">
        <v>45.8125</v>
      </c>
      <c r="N27" s="19">
        <v>46.4</v>
      </c>
    </row>
    <row r="28" spans="1:14">
      <c r="A28" t="s">
        <v>141</v>
      </c>
      <c r="B28" t="s">
        <v>82</v>
      </c>
      <c r="C28" s="19">
        <v>24</v>
      </c>
      <c r="D28" s="75" t="s">
        <v>72</v>
      </c>
      <c r="E28" s="19">
        <v>29</v>
      </c>
      <c r="F28" s="19">
        <v>33</v>
      </c>
      <c r="G28" s="75" t="s">
        <v>72</v>
      </c>
      <c r="H28" s="75" t="s">
        <v>72</v>
      </c>
      <c r="I28" s="75" t="s">
        <v>72</v>
      </c>
      <c r="J28" s="19">
        <v>36.53</v>
      </c>
      <c r="K28" s="19">
        <v>36.75</v>
      </c>
      <c r="L28" s="19">
        <v>34</v>
      </c>
      <c r="M28" s="75" t="s">
        <v>72</v>
      </c>
      <c r="N28" s="19">
        <v>31</v>
      </c>
    </row>
    <row r="29" spans="1:14">
      <c r="A29" t="s">
        <v>157</v>
      </c>
      <c r="B29" t="s">
        <v>82</v>
      </c>
      <c r="C29" s="19">
        <v>30.0625</v>
      </c>
      <c r="D29" s="19">
        <v>31.4375</v>
      </c>
      <c r="E29" s="19">
        <v>32.799999999999997</v>
      </c>
      <c r="F29" s="19">
        <v>35.35</v>
      </c>
      <c r="G29" s="19">
        <v>34.9375</v>
      </c>
      <c r="H29" s="19">
        <v>33</v>
      </c>
      <c r="I29" s="19">
        <v>31.45</v>
      </c>
      <c r="J29" s="19">
        <v>35.25</v>
      </c>
      <c r="K29" s="19">
        <v>36.85</v>
      </c>
      <c r="L29" s="19">
        <v>36.4375</v>
      </c>
      <c r="M29" s="19">
        <v>37.125</v>
      </c>
      <c r="N29" s="19">
        <v>37.950000000000003</v>
      </c>
    </row>
    <row r="30" spans="1:14">
      <c r="A30" t="s">
        <v>158</v>
      </c>
      <c r="B30" t="s">
        <v>82</v>
      </c>
      <c r="C30" s="19">
        <v>34.9375</v>
      </c>
      <c r="D30" s="19">
        <v>35.8125</v>
      </c>
      <c r="E30" s="19">
        <v>36.65</v>
      </c>
      <c r="F30" s="19">
        <v>38.299999999999997</v>
      </c>
      <c r="G30" s="19">
        <v>37.4375</v>
      </c>
      <c r="H30" s="19">
        <v>36.049999999999997</v>
      </c>
      <c r="I30" s="19">
        <v>34.799999999999997</v>
      </c>
      <c r="J30" s="19">
        <v>37.3125</v>
      </c>
      <c r="K30" s="19">
        <v>39.25</v>
      </c>
      <c r="L30" s="19">
        <v>40.0625</v>
      </c>
      <c r="M30" s="19">
        <v>40.5</v>
      </c>
      <c r="N30" s="19">
        <v>41.3</v>
      </c>
    </row>
    <row r="31" spans="1:14">
      <c r="A31" t="s">
        <v>159</v>
      </c>
      <c r="B31" t="s">
        <v>82</v>
      </c>
      <c r="C31" s="19">
        <v>56.1875</v>
      </c>
      <c r="D31" s="19">
        <v>55</v>
      </c>
      <c r="E31" s="19">
        <v>55.55</v>
      </c>
      <c r="F31" s="19">
        <v>56.2</v>
      </c>
      <c r="G31" s="19">
        <v>61.375</v>
      </c>
      <c r="H31" s="19">
        <v>61.1</v>
      </c>
      <c r="I31" s="19">
        <v>62.1</v>
      </c>
      <c r="J31" s="19">
        <v>61</v>
      </c>
      <c r="K31" s="19">
        <v>61.6</v>
      </c>
      <c r="L31" s="19">
        <v>64.875</v>
      </c>
      <c r="M31" s="19">
        <v>66</v>
      </c>
      <c r="N31" s="19">
        <v>63.1</v>
      </c>
    </row>
    <row r="32" spans="1:14">
      <c r="A32" t="s">
        <v>160</v>
      </c>
      <c r="B32" t="s">
        <v>82</v>
      </c>
      <c r="C32" s="19">
        <v>28.89</v>
      </c>
      <c r="D32" s="19">
        <v>29.79</v>
      </c>
      <c r="E32" s="19">
        <v>30.86</v>
      </c>
      <c r="F32" s="19">
        <v>32.450000000000003</v>
      </c>
      <c r="G32" s="19">
        <v>30.76</v>
      </c>
      <c r="H32" s="19">
        <v>30.35</v>
      </c>
      <c r="I32" s="19">
        <v>28.75</v>
      </c>
      <c r="J32" s="19">
        <v>31.21</v>
      </c>
      <c r="K32" s="19">
        <v>31.99</v>
      </c>
      <c r="L32" s="19">
        <v>33.86</v>
      </c>
      <c r="M32">
        <v>34.520000000000003</v>
      </c>
      <c r="N32">
        <v>35.57</v>
      </c>
    </row>
    <row r="33" spans="1:15">
      <c r="A33" t="s">
        <v>142</v>
      </c>
      <c r="B33" t="s">
        <v>82</v>
      </c>
      <c r="C33" s="19">
        <v>58</v>
      </c>
      <c r="D33" s="19">
        <v>54.25</v>
      </c>
      <c r="E33" s="19">
        <v>53.8</v>
      </c>
      <c r="F33" s="19">
        <v>53.8</v>
      </c>
      <c r="G33" s="19">
        <v>54</v>
      </c>
      <c r="H33" s="19">
        <v>54.2</v>
      </c>
      <c r="I33" s="19">
        <v>55.2</v>
      </c>
      <c r="J33" s="19">
        <v>56</v>
      </c>
      <c r="K33" s="19">
        <v>56</v>
      </c>
      <c r="L33" s="19">
        <v>56</v>
      </c>
      <c r="M33" s="19">
        <v>56</v>
      </c>
      <c r="N33" s="19">
        <v>56</v>
      </c>
    </row>
    <row r="34" spans="1:15">
      <c r="A34" t="s">
        <v>143</v>
      </c>
      <c r="B34" t="s">
        <v>82</v>
      </c>
      <c r="C34" s="19">
        <v>24.1</v>
      </c>
      <c r="D34" s="19">
        <v>29.41</v>
      </c>
      <c r="E34" s="19">
        <v>35</v>
      </c>
      <c r="F34" s="19">
        <v>39</v>
      </c>
      <c r="G34" s="19">
        <v>34.6</v>
      </c>
      <c r="H34" s="19">
        <v>33.54</v>
      </c>
      <c r="I34" s="19">
        <v>34</v>
      </c>
      <c r="J34" s="19">
        <v>33.25</v>
      </c>
      <c r="K34" s="19">
        <v>31.71</v>
      </c>
      <c r="L34" s="19">
        <v>32.25</v>
      </c>
      <c r="M34" s="19">
        <v>34.69</v>
      </c>
      <c r="N34" s="19">
        <v>34</v>
      </c>
    </row>
    <row r="35" spans="1:15">
      <c r="A35" s="22" t="s">
        <v>144</v>
      </c>
      <c r="B35" t="s">
        <v>82</v>
      </c>
      <c r="C35" s="19">
        <v>18.920000000000002</v>
      </c>
      <c r="D35" s="19">
        <v>20.47</v>
      </c>
      <c r="E35" s="19">
        <v>23.43</v>
      </c>
      <c r="F35" s="19">
        <v>26.72</v>
      </c>
      <c r="G35" s="19">
        <v>28.18</v>
      </c>
      <c r="H35" s="19">
        <v>26.97</v>
      </c>
      <c r="I35" s="19">
        <v>25.31</v>
      </c>
      <c r="J35" s="19">
        <v>24.25</v>
      </c>
      <c r="K35" s="19">
        <v>24.47</v>
      </c>
      <c r="L35" s="19">
        <v>24.13</v>
      </c>
      <c r="M35" s="19">
        <v>23.55</v>
      </c>
      <c r="N35" s="19">
        <v>23.67</v>
      </c>
      <c r="O35" s="16"/>
    </row>
    <row r="36" spans="1:15">
      <c r="A36" s="22" t="s">
        <v>77</v>
      </c>
      <c r="B36" s="22" t="s">
        <v>100</v>
      </c>
      <c r="C36" s="19">
        <v>2.7719999999999994</v>
      </c>
      <c r="D36" s="19">
        <v>2.8774999999999999</v>
      </c>
      <c r="E36" s="19">
        <v>3.07</v>
      </c>
      <c r="F36" s="19">
        <v>3.2039999999999997</v>
      </c>
      <c r="G36" s="19">
        <v>3.35</v>
      </c>
      <c r="H36" s="19">
        <v>3.355</v>
      </c>
      <c r="I36" s="19">
        <v>3.117</v>
      </c>
      <c r="J36" s="19">
        <v>3.3425000000000002</v>
      </c>
      <c r="K36" s="19">
        <v>3.3079999999999998</v>
      </c>
      <c r="L36" s="19">
        <v>3.2774999999999999</v>
      </c>
      <c r="M36" s="19">
        <v>3.4662500000000001</v>
      </c>
      <c r="N36" s="19">
        <v>3.5260000000000007</v>
      </c>
      <c r="O36" s="16"/>
    </row>
    <row r="37" spans="1:15">
      <c r="A37" s="83" t="s">
        <v>54</v>
      </c>
    </row>
    <row r="38" spans="1:15">
      <c r="A38" t="s">
        <v>161</v>
      </c>
      <c r="B38" t="s">
        <v>98</v>
      </c>
      <c r="C38" s="19">
        <v>231.76</v>
      </c>
      <c r="D38" s="19">
        <v>224.34</v>
      </c>
      <c r="E38" s="19">
        <v>228.87</v>
      </c>
      <c r="F38" s="19">
        <v>247.53</v>
      </c>
      <c r="G38" s="19">
        <v>329.01</v>
      </c>
      <c r="H38" s="19">
        <v>345.14</v>
      </c>
      <c r="I38" s="19">
        <v>306.02999999999997</v>
      </c>
      <c r="J38" s="19">
        <v>255.35</v>
      </c>
      <c r="K38" s="19">
        <v>231</v>
      </c>
      <c r="L38" s="19">
        <v>225.05</v>
      </c>
      <c r="M38" s="19">
        <v>234.78</v>
      </c>
      <c r="N38" s="19">
        <v>243.3</v>
      </c>
    </row>
    <row r="39" spans="1:15">
      <c r="A39" t="s">
        <v>162</v>
      </c>
      <c r="B39" t="s">
        <v>98</v>
      </c>
      <c r="C39" s="19">
        <v>248.75</v>
      </c>
      <c r="D39" s="19">
        <v>238.13</v>
      </c>
      <c r="E39" s="19">
        <v>216.5</v>
      </c>
      <c r="F39" s="19">
        <v>207.5</v>
      </c>
      <c r="G39" s="19">
        <v>242.5</v>
      </c>
      <c r="H39" s="19">
        <v>284</v>
      </c>
      <c r="I39" s="19">
        <v>280</v>
      </c>
      <c r="J39" s="19">
        <v>280</v>
      </c>
      <c r="K39" s="19">
        <v>285</v>
      </c>
      <c r="L39" s="19">
        <v>241.88</v>
      </c>
      <c r="M39" s="19">
        <v>221</v>
      </c>
      <c r="N39" s="19">
        <v>217.5</v>
      </c>
    </row>
    <row r="40" spans="1:15">
      <c r="A40" t="s">
        <v>163</v>
      </c>
      <c r="B40" t="s">
        <v>98</v>
      </c>
      <c r="C40" s="19">
        <v>195</v>
      </c>
      <c r="D40" s="19">
        <v>197.5</v>
      </c>
      <c r="E40" s="19">
        <v>195</v>
      </c>
      <c r="F40" s="19">
        <v>218.13</v>
      </c>
      <c r="G40" s="19">
        <v>301.5</v>
      </c>
      <c r="H40" s="19">
        <v>375.63</v>
      </c>
      <c r="I40" s="19">
        <v>364.38</v>
      </c>
      <c r="J40" s="19">
        <v>335</v>
      </c>
      <c r="K40" s="19">
        <v>316.25</v>
      </c>
      <c r="L40" s="19">
        <v>305.625</v>
      </c>
      <c r="M40" s="19">
        <v>296</v>
      </c>
      <c r="N40" s="19">
        <v>290</v>
      </c>
    </row>
    <row r="41" spans="1:15">
      <c r="A41" t="s">
        <v>145</v>
      </c>
      <c r="B41" t="s">
        <v>98</v>
      </c>
      <c r="C41">
        <v>279.56</v>
      </c>
      <c r="D41">
        <v>273.61</v>
      </c>
      <c r="E41">
        <v>276.22000000000003</v>
      </c>
      <c r="F41">
        <v>303.81</v>
      </c>
      <c r="G41">
        <v>376.35</v>
      </c>
      <c r="H41">
        <v>408.57</v>
      </c>
      <c r="I41">
        <v>371.49</v>
      </c>
      <c r="J41">
        <v>340.8</v>
      </c>
      <c r="K41">
        <v>337.95</v>
      </c>
      <c r="L41">
        <v>323.27</v>
      </c>
      <c r="M41">
        <v>322.41000000000003</v>
      </c>
      <c r="N41">
        <v>321.02</v>
      </c>
    </row>
    <row r="42" spans="1:15">
      <c r="A42" t="s">
        <v>164</v>
      </c>
      <c r="B42" t="s">
        <v>98</v>
      </c>
      <c r="C42" s="19">
        <v>156.88</v>
      </c>
      <c r="D42" s="19">
        <v>131.88</v>
      </c>
      <c r="E42" s="19">
        <v>120</v>
      </c>
      <c r="F42" s="19">
        <v>109.38</v>
      </c>
      <c r="G42" s="19">
        <v>149.5</v>
      </c>
      <c r="H42" s="19">
        <v>165.63</v>
      </c>
      <c r="I42" s="19">
        <v>151.88</v>
      </c>
      <c r="J42" s="19">
        <v>141</v>
      </c>
      <c r="K42" s="19">
        <v>148.75</v>
      </c>
      <c r="L42" s="19">
        <v>148.75</v>
      </c>
      <c r="M42" s="19">
        <v>140.5</v>
      </c>
      <c r="N42" s="19">
        <v>145</v>
      </c>
    </row>
    <row r="43" spans="1:15">
      <c r="A43" s="83" t="s">
        <v>75</v>
      </c>
    </row>
    <row r="44" spans="1:15">
      <c r="A44" s="83" t="s">
        <v>146</v>
      </c>
    </row>
    <row r="45" spans="1:15">
      <c r="A45" t="s">
        <v>147</v>
      </c>
      <c r="B45" t="s">
        <v>55</v>
      </c>
      <c r="C45" s="75" t="s">
        <v>72</v>
      </c>
      <c r="D45" s="75" t="s">
        <v>72</v>
      </c>
      <c r="E45" s="75" t="s">
        <v>72</v>
      </c>
      <c r="F45" s="75" t="s">
        <v>72</v>
      </c>
      <c r="G45" s="75" t="s">
        <v>72</v>
      </c>
      <c r="H45" s="75" t="s">
        <v>72</v>
      </c>
      <c r="I45" s="75" t="s">
        <v>72</v>
      </c>
      <c r="J45" s="75" t="s">
        <v>72</v>
      </c>
      <c r="K45" s="75" t="s">
        <v>72</v>
      </c>
      <c r="L45" s="75" t="s">
        <v>72</v>
      </c>
      <c r="M45" s="75" t="s">
        <v>72</v>
      </c>
      <c r="N45" s="75" t="s">
        <v>72</v>
      </c>
    </row>
    <row r="46" spans="1:15">
      <c r="A46" s="83" t="s">
        <v>148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5">
      <c r="A47" t="s">
        <v>149</v>
      </c>
      <c r="B47" t="s">
        <v>55</v>
      </c>
      <c r="C47" s="18">
        <v>317</v>
      </c>
      <c r="D47" s="18">
        <v>319</v>
      </c>
      <c r="E47" s="18">
        <v>318.7</v>
      </c>
      <c r="F47" s="18">
        <v>320.10000000000002</v>
      </c>
      <c r="G47" s="18">
        <v>318</v>
      </c>
      <c r="H47" s="18">
        <v>323.2</v>
      </c>
      <c r="I47" s="18">
        <v>331.7</v>
      </c>
      <c r="J47" s="18">
        <v>335.5</v>
      </c>
      <c r="K47" s="18">
        <v>332.2</v>
      </c>
      <c r="L47" s="18">
        <v>332.7</v>
      </c>
      <c r="M47" s="18">
        <v>323.8</v>
      </c>
      <c r="N47" s="18">
        <v>317.60000000000002</v>
      </c>
    </row>
    <row r="48" spans="1:15">
      <c r="A48" t="s">
        <v>150</v>
      </c>
      <c r="B48" t="s">
        <v>55</v>
      </c>
      <c r="C48" s="18">
        <v>234.8</v>
      </c>
      <c r="D48" s="18">
        <v>237.6</v>
      </c>
      <c r="E48" s="18">
        <v>237.4</v>
      </c>
      <c r="F48" s="18">
        <v>239.6</v>
      </c>
      <c r="G48" s="18">
        <v>239.8</v>
      </c>
      <c r="H48" s="18">
        <v>244.4</v>
      </c>
      <c r="I48" s="18">
        <v>243.7</v>
      </c>
      <c r="J48" s="18">
        <v>244.7</v>
      </c>
      <c r="K48" s="18">
        <v>244</v>
      </c>
      <c r="L48" s="18">
        <v>246.4</v>
      </c>
      <c r="M48" s="18">
        <v>246.2</v>
      </c>
      <c r="N48" s="18">
        <v>249</v>
      </c>
    </row>
    <row r="49" spans="1:14">
      <c r="A49" t="s">
        <v>151</v>
      </c>
      <c r="B49" t="s">
        <v>55</v>
      </c>
      <c r="C49" s="18">
        <v>183.1</v>
      </c>
      <c r="D49" s="18">
        <v>195.8</v>
      </c>
      <c r="E49" s="18">
        <v>205.5</v>
      </c>
      <c r="F49" s="18">
        <v>212.6</v>
      </c>
      <c r="G49" s="18">
        <v>212.6</v>
      </c>
      <c r="H49" s="18">
        <v>212.6</v>
      </c>
      <c r="I49" s="18">
        <v>204.8</v>
      </c>
      <c r="J49" s="18">
        <v>204.7</v>
      </c>
      <c r="K49" s="18">
        <v>206.4</v>
      </c>
      <c r="L49" s="18">
        <v>214.3</v>
      </c>
      <c r="M49" s="18">
        <v>222.1</v>
      </c>
      <c r="N49" s="18">
        <v>234</v>
      </c>
    </row>
    <row r="50" spans="1:14">
      <c r="A50" s="1" t="s">
        <v>152</v>
      </c>
      <c r="B50" s="1" t="s">
        <v>80</v>
      </c>
      <c r="C50" s="25">
        <v>135.80000000000001</v>
      </c>
      <c r="D50" s="25">
        <v>135.80000000000001</v>
      </c>
      <c r="E50" s="25">
        <v>135.80000000000001</v>
      </c>
      <c r="F50" s="25">
        <v>135.80000000000001</v>
      </c>
      <c r="G50" s="25">
        <v>135.80000000000001</v>
      </c>
      <c r="H50" s="25">
        <v>135.80000000000001</v>
      </c>
      <c r="I50" s="25">
        <v>135.80000000000001</v>
      </c>
      <c r="J50" s="25">
        <v>135.80000000000001</v>
      </c>
      <c r="K50" s="25">
        <v>135.80000000000001</v>
      </c>
      <c r="L50" s="25">
        <v>135.80000000000001</v>
      </c>
      <c r="M50" s="25">
        <v>135.80000000000001</v>
      </c>
      <c r="N50" s="25">
        <v>135.80000000000001</v>
      </c>
    </row>
    <row r="51" spans="1:14">
      <c r="A51" s="22" t="s">
        <v>174</v>
      </c>
      <c r="N51" s="27"/>
    </row>
    <row r="52" spans="1:14">
      <c r="A52" s="22" t="s">
        <v>202</v>
      </c>
      <c r="M52" s="17"/>
    </row>
    <row r="53" spans="1:14" ht="10.15" customHeight="1">
      <c r="A53" s="22" t="s">
        <v>186</v>
      </c>
      <c r="K53" s="29"/>
      <c r="M53" s="33"/>
    </row>
    <row r="54" spans="1:14">
      <c r="N54" s="128" t="s">
        <v>191</v>
      </c>
    </row>
  </sheetData>
  <pageMargins left="0.7" right="0.7" top="0.75" bottom="0.75" header="0.3" footer="0.3"/>
  <pageSetup scale="81" firstPageNumber="37" orientation="landscape" useFirstPageNumber="1" r:id="rId1"/>
  <headerFooter alignWithMargins="0">
    <oddFooter>&amp;C&amp;P
Oil Crops Yearbook/OCS-2020
March 2020
Economic Research Service, USDA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D98F-52A8-41B6-ABD7-86638BA00238}">
  <sheetPr>
    <pageSetUpPr fitToPage="1"/>
  </sheetPr>
  <dimension ref="A1:AN54"/>
  <sheetViews>
    <sheetView zoomScaleNormal="100" zoomScaleSheetLayoutView="100" workbookViewId="0">
      <pane xSplit="2" ySplit="3" topLeftCell="C4" activePane="bottomRight" state="frozen"/>
      <selection activeCell="H3" sqref="H3:I3"/>
      <selection pane="topRight" activeCell="H3" sqref="H3:I3"/>
      <selection pane="bottomLeft" activeCell="H3" sqref="H3:I3"/>
      <selection pane="bottomRight" activeCell="H3" sqref="H3:I3"/>
    </sheetView>
  </sheetViews>
  <sheetFormatPr defaultRowHeight="11.25"/>
  <cols>
    <col min="1" max="1" width="54.1640625" customWidth="1"/>
    <col min="2" max="2" width="19.5" bestFit="1" customWidth="1"/>
    <col min="3" max="14" width="9.6640625" customWidth="1"/>
  </cols>
  <sheetData>
    <row r="1" spans="1:40">
      <c r="A1" s="120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40">
      <c r="C2" s="47"/>
      <c r="D2" s="47"/>
      <c r="E2" s="47"/>
      <c r="F2" s="47"/>
      <c r="G2" s="47"/>
      <c r="H2" s="85">
        <v>2017</v>
      </c>
      <c r="I2" s="47"/>
      <c r="J2" s="47"/>
      <c r="K2" s="47"/>
      <c r="L2" s="47"/>
      <c r="M2" s="47"/>
      <c r="N2" s="58"/>
    </row>
    <row r="3" spans="1:40">
      <c r="A3" s="1" t="s">
        <v>126</v>
      </c>
      <c r="B3" s="46" t="s">
        <v>56</v>
      </c>
      <c r="C3" s="47" t="s">
        <v>34</v>
      </c>
      <c r="D3" s="47" t="s">
        <v>35</v>
      </c>
      <c r="E3" s="47" t="s">
        <v>36</v>
      </c>
      <c r="F3" s="47" t="s">
        <v>37</v>
      </c>
      <c r="G3" s="47" t="s">
        <v>30</v>
      </c>
      <c r="H3" s="47" t="s">
        <v>228</v>
      </c>
      <c r="I3" s="47" t="s">
        <v>229</v>
      </c>
      <c r="J3" s="47" t="s">
        <v>38</v>
      </c>
      <c r="K3" s="47" t="s">
        <v>39</v>
      </c>
      <c r="L3" s="47" t="s">
        <v>31</v>
      </c>
      <c r="M3" s="47" t="s">
        <v>32</v>
      </c>
      <c r="N3" s="47" t="s">
        <v>33</v>
      </c>
    </row>
    <row r="4" spans="1:40">
      <c r="A4" s="83" t="s">
        <v>52</v>
      </c>
    </row>
    <row r="5" spans="1:40">
      <c r="A5" s="83" t="s">
        <v>227</v>
      </c>
    </row>
    <row r="6" spans="1:40">
      <c r="A6" t="s">
        <v>15</v>
      </c>
      <c r="B6" t="s">
        <v>99</v>
      </c>
      <c r="C6" s="19">
        <v>17.3</v>
      </c>
      <c r="D6" s="19">
        <v>17.399999999999999</v>
      </c>
      <c r="E6" s="19">
        <v>17.600000000000001</v>
      </c>
      <c r="F6" s="19">
        <v>18</v>
      </c>
      <c r="G6" s="16">
        <v>16.8</v>
      </c>
      <c r="H6" s="19">
        <v>17.399999999999999</v>
      </c>
      <c r="I6" s="19">
        <v>17.8</v>
      </c>
      <c r="J6" s="19">
        <v>17.7</v>
      </c>
      <c r="K6" s="19">
        <v>17.3</v>
      </c>
      <c r="L6" s="19">
        <v>16.7</v>
      </c>
      <c r="M6" s="19">
        <v>17.2</v>
      </c>
      <c r="N6" s="19">
        <v>16.7</v>
      </c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>
      <c r="A7" t="s">
        <v>14</v>
      </c>
      <c r="B7" t="s">
        <v>98</v>
      </c>
      <c r="C7" s="19">
        <v>199</v>
      </c>
      <c r="D7" s="19">
        <v>203</v>
      </c>
      <c r="E7" s="16" t="s">
        <v>72</v>
      </c>
      <c r="F7" s="16" t="s">
        <v>72</v>
      </c>
      <c r="G7" s="16" t="s">
        <v>72</v>
      </c>
      <c r="H7" s="16" t="s">
        <v>72</v>
      </c>
      <c r="I7" s="16" t="s">
        <v>72</v>
      </c>
      <c r="J7" s="19">
        <v>127</v>
      </c>
      <c r="K7" s="19">
        <v>127</v>
      </c>
      <c r="L7" s="19">
        <v>141</v>
      </c>
      <c r="M7" s="19">
        <v>144</v>
      </c>
      <c r="N7" s="19">
        <v>143</v>
      </c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>
      <c r="A8" t="s">
        <v>127</v>
      </c>
      <c r="B8" t="s">
        <v>97</v>
      </c>
      <c r="C8" s="19">
        <v>8.26</v>
      </c>
      <c r="D8" s="19">
        <v>7.86</v>
      </c>
      <c r="E8" s="19">
        <v>8.34</v>
      </c>
      <c r="F8" s="19">
        <v>8.0299999999999994</v>
      </c>
      <c r="G8" s="19">
        <v>8.9600000000000009</v>
      </c>
      <c r="H8" s="19">
        <v>8.52</v>
      </c>
      <c r="I8" s="19">
        <v>8.4</v>
      </c>
      <c r="J8" s="19">
        <v>9.2100000000000009</v>
      </c>
      <c r="K8" s="19">
        <v>9.56</v>
      </c>
      <c r="L8" s="19">
        <v>9.23</v>
      </c>
      <c r="M8" s="19">
        <v>9.2100000000000009</v>
      </c>
      <c r="N8" s="19">
        <v>9.36</v>
      </c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>
      <c r="A9" t="s">
        <v>62</v>
      </c>
      <c r="B9" t="s">
        <v>82</v>
      </c>
      <c r="C9" s="19">
        <v>19.8</v>
      </c>
      <c r="D9" s="19">
        <v>20.100000000000001</v>
      </c>
      <c r="E9" s="19">
        <v>20.599999999999998</v>
      </c>
      <c r="F9" s="19">
        <v>19.8</v>
      </c>
      <c r="G9" s="19">
        <v>19.400000000000002</v>
      </c>
      <c r="H9" s="19">
        <v>19.7</v>
      </c>
      <c r="I9" s="19">
        <v>20.5</v>
      </c>
      <c r="J9" s="19">
        <v>19.7</v>
      </c>
      <c r="K9" s="19">
        <v>23</v>
      </c>
      <c r="L9" s="19">
        <v>23.200000000000003</v>
      </c>
      <c r="M9" s="19">
        <v>22.7</v>
      </c>
      <c r="N9" s="19">
        <v>23</v>
      </c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 spans="1:40">
      <c r="A10" t="s">
        <v>61</v>
      </c>
      <c r="B10" t="s">
        <v>97</v>
      </c>
      <c r="C10" s="19">
        <v>9.7100000000000009</v>
      </c>
      <c r="D10" s="19">
        <v>9.86</v>
      </c>
      <c r="E10" s="19">
        <v>9.69</v>
      </c>
      <c r="F10" s="19">
        <v>9.33</v>
      </c>
      <c r="G10" s="19">
        <v>9.2899999999999991</v>
      </c>
      <c r="H10" s="19">
        <v>9.1</v>
      </c>
      <c r="I10" s="19">
        <v>9.42</v>
      </c>
      <c r="J10" s="19">
        <v>9.24</v>
      </c>
      <c r="K10" s="19">
        <v>9.35</v>
      </c>
      <c r="L10" s="19">
        <v>9.18</v>
      </c>
      <c r="M10" s="19">
        <v>9.2200000000000006</v>
      </c>
      <c r="N10" s="19">
        <v>9.3000000000000007</v>
      </c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 spans="1:40">
      <c r="A11" t="s">
        <v>128</v>
      </c>
      <c r="B11" t="s">
        <v>99</v>
      </c>
      <c r="C11" s="19">
        <v>17.2</v>
      </c>
      <c r="D11" s="19">
        <v>17.600000000000001</v>
      </c>
      <c r="E11" s="19">
        <v>17.399999999999999</v>
      </c>
      <c r="F11" s="19">
        <v>17.899999999999999</v>
      </c>
      <c r="G11" s="19">
        <v>17.3</v>
      </c>
      <c r="H11" s="19">
        <v>17.600000000000001</v>
      </c>
      <c r="I11" s="19">
        <v>17.899999999999999</v>
      </c>
      <c r="J11" s="19">
        <v>19.100000000000001</v>
      </c>
      <c r="K11" s="19">
        <v>17.399999999999999</v>
      </c>
      <c r="L11" s="19">
        <v>16.8</v>
      </c>
      <c r="M11" s="19">
        <v>16.600000000000001</v>
      </c>
      <c r="N11" s="19">
        <v>17</v>
      </c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</row>
    <row r="12" spans="1:40">
      <c r="A12" t="s">
        <v>173</v>
      </c>
      <c r="B12" t="s">
        <v>99</v>
      </c>
      <c r="C12" s="19">
        <v>17.100000000000001</v>
      </c>
      <c r="D12" s="19">
        <v>17.3</v>
      </c>
      <c r="E12" s="19">
        <v>16.8</v>
      </c>
      <c r="F12" s="19">
        <v>17.3</v>
      </c>
      <c r="G12" s="19">
        <v>16.100000000000001</v>
      </c>
      <c r="H12" s="19">
        <v>17.100000000000001</v>
      </c>
      <c r="I12" s="19">
        <v>17.7</v>
      </c>
      <c r="J12" s="19">
        <v>18.5</v>
      </c>
      <c r="K12" s="19">
        <v>17.2</v>
      </c>
      <c r="L12" s="19">
        <v>16.5</v>
      </c>
      <c r="M12" s="19">
        <v>16.100000000000001</v>
      </c>
      <c r="N12" s="19">
        <v>16.7</v>
      </c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spans="1:40">
      <c r="A13" t="s">
        <v>129</v>
      </c>
      <c r="B13" t="s">
        <v>99</v>
      </c>
      <c r="C13" s="19">
        <v>18.899999999999999</v>
      </c>
      <c r="D13" s="19">
        <v>20.6</v>
      </c>
      <c r="E13" s="19">
        <v>21.4</v>
      </c>
      <c r="F13" s="19">
        <v>22.6</v>
      </c>
      <c r="G13" s="19">
        <v>23.3</v>
      </c>
      <c r="H13" s="19">
        <v>20.9</v>
      </c>
      <c r="I13" s="19">
        <v>19.8</v>
      </c>
      <c r="J13" s="19">
        <v>23.1</v>
      </c>
      <c r="K13" s="16">
        <v>21.7</v>
      </c>
      <c r="L13" s="16">
        <v>22.1</v>
      </c>
      <c r="M13" s="16">
        <v>20.5</v>
      </c>
      <c r="N13" s="16">
        <v>20</v>
      </c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</row>
    <row r="14" spans="1:40">
      <c r="A14" s="83" t="s">
        <v>130</v>
      </c>
    </row>
    <row r="15" spans="1:40">
      <c r="A15" t="s">
        <v>131</v>
      </c>
      <c r="B15" t="s">
        <v>99</v>
      </c>
      <c r="C15" s="19">
        <v>17.14</v>
      </c>
      <c r="D15" s="19">
        <v>17.34</v>
      </c>
      <c r="E15" s="19">
        <v>16.559999999999999</v>
      </c>
      <c r="F15" s="19">
        <v>17</v>
      </c>
      <c r="G15" s="19">
        <v>17.47</v>
      </c>
      <c r="H15" s="19">
        <v>17.690000000000001</v>
      </c>
      <c r="I15" s="19">
        <v>18.54</v>
      </c>
      <c r="J15" s="19">
        <v>17.559999999999999</v>
      </c>
      <c r="K15" s="19">
        <v>17.41</v>
      </c>
      <c r="L15" s="19">
        <v>17.48</v>
      </c>
      <c r="M15" s="19">
        <v>17.71</v>
      </c>
      <c r="N15" s="19">
        <v>17.27</v>
      </c>
    </row>
    <row r="16" spans="1:40">
      <c r="A16" t="s">
        <v>132</v>
      </c>
      <c r="B16" t="s">
        <v>98</v>
      </c>
      <c r="C16" s="19">
        <v>199.2</v>
      </c>
      <c r="D16" s="19">
        <v>194.5</v>
      </c>
      <c r="E16" s="19">
        <v>180.75</v>
      </c>
      <c r="F16" s="19">
        <v>178</v>
      </c>
      <c r="G16" s="19">
        <v>178.8</v>
      </c>
      <c r="H16" s="19">
        <v>194.75</v>
      </c>
      <c r="I16" s="19">
        <v>201.67</v>
      </c>
      <c r="J16" s="19">
        <v>198</v>
      </c>
      <c r="K16" s="19">
        <v>221.25</v>
      </c>
      <c r="L16" s="19">
        <v>154</v>
      </c>
      <c r="M16" s="19">
        <v>136.25</v>
      </c>
      <c r="N16" s="19">
        <v>144.33000000000001</v>
      </c>
    </row>
    <row r="17" spans="1:14">
      <c r="A17" t="s">
        <v>133</v>
      </c>
      <c r="B17" t="s">
        <v>97</v>
      </c>
      <c r="C17" s="19">
        <v>9.5</v>
      </c>
      <c r="D17" s="19">
        <v>9.5</v>
      </c>
      <c r="E17" s="19">
        <v>9.66</v>
      </c>
      <c r="F17" s="19">
        <v>9.25</v>
      </c>
      <c r="G17" s="19">
        <v>9.2799999999999994</v>
      </c>
      <c r="H17" s="19">
        <v>9.25</v>
      </c>
      <c r="I17" s="19">
        <v>9.31</v>
      </c>
      <c r="J17" s="19">
        <v>9.99</v>
      </c>
      <c r="K17" s="19">
        <v>10.52</v>
      </c>
      <c r="L17" s="19">
        <v>10.55</v>
      </c>
      <c r="M17" s="19">
        <v>10.3</v>
      </c>
      <c r="N17" s="19">
        <v>10.3</v>
      </c>
    </row>
    <row r="18" spans="1:14">
      <c r="A18" t="s">
        <v>134</v>
      </c>
      <c r="B18" t="s">
        <v>97</v>
      </c>
      <c r="C18" s="19">
        <v>10.09</v>
      </c>
      <c r="D18" s="19">
        <v>10.06</v>
      </c>
      <c r="E18" s="19">
        <v>9.6300000000000008</v>
      </c>
      <c r="F18" s="19">
        <v>9.1300000000000008</v>
      </c>
      <c r="G18" s="19">
        <v>9.24</v>
      </c>
      <c r="H18" s="19">
        <v>8.99</v>
      </c>
      <c r="I18" s="19">
        <v>9.66</v>
      </c>
      <c r="J18" s="19">
        <v>9.18</v>
      </c>
      <c r="K18" s="19">
        <v>9.34</v>
      </c>
      <c r="L18" s="19">
        <v>9.32</v>
      </c>
      <c r="M18" s="19">
        <v>9.42</v>
      </c>
      <c r="N18" s="19">
        <v>9.3800000000000008</v>
      </c>
    </row>
    <row r="19" spans="1:14">
      <c r="A19" t="s">
        <v>135</v>
      </c>
      <c r="B19" t="s">
        <v>97</v>
      </c>
      <c r="C19" s="19">
        <v>10.74</v>
      </c>
      <c r="D19" s="19">
        <v>10.7</v>
      </c>
      <c r="E19" s="19">
        <v>10.29</v>
      </c>
      <c r="F19" s="19">
        <v>9.73</v>
      </c>
      <c r="G19" s="19">
        <v>9.94</v>
      </c>
      <c r="H19" s="19">
        <v>9.58</v>
      </c>
      <c r="I19" s="19">
        <v>10.32</v>
      </c>
      <c r="J19" s="19">
        <v>9.9499999999999993</v>
      </c>
      <c r="K19" s="19">
        <v>10.09</v>
      </c>
      <c r="L19" s="19">
        <v>10.050000000000001</v>
      </c>
      <c r="M19" s="19">
        <v>10.06</v>
      </c>
      <c r="N19" s="19">
        <v>9.9600000000000009</v>
      </c>
    </row>
    <row r="20" spans="1:14">
      <c r="A20" t="s">
        <v>136</v>
      </c>
      <c r="B20" t="s">
        <v>99</v>
      </c>
      <c r="C20" s="19">
        <v>15.09</v>
      </c>
      <c r="D20" s="19">
        <v>15.16</v>
      </c>
      <c r="E20" s="19">
        <v>14.9</v>
      </c>
      <c r="F20" s="19">
        <v>14.9</v>
      </c>
      <c r="G20" s="19">
        <v>15.26</v>
      </c>
      <c r="H20" s="19">
        <v>15.6</v>
      </c>
      <c r="I20" s="19">
        <v>17.16</v>
      </c>
      <c r="J20" s="19">
        <v>17.510000000000002</v>
      </c>
      <c r="K20">
        <v>16.98</v>
      </c>
      <c r="L20">
        <v>16.82</v>
      </c>
      <c r="M20">
        <v>17.37</v>
      </c>
      <c r="N20">
        <v>17.43</v>
      </c>
    </row>
    <row r="21" spans="1:14">
      <c r="A21" s="83" t="s">
        <v>53</v>
      </c>
    </row>
    <row r="22" spans="1:14">
      <c r="A22" s="83" t="s">
        <v>137</v>
      </c>
    </row>
    <row r="23" spans="1:14">
      <c r="A23" t="s">
        <v>138</v>
      </c>
      <c r="B23" t="s">
        <v>82</v>
      </c>
      <c r="C23" s="19">
        <v>38.6875</v>
      </c>
      <c r="D23" s="19">
        <v>37.25</v>
      </c>
      <c r="E23" s="19">
        <v>37.299999999999997</v>
      </c>
      <c r="F23" s="19">
        <v>36.125</v>
      </c>
      <c r="G23" s="19">
        <v>37.0625</v>
      </c>
      <c r="H23" s="19">
        <v>37.85</v>
      </c>
      <c r="I23" s="19">
        <v>39.75</v>
      </c>
      <c r="J23" s="19">
        <v>41.1875</v>
      </c>
      <c r="K23" s="19">
        <v>41.15</v>
      </c>
      <c r="L23" s="19">
        <v>39.0625</v>
      </c>
      <c r="M23" s="19">
        <v>39.6875</v>
      </c>
      <c r="N23" s="19">
        <v>38.65</v>
      </c>
    </row>
    <row r="24" spans="1:14">
      <c r="A24" t="s">
        <v>155</v>
      </c>
      <c r="B24" t="s">
        <v>82</v>
      </c>
      <c r="C24" s="19">
        <v>83.625</v>
      </c>
      <c r="D24" s="19">
        <v>90</v>
      </c>
      <c r="E24" s="19">
        <v>73.900000000000006</v>
      </c>
      <c r="F24" s="19">
        <v>82.8125</v>
      </c>
      <c r="G24" s="19">
        <v>84</v>
      </c>
      <c r="H24" s="19">
        <v>83.6</v>
      </c>
      <c r="I24" s="19">
        <v>81</v>
      </c>
      <c r="J24" s="19">
        <v>85.875</v>
      </c>
      <c r="K24" s="19">
        <v>86.625</v>
      </c>
      <c r="L24" s="19">
        <v>68.5</v>
      </c>
      <c r="M24" s="19">
        <v>72.25</v>
      </c>
      <c r="N24" s="19">
        <v>72.099999999999994</v>
      </c>
    </row>
    <row r="25" spans="1:14">
      <c r="A25" t="s">
        <v>139</v>
      </c>
      <c r="B25" t="s">
        <v>82</v>
      </c>
      <c r="C25" s="19">
        <v>37.885000000000005</v>
      </c>
      <c r="D25" s="19">
        <v>38.174999999999997</v>
      </c>
      <c r="E25" s="19">
        <v>37.894999999999996</v>
      </c>
      <c r="F25" s="19">
        <v>37.619999999999997</v>
      </c>
      <c r="G25" s="19">
        <v>37.71</v>
      </c>
      <c r="H25" s="19">
        <v>37.54</v>
      </c>
      <c r="I25" s="19">
        <v>37.685000000000002</v>
      </c>
      <c r="J25" s="19">
        <v>36.75</v>
      </c>
      <c r="K25" s="19">
        <v>36.474999999999994</v>
      </c>
      <c r="L25" s="19">
        <v>34.96</v>
      </c>
      <c r="M25">
        <v>34.620000000000005</v>
      </c>
      <c r="N25">
        <v>33.96</v>
      </c>
    </row>
    <row r="26" spans="1:14">
      <c r="A26" t="s">
        <v>156</v>
      </c>
      <c r="B26" t="s">
        <v>82</v>
      </c>
      <c r="C26" s="19">
        <v>26.5625</v>
      </c>
      <c r="D26" s="19">
        <v>27.236842105263158</v>
      </c>
      <c r="E26" s="19">
        <v>28.01</v>
      </c>
      <c r="F26" s="19">
        <v>27.29</v>
      </c>
      <c r="G26" s="19">
        <v>29.26</v>
      </c>
      <c r="H26" s="19">
        <v>29.97</v>
      </c>
      <c r="I26" s="19">
        <v>28.71</v>
      </c>
      <c r="J26" s="19">
        <v>28.43</v>
      </c>
      <c r="K26" s="19">
        <v>29.05</v>
      </c>
      <c r="L26" s="19">
        <v>27.07</v>
      </c>
      <c r="M26" s="19">
        <v>26.06</v>
      </c>
      <c r="N26" s="19">
        <v>24.2</v>
      </c>
    </row>
    <row r="27" spans="1:14">
      <c r="A27" t="s">
        <v>140</v>
      </c>
      <c r="B27" t="s">
        <v>82</v>
      </c>
      <c r="C27" s="19">
        <v>44.5625</v>
      </c>
      <c r="D27" s="19">
        <v>41.5</v>
      </c>
      <c r="E27" s="19">
        <v>39.450000000000003</v>
      </c>
      <c r="F27" s="19">
        <v>37.5625</v>
      </c>
      <c r="G27" s="19">
        <v>38.625</v>
      </c>
      <c r="H27" s="19">
        <v>38.6</v>
      </c>
      <c r="I27" s="19">
        <v>38.875</v>
      </c>
      <c r="J27" s="19">
        <v>36.375</v>
      </c>
      <c r="K27" s="19">
        <v>38.450000000000003</v>
      </c>
      <c r="L27" s="19">
        <v>37.0625</v>
      </c>
      <c r="M27" s="19">
        <v>37</v>
      </c>
      <c r="N27" s="19">
        <v>34.25</v>
      </c>
    </row>
    <row r="28" spans="1:14">
      <c r="A28" t="s">
        <v>141</v>
      </c>
      <c r="B28" t="s">
        <v>82</v>
      </c>
      <c r="C28" s="19">
        <v>30.1</v>
      </c>
      <c r="D28" s="75" t="s">
        <v>72</v>
      </c>
      <c r="E28" s="75" t="s">
        <v>72</v>
      </c>
      <c r="F28" s="75" t="s">
        <v>72</v>
      </c>
      <c r="G28" s="75" t="s">
        <v>72</v>
      </c>
      <c r="H28" s="16">
        <v>34.5</v>
      </c>
      <c r="I28" s="75" t="s">
        <v>72</v>
      </c>
      <c r="J28" s="75" t="s">
        <v>72</v>
      </c>
      <c r="K28" s="19">
        <v>35.75</v>
      </c>
      <c r="L28" s="19">
        <v>36</v>
      </c>
      <c r="M28" s="19">
        <v>38.17</v>
      </c>
      <c r="N28" s="19">
        <v>37</v>
      </c>
    </row>
    <row r="29" spans="1:14">
      <c r="A29" t="s">
        <v>157</v>
      </c>
      <c r="B29" t="s">
        <v>82</v>
      </c>
      <c r="C29" s="19">
        <v>37.75</v>
      </c>
      <c r="D29" s="19">
        <v>37.375</v>
      </c>
      <c r="E29" s="19">
        <v>35.9</v>
      </c>
      <c r="F29" s="19">
        <v>34.0625</v>
      </c>
      <c r="G29" s="19">
        <v>36.3125</v>
      </c>
      <c r="H29" s="19">
        <v>35.049999999999997</v>
      </c>
      <c r="I29" s="19">
        <v>35.1875</v>
      </c>
      <c r="J29" s="19">
        <v>35.0625</v>
      </c>
      <c r="K29" s="19">
        <v>36.4375</v>
      </c>
      <c r="L29" s="19">
        <v>36.1875</v>
      </c>
      <c r="M29" s="19">
        <v>35.4375</v>
      </c>
      <c r="N29" s="19">
        <v>33.25</v>
      </c>
    </row>
    <row r="30" spans="1:14">
      <c r="A30" t="s">
        <v>158</v>
      </c>
      <c r="B30" t="s">
        <v>82</v>
      </c>
      <c r="C30" s="19">
        <v>40.375</v>
      </c>
      <c r="D30" s="19">
        <v>39.5625</v>
      </c>
      <c r="E30" s="19">
        <v>38.5</v>
      </c>
      <c r="F30" s="19">
        <v>37.375</v>
      </c>
      <c r="G30" s="19">
        <v>39.0625</v>
      </c>
      <c r="H30" s="19">
        <v>38.299999999999997</v>
      </c>
      <c r="I30" s="19">
        <v>39</v>
      </c>
      <c r="J30" s="19">
        <v>39.625</v>
      </c>
      <c r="K30" s="19">
        <v>39.6875</v>
      </c>
      <c r="L30" s="19">
        <v>38.9375</v>
      </c>
      <c r="M30" s="19">
        <v>36.875</v>
      </c>
      <c r="N30" s="19">
        <v>45.75</v>
      </c>
    </row>
    <row r="31" spans="1:14">
      <c r="A31" t="s">
        <v>159</v>
      </c>
      <c r="B31" t="s">
        <v>82</v>
      </c>
      <c r="C31" s="19">
        <v>62.875</v>
      </c>
      <c r="D31" s="19">
        <v>63.125</v>
      </c>
      <c r="E31" s="19">
        <v>65.8</v>
      </c>
      <c r="F31" s="19">
        <v>69.6875</v>
      </c>
      <c r="G31" s="19">
        <v>70.75</v>
      </c>
      <c r="H31" s="19">
        <v>76.2</v>
      </c>
      <c r="I31" s="19">
        <v>75.75</v>
      </c>
      <c r="J31" s="19">
        <v>69.625</v>
      </c>
      <c r="K31" s="19">
        <v>66.599999999999994</v>
      </c>
      <c r="L31" s="19">
        <v>65.4375</v>
      </c>
      <c r="M31" s="19">
        <v>65</v>
      </c>
      <c r="N31" s="19">
        <v>65.2</v>
      </c>
    </row>
    <row r="32" spans="1:14">
      <c r="A32" t="s">
        <v>160</v>
      </c>
      <c r="B32" t="s">
        <v>82</v>
      </c>
      <c r="C32" s="19">
        <v>33.58</v>
      </c>
      <c r="D32" s="19">
        <v>32</v>
      </c>
      <c r="E32" s="19">
        <v>30.86</v>
      </c>
      <c r="F32" s="19">
        <v>29.57</v>
      </c>
      <c r="G32" s="19">
        <v>30.6</v>
      </c>
      <c r="H32" s="19">
        <v>30.74</v>
      </c>
      <c r="I32" s="19">
        <v>32.82</v>
      </c>
      <c r="J32" s="19">
        <v>33.17</v>
      </c>
      <c r="K32" s="19">
        <v>33.28</v>
      </c>
      <c r="L32" s="19">
        <v>32.35</v>
      </c>
      <c r="M32">
        <v>33.43</v>
      </c>
      <c r="N32">
        <v>32.270000000000003</v>
      </c>
    </row>
    <row r="33" spans="1:15">
      <c r="A33" t="s">
        <v>142</v>
      </c>
      <c r="B33" t="s">
        <v>82</v>
      </c>
      <c r="C33" s="19">
        <v>56</v>
      </c>
      <c r="D33" s="19">
        <v>55</v>
      </c>
      <c r="E33" s="19">
        <v>52</v>
      </c>
      <c r="F33" s="19">
        <v>51</v>
      </c>
      <c r="G33" s="19">
        <v>50.5</v>
      </c>
      <c r="H33" s="19">
        <v>50.8</v>
      </c>
      <c r="I33" s="19">
        <v>51.25</v>
      </c>
      <c r="J33" s="19">
        <v>52.75</v>
      </c>
      <c r="K33" s="19">
        <v>55.2</v>
      </c>
      <c r="L33" s="19">
        <v>56</v>
      </c>
      <c r="M33" s="19">
        <v>55.5</v>
      </c>
      <c r="N33" s="19">
        <v>54.8</v>
      </c>
    </row>
    <row r="34" spans="1:15">
      <c r="A34" t="s">
        <v>143</v>
      </c>
      <c r="B34" t="s">
        <v>82</v>
      </c>
      <c r="C34" s="19">
        <v>34</v>
      </c>
      <c r="D34" s="19">
        <v>34.5</v>
      </c>
      <c r="E34" s="19">
        <v>33.799999999999997</v>
      </c>
      <c r="F34" s="19">
        <v>33.5</v>
      </c>
      <c r="G34" s="19">
        <v>35.909999999999997</v>
      </c>
      <c r="H34" s="19">
        <v>36.6</v>
      </c>
      <c r="I34" s="19">
        <v>36.89</v>
      </c>
      <c r="J34" s="19">
        <v>35.78</v>
      </c>
      <c r="K34" s="19">
        <v>35.08</v>
      </c>
      <c r="L34" s="19">
        <v>32.06</v>
      </c>
      <c r="M34" s="19">
        <v>33.44</v>
      </c>
      <c r="N34" s="19">
        <v>31.63</v>
      </c>
    </row>
    <row r="35" spans="1:15">
      <c r="A35" s="22" t="s">
        <v>144</v>
      </c>
      <c r="B35" t="s">
        <v>82</v>
      </c>
      <c r="C35" s="19">
        <v>23.28</v>
      </c>
      <c r="D35" s="19">
        <v>23.53</v>
      </c>
      <c r="E35" s="19">
        <v>24</v>
      </c>
      <c r="F35" s="19">
        <v>24.69</v>
      </c>
      <c r="G35" s="19">
        <v>25.93</v>
      </c>
      <c r="H35" s="19">
        <v>27.72</v>
      </c>
      <c r="I35" s="19">
        <v>27.78</v>
      </c>
      <c r="J35" s="19">
        <v>28.05</v>
      </c>
      <c r="K35" s="19">
        <v>28.16</v>
      </c>
      <c r="L35" s="19">
        <v>25</v>
      </c>
      <c r="M35" s="19">
        <v>23.63</v>
      </c>
      <c r="N35" s="19">
        <v>19.170000000000002</v>
      </c>
      <c r="O35" s="16"/>
    </row>
    <row r="36" spans="1:15">
      <c r="A36" s="22" t="s">
        <v>77</v>
      </c>
      <c r="B36" s="22" t="s">
        <v>100</v>
      </c>
      <c r="C36" s="19">
        <v>3.15</v>
      </c>
      <c r="D36" s="19">
        <v>3.06</v>
      </c>
      <c r="E36" s="19">
        <v>3.08</v>
      </c>
      <c r="F36" s="19">
        <v>3.07</v>
      </c>
      <c r="G36" s="19">
        <v>3.21</v>
      </c>
      <c r="H36" s="19">
        <v>3.14</v>
      </c>
      <c r="I36" s="19">
        <v>3.24</v>
      </c>
      <c r="J36" s="19">
        <v>3.25</v>
      </c>
      <c r="K36" s="19">
        <v>3.26</v>
      </c>
      <c r="L36" s="19">
        <v>3.18</v>
      </c>
      <c r="M36" s="19">
        <v>3.23</v>
      </c>
      <c r="N36" s="19">
        <v>3.1</v>
      </c>
      <c r="O36" s="16"/>
    </row>
    <row r="37" spans="1:15">
      <c r="A37" s="83" t="s">
        <v>54</v>
      </c>
    </row>
    <row r="38" spans="1:15">
      <c r="A38" t="s">
        <v>161</v>
      </c>
      <c r="B38" t="s">
        <v>98</v>
      </c>
      <c r="C38" s="19">
        <v>267.41000000000003</v>
      </c>
      <c r="D38" s="19">
        <v>276.89999999999998</v>
      </c>
      <c r="E38" s="19">
        <v>276.33</v>
      </c>
      <c r="F38" s="19">
        <v>270.66000000000003</v>
      </c>
      <c r="G38" s="19">
        <v>279.64</v>
      </c>
      <c r="H38" s="19">
        <v>281.66000000000003</v>
      </c>
      <c r="I38" s="19">
        <v>307.73</v>
      </c>
      <c r="J38" s="19">
        <v>289.45</v>
      </c>
      <c r="K38" s="19">
        <v>262.33</v>
      </c>
      <c r="L38" s="19">
        <v>257.73</v>
      </c>
      <c r="M38" s="19">
        <v>255.74</v>
      </c>
      <c r="N38" s="19">
        <v>266.52999999999997</v>
      </c>
    </row>
    <row r="39" spans="1:15">
      <c r="A39" t="s">
        <v>162</v>
      </c>
      <c r="B39" t="s">
        <v>98</v>
      </c>
      <c r="C39" s="19">
        <v>223.5</v>
      </c>
      <c r="D39" s="19">
        <v>221.88</v>
      </c>
      <c r="E39" s="19">
        <v>210.63</v>
      </c>
      <c r="F39" s="19">
        <v>195</v>
      </c>
      <c r="G39" s="19">
        <v>179.5</v>
      </c>
      <c r="H39" s="19">
        <v>179.38</v>
      </c>
      <c r="I39" s="19">
        <v>200.83</v>
      </c>
      <c r="J39" s="19">
        <v>198.5</v>
      </c>
      <c r="K39" s="19">
        <v>213.75</v>
      </c>
      <c r="L39" s="19">
        <v>229</v>
      </c>
      <c r="M39" s="19">
        <v>228.75</v>
      </c>
      <c r="N39" s="19">
        <v>232.5</v>
      </c>
    </row>
    <row r="40" spans="1:15">
      <c r="A40" t="s">
        <v>163</v>
      </c>
      <c r="B40" t="s">
        <v>98</v>
      </c>
      <c r="C40" s="19">
        <v>364.38</v>
      </c>
      <c r="D40" s="19">
        <v>335</v>
      </c>
      <c r="E40" s="19">
        <v>316.25</v>
      </c>
      <c r="F40" s="19">
        <v>305.625</v>
      </c>
      <c r="G40" s="19">
        <v>296</v>
      </c>
      <c r="H40" s="19">
        <v>290</v>
      </c>
      <c r="I40" s="19">
        <v>297</v>
      </c>
      <c r="J40" s="19">
        <v>299.38</v>
      </c>
      <c r="K40" s="19">
        <v>297.5</v>
      </c>
      <c r="L40" s="19">
        <v>291.25</v>
      </c>
      <c r="M40" s="19">
        <v>290</v>
      </c>
      <c r="N40" s="19">
        <v>282.63</v>
      </c>
    </row>
    <row r="41" spans="1:15">
      <c r="A41" t="s">
        <v>145</v>
      </c>
      <c r="B41" t="s">
        <v>98</v>
      </c>
      <c r="C41">
        <v>332.34</v>
      </c>
      <c r="D41">
        <v>334.42</v>
      </c>
      <c r="E41">
        <v>320.33999999999997</v>
      </c>
      <c r="F41">
        <v>305.67</v>
      </c>
      <c r="G41">
        <v>307.63</v>
      </c>
      <c r="H41">
        <v>300.72000000000003</v>
      </c>
      <c r="I41">
        <v>326.04000000000002</v>
      </c>
      <c r="J41">
        <v>301.05</v>
      </c>
      <c r="K41" s="19">
        <v>307.7</v>
      </c>
      <c r="L41">
        <v>315.23</v>
      </c>
      <c r="M41">
        <v>313.52</v>
      </c>
      <c r="N41">
        <v>319.22000000000003</v>
      </c>
    </row>
    <row r="42" spans="1:15">
      <c r="A42" t="s">
        <v>164</v>
      </c>
      <c r="B42" t="s">
        <v>98</v>
      </c>
      <c r="C42" s="19">
        <v>159</v>
      </c>
      <c r="D42" s="19">
        <v>161.88</v>
      </c>
      <c r="E42" s="19">
        <v>155</v>
      </c>
      <c r="F42" s="19">
        <v>147.5</v>
      </c>
      <c r="G42" s="19">
        <v>144</v>
      </c>
      <c r="H42" s="19">
        <v>140</v>
      </c>
      <c r="I42" s="19">
        <v>130.63</v>
      </c>
      <c r="J42" s="19">
        <v>134.5</v>
      </c>
      <c r="K42" s="19">
        <v>134.38</v>
      </c>
      <c r="L42" s="19">
        <v>153</v>
      </c>
      <c r="M42" s="19">
        <v>165</v>
      </c>
      <c r="N42" s="19">
        <v>185</v>
      </c>
    </row>
    <row r="43" spans="1:15">
      <c r="A43" s="83" t="s">
        <v>75</v>
      </c>
    </row>
    <row r="44" spans="1:15">
      <c r="A44" s="83" t="s">
        <v>146</v>
      </c>
    </row>
    <row r="45" spans="1:15">
      <c r="A45" t="s">
        <v>147</v>
      </c>
      <c r="B45" t="s">
        <v>55</v>
      </c>
      <c r="C45" s="75" t="s">
        <v>72</v>
      </c>
      <c r="D45" s="75" t="s">
        <v>72</v>
      </c>
      <c r="E45" s="75" t="s">
        <v>72</v>
      </c>
      <c r="F45" s="75" t="s">
        <v>72</v>
      </c>
      <c r="G45" s="75" t="s">
        <v>72</v>
      </c>
      <c r="H45" s="75" t="s">
        <v>72</v>
      </c>
      <c r="I45" s="75" t="s">
        <v>72</v>
      </c>
      <c r="J45" s="75" t="s">
        <v>72</v>
      </c>
      <c r="K45" s="75" t="s">
        <v>72</v>
      </c>
      <c r="L45" s="75" t="s">
        <v>72</v>
      </c>
      <c r="M45" s="75" t="s">
        <v>72</v>
      </c>
      <c r="N45" s="75" t="s">
        <v>72</v>
      </c>
    </row>
    <row r="46" spans="1:15">
      <c r="A46" s="83" t="s">
        <v>148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5">
      <c r="A47" t="s">
        <v>149</v>
      </c>
      <c r="B47" t="s">
        <v>55</v>
      </c>
      <c r="C47" s="18">
        <v>318</v>
      </c>
      <c r="D47" s="18">
        <v>318.10000000000002</v>
      </c>
      <c r="E47" s="18">
        <v>318.2</v>
      </c>
      <c r="F47" s="18">
        <v>318.5</v>
      </c>
      <c r="G47" s="18">
        <v>316.2</v>
      </c>
      <c r="H47" s="18">
        <v>322.8</v>
      </c>
      <c r="I47" s="18">
        <v>318.10000000000002</v>
      </c>
      <c r="J47" s="18">
        <v>317.3</v>
      </c>
      <c r="K47" s="18">
        <v>320.8</v>
      </c>
      <c r="L47" s="18">
        <v>311.60000000000002</v>
      </c>
      <c r="M47" s="18">
        <v>314.7</v>
      </c>
      <c r="N47" s="18">
        <v>317.2</v>
      </c>
    </row>
    <row r="48" spans="1:15">
      <c r="A48" t="s">
        <v>150</v>
      </c>
      <c r="B48" t="s">
        <v>55</v>
      </c>
      <c r="C48" s="18">
        <v>255.2</v>
      </c>
      <c r="D48" s="18">
        <v>252.9</v>
      </c>
      <c r="E48" s="18">
        <v>258.8</v>
      </c>
      <c r="F48" s="18">
        <v>257.7</v>
      </c>
      <c r="G48" s="18">
        <v>256.2</v>
      </c>
      <c r="H48" s="18">
        <v>257.2</v>
      </c>
      <c r="I48" s="18">
        <v>259.3</v>
      </c>
      <c r="J48" s="18">
        <v>254.9</v>
      </c>
      <c r="K48" s="18">
        <v>257.3</v>
      </c>
      <c r="L48" s="18">
        <v>259.3</v>
      </c>
      <c r="M48" s="18">
        <v>257.7</v>
      </c>
      <c r="N48" s="18">
        <v>256.7</v>
      </c>
    </row>
    <row r="49" spans="1:14">
      <c r="A49" t="s">
        <v>151</v>
      </c>
      <c r="B49" t="s">
        <v>55</v>
      </c>
      <c r="C49" s="18">
        <v>231.5</v>
      </c>
      <c r="D49" s="18">
        <v>225.8</v>
      </c>
      <c r="E49" s="18">
        <v>218.9</v>
      </c>
      <c r="F49" s="18">
        <v>215.2</v>
      </c>
      <c r="G49" s="18">
        <v>223.4</v>
      </c>
      <c r="H49" s="18">
        <v>222.7</v>
      </c>
      <c r="I49" s="18">
        <v>228.9</v>
      </c>
      <c r="J49" s="18">
        <v>228</v>
      </c>
      <c r="K49" s="18">
        <v>230.5</v>
      </c>
      <c r="L49" s="18">
        <v>225.9</v>
      </c>
      <c r="M49" s="18">
        <v>229.2</v>
      </c>
      <c r="N49" s="18">
        <v>222.2</v>
      </c>
    </row>
    <row r="50" spans="1:14">
      <c r="A50" s="1" t="s">
        <v>152</v>
      </c>
      <c r="B50" s="1" t="s">
        <v>80</v>
      </c>
      <c r="C50" s="25">
        <v>135.80000000000001</v>
      </c>
      <c r="D50" s="25">
        <v>136.4</v>
      </c>
      <c r="E50" s="25">
        <v>135</v>
      </c>
      <c r="F50" s="25">
        <v>136.6</v>
      </c>
      <c r="G50" s="25">
        <v>136.6</v>
      </c>
      <c r="H50" s="25">
        <v>139.9</v>
      </c>
      <c r="I50" s="25">
        <v>139.9</v>
      </c>
      <c r="J50" s="25">
        <v>140.4</v>
      </c>
      <c r="K50" s="25">
        <v>140.1</v>
      </c>
      <c r="L50" s="25">
        <v>141.19999999999999</v>
      </c>
      <c r="M50" s="25">
        <v>140.4</v>
      </c>
      <c r="N50" s="25">
        <v>142.30000000000001</v>
      </c>
    </row>
    <row r="51" spans="1:14">
      <c r="A51" s="22" t="s">
        <v>174</v>
      </c>
      <c r="N51" s="27"/>
    </row>
    <row r="52" spans="1:14">
      <c r="A52" s="22" t="s">
        <v>202</v>
      </c>
      <c r="M52" s="17"/>
    </row>
    <row r="53" spans="1:14" ht="10.15" customHeight="1">
      <c r="A53" s="22" t="s">
        <v>186</v>
      </c>
      <c r="K53" s="29"/>
      <c r="M53" s="33"/>
    </row>
    <row r="54" spans="1:14">
      <c r="N54" s="128" t="s">
        <v>191</v>
      </c>
    </row>
  </sheetData>
  <pageMargins left="0.7" right="0.7" top="0.75" bottom="0.75" header="0.3" footer="0.3"/>
  <pageSetup scale="80" firstPageNumber="38" orientation="landscape" useFirstPageNumber="1" r:id="rId1"/>
  <headerFooter alignWithMargins="0">
    <oddFooter>&amp;C&amp;P
Oil Crops Yearbook/OCS-2020
March 2020
Economic Research Service, USDA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721B1-A4B4-46E1-8467-006099600470}">
  <sheetPr>
    <pageSetUpPr fitToPage="1"/>
  </sheetPr>
  <dimension ref="A1:AN54"/>
  <sheetViews>
    <sheetView zoomScaleNormal="100" zoomScaleSheetLayoutView="100" workbookViewId="0">
      <pane xSplit="2" ySplit="3" topLeftCell="C4" activePane="bottomRight" state="frozen"/>
      <selection activeCell="H3" sqref="H3:I3"/>
      <selection pane="topRight" activeCell="H3" sqref="H3:I3"/>
      <selection pane="bottomLeft" activeCell="H3" sqref="H3:I3"/>
      <selection pane="bottomRight" activeCell="H3" sqref="H3:I3"/>
    </sheetView>
  </sheetViews>
  <sheetFormatPr defaultRowHeight="11.25"/>
  <cols>
    <col min="1" max="1" width="52.6640625" customWidth="1"/>
    <col min="2" max="2" width="19.5" bestFit="1" customWidth="1"/>
    <col min="3" max="14" width="9.6640625" customWidth="1"/>
  </cols>
  <sheetData>
    <row r="1" spans="1:40">
      <c r="A1" s="120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40">
      <c r="C2" s="47"/>
      <c r="D2" s="47"/>
      <c r="E2" s="47"/>
      <c r="F2" s="47"/>
      <c r="G2" s="47"/>
      <c r="H2" s="85">
        <v>2018</v>
      </c>
      <c r="I2" s="47"/>
      <c r="J2" s="47"/>
      <c r="K2" s="47"/>
      <c r="L2" s="47"/>
      <c r="M2" s="47"/>
      <c r="N2" s="58"/>
    </row>
    <row r="3" spans="1:40">
      <c r="A3" s="1" t="s">
        <v>126</v>
      </c>
      <c r="B3" s="46" t="s">
        <v>56</v>
      </c>
      <c r="C3" s="47" t="s">
        <v>34</v>
      </c>
      <c r="D3" s="47" t="s">
        <v>35</v>
      </c>
      <c r="E3" s="47" t="s">
        <v>36</v>
      </c>
      <c r="F3" s="47" t="s">
        <v>37</v>
      </c>
      <c r="G3" s="47" t="s">
        <v>30</v>
      </c>
      <c r="H3" s="47" t="s">
        <v>228</v>
      </c>
      <c r="I3" s="47" t="s">
        <v>229</v>
      </c>
      <c r="J3" s="47" t="s">
        <v>38</v>
      </c>
      <c r="K3" s="47" t="s">
        <v>39</v>
      </c>
      <c r="L3" s="47" t="s">
        <v>31</v>
      </c>
      <c r="M3" s="47" t="s">
        <v>32</v>
      </c>
      <c r="N3" s="47" t="s">
        <v>33</v>
      </c>
    </row>
    <row r="4" spans="1:40">
      <c r="A4" s="83" t="s">
        <v>52</v>
      </c>
    </row>
    <row r="5" spans="1:40">
      <c r="A5" s="83" t="s">
        <v>227</v>
      </c>
    </row>
    <row r="6" spans="1:40">
      <c r="A6" t="s">
        <v>15</v>
      </c>
      <c r="B6" t="s">
        <v>99</v>
      </c>
      <c r="C6" s="19">
        <v>17.7</v>
      </c>
      <c r="D6" s="19">
        <v>18.3</v>
      </c>
      <c r="E6" s="19">
        <v>18.2</v>
      </c>
      <c r="F6" s="19">
        <v>17.5</v>
      </c>
      <c r="G6" s="16">
        <v>18.5</v>
      </c>
      <c r="H6" s="19">
        <v>17.2</v>
      </c>
      <c r="I6" s="19">
        <v>17.100000000000001</v>
      </c>
      <c r="J6" s="19">
        <v>15.3</v>
      </c>
      <c r="K6" s="19">
        <v>15.2</v>
      </c>
      <c r="L6" s="19">
        <v>15.6</v>
      </c>
      <c r="M6" s="19">
        <v>16.100000000000001</v>
      </c>
      <c r="N6" s="19">
        <v>16.3</v>
      </c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>
      <c r="A7" t="s">
        <v>14</v>
      </c>
      <c r="B7" t="s">
        <v>98</v>
      </c>
      <c r="C7" s="19">
        <v>139</v>
      </c>
      <c r="D7" s="19">
        <v>156</v>
      </c>
      <c r="E7" s="19" t="s">
        <v>72</v>
      </c>
      <c r="F7" s="19" t="s">
        <v>72</v>
      </c>
      <c r="G7" s="19" t="s">
        <v>72</v>
      </c>
      <c r="H7" s="19" t="s">
        <v>72</v>
      </c>
      <c r="I7" s="19" t="s">
        <v>72</v>
      </c>
      <c r="J7" s="19">
        <v>134</v>
      </c>
      <c r="K7" s="19">
        <v>141</v>
      </c>
      <c r="L7" s="19">
        <v>146</v>
      </c>
      <c r="M7" s="19">
        <v>152</v>
      </c>
      <c r="N7" s="19">
        <v>161</v>
      </c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>
      <c r="A8" t="s">
        <v>127</v>
      </c>
      <c r="B8" t="s">
        <v>97</v>
      </c>
      <c r="C8" s="19">
        <v>9.4</v>
      </c>
      <c r="D8" s="19">
        <v>10</v>
      </c>
      <c r="E8" s="19">
        <v>9.76</v>
      </c>
      <c r="F8" s="19">
        <v>9.92</v>
      </c>
      <c r="G8" s="19">
        <v>10.1</v>
      </c>
      <c r="H8" s="19">
        <v>10</v>
      </c>
      <c r="I8" s="19">
        <v>9.9600000000000009</v>
      </c>
      <c r="J8" s="19">
        <v>10.199999999999999</v>
      </c>
      <c r="K8" s="19">
        <v>9.7899999999999991</v>
      </c>
      <c r="L8" s="19">
        <v>9.7899999999999991</v>
      </c>
      <c r="M8" s="19">
        <v>10.199999999999999</v>
      </c>
      <c r="N8" s="19">
        <v>9.8699999999999992</v>
      </c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>
      <c r="A9" t="s">
        <v>62</v>
      </c>
      <c r="B9" t="s">
        <v>82</v>
      </c>
      <c r="C9" s="19">
        <v>22.9</v>
      </c>
      <c r="D9" s="19">
        <v>22.7</v>
      </c>
      <c r="E9" s="19">
        <v>24.4</v>
      </c>
      <c r="F9" s="19">
        <v>23.3</v>
      </c>
      <c r="G9" s="19">
        <v>22.7</v>
      </c>
      <c r="H9" s="19">
        <v>22.7</v>
      </c>
      <c r="I9" s="19">
        <v>22.4</v>
      </c>
      <c r="J9" s="19">
        <v>22</v>
      </c>
      <c r="K9" s="19">
        <v>22.3</v>
      </c>
      <c r="L9" s="19">
        <v>21.8</v>
      </c>
      <c r="M9" s="19">
        <v>21.6</v>
      </c>
      <c r="N9" s="19">
        <v>20.5</v>
      </c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 spans="1:40">
      <c r="A10" t="s">
        <v>61</v>
      </c>
      <c r="B10" t="s">
        <v>97</v>
      </c>
      <c r="C10" s="19">
        <v>9.3000000000000007</v>
      </c>
      <c r="D10" s="19">
        <v>9.5</v>
      </c>
      <c r="E10" s="19">
        <v>9.81</v>
      </c>
      <c r="F10" s="19">
        <v>9.85</v>
      </c>
      <c r="G10" s="19">
        <v>9.84</v>
      </c>
      <c r="H10" s="19">
        <v>9.5500000000000007</v>
      </c>
      <c r="I10" s="19">
        <v>9.08</v>
      </c>
      <c r="J10" s="19">
        <v>8.59</v>
      </c>
      <c r="K10" s="19">
        <v>8.7799999999999994</v>
      </c>
      <c r="L10" s="19">
        <v>8.59</v>
      </c>
      <c r="M10" s="19">
        <v>8.36</v>
      </c>
      <c r="N10" s="19">
        <v>8.56</v>
      </c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 spans="1:40">
      <c r="A11" t="s">
        <v>128</v>
      </c>
      <c r="B11" t="s">
        <v>99</v>
      </c>
      <c r="C11" s="19">
        <v>17.600000000000001</v>
      </c>
      <c r="D11" s="19">
        <v>17.7</v>
      </c>
      <c r="E11" s="19">
        <v>17.3</v>
      </c>
      <c r="F11" s="19">
        <v>18</v>
      </c>
      <c r="G11" s="19">
        <v>17.899999999999999</v>
      </c>
      <c r="H11" s="19">
        <v>17.7</v>
      </c>
      <c r="I11" s="19">
        <v>17.399999999999999</v>
      </c>
      <c r="J11" s="19">
        <v>16.899999999999999</v>
      </c>
      <c r="K11" s="19">
        <v>16.7</v>
      </c>
      <c r="L11" s="19">
        <v>16.7</v>
      </c>
      <c r="M11" s="19">
        <v>17</v>
      </c>
      <c r="N11" s="19">
        <v>16.899999999999999</v>
      </c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</row>
    <row r="12" spans="1:40">
      <c r="A12" t="s">
        <v>173</v>
      </c>
      <c r="B12" t="s">
        <v>99</v>
      </c>
      <c r="C12" s="19">
        <v>17.3</v>
      </c>
      <c r="D12" s="19">
        <v>17.3</v>
      </c>
      <c r="E12" s="19">
        <v>17</v>
      </c>
      <c r="F12" s="19">
        <v>17.5</v>
      </c>
      <c r="G12" s="19">
        <v>17.100000000000001</v>
      </c>
      <c r="H12" s="19">
        <v>17.2</v>
      </c>
      <c r="I12" s="19">
        <v>17.3</v>
      </c>
      <c r="J12" s="19">
        <v>16.2</v>
      </c>
      <c r="K12" s="19">
        <v>16.600000000000001</v>
      </c>
      <c r="L12" s="19">
        <v>16.3</v>
      </c>
      <c r="M12" s="19">
        <v>16.399999999999999</v>
      </c>
      <c r="N12" s="19">
        <v>16.2</v>
      </c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spans="1:40">
      <c r="A13" t="s">
        <v>129</v>
      </c>
      <c r="B13" t="s">
        <v>99</v>
      </c>
      <c r="C13" s="19">
        <v>19.8</v>
      </c>
      <c r="D13" s="19">
        <v>23.6</v>
      </c>
      <c r="E13" s="19">
        <v>21.5</v>
      </c>
      <c r="F13" s="19">
        <v>21.5</v>
      </c>
      <c r="G13" s="19">
        <v>23.2</v>
      </c>
      <c r="H13" s="19">
        <v>21.4</v>
      </c>
      <c r="I13" s="19">
        <v>19.5</v>
      </c>
      <c r="J13" s="19">
        <v>22.4</v>
      </c>
      <c r="K13" s="19">
        <v>19.3</v>
      </c>
      <c r="L13" s="19">
        <v>21.1</v>
      </c>
      <c r="M13" s="19">
        <v>22.9</v>
      </c>
      <c r="N13" s="19">
        <v>23.5</v>
      </c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</row>
    <row r="14" spans="1:40">
      <c r="A14" s="83" t="s">
        <v>130</v>
      </c>
    </row>
    <row r="15" spans="1:40">
      <c r="A15" t="s">
        <v>131</v>
      </c>
      <c r="B15" t="s">
        <v>99</v>
      </c>
      <c r="C15" s="19">
        <v>17.86</v>
      </c>
      <c r="D15" s="19">
        <v>17.93</v>
      </c>
      <c r="E15" s="19">
        <v>17.96</v>
      </c>
      <c r="F15" s="19">
        <v>18.670000000000002</v>
      </c>
      <c r="G15" s="19">
        <v>18.600000000000001</v>
      </c>
      <c r="H15" s="19">
        <v>17.84</v>
      </c>
      <c r="I15">
        <v>15.67</v>
      </c>
      <c r="J15">
        <v>15.61</v>
      </c>
      <c r="K15">
        <v>15.23</v>
      </c>
      <c r="L15">
        <v>15.84</v>
      </c>
      <c r="M15">
        <v>15.71</v>
      </c>
      <c r="N15">
        <v>15.87</v>
      </c>
    </row>
    <row r="16" spans="1:40">
      <c r="A16" t="s">
        <v>132</v>
      </c>
      <c r="B16" t="s">
        <v>98</v>
      </c>
      <c r="C16" s="19">
        <v>158.6</v>
      </c>
      <c r="D16" s="19">
        <v>158.75</v>
      </c>
      <c r="E16" s="19">
        <v>164.5</v>
      </c>
      <c r="F16" s="19">
        <v>164.5</v>
      </c>
      <c r="G16" s="19">
        <v>173.33</v>
      </c>
      <c r="H16" s="19">
        <v>179</v>
      </c>
      <c r="I16" s="19">
        <v>178.67</v>
      </c>
      <c r="J16" s="19">
        <v>174.25</v>
      </c>
      <c r="K16" s="19">
        <v>183.33</v>
      </c>
      <c r="L16" s="19">
        <v>161</v>
      </c>
      <c r="M16" s="19">
        <v>167.25</v>
      </c>
      <c r="N16" s="19">
        <v>174</v>
      </c>
    </row>
    <row r="17" spans="1:16">
      <c r="A17" t="s">
        <v>133</v>
      </c>
      <c r="B17" t="s">
        <v>97</v>
      </c>
      <c r="C17" s="19">
        <v>10.3</v>
      </c>
      <c r="D17" s="19">
        <v>10.3</v>
      </c>
      <c r="E17" s="19">
        <v>10.3</v>
      </c>
      <c r="F17" s="19">
        <v>10.3</v>
      </c>
      <c r="G17" s="19">
        <v>10.3</v>
      </c>
      <c r="H17" s="19">
        <v>10.3</v>
      </c>
      <c r="I17" s="19">
        <v>10.31</v>
      </c>
      <c r="J17" s="19">
        <v>10.4</v>
      </c>
      <c r="K17" s="19">
        <v>10.72</v>
      </c>
      <c r="L17" s="19">
        <v>11.1</v>
      </c>
      <c r="M17" s="19">
        <v>11.15</v>
      </c>
      <c r="N17" s="19">
        <v>11.1</v>
      </c>
    </row>
    <row r="18" spans="1:16">
      <c r="A18" t="s">
        <v>134</v>
      </c>
      <c r="B18" t="s">
        <v>97</v>
      </c>
      <c r="C18" s="19">
        <v>9.39</v>
      </c>
      <c r="D18" s="19">
        <v>9.75</v>
      </c>
      <c r="E18" s="19">
        <v>9.9499999999999993</v>
      </c>
      <c r="F18" s="19">
        <v>9.98</v>
      </c>
      <c r="G18" s="19">
        <v>9.86</v>
      </c>
      <c r="H18" s="19">
        <v>8.92</v>
      </c>
      <c r="I18" s="19">
        <v>8.1999999999999993</v>
      </c>
      <c r="J18" s="19">
        <v>8.23</v>
      </c>
      <c r="K18" s="19">
        <v>7.74</v>
      </c>
      <c r="L18" s="19">
        <v>7.92</v>
      </c>
      <c r="M18" s="19">
        <v>8.25</v>
      </c>
      <c r="N18" s="19">
        <v>8.5299999999999994</v>
      </c>
    </row>
    <row r="19" spans="1:16">
      <c r="A19" t="s">
        <v>135</v>
      </c>
      <c r="B19" t="s">
        <v>97</v>
      </c>
      <c r="C19" s="19">
        <v>10.14</v>
      </c>
      <c r="D19" s="19">
        <v>10.46</v>
      </c>
      <c r="E19" s="19">
        <v>10.8</v>
      </c>
      <c r="F19" s="19">
        <v>10.96</v>
      </c>
      <c r="G19" s="19">
        <v>10.75</v>
      </c>
      <c r="H19" s="19">
        <v>9.7899999999999991</v>
      </c>
      <c r="I19" s="19">
        <v>9.0399999999999991</v>
      </c>
      <c r="J19" s="19">
        <v>9.01</v>
      </c>
      <c r="K19" s="19">
        <v>8.3800000000000008</v>
      </c>
      <c r="L19" s="19">
        <v>8.7100000000000009</v>
      </c>
      <c r="M19" s="19">
        <v>8.99</v>
      </c>
      <c r="N19" s="19">
        <v>9.1999999999999993</v>
      </c>
    </row>
    <row r="20" spans="1:16">
      <c r="A20" t="s">
        <v>136</v>
      </c>
      <c r="B20" t="s">
        <v>99</v>
      </c>
      <c r="C20" s="19">
        <v>17.41</v>
      </c>
      <c r="D20" s="19">
        <v>17.23</v>
      </c>
      <c r="E20" s="19">
        <v>17.489999999999998</v>
      </c>
      <c r="F20" s="19">
        <v>17.72</v>
      </c>
      <c r="G20" s="19">
        <v>17.86</v>
      </c>
      <c r="H20" s="19">
        <v>18.07</v>
      </c>
      <c r="I20" s="19">
        <v>17.68</v>
      </c>
      <c r="J20" s="19">
        <v>17.309999999999999</v>
      </c>
      <c r="K20" s="19">
        <v>17.3</v>
      </c>
      <c r="L20">
        <v>16.989999999999998</v>
      </c>
      <c r="M20">
        <v>16.54</v>
      </c>
      <c r="N20">
        <v>16.89</v>
      </c>
    </row>
    <row r="21" spans="1:16">
      <c r="A21" s="83" t="s">
        <v>53</v>
      </c>
    </row>
    <row r="22" spans="1:16">
      <c r="A22" s="83" t="s">
        <v>137</v>
      </c>
    </row>
    <row r="23" spans="1:16">
      <c r="A23" t="s">
        <v>138</v>
      </c>
      <c r="B23" t="s">
        <v>82</v>
      </c>
      <c r="C23" s="19">
        <v>38.3125</v>
      </c>
      <c r="D23" s="19">
        <v>37.4375</v>
      </c>
      <c r="E23" s="19">
        <v>37.1</v>
      </c>
      <c r="F23" s="19">
        <v>37.3125</v>
      </c>
      <c r="G23" s="19">
        <v>38.25</v>
      </c>
      <c r="H23" s="19">
        <v>37.75</v>
      </c>
      <c r="I23" s="19">
        <v>38.6875</v>
      </c>
      <c r="J23" s="19">
        <v>38.75</v>
      </c>
      <c r="K23" s="19">
        <v>38.1875</v>
      </c>
      <c r="L23" s="19">
        <v>38.9375</v>
      </c>
      <c r="M23" s="19">
        <v>37.450000000000003</v>
      </c>
      <c r="N23" s="19">
        <v>36.75</v>
      </c>
    </row>
    <row r="24" spans="1:16">
      <c r="A24" t="s">
        <v>155</v>
      </c>
      <c r="B24" t="s">
        <v>82</v>
      </c>
      <c r="C24" s="19">
        <v>68.75</v>
      </c>
      <c r="D24" s="19">
        <v>66</v>
      </c>
      <c r="E24" s="19">
        <v>55.9</v>
      </c>
      <c r="F24" s="19">
        <v>58.75</v>
      </c>
      <c r="G24" s="19">
        <v>52.5</v>
      </c>
      <c r="H24" s="19">
        <v>46.2</v>
      </c>
      <c r="I24" s="19">
        <v>45</v>
      </c>
      <c r="J24" s="19">
        <v>45</v>
      </c>
      <c r="K24" s="19">
        <v>44.5</v>
      </c>
      <c r="L24" s="19">
        <v>43</v>
      </c>
      <c r="M24" s="19">
        <v>39</v>
      </c>
      <c r="N24" s="19">
        <v>37.5</v>
      </c>
      <c r="P24" s="129"/>
    </row>
    <row r="25" spans="1:16">
      <c r="A25" t="s">
        <v>139</v>
      </c>
      <c r="B25" t="s">
        <v>82</v>
      </c>
      <c r="C25" s="19">
        <v>30.675000000000001</v>
      </c>
      <c r="D25" s="19">
        <v>29.715</v>
      </c>
      <c r="E25" s="19">
        <v>29.659999999999997</v>
      </c>
      <c r="F25" s="19">
        <v>29.9375</v>
      </c>
      <c r="G25" s="19">
        <v>29.65</v>
      </c>
      <c r="H25" s="19">
        <v>29.54</v>
      </c>
      <c r="I25" s="19">
        <v>28.754999999999999</v>
      </c>
      <c r="J25" s="19">
        <v>26.799999999999997</v>
      </c>
      <c r="K25" s="19">
        <v>26.465</v>
      </c>
      <c r="L25" s="19">
        <v>27.19</v>
      </c>
      <c r="M25">
        <v>26.369999999999997</v>
      </c>
      <c r="N25">
        <v>26.46</v>
      </c>
      <c r="P25" s="129"/>
    </row>
    <row r="26" spans="1:16">
      <c r="A26" t="s">
        <v>156</v>
      </c>
      <c r="B26" t="s">
        <v>82</v>
      </c>
      <c r="C26" s="19">
        <v>23.79</v>
      </c>
      <c r="D26" s="19">
        <v>22.87</v>
      </c>
      <c r="E26" s="19">
        <v>23.15</v>
      </c>
      <c r="F26" s="19">
        <v>23.86</v>
      </c>
      <c r="G26" s="19">
        <v>24.1</v>
      </c>
      <c r="H26" s="19">
        <v>24.27</v>
      </c>
      <c r="I26" s="19">
        <v>26.37</v>
      </c>
      <c r="J26" s="19">
        <v>24.11</v>
      </c>
      <c r="K26" s="19">
        <v>24.87</v>
      </c>
      <c r="L26" s="19">
        <v>25.4</v>
      </c>
      <c r="M26" s="19">
        <v>25.23</v>
      </c>
      <c r="N26" s="19">
        <v>25.77</v>
      </c>
    </row>
    <row r="27" spans="1:16">
      <c r="A27" t="s">
        <v>140</v>
      </c>
      <c r="B27" t="s">
        <v>82</v>
      </c>
      <c r="C27" s="19">
        <v>32.75</v>
      </c>
      <c r="D27" s="19">
        <v>31.4375</v>
      </c>
      <c r="E27" s="19">
        <v>31.35</v>
      </c>
      <c r="F27" s="19">
        <v>31.1875</v>
      </c>
      <c r="G27" s="19">
        <v>31.25</v>
      </c>
      <c r="H27" s="19">
        <v>29.9</v>
      </c>
      <c r="I27" s="19">
        <v>28.75</v>
      </c>
      <c r="J27" s="19">
        <v>28.6</v>
      </c>
      <c r="K27" s="19">
        <v>28.875</v>
      </c>
      <c r="L27" s="19">
        <v>30.5625</v>
      </c>
      <c r="M27" s="19">
        <v>31.45</v>
      </c>
      <c r="N27" s="19">
        <v>32.0625</v>
      </c>
    </row>
    <row r="28" spans="1:16">
      <c r="A28" t="s">
        <v>141</v>
      </c>
      <c r="B28" t="s">
        <v>82</v>
      </c>
      <c r="C28" s="19">
        <v>32.08</v>
      </c>
      <c r="D28" s="19">
        <v>32.200000000000003</v>
      </c>
      <c r="E28" s="75" t="s">
        <v>72</v>
      </c>
      <c r="F28" s="75" t="s">
        <v>72</v>
      </c>
      <c r="G28" s="75" t="s">
        <v>72</v>
      </c>
      <c r="H28" s="16">
        <v>32.5</v>
      </c>
      <c r="I28" s="75" t="s">
        <v>72</v>
      </c>
      <c r="J28" s="19">
        <v>32.380000000000003</v>
      </c>
      <c r="K28" s="19">
        <v>32.93</v>
      </c>
      <c r="L28" s="19">
        <v>33</v>
      </c>
      <c r="M28" s="19">
        <v>34.33</v>
      </c>
      <c r="N28" s="19">
        <v>31</v>
      </c>
    </row>
    <row r="29" spans="1:16">
      <c r="A29" t="s">
        <v>157</v>
      </c>
      <c r="B29" t="s">
        <v>82</v>
      </c>
      <c r="C29" s="19">
        <v>34.125</v>
      </c>
      <c r="D29" s="19">
        <v>33.6875</v>
      </c>
      <c r="E29" s="19">
        <v>34.1</v>
      </c>
      <c r="F29" s="19">
        <v>33.8125</v>
      </c>
      <c r="G29" s="19">
        <v>32.875</v>
      </c>
      <c r="H29" s="19">
        <v>32.35</v>
      </c>
      <c r="I29" s="19">
        <v>30.375</v>
      </c>
      <c r="J29" s="19">
        <v>30.1</v>
      </c>
      <c r="K29" s="19">
        <v>29.9375</v>
      </c>
      <c r="L29" s="19">
        <v>29.625</v>
      </c>
      <c r="M29" s="19">
        <v>27</v>
      </c>
      <c r="N29" s="19">
        <v>27.125</v>
      </c>
    </row>
    <row r="30" spans="1:16">
      <c r="A30" t="s">
        <v>158</v>
      </c>
      <c r="B30" t="s">
        <v>82</v>
      </c>
      <c r="C30" s="19">
        <v>63.5</v>
      </c>
      <c r="D30" s="19">
        <v>62.9375</v>
      </c>
      <c r="E30" s="19">
        <v>62.75</v>
      </c>
      <c r="F30" s="19">
        <v>61.8125</v>
      </c>
      <c r="G30" s="19">
        <v>61.875</v>
      </c>
      <c r="H30" s="19">
        <v>61</v>
      </c>
      <c r="I30" s="19">
        <v>59.375</v>
      </c>
      <c r="J30" s="19">
        <v>59</v>
      </c>
      <c r="K30" s="19">
        <v>58.75</v>
      </c>
      <c r="L30" s="19">
        <v>58.375</v>
      </c>
      <c r="M30" s="19">
        <v>55.85</v>
      </c>
      <c r="N30" s="19">
        <v>55.6875</v>
      </c>
    </row>
    <row r="31" spans="1:16">
      <c r="A31" t="s">
        <v>159</v>
      </c>
      <c r="B31" t="s">
        <v>82</v>
      </c>
      <c r="C31" s="19">
        <v>66.125</v>
      </c>
      <c r="D31" s="19">
        <v>66.625</v>
      </c>
      <c r="E31" s="19">
        <v>67</v>
      </c>
      <c r="F31" s="19">
        <v>66.875</v>
      </c>
      <c r="G31" s="19">
        <v>66.5</v>
      </c>
      <c r="H31" s="19">
        <v>67.7</v>
      </c>
      <c r="I31" s="19">
        <v>68</v>
      </c>
      <c r="J31" s="19">
        <v>68</v>
      </c>
      <c r="K31" s="19">
        <v>67.625</v>
      </c>
      <c r="L31" s="19">
        <v>66.625</v>
      </c>
      <c r="M31" s="19">
        <v>64.8</v>
      </c>
      <c r="N31" s="19">
        <v>62.25</v>
      </c>
    </row>
    <row r="32" spans="1:16">
      <c r="A32" t="s">
        <v>160</v>
      </c>
      <c r="B32" t="s">
        <v>82</v>
      </c>
      <c r="C32" s="19">
        <v>31.61</v>
      </c>
      <c r="D32" s="19">
        <v>30.63</v>
      </c>
      <c r="E32" s="19">
        <v>30.28</v>
      </c>
      <c r="F32" s="19">
        <v>29.7</v>
      </c>
      <c r="G32" s="19">
        <v>29.4</v>
      </c>
      <c r="H32" s="19">
        <v>28.3</v>
      </c>
      <c r="I32" s="19">
        <v>27.21</v>
      </c>
      <c r="J32" s="19">
        <v>27.6</v>
      </c>
      <c r="K32" s="19">
        <v>27.73</v>
      </c>
      <c r="L32" s="19">
        <v>28.89</v>
      </c>
      <c r="M32">
        <v>27.49</v>
      </c>
      <c r="N32">
        <v>28.14</v>
      </c>
    </row>
    <row r="33" spans="1:15">
      <c r="A33" t="s">
        <v>142</v>
      </c>
      <c r="B33" t="s">
        <v>82</v>
      </c>
      <c r="C33" s="19">
        <v>55.5</v>
      </c>
      <c r="D33" s="19">
        <v>55</v>
      </c>
      <c r="E33" s="19">
        <v>54</v>
      </c>
      <c r="F33" s="19">
        <v>54</v>
      </c>
      <c r="G33" s="19">
        <v>54</v>
      </c>
      <c r="H33" s="19">
        <v>54</v>
      </c>
      <c r="I33" s="19">
        <v>54</v>
      </c>
      <c r="J33" s="19">
        <v>54</v>
      </c>
      <c r="K33" s="19">
        <v>54</v>
      </c>
      <c r="L33" s="19">
        <v>54</v>
      </c>
      <c r="M33" s="19">
        <v>52.8</v>
      </c>
      <c r="N33" s="19">
        <v>53.5</v>
      </c>
    </row>
    <row r="34" spans="1:15">
      <c r="A34" t="s">
        <v>143</v>
      </c>
      <c r="B34" t="s">
        <v>82</v>
      </c>
      <c r="C34" s="75" t="s">
        <v>72</v>
      </c>
      <c r="D34" s="19">
        <v>31</v>
      </c>
      <c r="E34" s="75" t="s">
        <v>72</v>
      </c>
      <c r="F34" s="19">
        <v>29.5</v>
      </c>
      <c r="G34" s="19">
        <v>29</v>
      </c>
      <c r="H34" s="19">
        <v>30</v>
      </c>
      <c r="I34" s="19">
        <v>32.47</v>
      </c>
      <c r="J34" s="19">
        <v>32</v>
      </c>
      <c r="K34" s="19">
        <v>31</v>
      </c>
      <c r="L34" s="19">
        <v>31.29</v>
      </c>
      <c r="M34" s="19">
        <v>33.56</v>
      </c>
      <c r="N34" s="19">
        <v>32.5</v>
      </c>
    </row>
    <row r="35" spans="1:15">
      <c r="A35" s="22" t="s">
        <v>144</v>
      </c>
      <c r="B35" t="s">
        <v>82</v>
      </c>
      <c r="C35" s="75" t="s">
        <v>72</v>
      </c>
      <c r="D35" s="75" t="s">
        <v>72</v>
      </c>
      <c r="E35" s="75" t="s">
        <v>72</v>
      </c>
      <c r="F35" s="75" t="s">
        <v>72</v>
      </c>
      <c r="G35" s="19">
        <v>22.35</v>
      </c>
      <c r="H35" s="75" t="s">
        <v>72</v>
      </c>
      <c r="I35" s="75" t="s">
        <v>72</v>
      </c>
      <c r="J35" s="75" t="s">
        <v>72</v>
      </c>
      <c r="K35" s="75" t="s">
        <v>72</v>
      </c>
      <c r="L35" s="75" t="s">
        <v>72</v>
      </c>
      <c r="M35" s="75" t="s">
        <v>72</v>
      </c>
      <c r="N35" s="75" t="s">
        <v>72</v>
      </c>
      <c r="O35" s="16"/>
    </row>
    <row r="36" spans="1:15">
      <c r="A36" s="22" t="s">
        <v>77</v>
      </c>
      <c r="B36" s="22" t="s">
        <v>100</v>
      </c>
      <c r="C36" s="19">
        <v>3.26</v>
      </c>
      <c r="D36" s="19">
        <v>3.18</v>
      </c>
      <c r="E36" s="19">
        <v>3.2169999999999996</v>
      </c>
      <c r="F36" s="19">
        <v>3.1412499999999999</v>
      </c>
      <c r="G36" s="19">
        <v>3.14</v>
      </c>
      <c r="H36" s="75" t="s">
        <v>72</v>
      </c>
      <c r="I36" s="19">
        <v>2.915</v>
      </c>
      <c r="J36" s="19">
        <v>3.15</v>
      </c>
      <c r="K36" s="75" t="s">
        <v>72</v>
      </c>
      <c r="L36" s="19">
        <v>3</v>
      </c>
      <c r="M36" s="19">
        <v>2.8375000000000004</v>
      </c>
      <c r="N36" s="19">
        <v>2.8</v>
      </c>
      <c r="O36" s="16"/>
    </row>
    <row r="37" spans="1:15">
      <c r="A37" s="83" t="s">
        <v>54</v>
      </c>
    </row>
    <row r="38" spans="1:15">
      <c r="A38" t="s">
        <v>161</v>
      </c>
      <c r="B38" t="s">
        <v>98</v>
      </c>
      <c r="C38" s="19">
        <v>270.2</v>
      </c>
      <c r="D38" s="19">
        <v>315.95</v>
      </c>
      <c r="E38" s="19">
        <v>334.58</v>
      </c>
      <c r="F38" s="19">
        <v>332.16</v>
      </c>
      <c r="G38" s="19">
        <v>336.93</v>
      </c>
      <c r="H38" s="19">
        <v>302.75</v>
      </c>
      <c r="I38" s="19">
        <v>279.83999999999997</v>
      </c>
      <c r="J38" s="19">
        <v>274.55</v>
      </c>
      <c r="K38" s="19">
        <v>266.86</v>
      </c>
      <c r="L38" s="19">
        <v>279.39999999999998</v>
      </c>
      <c r="M38" s="19">
        <v>279.05</v>
      </c>
      <c r="N38" s="19">
        <v>291.42</v>
      </c>
    </row>
    <row r="39" spans="1:15">
      <c r="A39" t="s">
        <v>162</v>
      </c>
      <c r="B39" t="s">
        <v>98</v>
      </c>
      <c r="C39" s="19">
        <v>259</v>
      </c>
      <c r="D39" s="19">
        <v>303.13</v>
      </c>
      <c r="E39" s="19">
        <v>323.13</v>
      </c>
      <c r="F39" s="19">
        <v>263.13</v>
      </c>
      <c r="G39" s="19">
        <v>262.5</v>
      </c>
      <c r="H39" s="19">
        <v>257.5</v>
      </c>
      <c r="I39" s="19">
        <v>253.13</v>
      </c>
      <c r="J39" s="19">
        <v>260</v>
      </c>
      <c r="K39" s="19">
        <v>258.75</v>
      </c>
      <c r="L39" s="19">
        <v>249</v>
      </c>
      <c r="M39" s="19">
        <v>240</v>
      </c>
      <c r="N39" s="19">
        <v>243.75</v>
      </c>
    </row>
    <row r="40" spans="1:15">
      <c r="A40" t="s">
        <v>163</v>
      </c>
      <c r="B40" t="s">
        <v>98</v>
      </c>
      <c r="C40" s="19">
        <v>215.5</v>
      </c>
      <c r="D40" s="19">
        <v>233.13</v>
      </c>
      <c r="E40" s="19">
        <v>237.5</v>
      </c>
      <c r="F40" s="19">
        <v>238.13</v>
      </c>
      <c r="G40" s="19">
        <v>267.5</v>
      </c>
      <c r="H40" s="19">
        <v>271.25</v>
      </c>
      <c r="I40" s="19">
        <v>278</v>
      </c>
      <c r="J40" s="19">
        <v>265.625</v>
      </c>
      <c r="K40" s="19">
        <v>235</v>
      </c>
      <c r="L40" s="19">
        <v>196.5</v>
      </c>
      <c r="M40" s="19">
        <v>209.38</v>
      </c>
      <c r="N40" s="19">
        <v>225.83</v>
      </c>
    </row>
    <row r="41" spans="1:15">
      <c r="A41" t="s">
        <v>145</v>
      </c>
      <c r="B41" t="s">
        <v>98</v>
      </c>
      <c r="C41" s="19">
        <v>322.60000000000002</v>
      </c>
      <c r="D41" s="19">
        <v>362.85</v>
      </c>
      <c r="E41" s="19">
        <v>379.85</v>
      </c>
      <c r="F41" s="19">
        <v>385.84</v>
      </c>
      <c r="G41" s="19">
        <v>393.55</v>
      </c>
      <c r="H41" s="19">
        <v>355.71</v>
      </c>
      <c r="I41" s="19">
        <v>341.08</v>
      </c>
      <c r="J41" s="19">
        <v>332.5</v>
      </c>
      <c r="K41" s="19">
        <v>318.32</v>
      </c>
      <c r="L41" s="19">
        <v>319.14999999999998</v>
      </c>
      <c r="M41" s="19">
        <v>310.62</v>
      </c>
      <c r="N41" s="19">
        <v>311.7</v>
      </c>
    </row>
    <row r="42" spans="1:15">
      <c r="A42" t="s">
        <v>164</v>
      </c>
      <c r="B42" t="s">
        <v>98</v>
      </c>
      <c r="C42" s="19">
        <v>178</v>
      </c>
      <c r="D42" s="19">
        <v>185.63</v>
      </c>
      <c r="E42" s="19">
        <v>187.5</v>
      </c>
      <c r="F42" s="19">
        <v>191.88</v>
      </c>
      <c r="G42" s="19">
        <v>201.5</v>
      </c>
      <c r="H42" s="19">
        <v>175.63</v>
      </c>
      <c r="I42" s="19">
        <v>155.5</v>
      </c>
      <c r="J42" s="19">
        <v>153.13</v>
      </c>
      <c r="K42" s="19">
        <v>150.63</v>
      </c>
      <c r="L42" s="19">
        <v>164</v>
      </c>
      <c r="M42" s="19">
        <v>171.25</v>
      </c>
      <c r="N42" s="19">
        <v>187.5</v>
      </c>
    </row>
    <row r="43" spans="1:15">
      <c r="A43" s="83" t="s">
        <v>75</v>
      </c>
    </row>
    <row r="44" spans="1:15">
      <c r="A44" s="83" t="s">
        <v>146</v>
      </c>
    </row>
    <row r="45" spans="1:15">
      <c r="A45" t="s">
        <v>147</v>
      </c>
      <c r="B45" t="s">
        <v>55</v>
      </c>
      <c r="C45" s="75" t="s">
        <v>72</v>
      </c>
      <c r="D45" s="75" t="s">
        <v>72</v>
      </c>
      <c r="E45" s="75" t="s">
        <v>72</v>
      </c>
      <c r="F45" s="75" t="s">
        <v>72</v>
      </c>
      <c r="G45" s="75" t="s">
        <v>72</v>
      </c>
      <c r="H45" s="75" t="s">
        <v>72</v>
      </c>
      <c r="I45" s="75" t="s">
        <v>72</v>
      </c>
      <c r="J45" s="75" t="s">
        <v>72</v>
      </c>
      <c r="K45" s="75" t="s">
        <v>72</v>
      </c>
      <c r="L45" s="75" t="s">
        <v>72</v>
      </c>
      <c r="M45" s="75" t="s">
        <v>72</v>
      </c>
      <c r="N45" s="75" t="s">
        <v>72</v>
      </c>
    </row>
    <row r="46" spans="1:15">
      <c r="A46" s="83" t="s">
        <v>148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5">
      <c r="A47" t="s">
        <v>149</v>
      </c>
      <c r="B47" t="s">
        <v>55</v>
      </c>
      <c r="C47" s="18">
        <v>322.10000000000002</v>
      </c>
      <c r="D47" s="18">
        <v>319.3</v>
      </c>
      <c r="E47" s="18">
        <v>318.3</v>
      </c>
      <c r="F47" s="18">
        <v>316.5</v>
      </c>
      <c r="G47" s="18">
        <v>317.10000000000002</v>
      </c>
      <c r="H47" s="18">
        <v>321</v>
      </c>
      <c r="I47" s="18">
        <v>318</v>
      </c>
      <c r="J47" s="18">
        <v>317.3</v>
      </c>
      <c r="K47" s="18">
        <v>316.8</v>
      </c>
      <c r="L47" s="18">
        <v>317.5</v>
      </c>
      <c r="M47" s="18">
        <v>318</v>
      </c>
      <c r="N47" s="18">
        <v>317.7</v>
      </c>
    </row>
    <row r="48" spans="1:15">
      <c r="A48" t="s">
        <v>150</v>
      </c>
      <c r="B48" t="s">
        <v>55</v>
      </c>
      <c r="C48" s="18">
        <v>259.60000000000002</v>
      </c>
      <c r="D48" s="18">
        <v>259.8</v>
      </c>
      <c r="E48" s="18">
        <v>259</v>
      </c>
      <c r="F48" s="18">
        <v>257.89999999999998</v>
      </c>
      <c r="G48" s="18">
        <v>249</v>
      </c>
      <c r="H48" s="18">
        <v>249.7</v>
      </c>
      <c r="I48" s="18">
        <v>247.4</v>
      </c>
      <c r="J48" s="18">
        <v>245.1</v>
      </c>
      <c r="K48" s="18">
        <v>243.4</v>
      </c>
      <c r="L48" s="18">
        <v>245.2</v>
      </c>
      <c r="M48" s="18">
        <v>244.2</v>
      </c>
      <c r="N48" s="18">
        <v>248.4</v>
      </c>
    </row>
    <row r="49" spans="1:14">
      <c r="A49" t="s">
        <v>151</v>
      </c>
      <c r="B49" t="s">
        <v>55</v>
      </c>
      <c r="C49" s="18">
        <v>222.6</v>
      </c>
      <c r="D49" s="18">
        <v>214.4</v>
      </c>
      <c r="E49" s="18">
        <v>211.7</v>
      </c>
      <c r="F49" s="18">
        <v>209.9</v>
      </c>
      <c r="G49" s="18">
        <v>207.2</v>
      </c>
      <c r="H49" s="18">
        <v>188.9</v>
      </c>
      <c r="I49" s="18">
        <v>187.2</v>
      </c>
      <c r="J49" s="18">
        <v>184.4</v>
      </c>
      <c r="K49" s="18">
        <v>189.2</v>
      </c>
      <c r="L49" s="18">
        <v>187.7</v>
      </c>
      <c r="M49" s="18">
        <v>188.9</v>
      </c>
      <c r="N49" s="18">
        <v>191</v>
      </c>
    </row>
    <row r="50" spans="1:14">
      <c r="A50" s="1" t="s">
        <v>152</v>
      </c>
      <c r="B50" s="1" t="s">
        <v>80</v>
      </c>
      <c r="C50" s="25">
        <v>143.30000000000001</v>
      </c>
      <c r="D50" s="25">
        <v>143.9</v>
      </c>
      <c r="E50" s="25">
        <v>142.5</v>
      </c>
      <c r="F50" s="25">
        <v>142.9</v>
      </c>
      <c r="G50" s="25">
        <v>143.4</v>
      </c>
      <c r="H50" s="25">
        <v>142.30000000000001</v>
      </c>
      <c r="I50" s="25">
        <v>142.69999999999999</v>
      </c>
      <c r="J50" s="25">
        <v>143.1</v>
      </c>
      <c r="K50" s="25">
        <v>143.5</v>
      </c>
      <c r="L50" s="25">
        <v>142.4</v>
      </c>
      <c r="M50" s="25">
        <v>142.30000000000001</v>
      </c>
      <c r="N50" s="25">
        <v>143.69999999999999</v>
      </c>
    </row>
    <row r="51" spans="1:14">
      <c r="A51" s="22" t="s">
        <v>174</v>
      </c>
      <c r="N51" s="27"/>
    </row>
    <row r="52" spans="1:14">
      <c r="A52" s="22" t="s">
        <v>202</v>
      </c>
      <c r="M52" s="17"/>
    </row>
    <row r="53" spans="1:14" ht="10.15" customHeight="1">
      <c r="A53" s="22" t="s">
        <v>186</v>
      </c>
      <c r="K53" s="29"/>
      <c r="M53" s="33"/>
    </row>
    <row r="54" spans="1:14">
      <c r="N54" s="128" t="s">
        <v>191</v>
      </c>
    </row>
  </sheetData>
  <pageMargins left="0.7" right="0.7" top="0.75" bottom="0.75" header="0.3" footer="0.3"/>
  <pageSetup scale="80" firstPageNumber="39" orientation="landscape" useFirstPageNumber="1" r:id="rId1"/>
  <headerFooter alignWithMargins="0">
    <oddFooter>&amp;C&amp;P
Oil Crops Yearbook/OCS-2020
March 2020
Economic Research Service, USDA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D3F8-858E-4EC3-85F6-82A20064DB27}">
  <sheetPr>
    <pageSetUpPr fitToPage="1"/>
  </sheetPr>
  <dimension ref="A1:AN54"/>
  <sheetViews>
    <sheetView zoomScaleNormal="100" zoomScaleSheetLayoutView="100" workbookViewId="0">
      <pane xSplit="2" ySplit="3" topLeftCell="C4" activePane="bottomRight" state="frozen"/>
      <selection activeCell="H3" sqref="H3:I3"/>
      <selection pane="topRight" activeCell="H3" sqref="H3:I3"/>
      <selection pane="bottomLeft" activeCell="H3" sqref="H3:I3"/>
      <selection pane="bottomRight" activeCell="H3" sqref="H3:I3"/>
    </sheetView>
  </sheetViews>
  <sheetFormatPr defaultColWidth="9.33203125" defaultRowHeight="11.25"/>
  <cols>
    <col min="1" max="1" width="52.5" style="29" customWidth="1"/>
    <col min="2" max="2" width="19.5" style="29" bestFit="1" customWidth="1"/>
    <col min="3" max="3" width="8.1640625" style="29" bestFit="1" customWidth="1"/>
    <col min="4" max="14" width="9.6640625" style="29" customWidth="1"/>
    <col min="15" max="16384" width="9.33203125" style="29"/>
  </cols>
  <sheetData>
    <row r="1" spans="1:40">
      <c r="A1" s="120" t="s">
        <v>201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40">
      <c r="A2"/>
      <c r="B2"/>
      <c r="C2" s="47"/>
      <c r="D2" s="47"/>
      <c r="E2" s="47"/>
      <c r="F2" s="47"/>
      <c r="G2" s="47"/>
      <c r="H2" s="85">
        <v>2019</v>
      </c>
      <c r="I2" s="47"/>
      <c r="J2" s="47"/>
      <c r="K2" s="47"/>
      <c r="L2" s="47"/>
      <c r="M2" s="47"/>
      <c r="N2" s="58"/>
    </row>
    <row r="3" spans="1:40">
      <c r="A3" s="1" t="s">
        <v>126</v>
      </c>
      <c r="B3" s="46" t="s">
        <v>56</v>
      </c>
      <c r="C3" s="47" t="s">
        <v>34</v>
      </c>
      <c r="D3" s="47" t="s">
        <v>35</v>
      </c>
      <c r="E3" s="47" t="s">
        <v>36</v>
      </c>
      <c r="F3" s="47" t="s">
        <v>37</v>
      </c>
      <c r="G3" s="47" t="s">
        <v>30</v>
      </c>
      <c r="H3" s="47" t="s">
        <v>228</v>
      </c>
      <c r="I3" s="47" t="s">
        <v>229</v>
      </c>
      <c r="J3" s="47" t="s">
        <v>38</v>
      </c>
      <c r="K3" s="47" t="s">
        <v>39</v>
      </c>
      <c r="L3" s="47" t="s">
        <v>31</v>
      </c>
      <c r="M3" s="47" t="s">
        <v>32</v>
      </c>
      <c r="N3" s="47" t="s">
        <v>33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1:40">
      <c r="A4" s="83" t="s">
        <v>52</v>
      </c>
      <c r="B4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1:40">
      <c r="A5" s="83" t="s">
        <v>227</v>
      </c>
      <c r="B5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>
      <c r="A6" t="s">
        <v>15</v>
      </c>
      <c r="B6" t="s">
        <v>99</v>
      </c>
      <c r="C6" s="19">
        <v>16.7</v>
      </c>
      <c r="D6" s="19">
        <v>16.2</v>
      </c>
      <c r="E6" s="19">
        <v>15.8</v>
      </c>
      <c r="F6" s="19">
        <v>15.8</v>
      </c>
      <c r="G6" s="19">
        <v>15.2</v>
      </c>
      <c r="H6" s="19">
        <v>14.9</v>
      </c>
      <c r="I6" s="19">
        <v>14.9</v>
      </c>
      <c r="J6" s="19">
        <v>14.5</v>
      </c>
      <c r="K6" s="19">
        <v>14.2</v>
      </c>
      <c r="L6" s="19">
        <v>14.2</v>
      </c>
      <c r="M6" s="19">
        <v>14.3</v>
      </c>
      <c r="N6" s="19">
        <v>14.7</v>
      </c>
      <c r="P6"/>
      <c r="Q6"/>
      <c r="R6"/>
      <c r="S6"/>
      <c r="T6"/>
      <c r="U6"/>
      <c r="V6"/>
      <c r="W6"/>
      <c r="X6"/>
      <c r="Y6"/>
      <c r="Z6"/>
      <c r="AA6"/>
      <c r="AB6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>
      <c r="A7" t="s">
        <v>14</v>
      </c>
      <c r="B7" t="s">
        <v>98</v>
      </c>
      <c r="C7" s="19">
        <v>170</v>
      </c>
      <c r="D7" s="19">
        <v>174</v>
      </c>
      <c r="E7" s="16" t="s">
        <v>72</v>
      </c>
      <c r="F7" s="16" t="s">
        <v>72</v>
      </c>
      <c r="G7" s="16" t="s">
        <v>72</v>
      </c>
      <c r="H7" s="16" t="s">
        <v>72</v>
      </c>
      <c r="I7" s="16" t="s">
        <v>72</v>
      </c>
      <c r="J7" s="19">
        <v>149</v>
      </c>
      <c r="K7" s="19">
        <v>148</v>
      </c>
      <c r="L7" s="19">
        <v>152</v>
      </c>
      <c r="M7" s="19">
        <v>162</v>
      </c>
      <c r="N7" s="19">
        <v>163</v>
      </c>
      <c r="P7"/>
      <c r="Q7"/>
      <c r="R7"/>
      <c r="S7"/>
      <c r="T7"/>
      <c r="U7"/>
      <c r="V7"/>
      <c r="W7"/>
      <c r="X7"/>
      <c r="Y7"/>
      <c r="Z7"/>
      <c r="AA7"/>
      <c r="AB7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>
      <c r="A8" t="s">
        <v>127</v>
      </c>
      <c r="B8" t="s">
        <v>97</v>
      </c>
      <c r="C8" s="19">
        <v>9.85</v>
      </c>
      <c r="D8" s="19">
        <v>9.7899999999999991</v>
      </c>
      <c r="E8" s="19">
        <v>10.1</v>
      </c>
      <c r="F8" s="19">
        <v>9.93</v>
      </c>
      <c r="G8" s="19">
        <v>9.5399999999999991</v>
      </c>
      <c r="H8" s="19">
        <v>9.08</v>
      </c>
      <c r="I8" s="19">
        <v>9.1</v>
      </c>
      <c r="J8" s="19">
        <v>8.83</v>
      </c>
      <c r="K8" s="19">
        <v>8.84</v>
      </c>
      <c r="L8" s="19">
        <v>9.01</v>
      </c>
      <c r="M8" s="19">
        <v>8.6999999999999993</v>
      </c>
      <c r="N8" s="19">
        <v>8.91</v>
      </c>
      <c r="P8"/>
      <c r="Q8"/>
      <c r="R8"/>
      <c r="S8"/>
      <c r="T8"/>
      <c r="U8"/>
      <c r="V8"/>
      <c r="W8"/>
      <c r="X8"/>
      <c r="Y8"/>
      <c r="Z8"/>
      <c r="AA8"/>
      <c r="AB8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>
      <c r="A9" t="s">
        <v>62</v>
      </c>
      <c r="B9" t="s">
        <v>82</v>
      </c>
      <c r="C9" s="19">
        <v>22.7</v>
      </c>
      <c r="D9" s="19">
        <v>22.3</v>
      </c>
      <c r="E9" s="19">
        <v>19.8</v>
      </c>
      <c r="F9" s="19">
        <v>20.3</v>
      </c>
      <c r="G9" s="19">
        <v>20.5</v>
      </c>
      <c r="H9" s="19">
        <v>21.5</v>
      </c>
      <c r="I9" s="19">
        <v>20.6</v>
      </c>
      <c r="J9" s="19">
        <v>20.5</v>
      </c>
      <c r="K9" s="19">
        <v>19.8</v>
      </c>
      <c r="L9" s="19">
        <v>20.399999999999999</v>
      </c>
      <c r="M9" s="19">
        <v>19.2</v>
      </c>
      <c r="N9" s="19">
        <v>19.600000000000001</v>
      </c>
      <c r="P9"/>
      <c r="Q9"/>
      <c r="R9"/>
      <c r="S9"/>
      <c r="T9"/>
      <c r="U9"/>
      <c r="V9"/>
      <c r="W9"/>
      <c r="X9"/>
      <c r="Y9"/>
      <c r="Z9"/>
      <c r="AA9"/>
      <c r="AB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 spans="1:40">
      <c r="A10" t="s">
        <v>61</v>
      </c>
      <c r="B10" t="s">
        <v>97</v>
      </c>
      <c r="C10" s="19">
        <v>8.64</v>
      </c>
      <c r="D10" s="19">
        <v>8.52</v>
      </c>
      <c r="E10" s="19">
        <v>8.52</v>
      </c>
      <c r="F10" s="19">
        <v>8.2799999999999994</v>
      </c>
      <c r="G10" s="19">
        <v>8.02</v>
      </c>
      <c r="H10" s="19">
        <v>8.31</v>
      </c>
      <c r="I10" s="19">
        <v>8.3800000000000008</v>
      </c>
      <c r="J10" s="19">
        <v>8.2200000000000006</v>
      </c>
      <c r="K10" s="19">
        <v>8.35</v>
      </c>
      <c r="L10" s="19">
        <v>8.6</v>
      </c>
      <c r="M10" s="19">
        <v>8.59</v>
      </c>
      <c r="N10" s="19">
        <v>8.6999999999999993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 spans="1:40">
      <c r="A11" t="s">
        <v>128</v>
      </c>
      <c r="B11" t="s">
        <v>99</v>
      </c>
      <c r="C11" s="19">
        <v>17.3</v>
      </c>
      <c r="D11" s="19">
        <v>18</v>
      </c>
      <c r="E11" s="19">
        <v>17.8</v>
      </c>
      <c r="F11" s="19">
        <v>17.600000000000001</v>
      </c>
      <c r="G11" s="19">
        <v>18.3</v>
      </c>
      <c r="H11" s="19">
        <v>17.899999999999999</v>
      </c>
      <c r="I11" s="19">
        <v>18</v>
      </c>
      <c r="J11" s="19">
        <v>17.8</v>
      </c>
      <c r="K11" s="19">
        <v>18.5</v>
      </c>
      <c r="L11" s="19">
        <v>17.5</v>
      </c>
      <c r="M11" s="19">
        <v>17.7</v>
      </c>
      <c r="N11" s="19">
        <v>17.8</v>
      </c>
      <c r="AC11" s="19"/>
      <c r="AD11" s="19"/>
      <c r="AE11" s="19"/>
      <c r="AF11" s="19"/>
      <c r="AG11" s="19"/>
      <c r="AH11" s="19"/>
      <c r="AI11" s="19"/>
      <c r="AJ11" s="19"/>
      <c r="AK11" s="19"/>
      <c r="AL11" s="132"/>
      <c r="AM11" s="132"/>
      <c r="AN11" s="132"/>
    </row>
    <row r="12" spans="1:40">
      <c r="A12" t="s">
        <v>173</v>
      </c>
      <c r="B12" t="s">
        <v>99</v>
      </c>
      <c r="C12" s="19">
        <v>16.8</v>
      </c>
      <c r="D12" s="19">
        <v>17.399999999999999</v>
      </c>
      <c r="E12" s="19">
        <v>17.7</v>
      </c>
      <c r="F12" s="19">
        <v>17</v>
      </c>
      <c r="G12" s="19">
        <v>16.899999999999999</v>
      </c>
      <c r="H12" s="19">
        <v>16.899999999999999</v>
      </c>
      <c r="I12" s="19">
        <v>16.600000000000001</v>
      </c>
      <c r="J12" s="19">
        <v>16.899999999999999</v>
      </c>
      <c r="K12" s="16">
        <v>17.600000000000001</v>
      </c>
      <c r="L12" s="16">
        <v>17</v>
      </c>
      <c r="M12" s="16">
        <v>17.5</v>
      </c>
      <c r="N12" s="16">
        <v>17.7</v>
      </c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spans="1:40">
      <c r="A13" t="s">
        <v>129</v>
      </c>
      <c r="B13" t="s">
        <v>99</v>
      </c>
      <c r="C13" s="19">
        <v>24.7</v>
      </c>
      <c r="D13" s="19">
        <v>23.1</v>
      </c>
      <c r="E13" s="19">
        <v>18.5</v>
      </c>
      <c r="F13" s="19">
        <v>21.3</v>
      </c>
      <c r="G13" s="19">
        <v>24.8</v>
      </c>
      <c r="H13" s="19">
        <v>22.8</v>
      </c>
      <c r="I13" s="19">
        <v>22.6</v>
      </c>
      <c r="J13" s="19">
        <v>25.3</v>
      </c>
      <c r="K13" s="16" t="s">
        <v>72</v>
      </c>
      <c r="L13" s="16">
        <v>27.2</v>
      </c>
      <c r="M13" s="16">
        <v>20.100000000000001</v>
      </c>
      <c r="N13" s="16">
        <v>20.3</v>
      </c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</row>
    <row r="14" spans="1:40">
      <c r="A14" s="83" t="s">
        <v>130</v>
      </c>
      <c r="B14"/>
      <c r="C14"/>
      <c r="D14"/>
      <c r="E14"/>
      <c r="F14"/>
      <c r="G14"/>
      <c r="H14"/>
      <c r="I14"/>
      <c r="J14"/>
      <c r="K14"/>
      <c r="L14"/>
      <c r="M14"/>
      <c r="N14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</row>
    <row r="15" spans="1:40">
      <c r="A15" t="s">
        <v>131</v>
      </c>
      <c r="B15" t="s">
        <v>99</v>
      </c>
      <c r="C15" s="19">
        <v>16.34</v>
      </c>
      <c r="D15" s="19">
        <v>16.21</v>
      </c>
      <c r="E15" s="19">
        <v>15.48</v>
      </c>
      <c r="F15" s="19">
        <v>15.53</v>
      </c>
      <c r="G15" s="19">
        <v>14.98</v>
      </c>
      <c r="H15" s="19">
        <v>15.14</v>
      </c>
      <c r="I15" s="19">
        <v>14.32</v>
      </c>
      <c r="J15" s="19">
        <v>14.16</v>
      </c>
      <c r="K15" s="19">
        <v>14.26</v>
      </c>
      <c r="L15" s="19">
        <v>14.65</v>
      </c>
      <c r="M15" s="19">
        <v>14.88</v>
      </c>
      <c r="N15" s="19">
        <v>15.3</v>
      </c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</row>
    <row r="16" spans="1:40">
      <c r="A16" t="s">
        <v>132</v>
      </c>
      <c r="B16" t="s">
        <v>98</v>
      </c>
      <c r="C16" s="19">
        <v>182.5</v>
      </c>
      <c r="D16" s="19">
        <v>180</v>
      </c>
      <c r="E16" s="19">
        <v>179</v>
      </c>
      <c r="F16" s="19">
        <v>192</v>
      </c>
      <c r="G16" s="19">
        <v>198.33</v>
      </c>
      <c r="H16" s="19">
        <v>229</v>
      </c>
      <c r="I16" s="19">
        <v>273.2</v>
      </c>
      <c r="J16" s="19">
        <v>262.5</v>
      </c>
      <c r="K16" s="19">
        <v>270</v>
      </c>
      <c r="L16" s="19">
        <v>195</v>
      </c>
      <c r="M16" s="19">
        <v>186.67</v>
      </c>
      <c r="N16" s="19">
        <v>188.33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 spans="1:40">
      <c r="A17" t="s">
        <v>133</v>
      </c>
      <c r="B17" t="s">
        <v>97</v>
      </c>
      <c r="C17" s="19">
        <v>11.05</v>
      </c>
      <c r="D17" s="19">
        <v>11.05</v>
      </c>
      <c r="E17" s="19">
        <v>11.05</v>
      </c>
      <c r="F17" s="19">
        <v>10.69</v>
      </c>
      <c r="G17" s="19">
        <v>9.75</v>
      </c>
      <c r="H17" s="19">
        <v>9.75</v>
      </c>
      <c r="I17" s="19">
        <v>9.75</v>
      </c>
      <c r="J17" s="19">
        <v>9.56</v>
      </c>
      <c r="K17" s="19">
        <v>9.51</v>
      </c>
      <c r="L17" s="19">
        <v>9.51</v>
      </c>
      <c r="M17" s="19">
        <v>9.6300000000000008</v>
      </c>
      <c r="N17" s="19">
        <v>9.7200000000000006</v>
      </c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</row>
    <row r="18" spans="1:40">
      <c r="A18" t="s">
        <v>134</v>
      </c>
      <c r="B18" t="s">
        <v>97</v>
      </c>
      <c r="C18" s="19">
        <v>8.57</v>
      </c>
      <c r="D18" s="19">
        <v>8.57</v>
      </c>
      <c r="E18" s="19">
        <v>8.4700000000000006</v>
      </c>
      <c r="F18" s="19">
        <v>8.33</v>
      </c>
      <c r="G18" s="19">
        <v>7.85</v>
      </c>
      <c r="H18" s="19">
        <v>8.49</v>
      </c>
      <c r="I18" s="19">
        <v>8.61</v>
      </c>
      <c r="J18" s="19">
        <v>8.2899999999999991</v>
      </c>
      <c r="K18" s="19">
        <v>8.41</v>
      </c>
      <c r="L18" s="19">
        <v>8.89</v>
      </c>
      <c r="M18" s="19">
        <v>8.82</v>
      </c>
      <c r="N18" s="19">
        <v>8.98</v>
      </c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</row>
    <row r="19" spans="1:40">
      <c r="A19" t="s">
        <v>135</v>
      </c>
      <c r="B19" t="s">
        <v>97</v>
      </c>
      <c r="C19" s="19">
        <v>9.36</v>
      </c>
      <c r="D19" s="19">
        <v>9.42</v>
      </c>
      <c r="E19" s="19">
        <v>9.33</v>
      </c>
      <c r="F19" s="19">
        <v>9.1</v>
      </c>
      <c r="G19" s="19">
        <v>8.77</v>
      </c>
      <c r="H19" s="19">
        <v>9.48</v>
      </c>
      <c r="I19" s="19">
        <v>9.44</v>
      </c>
      <c r="J19" s="19">
        <v>9.07</v>
      </c>
      <c r="K19" s="19">
        <v>9.01</v>
      </c>
      <c r="L19" s="19">
        <v>9.59</v>
      </c>
      <c r="M19" s="19">
        <v>9.5500000000000007</v>
      </c>
      <c r="N19" s="19">
        <v>9.6999999999999993</v>
      </c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</row>
    <row r="20" spans="1:40">
      <c r="A20" t="s">
        <v>136</v>
      </c>
      <c r="B20" t="s">
        <v>99</v>
      </c>
      <c r="C20" s="19">
        <v>16.809999999999999</v>
      </c>
      <c r="D20" s="19">
        <v>16.91</v>
      </c>
      <c r="E20" s="19">
        <v>17.100000000000001</v>
      </c>
      <c r="F20" s="19">
        <v>17.41</v>
      </c>
      <c r="G20" s="19">
        <v>17.04</v>
      </c>
      <c r="H20" s="19">
        <v>17.29</v>
      </c>
      <c r="I20" s="19">
        <v>17.579999999999998</v>
      </c>
      <c r="J20" s="19">
        <v>18.2</v>
      </c>
      <c r="K20">
        <v>17.899999999999999</v>
      </c>
      <c r="L20">
        <v>18.309999999999999</v>
      </c>
      <c r="M20">
        <v>18.11</v>
      </c>
      <c r="N20">
        <v>18.809999999999999</v>
      </c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</row>
    <row r="21" spans="1:40">
      <c r="A21" s="83" t="s">
        <v>53</v>
      </c>
      <c r="B21"/>
      <c r="C21"/>
      <c r="D21"/>
      <c r="E21"/>
      <c r="F21"/>
      <c r="G21"/>
      <c r="H21"/>
      <c r="I21"/>
      <c r="J21"/>
      <c r="K21"/>
      <c r="L21"/>
      <c r="M21"/>
      <c r="N21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</row>
    <row r="22" spans="1:40">
      <c r="A22" s="83" t="s">
        <v>137</v>
      </c>
      <c r="B22"/>
      <c r="C22"/>
      <c r="D22"/>
      <c r="E22"/>
      <c r="F22"/>
      <c r="G22"/>
      <c r="H22"/>
      <c r="I22"/>
      <c r="J22"/>
      <c r="K22"/>
      <c r="L22"/>
      <c r="M22"/>
      <c r="N22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</row>
    <row r="23" spans="1:40">
      <c r="A23" t="s">
        <v>138</v>
      </c>
      <c r="B23" t="s">
        <v>82</v>
      </c>
      <c r="C23" s="19">
        <v>37.125</v>
      </c>
      <c r="D23" s="19">
        <v>37.75</v>
      </c>
      <c r="E23" s="19">
        <v>36.15</v>
      </c>
      <c r="F23" s="19">
        <v>35.4375</v>
      </c>
      <c r="G23" s="19">
        <v>34.1</v>
      </c>
      <c r="H23" s="19">
        <v>34.625</v>
      </c>
      <c r="I23" s="19">
        <v>34.5625</v>
      </c>
      <c r="J23" s="19">
        <v>35.25</v>
      </c>
      <c r="K23" s="19">
        <v>35</v>
      </c>
      <c r="L23" s="19">
        <v>36.3125</v>
      </c>
      <c r="M23" s="19">
        <v>36.15</v>
      </c>
      <c r="N23" s="19">
        <v>38.0625</v>
      </c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</row>
    <row r="24" spans="1:40">
      <c r="A24" t="s">
        <v>155</v>
      </c>
      <c r="B24" t="s">
        <v>82</v>
      </c>
      <c r="C24" s="19">
        <v>39</v>
      </c>
      <c r="D24" s="19">
        <v>37.25</v>
      </c>
      <c r="E24" s="19">
        <v>35.299999999999997</v>
      </c>
      <c r="F24" s="19">
        <v>33.5</v>
      </c>
      <c r="G24" s="19">
        <v>33</v>
      </c>
      <c r="H24" s="19">
        <v>32</v>
      </c>
      <c r="I24" s="19">
        <v>32</v>
      </c>
      <c r="J24" s="19">
        <v>33.200000000000003</v>
      </c>
      <c r="K24" s="19">
        <v>34.5</v>
      </c>
      <c r="L24" s="19">
        <v>34</v>
      </c>
      <c r="M24" s="19">
        <v>35.6</v>
      </c>
      <c r="N24" s="19">
        <v>44.5</v>
      </c>
      <c r="P24" s="133"/>
    </row>
    <row r="25" spans="1:40">
      <c r="A25" t="s">
        <v>139</v>
      </c>
      <c r="B25" t="s">
        <v>82</v>
      </c>
      <c r="C25" s="19">
        <v>26.21</v>
      </c>
      <c r="D25" s="19">
        <v>25.65</v>
      </c>
      <c r="E25" s="19">
        <v>26.72</v>
      </c>
      <c r="F25" s="19">
        <v>27.935000000000002</v>
      </c>
      <c r="G25" s="19">
        <v>27.754999999999999</v>
      </c>
      <c r="H25" s="19">
        <v>27.38</v>
      </c>
      <c r="I25" s="19">
        <v>26.75</v>
      </c>
      <c r="J25" s="19">
        <v>27.310000000000002</v>
      </c>
      <c r="K25" s="19">
        <v>27.48</v>
      </c>
      <c r="L25">
        <v>28.3</v>
      </c>
      <c r="M25">
        <v>30.685000000000002</v>
      </c>
      <c r="N25">
        <v>31.25</v>
      </c>
      <c r="P25" s="134"/>
    </row>
    <row r="26" spans="1:40">
      <c r="A26" t="s">
        <v>156</v>
      </c>
      <c r="B26" t="s">
        <v>82</v>
      </c>
      <c r="C26" s="19">
        <v>25.47</v>
      </c>
      <c r="D26" s="19">
        <v>25.09</v>
      </c>
      <c r="E26" s="19">
        <v>24.76</v>
      </c>
      <c r="F26" s="19">
        <v>25.06</v>
      </c>
      <c r="G26" s="19">
        <v>24.94</v>
      </c>
      <c r="H26" s="19">
        <v>24.96</v>
      </c>
      <c r="I26" s="19">
        <v>25.22</v>
      </c>
      <c r="J26" s="19">
        <v>24.64</v>
      </c>
      <c r="K26" s="19">
        <v>24.56</v>
      </c>
      <c r="L26" s="19">
        <v>23.99</v>
      </c>
      <c r="M26" s="19">
        <v>23.55</v>
      </c>
      <c r="N26" s="19">
        <v>23.76</v>
      </c>
    </row>
    <row r="27" spans="1:40">
      <c r="A27" t="s">
        <v>140</v>
      </c>
      <c r="B27" t="s">
        <v>82</v>
      </c>
      <c r="C27" s="19">
        <v>33.9375</v>
      </c>
      <c r="D27" s="19">
        <v>36.44</v>
      </c>
      <c r="E27" s="19">
        <v>35.700000000000003</v>
      </c>
      <c r="F27" s="19">
        <v>37.125</v>
      </c>
      <c r="G27" s="19">
        <v>35.65</v>
      </c>
      <c r="H27" s="19">
        <v>36.6875</v>
      </c>
      <c r="I27" s="19">
        <v>37.5</v>
      </c>
      <c r="J27" s="19">
        <v>36.450000000000003</v>
      </c>
      <c r="K27" s="19">
        <v>38.07</v>
      </c>
      <c r="L27" s="19">
        <v>37.9375</v>
      </c>
      <c r="M27" s="19">
        <v>38.4</v>
      </c>
      <c r="N27" s="19">
        <v>40.25</v>
      </c>
    </row>
    <row r="28" spans="1:40">
      <c r="A28" t="s">
        <v>141</v>
      </c>
      <c r="B28" t="s">
        <v>82</v>
      </c>
      <c r="C28" s="75" t="s">
        <v>72</v>
      </c>
      <c r="D28" s="75" t="s">
        <v>72</v>
      </c>
      <c r="E28" s="75" t="s">
        <v>72</v>
      </c>
      <c r="F28" s="75" t="s">
        <v>72</v>
      </c>
      <c r="G28" s="75" t="s">
        <v>72</v>
      </c>
      <c r="H28" s="75" t="s">
        <v>72</v>
      </c>
      <c r="I28" s="75" t="s">
        <v>72</v>
      </c>
      <c r="J28" s="75" t="s">
        <v>72</v>
      </c>
      <c r="K28" s="75" t="s">
        <v>72</v>
      </c>
      <c r="L28" s="75" t="s">
        <v>72</v>
      </c>
      <c r="M28" s="75" t="s">
        <v>72</v>
      </c>
      <c r="N28" s="75" t="s">
        <v>72</v>
      </c>
    </row>
    <row r="29" spans="1:40">
      <c r="A29" t="s">
        <v>157</v>
      </c>
      <c r="B29" t="s">
        <v>82</v>
      </c>
      <c r="C29" s="19">
        <v>28.9375</v>
      </c>
      <c r="D29" s="19">
        <v>30</v>
      </c>
      <c r="E29" s="19">
        <v>28.4</v>
      </c>
      <c r="F29" s="19">
        <v>28.625</v>
      </c>
      <c r="G29" s="19">
        <v>28</v>
      </c>
      <c r="H29" s="19">
        <v>27.75</v>
      </c>
      <c r="I29" s="19">
        <v>27.1875</v>
      </c>
      <c r="J29" s="19">
        <v>28.9</v>
      </c>
      <c r="K29" s="19">
        <v>28.625</v>
      </c>
      <c r="L29" s="19">
        <v>28.9375</v>
      </c>
      <c r="M29" s="19">
        <v>32.950000000000003</v>
      </c>
      <c r="N29" s="19">
        <v>37.25</v>
      </c>
    </row>
    <row r="30" spans="1:40">
      <c r="A30" t="s">
        <v>158</v>
      </c>
      <c r="B30" t="s">
        <v>82</v>
      </c>
      <c r="C30" s="19">
        <v>57.625</v>
      </c>
      <c r="D30" s="19">
        <v>59.0625</v>
      </c>
      <c r="E30" s="19">
        <v>57.1</v>
      </c>
      <c r="F30" s="19">
        <v>58</v>
      </c>
      <c r="G30" s="19">
        <v>57.1</v>
      </c>
      <c r="H30" s="19">
        <v>57</v>
      </c>
      <c r="I30" s="19">
        <v>56.5</v>
      </c>
      <c r="J30" s="19">
        <v>58.1</v>
      </c>
      <c r="K30" s="19">
        <v>58.5</v>
      </c>
      <c r="L30" s="19">
        <v>58.5</v>
      </c>
      <c r="M30" s="19">
        <v>61.4</v>
      </c>
      <c r="N30" s="19">
        <v>66</v>
      </c>
    </row>
    <row r="31" spans="1:40">
      <c r="A31" t="s">
        <v>159</v>
      </c>
      <c r="B31" t="s">
        <v>82</v>
      </c>
      <c r="C31" s="19">
        <v>61.875</v>
      </c>
      <c r="D31" s="19">
        <v>61.125</v>
      </c>
      <c r="E31" s="19">
        <v>61</v>
      </c>
      <c r="F31" s="19">
        <v>65.25</v>
      </c>
      <c r="G31" s="19">
        <v>66</v>
      </c>
      <c r="H31" s="19">
        <v>66</v>
      </c>
      <c r="I31" s="19">
        <v>66.125</v>
      </c>
      <c r="J31" s="19">
        <v>66</v>
      </c>
      <c r="K31" s="19">
        <v>67</v>
      </c>
      <c r="L31" s="19">
        <v>61.5</v>
      </c>
      <c r="M31" s="19">
        <v>63.1</v>
      </c>
      <c r="N31" s="19">
        <v>60.125</v>
      </c>
    </row>
    <row r="32" spans="1:40">
      <c r="A32" t="s">
        <v>160</v>
      </c>
      <c r="B32" t="s">
        <v>82</v>
      </c>
      <c r="C32">
        <v>28.44</v>
      </c>
      <c r="D32">
        <v>29.58</v>
      </c>
      <c r="E32">
        <v>28.62</v>
      </c>
      <c r="F32">
        <v>27.86</v>
      </c>
      <c r="G32">
        <v>26.93</v>
      </c>
      <c r="H32">
        <v>28.24</v>
      </c>
      <c r="I32">
        <v>27.68</v>
      </c>
      <c r="J32">
        <v>28.41</v>
      </c>
      <c r="K32">
        <v>28.81</v>
      </c>
      <c r="L32">
        <v>30.14</v>
      </c>
      <c r="M32">
        <v>30.62</v>
      </c>
      <c r="N32">
        <v>32.270000000000003</v>
      </c>
    </row>
    <row r="33" spans="1:15">
      <c r="A33" t="s">
        <v>142</v>
      </c>
      <c r="B33" t="s">
        <v>82</v>
      </c>
      <c r="C33" s="19">
        <v>53.5</v>
      </c>
      <c r="D33" s="19">
        <v>53</v>
      </c>
      <c r="E33" s="19">
        <v>53.2</v>
      </c>
      <c r="F33" s="19">
        <v>54</v>
      </c>
      <c r="G33" s="19">
        <v>53.4</v>
      </c>
      <c r="H33" s="19">
        <v>51</v>
      </c>
      <c r="I33" s="19">
        <v>52.5</v>
      </c>
      <c r="J33" s="19">
        <v>53.4</v>
      </c>
      <c r="K33" s="19">
        <v>55</v>
      </c>
      <c r="L33" s="19">
        <v>56</v>
      </c>
      <c r="M33" s="19">
        <v>56</v>
      </c>
      <c r="N33" s="19">
        <v>76</v>
      </c>
    </row>
    <row r="34" spans="1:15">
      <c r="A34" t="s">
        <v>143</v>
      </c>
      <c r="B34" t="s">
        <v>82</v>
      </c>
      <c r="C34" s="19">
        <v>33.130000000000003</v>
      </c>
      <c r="D34" s="19">
        <v>33</v>
      </c>
      <c r="E34" s="19">
        <v>32.15</v>
      </c>
      <c r="F34" s="19">
        <v>31.86</v>
      </c>
      <c r="G34" s="19">
        <v>33.700000000000003</v>
      </c>
      <c r="H34" s="75" t="s">
        <v>72</v>
      </c>
      <c r="I34" s="19">
        <v>35</v>
      </c>
      <c r="J34" s="75" t="s">
        <v>72</v>
      </c>
      <c r="K34" s="19">
        <v>34</v>
      </c>
      <c r="L34" s="75" t="s">
        <v>72</v>
      </c>
      <c r="M34" s="19">
        <v>35</v>
      </c>
      <c r="N34" s="75" t="s">
        <v>72</v>
      </c>
      <c r="O34" s="30"/>
    </row>
    <row r="35" spans="1:15">
      <c r="A35" s="22" t="s">
        <v>144</v>
      </c>
      <c r="B35" t="s">
        <v>82</v>
      </c>
      <c r="C35" s="19">
        <v>19.88</v>
      </c>
      <c r="D35" s="19">
        <v>20.38</v>
      </c>
      <c r="E35" s="19">
        <v>19.63</v>
      </c>
      <c r="F35" s="19">
        <v>19.88</v>
      </c>
      <c r="G35" s="19">
        <v>21.41</v>
      </c>
      <c r="H35" s="19">
        <v>23.13</v>
      </c>
      <c r="I35" s="19">
        <v>24.78</v>
      </c>
      <c r="J35" s="19">
        <v>25.72</v>
      </c>
      <c r="K35" s="19">
        <v>22.97</v>
      </c>
      <c r="L35" s="19">
        <v>21.63</v>
      </c>
      <c r="M35" s="19">
        <v>20.75</v>
      </c>
      <c r="N35" s="19">
        <v>21.69</v>
      </c>
    </row>
    <row r="36" spans="1:15">
      <c r="A36" s="22" t="s">
        <v>77</v>
      </c>
      <c r="B36" s="22" t="s">
        <v>100</v>
      </c>
      <c r="C36" s="19">
        <v>2.88</v>
      </c>
      <c r="D36" s="19">
        <v>3</v>
      </c>
      <c r="E36" s="19">
        <v>2.8720000000000003</v>
      </c>
      <c r="F36" s="19">
        <v>2.7699999999999996</v>
      </c>
      <c r="G36" s="19">
        <v>2.798</v>
      </c>
      <c r="H36" s="19">
        <v>2.7174999999999998</v>
      </c>
      <c r="I36" s="19">
        <v>2.8075000000000001</v>
      </c>
      <c r="J36" s="19">
        <v>2.79</v>
      </c>
      <c r="K36" s="19">
        <v>2.7250000000000001</v>
      </c>
      <c r="L36" s="19">
        <v>2.7024999999999997</v>
      </c>
      <c r="M36" s="19">
        <v>2.742</v>
      </c>
      <c r="N36" s="19">
        <v>3.0150000000000001</v>
      </c>
    </row>
    <row r="37" spans="1:15">
      <c r="A37" s="83" t="s">
        <v>54</v>
      </c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5">
      <c r="A38" t="s">
        <v>161</v>
      </c>
      <c r="B38" t="s">
        <v>98</v>
      </c>
      <c r="C38" s="75" t="s">
        <v>72</v>
      </c>
      <c r="D38" s="75" t="s">
        <v>72</v>
      </c>
      <c r="E38" s="75" t="s">
        <v>72</v>
      </c>
      <c r="F38" s="75" t="s">
        <v>72</v>
      </c>
      <c r="G38">
        <v>259.55</v>
      </c>
      <c r="H38">
        <v>278.76</v>
      </c>
      <c r="I38">
        <v>265.45</v>
      </c>
      <c r="J38" s="16" t="s">
        <v>72</v>
      </c>
      <c r="K38">
        <v>253.03</v>
      </c>
      <c r="L38">
        <v>267.89999999999998</v>
      </c>
      <c r="M38" s="75" t="s">
        <v>72</v>
      </c>
      <c r="N38" s="75" t="s">
        <v>72</v>
      </c>
    </row>
    <row r="39" spans="1:15">
      <c r="A39" t="s">
        <v>162</v>
      </c>
      <c r="B39" t="s">
        <v>98</v>
      </c>
      <c r="C39" s="19">
        <v>247.5</v>
      </c>
      <c r="D39" s="19">
        <v>235</v>
      </c>
      <c r="E39" s="19">
        <v>226.25</v>
      </c>
      <c r="F39" s="19">
        <v>216.5</v>
      </c>
      <c r="G39" s="19">
        <v>215</v>
      </c>
      <c r="H39" s="19">
        <v>215.63</v>
      </c>
      <c r="I39" s="19">
        <v>218</v>
      </c>
      <c r="J39" s="19">
        <v>221.25</v>
      </c>
      <c r="K39" s="19">
        <v>215.83</v>
      </c>
      <c r="L39" s="19">
        <v>213.13</v>
      </c>
      <c r="M39" s="19">
        <v>233.75</v>
      </c>
      <c r="N39" s="19">
        <v>250.83</v>
      </c>
    </row>
    <row r="40" spans="1:15">
      <c r="A40" t="s">
        <v>163</v>
      </c>
      <c r="B40" t="s">
        <v>98</v>
      </c>
      <c r="C40" s="19">
        <v>219</v>
      </c>
      <c r="D40" s="19">
        <v>225</v>
      </c>
      <c r="E40" s="19">
        <v>235.63</v>
      </c>
      <c r="F40" s="19">
        <v>241.5</v>
      </c>
      <c r="G40" s="19">
        <v>233.75</v>
      </c>
      <c r="H40" s="19">
        <v>228.88</v>
      </c>
      <c r="I40" s="19">
        <v>232.5</v>
      </c>
      <c r="J40" s="19">
        <v>235</v>
      </c>
      <c r="K40" s="19">
        <v>226.25</v>
      </c>
      <c r="L40" s="19">
        <v>226.5</v>
      </c>
      <c r="M40" s="19">
        <v>226.88</v>
      </c>
      <c r="N40" s="19">
        <v>231.67</v>
      </c>
    </row>
    <row r="41" spans="1:15">
      <c r="A41" t="s">
        <v>145</v>
      </c>
      <c r="B41" t="s">
        <v>98</v>
      </c>
      <c r="C41">
        <v>314.92</v>
      </c>
      <c r="D41">
        <v>306.83</v>
      </c>
      <c r="E41">
        <v>306.38</v>
      </c>
      <c r="F41">
        <v>304.26</v>
      </c>
      <c r="G41">
        <v>297.52</v>
      </c>
      <c r="H41">
        <v>324.75</v>
      </c>
      <c r="I41">
        <v>310.77</v>
      </c>
      <c r="J41">
        <v>296.92</v>
      </c>
      <c r="K41">
        <v>295.57</v>
      </c>
      <c r="L41">
        <v>309.48</v>
      </c>
      <c r="M41">
        <v>303.13</v>
      </c>
      <c r="N41">
        <v>299.58999999999997</v>
      </c>
    </row>
    <row r="42" spans="1:15">
      <c r="A42" t="s">
        <v>164</v>
      </c>
      <c r="B42" t="s">
        <v>98</v>
      </c>
      <c r="C42" s="19">
        <v>190.5</v>
      </c>
      <c r="D42" s="19">
        <v>187.5</v>
      </c>
      <c r="E42" s="19">
        <v>189.38</v>
      </c>
      <c r="F42" s="19">
        <v>166.5</v>
      </c>
      <c r="G42" s="19">
        <v>141.25</v>
      </c>
      <c r="H42" s="19">
        <v>143.13</v>
      </c>
      <c r="I42" s="19">
        <v>142</v>
      </c>
      <c r="J42" s="19">
        <v>144.38</v>
      </c>
      <c r="K42" s="19">
        <v>142.5</v>
      </c>
      <c r="L42" s="19">
        <v>169</v>
      </c>
      <c r="M42" s="19">
        <v>166.88</v>
      </c>
      <c r="N42" s="19">
        <v>180</v>
      </c>
    </row>
    <row r="43" spans="1:15">
      <c r="A43" s="83" t="s">
        <v>75</v>
      </c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5">
      <c r="A44" s="83" t="s">
        <v>146</v>
      </c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5">
      <c r="A45" t="s">
        <v>147</v>
      </c>
      <c r="B45" t="s">
        <v>55</v>
      </c>
      <c r="C45" s="75" t="s">
        <v>72</v>
      </c>
      <c r="D45" s="75" t="s">
        <v>72</v>
      </c>
      <c r="E45" s="75" t="s">
        <v>72</v>
      </c>
      <c r="F45" s="75" t="s">
        <v>72</v>
      </c>
      <c r="G45" s="75" t="s">
        <v>72</v>
      </c>
      <c r="H45" s="75" t="s">
        <v>72</v>
      </c>
      <c r="I45" s="75" t="s">
        <v>72</v>
      </c>
      <c r="J45" s="75" t="s">
        <v>72</v>
      </c>
      <c r="K45" s="75" t="s">
        <v>72</v>
      </c>
      <c r="L45" s="75" t="s">
        <v>72</v>
      </c>
      <c r="M45" s="75" t="s">
        <v>72</v>
      </c>
      <c r="N45" s="75" t="s">
        <v>72</v>
      </c>
    </row>
    <row r="46" spans="1:15">
      <c r="A46" s="83" t="s">
        <v>148</v>
      </c>
      <c r="B46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5">
      <c r="A47" t="s">
        <v>149</v>
      </c>
      <c r="B47" t="s">
        <v>55</v>
      </c>
      <c r="C47" s="18">
        <v>317.5</v>
      </c>
      <c r="D47" s="18">
        <v>317.2</v>
      </c>
      <c r="E47" s="18">
        <v>320.60000000000002</v>
      </c>
      <c r="F47" s="18">
        <v>320.8</v>
      </c>
      <c r="G47" s="18">
        <v>321</v>
      </c>
      <c r="H47" s="18">
        <v>320.7</v>
      </c>
      <c r="I47" s="18">
        <v>320.39999999999998</v>
      </c>
      <c r="J47" s="18">
        <v>320.3</v>
      </c>
      <c r="K47" s="18">
        <v>320.10000000000002</v>
      </c>
      <c r="L47" s="18">
        <v>321.39999999999998</v>
      </c>
      <c r="M47" s="18">
        <v>321.39999999999998</v>
      </c>
      <c r="N47" s="18">
        <v>321.2</v>
      </c>
      <c r="O47" s="31"/>
    </row>
    <row r="48" spans="1:15">
      <c r="A48" t="s">
        <v>150</v>
      </c>
      <c r="B48" t="s">
        <v>55</v>
      </c>
      <c r="C48" s="18">
        <v>245.9</v>
      </c>
      <c r="D48" s="18">
        <v>240.9</v>
      </c>
      <c r="E48" s="18">
        <v>241.2</v>
      </c>
      <c r="F48" s="18">
        <v>239.4</v>
      </c>
      <c r="G48" s="18">
        <v>237.5</v>
      </c>
      <c r="H48" s="18">
        <v>237.1</v>
      </c>
      <c r="I48" s="18">
        <v>239.4</v>
      </c>
      <c r="J48" s="18">
        <v>237.7</v>
      </c>
      <c r="K48" s="18">
        <v>237.4</v>
      </c>
      <c r="L48" s="18">
        <v>235.8</v>
      </c>
      <c r="M48" s="18">
        <v>237.2</v>
      </c>
      <c r="N48" s="18">
        <v>238</v>
      </c>
      <c r="O48" s="31"/>
    </row>
    <row r="49" spans="1:14" customFormat="1">
      <c r="A49" t="s">
        <v>151</v>
      </c>
      <c r="B49" t="s">
        <v>55</v>
      </c>
      <c r="C49" s="18">
        <v>190.3</v>
      </c>
      <c r="D49" s="18">
        <v>193.7</v>
      </c>
      <c r="E49" s="18">
        <v>193</v>
      </c>
      <c r="F49" s="18">
        <v>192.6</v>
      </c>
      <c r="G49" s="18">
        <v>190.2</v>
      </c>
      <c r="H49" s="18">
        <v>192.5</v>
      </c>
      <c r="I49" s="18">
        <v>194.3</v>
      </c>
      <c r="J49" s="18">
        <v>193.8</v>
      </c>
      <c r="K49" s="18">
        <v>193.2</v>
      </c>
      <c r="L49" s="18">
        <v>193.3</v>
      </c>
      <c r="M49" s="18">
        <v>196.2</v>
      </c>
      <c r="N49" s="18">
        <v>197.5</v>
      </c>
    </row>
    <row r="50" spans="1:14">
      <c r="A50" s="1" t="s">
        <v>152</v>
      </c>
      <c r="B50" s="1" t="s">
        <v>80</v>
      </c>
      <c r="C50" s="25">
        <v>143</v>
      </c>
      <c r="D50" s="25">
        <v>144.5</v>
      </c>
      <c r="E50" s="25">
        <v>135.80000000000001</v>
      </c>
      <c r="F50" s="25">
        <v>136.19999999999999</v>
      </c>
      <c r="G50" s="25">
        <v>135.4</v>
      </c>
      <c r="H50" s="25">
        <v>134.4</v>
      </c>
      <c r="I50" s="25">
        <v>135.5</v>
      </c>
      <c r="J50" s="25">
        <v>137</v>
      </c>
      <c r="K50" s="25">
        <v>138.80000000000001</v>
      </c>
      <c r="L50" s="25">
        <v>137</v>
      </c>
      <c r="M50" s="25">
        <v>137.19999999999999</v>
      </c>
      <c r="N50" s="25">
        <v>136.9</v>
      </c>
    </row>
    <row r="51" spans="1:14">
      <c r="A51" s="22" t="s">
        <v>174</v>
      </c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ht="10.15" customHeight="1">
      <c r="A52" s="22" t="s">
        <v>202</v>
      </c>
      <c r="B52"/>
      <c r="C52"/>
      <c r="D52"/>
      <c r="E52"/>
      <c r="F52"/>
      <c r="G52"/>
      <c r="H52"/>
      <c r="I52"/>
      <c r="J52"/>
      <c r="L52"/>
      <c r="M52" s="33"/>
      <c r="N52" s="33"/>
    </row>
    <row r="53" spans="1:14">
      <c r="A53" s="22" t="s">
        <v>186</v>
      </c>
      <c r="B53"/>
      <c r="C53"/>
      <c r="D53"/>
      <c r="E53"/>
      <c r="F53"/>
      <c r="G53"/>
      <c r="H53"/>
      <c r="I53"/>
      <c r="J53"/>
      <c r="K53"/>
      <c r="M53"/>
    </row>
    <row r="54" spans="1:14">
      <c r="N54" s="128" t="s">
        <v>191</v>
      </c>
    </row>
  </sheetData>
  <pageMargins left="0.7" right="0.7" top="0.75" bottom="0.75" header="0.3" footer="0.3"/>
  <pageSetup scale="81" firstPageNumber="40" orientation="landscape" useFirstPageNumber="1" r:id="rId1"/>
  <headerFooter alignWithMargins="0">
    <oddFooter>&amp;C&amp;P
Oil Crops Yearbook/OCS-2020
March 2020
Economic Research Service, USDA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BA319C043DC4A8381C9E195FB1B27" ma:contentTypeVersion="4" ma:contentTypeDescription="Create a new document." ma:contentTypeScope="" ma:versionID="6b1a0caf0774e32845426cb3810d65d2">
  <xsd:schema xmlns:xsd="http://www.w3.org/2001/XMLSchema" xmlns:xs="http://www.w3.org/2001/XMLSchema" xmlns:p="http://schemas.microsoft.com/office/2006/metadata/properties" xmlns:ns2="c49de858-f9fd-4eb6-bcba-50396646711f" xmlns:ns3="7818c5c2-d41f-4dce-801c-4e3595afcb3f" targetNamespace="http://schemas.microsoft.com/office/2006/metadata/properties" ma:root="true" ma:fieldsID="7ed9e12bf1f8304dab8bd3f843b3f685" ns2:_="" ns3:_="">
    <xsd:import namespace="c49de858-f9fd-4eb6-bcba-50396646711f"/>
    <xsd:import namespace="7818c5c2-d41f-4dce-801c-4e3595afcb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de858-f9fd-4eb6-bcba-5039664671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18c5c2-d41f-4dce-801c-4e3595afcb3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07B1ED-5D3A-4952-84FC-23ECBD02EB28}">
  <ds:schemaRefs>
    <ds:schemaRef ds:uri="http://schemas.openxmlformats.org/package/2006/metadata/core-properties"/>
    <ds:schemaRef ds:uri="http://schemas.microsoft.com/office/2006/metadata/properties"/>
    <ds:schemaRef ds:uri="7818c5c2-d41f-4dce-801c-4e3595afcb3f"/>
    <ds:schemaRef ds:uri="http://purl.org/dc/elements/1.1/"/>
    <ds:schemaRef ds:uri="http://schemas.microsoft.com/office/2006/documentManagement/types"/>
    <ds:schemaRef ds:uri="c49de858-f9fd-4eb6-bcba-50396646711f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7D3A4BC-10CD-421A-9A34-8AE710E38C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EBC44E-2ACE-4E21-AE2E-5FB2EFE862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de858-f9fd-4eb6-bcba-50396646711f"/>
    <ds:schemaRef ds:uri="7818c5c2-d41f-4dce-801c-4e3595afcb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Contents</vt:lpstr>
      <vt:lpstr>tab32</vt:lpstr>
      <vt:lpstr>tab33</vt:lpstr>
      <vt:lpstr>tab34(1)</vt:lpstr>
      <vt:lpstr>tab34(2)</vt:lpstr>
      <vt:lpstr>tab34(3)</vt:lpstr>
      <vt:lpstr>tab34(4)</vt:lpstr>
      <vt:lpstr>tab34(5)</vt:lpstr>
      <vt:lpstr>tab34(6)</vt:lpstr>
      <vt:lpstr>tab34(7)</vt:lpstr>
      <vt:lpstr>tab34(8)</vt:lpstr>
      <vt:lpstr>tab34(9)</vt:lpstr>
      <vt:lpstr>tab35</vt:lpstr>
      <vt:lpstr>tab36</vt:lpstr>
      <vt:lpstr>'tab32'!Print_Area</vt:lpstr>
      <vt:lpstr>'tab33'!Print_Area</vt:lpstr>
      <vt:lpstr>'tab34(1)'!Print_Area</vt:lpstr>
      <vt:lpstr>'tab34(2)'!Print_Area</vt:lpstr>
      <vt:lpstr>'tab34(3)'!Print_Area</vt:lpstr>
      <vt:lpstr>'tab34(4)'!Print_Area</vt:lpstr>
      <vt:lpstr>'tab34(5)'!Print_Area</vt:lpstr>
      <vt:lpstr>'tab34(6)'!Print_Area</vt:lpstr>
      <vt:lpstr>'tab34(7)'!Print_Area</vt:lpstr>
      <vt:lpstr>'tab34(8)'!Print_Area</vt:lpstr>
      <vt:lpstr>'tab34(9)'!Print_Area</vt:lpstr>
      <vt:lpstr>'tab35'!Print_Area</vt:lpstr>
      <vt:lpstr>'tab36'!Print_Area</vt:lpstr>
      <vt:lpstr>'tab32'!Print_Titles</vt:lpstr>
      <vt:lpstr>'tab33'!Print_Titles</vt:lpstr>
      <vt:lpstr>'tab34(1)'!Print_Titles</vt:lpstr>
      <vt:lpstr>'tab34(2)'!Print_Titles</vt:lpstr>
      <vt:lpstr>'tab34(3)'!Print_Titles</vt:lpstr>
      <vt:lpstr>'tab34(4)'!Print_Titles</vt:lpstr>
      <vt:lpstr>'tab34(5)'!Print_Titles</vt:lpstr>
      <vt:lpstr>'tab34(6)'!Print_Titles</vt:lpstr>
      <vt:lpstr>'tab34(7)'!Print_Titles</vt:lpstr>
      <vt:lpstr>'tab34(8)'!Print_Titles</vt:lpstr>
      <vt:lpstr>'tab34(9)'!Print_Titles</vt:lpstr>
      <vt:lpstr>'tab35'!Print_Titles</vt:lpstr>
      <vt:lpstr>'tab36'!Print_Titles</vt:lpstr>
    </vt:vector>
  </TitlesOfParts>
  <Manager/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Oil Crops Yearbook: Vegatable Oil Animal Fats</dc:title>
  <dc:subject>Agricultural economics</dc:subject>
  <dc:creator>Aaron Ates; Maria Bukowski</dc:creator>
  <cp:keywords>oil crops, vegatable oils, animal fats, edible oils</cp:keywords>
  <dc:description/>
  <cp:lastModifiedBy>Ates, Aaron - REE-ERS</cp:lastModifiedBy>
  <cp:lastPrinted>2021-05-10T14:46:56Z</cp:lastPrinted>
  <dcterms:created xsi:type="dcterms:W3CDTF">2020-03-23T18:32:41Z</dcterms:created>
  <dcterms:modified xsi:type="dcterms:W3CDTF">2023-03-27T20:12:25Z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0x0101003EDBA319C043DC4A8381C9E195FB1B27</vt:lpwstr>
  </property>
</Properties>
</file>