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omments1.xml" ContentType="application/vnd.openxmlformats-officedocument.spreadsheetml.comments+xml"/>
  <Override PartName="/xl/customProperty4.bin" ContentType="application/vnd.openxmlformats-officedocument.spreadsheetml.customProperty"/>
  <Override PartName="/xl/customProperty5.bin" ContentType="application/vnd.openxmlformats-officedocument.spreadsheetml.customProperty"/>
  <Override PartName="/xl/queryTables/queryTable1.xml" ContentType="application/vnd.openxmlformats-officedocument.spreadsheetml.queryTable+xml"/>
  <Override PartName="/xl/customProperty6.bin" ContentType="application/vnd.openxmlformats-officedocument.spreadsheetml.customProperty"/>
  <Override PartName="/xl/drawings/drawing1.xml" ContentType="application/vnd.openxmlformats-officedocument.drawing+xml"/>
  <Override PartName="/xl/customProperty7.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defaultThemeVersion="124226"/>
  <xr:revisionPtr revIDLastSave="0" documentId="13_ncr:1_{E5F40BD0-032C-4DB7-9254-A8B93FD24C3C}" xr6:coauthVersionLast="41" xr6:coauthVersionMax="41" xr10:uidLastSave="{00000000-0000-0000-0000-000000000000}"/>
  <bookViews>
    <workbookView showHorizontalScroll="0" showVerticalScroll="0" xWindow="25080" yWindow="-120" windowWidth="25440" windowHeight="15990" xr2:uid="{00000000-000D-0000-FFFF-FFFF00000000}"/>
  </bookViews>
  <sheets>
    <sheet name="CVEs" sheetId="1" r:id="rId1"/>
    <sheet name="Rules" sheetId="3" r:id="rId2"/>
    <sheet name="Drop_Downs" sheetId="2" r:id="rId3"/>
    <sheet name="CVE Blocks 2016" sheetId="7" r:id="rId4"/>
    <sheet name="CAPEC" sheetId="5" r:id="rId5"/>
    <sheet name="CWE" sheetId="9" r:id="rId6"/>
    <sheet name="CVEs_Intel" sheetId="8" r:id="rId7"/>
    <sheet name="D%$&amp;01_DevSheet" sheetId="4" state="veryHidden" r:id="rId8"/>
  </sheets>
  <externalReferences>
    <externalReference r:id="rId9"/>
  </externalReferences>
  <definedNames>
    <definedName name="_2000" localSheetId="4">CAPEC!$D$6:$G$480</definedName>
    <definedName name="_xlnm._FilterDatabase" localSheetId="0" hidden="1">CVEs!$A$1:$X$122</definedName>
    <definedName name="_xlnm._FilterDatabase" localSheetId="6" hidden="1">CVEs_Intel!$A$1:$X$42</definedName>
    <definedName name="aaa">#REF!</definedName>
    <definedName name="Agile_PLF_Stage" localSheetId="6">#REF!</definedName>
    <definedName name="Agile_PLF_Stage" localSheetId="5">[1]Notes!$A$426:$A$439</definedName>
    <definedName name="Agile_PLF_Stage">#REF!</definedName>
    <definedName name="Arch_POC">#REF!</definedName>
    <definedName name="ATTACKER">Drop_Downs!$G$8:$G$25</definedName>
    <definedName name="AUTHOR">Drop_Downs!$J$8:$J$13</definedName>
    <definedName name="BUs">[1]Notes!$A$575:$A$590</definedName>
    <definedName name="COMPONENT">Drop_Downs!$B$8:$B$25</definedName>
    <definedName name="Customers_Impacted" localSheetId="6">#REF!</definedName>
    <definedName name="Customers_Impacted" localSheetId="5">[1]Notes!$A$407:$A$413</definedName>
    <definedName name="Customers_Impacted">#REF!</definedName>
    <definedName name="Dev_POC">#REF!</definedName>
    <definedName name="Effectiveness" localSheetId="6">#REF!</definedName>
    <definedName name="Effectiveness" localSheetId="5">[1]Notes!$A$401:$A$404</definedName>
    <definedName name="Effectiveness">#REF!</definedName>
    <definedName name="Exception_Class" localSheetId="6">#REF!</definedName>
    <definedName name="Exception_Class" localSheetId="5">[1]Notes!$A$522:$A$525</definedName>
    <definedName name="Exception_Class">#REF!</definedName>
    <definedName name="Exception_Req_Category" localSheetId="6">#REF!</definedName>
    <definedName name="Exception_Req_Category" localSheetId="5">[1]Notes!$A$539:$A$546</definedName>
    <definedName name="Exception_Req_Category">#REF!</definedName>
    <definedName name="Exception_Root_Cause" localSheetId="6">#REF!</definedName>
    <definedName name="Exception_Root_Cause" localSheetId="5">[1]Notes!$A$549:$A$560</definedName>
    <definedName name="Exception_Root_Cause">#REF!</definedName>
    <definedName name="Exception_Status" localSheetId="6">#REF!</definedName>
    <definedName name="Exception_Status" localSheetId="5">[1]Notes!$A$514:$A$519</definedName>
    <definedName name="Exception_Status">#REF!</definedName>
    <definedName name="Exception_Type" localSheetId="6">#REF!</definedName>
    <definedName name="Exception_Type" localSheetId="5">[1]Notes!$A$528:$A$531</definedName>
    <definedName name="Exception_Type">#REF!</definedName>
    <definedName name="GSS_POC">[1]PSG!$A$42:$A$49</definedName>
    <definedName name="IMPACT">Drop_Downs!$H$8:$H$25</definedName>
    <definedName name="Patch_Status" localSheetId="6">#REF!</definedName>
    <definedName name="Patch_Status">#REF!</definedName>
    <definedName name="PgM_POC">#REF!</definedName>
    <definedName name="PLF_Stage" localSheetId="6">#REF!</definedName>
    <definedName name="PLF_Stage" localSheetId="5">[1]Notes!$A$442:$A$448</definedName>
    <definedName name="PLF_Stage">#REF!</definedName>
    <definedName name="PM_POC">#REF!</definedName>
    <definedName name="POC_SMEs2">#REF!</definedName>
    <definedName name="PR_POC">[1]PSG!$A$19:$A$23</definedName>
    <definedName name="Priority" localSheetId="5">[1]Notes!$A$337:$A$342</definedName>
    <definedName name="Priority">#REF!</definedName>
    <definedName name="Probability" localSheetId="6">#REF!</definedName>
    <definedName name="Probability" localSheetId="5">[1]Notes!$A$393:$A$398</definedName>
    <definedName name="Probability">#REF!</definedName>
    <definedName name="PRODUCT">#REF!</definedName>
    <definedName name="Products" localSheetId="5">[1]Notes!$A$9:$A$276</definedName>
    <definedName name="Products">#REF!</definedName>
    <definedName name="PSC_BU_Leads" localSheetId="6">#REF!</definedName>
    <definedName name="PSC_BU_Leads" localSheetId="5">[1]Notes!$A$566:$A$572</definedName>
    <definedName name="PSC_BU_Leads">#REF!</definedName>
    <definedName name="PSC_PG_Leads" localSheetId="6">#REF!</definedName>
    <definedName name="PSC_PG_Leads">#REF!</definedName>
    <definedName name="PSC_POC">#REF!</definedName>
    <definedName name="PSCs">#REF!</definedName>
    <definedName name="PSCs_All">#REF!</definedName>
    <definedName name="PSE_POC">#REF!</definedName>
    <definedName name="PSEs">#REF!</definedName>
    <definedName name="PSG_POC">[1]PSG!$A$8:$A$15</definedName>
    <definedName name="PSG_Team">[1]Notes!#REF!</definedName>
    <definedName name="QA_POC1">#REF!</definedName>
    <definedName name="Review_Type" localSheetId="6">#REF!</definedName>
    <definedName name="Review_Type" localSheetId="5">[1]Notes!$A$419:$A$423</definedName>
    <definedName name="Review_Type">#REF!</definedName>
    <definedName name="S_PLF_Task" localSheetId="6">#REF!</definedName>
    <definedName name="S_PLF_Task">#REF!</definedName>
    <definedName name="Severity" localSheetId="5">[1]Notes!$A$361:$A$366</definedName>
    <definedName name="Severity">#REF!</definedName>
    <definedName name="Severity_Intel">#REF!</definedName>
    <definedName name="Severity_McAfee" localSheetId="6">#REF!</definedName>
    <definedName name="Severity_McAfee" localSheetId="5">[1]Notes!$A$369:$A$374</definedName>
    <definedName name="Severity_McAfee">#REF!</definedName>
    <definedName name="SME_POC">#REF!</definedName>
    <definedName name="SMEs">#REF!</definedName>
    <definedName name="SPLF_Stage" localSheetId="6">#REF!</definedName>
    <definedName name="SPLF_Stage">#REF!</definedName>
    <definedName name="Status" localSheetId="5">[1]Notes!$A$319:$A$327</definedName>
    <definedName name="Status">Drop_Downs!$A$34:$A$37</definedName>
    <definedName name="TechDropDown">[1]Technologies!$B$6:$AY$6</definedName>
    <definedName name="Third_Party_Reviewer" localSheetId="6">#REF!</definedName>
    <definedName name="Third_Party_Reviewer" localSheetId="5">[1]Notes!$A$462:$A$472</definedName>
    <definedName name="Third_Party_Reviewer">#REF!</definedName>
    <definedName name="TS_POC">[1]PSG!$A$27:$A$38</definedName>
    <definedName name="VECTOR">Drop_Downs!$I$8:$I$25</definedName>
    <definedName name="VENDOR">Drop_Downs!$C$8:$C$24</definedName>
    <definedName name="VULNTYPE">CAPEC!$C$6:$C$480</definedName>
    <definedName name="VULNTYPE2">CAPEC!$B$6:$B$480</definedName>
    <definedName name="x">#REF!</definedName>
    <definedName name="xxx">#REF!</definedName>
    <definedName name="Yes_No" localSheetId="6">#REF!</definedName>
    <definedName name="Yes_No" localSheetId="5">[1]Notes!$A$534:$A$536</definedName>
    <definedName name="Yes_No">#REF!</definedName>
    <definedName name="yyy">#REF!</definedName>
    <definedName name="zzz">#REF!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77" i="4" l="1"/>
  <c r="P77" i="4"/>
  <c r="AA77" i="4"/>
  <c r="AJ77" i="4"/>
  <c r="AU77" i="4"/>
  <c r="AV77" i="4"/>
  <c r="BG77" i="4"/>
  <c r="BP77" i="4"/>
  <c r="CA77" i="4"/>
  <c r="CB77" i="4"/>
  <c r="CM77" i="4"/>
  <c r="CV77" i="4"/>
  <c r="DG77" i="4"/>
  <c r="DH77" i="4"/>
  <c r="DS77" i="4"/>
  <c r="EB77" i="4"/>
  <c r="EM77" i="4"/>
  <c r="EN77" i="4"/>
  <c r="EY77" i="4"/>
  <c r="FH77" i="4"/>
  <c r="FS77" i="4"/>
  <c r="FT77" i="4"/>
  <c r="GE77" i="4"/>
  <c r="GN77" i="4"/>
  <c r="GY77" i="4"/>
  <c r="GZ77" i="4"/>
  <c r="HK77" i="4"/>
  <c r="HT77" i="4"/>
  <c r="IE77" i="4"/>
  <c r="IF77" i="4"/>
  <c r="IQ77" i="4"/>
  <c r="I78" i="4"/>
  <c r="T78" i="4"/>
  <c r="U78" i="4"/>
  <c r="AF78" i="4"/>
  <c r="AO78" i="4"/>
  <c r="AZ78" i="4"/>
  <c r="BA78" i="4"/>
  <c r="BL78" i="4"/>
  <c r="BU78" i="4"/>
  <c r="CF78" i="4"/>
  <c r="CG78" i="4"/>
  <c r="CQ78" i="4"/>
  <c r="CY78" i="4"/>
  <c r="DG78" i="4"/>
  <c r="DO78" i="4"/>
  <c r="DW78" i="4"/>
  <c r="EE78" i="4"/>
  <c r="EM78" i="4"/>
  <c r="EU78" i="4"/>
  <c r="FC78" i="4"/>
  <c r="FD78" i="4"/>
  <c r="FE78" i="4"/>
  <c r="FF78" i="4"/>
  <c r="FG78" i="4"/>
  <c r="FW76" i="4"/>
  <c r="FX76" i="4"/>
  <c r="FY76" i="4"/>
  <c r="FZ76" i="4"/>
  <c r="GB76" i="4"/>
  <c r="GC76" i="4"/>
  <c r="GD76" i="4"/>
  <c r="GE76" i="4"/>
  <c r="GL76" i="4"/>
  <c r="GQ76" i="4"/>
  <c r="GS76" i="4"/>
  <c r="GX76" i="4"/>
  <c r="HB76" i="4"/>
  <c r="HF76" i="4"/>
  <c r="HJ76" i="4"/>
  <c r="HN76" i="4"/>
  <c r="HR76" i="4"/>
  <c r="HV76" i="4"/>
  <c r="HZ76" i="4"/>
  <c r="ID76" i="4"/>
  <c r="IH76" i="4"/>
  <c r="IL76" i="4"/>
  <c r="IP76" i="4"/>
  <c r="IT76" i="4"/>
  <c r="S61" i="1"/>
  <c r="S77" i="1"/>
  <c r="S76" i="1"/>
  <c r="S75" i="1"/>
  <c r="S74" i="1"/>
  <c r="S73" i="1"/>
  <c r="S85" i="1"/>
  <c r="S84" i="1"/>
  <c r="S83" i="1"/>
  <c r="S82" i="1"/>
  <c r="S81" i="1"/>
  <c r="S80" i="1"/>
  <c r="S79" i="1"/>
  <c r="S78" i="1"/>
  <c r="S96" i="1"/>
  <c r="S99" i="1"/>
  <c r="S97" i="1"/>
  <c r="S95" i="1"/>
  <c r="S94" i="1"/>
  <c r="S93" i="1"/>
  <c r="S92" i="1"/>
  <c r="S91" i="1"/>
  <c r="S90" i="1"/>
  <c r="S89" i="1"/>
  <c r="S88" i="1"/>
  <c r="S87" i="1"/>
  <c r="S86" i="1"/>
  <c r="S72" i="1"/>
  <c r="S71" i="1"/>
  <c r="S70" i="1"/>
  <c r="S69" i="1"/>
  <c r="S68" i="1"/>
  <c r="S67" i="1"/>
  <c r="S66" i="1"/>
  <c r="S65" i="1"/>
  <c r="S64" i="1"/>
  <c r="S63" i="1"/>
  <c r="S62" i="1"/>
  <c r="S60" i="1"/>
  <c r="S59" i="1"/>
  <c r="S58" i="1"/>
  <c r="S57" i="1"/>
  <c r="S56" i="1"/>
  <c r="S55" i="1"/>
  <c r="S54" i="1"/>
  <c r="S53" i="1"/>
  <c r="S52" i="1"/>
  <c r="S51" i="1"/>
  <c r="S50" i="1"/>
  <c r="S49" i="1"/>
  <c r="S48" i="1"/>
  <c r="S47" i="1"/>
  <c r="S45" i="1"/>
  <c r="S44" i="1"/>
  <c r="S43" i="1"/>
  <c r="S42" i="1"/>
  <c r="S41" i="1"/>
  <c r="S40" i="1"/>
  <c r="S39" i="1"/>
  <c r="S38" i="1"/>
  <c r="S37" i="1"/>
  <c r="S36" i="1"/>
  <c r="S35" i="1"/>
  <c r="S34" i="1"/>
  <c r="S33" i="1"/>
  <c r="S32" i="1"/>
  <c r="S31" i="1"/>
  <c r="S30" i="1"/>
  <c r="S29" i="1"/>
  <c r="S28" i="1"/>
  <c r="S26" i="1"/>
  <c r="S25" i="1"/>
  <c r="S24" i="1"/>
  <c r="S23" i="1"/>
  <c r="S22" i="1"/>
  <c r="S21" i="1"/>
  <c r="S20" i="1"/>
  <c r="S19" i="1"/>
  <c r="S18" i="1"/>
  <c r="S16" i="1"/>
  <c r="S15" i="1"/>
  <c r="S14" i="1"/>
  <c r="S13" i="1"/>
  <c r="S12" i="1"/>
  <c r="B479" i="5"/>
  <c r="B478" i="5"/>
  <c r="FB78" i="4" s="1"/>
  <c r="B477" i="5"/>
  <c r="FA78" i="4" s="1"/>
  <c r="B476" i="5"/>
  <c r="EZ78" i="4" s="1"/>
  <c r="B475" i="5"/>
  <c r="EY78" i="4" s="1"/>
  <c r="B474" i="5"/>
  <c r="EX78" i="4" s="1"/>
  <c r="B473" i="5"/>
  <c r="EW78" i="4" s="1"/>
  <c r="B472" i="5"/>
  <c r="EV78" i="4" s="1"/>
  <c r="B471" i="5"/>
  <c r="B470" i="5"/>
  <c r="ET78" i="4" s="1"/>
  <c r="B469" i="5"/>
  <c r="ES78" i="4" s="1"/>
  <c r="B468" i="5"/>
  <c r="ER78" i="4" s="1"/>
  <c r="B467" i="5"/>
  <c r="EQ78" i="4" s="1"/>
  <c r="B466" i="5"/>
  <c r="EP78" i="4" s="1"/>
  <c r="B465" i="5"/>
  <c r="EO78" i="4" s="1"/>
  <c r="B464" i="5"/>
  <c r="EN78" i="4" s="1"/>
  <c r="B463" i="5"/>
  <c r="B462" i="5"/>
  <c r="EL78" i="4" s="1"/>
  <c r="B461" i="5"/>
  <c r="EK78" i="4" s="1"/>
  <c r="B460" i="5"/>
  <c r="EJ78" i="4" s="1"/>
  <c r="B459" i="5"/>
  <c r="EI78" i="4" s="1"/>
  <c r="B458" i="5"/>
  <c r="EH78" i="4" s="1"/>
  <c r="B457" i="5"/>
  <c r="EG78" i="4" s="1"/>
  <c r="B456" i="5"/>
  <c r="EF78" i="4" s="1"/>
  <c r="B455" i="5"/>
  <c r="B454" i="5"/>
  <c r="ED78" i="4" s="1"/>
  <c r="B453" i="5"/>
  <c r="EC78" i="4" s="1"/>
  <c r="B452" i="5"/>
  <c r="EB78" i="4" s="1"/>
  <c r="B451" i="5"/>
  <c r="EA78" i="4" s="1"/>
  <c r="B450" i="5"/>
  <c r="DZ78" i="4" s="1"/>
  <c r="B449" i="5"/>
  <c r="DY78" i="4" s="1"/>
  <c r="B448" i="5"/>
  <c r="DX78" i="4" s="1"/>
  <c r="B447" i="5"/>
  <c r="B446" i="5"/>
  <c r="DV78" i="4" s="1"/>
  <c r="B445" i="5"/>
  <c r="DU78" i="4" s="1"/>
  <c r="B444" i="5"/>
  <c r="DT78" i="4" s="1"/>
  <c r="B443" i="5"/>
  <c r="DS78" i="4" s="1"/>
  <c r="B442" i="5"/>
  <c r="DR78" i="4" s="1"/>
  <c r="B441" i="5"/>
  <c r="DQ78" i="4" s="1"/>
  <c r="B440" i="5"/>
  <c r="DP78" i="4" s="1"/>
  <c r="B439" i="5"/>
  <c r="B438" i="5"/>
  <c r="DN78" i="4" s="1"/>
  <c r="B437" i="5"/>
  <c r="DM78" i="4" s="1"/>
  <c r="B436" i="5"/>
  <c r="DL78" i="4" s="1"/>
  <c r="B435" i="5"/>
  <c r="DK78" i="4" s="1"/>
  <c r="B434" i="5"/>
  <c r="DJ78" i="4" s="1"/>
  <c r="B433" i="5"/>
  <c r="DI78" i="4" s="1"/>
  <c r="B432" i="5"/>
  <c r="DH78" i="4" s="1"/>
  <c r="B431" i="5"/>
  <c r="B430" i="5"/>
  <c r="DF78" i="4" s="1"/>
  <c r="B429" i="5"/>
  <c r="DE78" i="4" s="1"/>
  <c r="B428" i="5"/>
  <c r="DD78" i="4" s="1"/>
  <c r="B427" i="5"/>
  <c r="DC78" i="4" s="1"/>
  <c r="B426" i="5"/>
  <c r="DB78" i="4" s="1"/>
  <c r="B425" i="5"/>
  <c r="DA78" i="4" s="1"/>
  <c r="B424" i="5"/>
  <c r="CZ78" i="4" s="1"/>
  <c r="B423" i="5"/>
  <c r="B422" i="5"/>
  <c r="CX78" i="4" s="1"/>
  <c r="B421" i="5"/>
  <c r="CW78" i="4" s="1"/>
  <c r="B420" i="5"/>
  <c r="CV78" i="4" s="1"/>
  <c r="B419" i="5"/>
  <c r="CU78" i="4" s="1"/>
  <c r="B418" i="5"/>
  <c r="CT78" i="4" s="1"/>
  <c r="B417" i="5"/>
  <c r="CS78" i="4" s="1"/>
  <c r="B416" i="5"/>
  <c r="CR78" i="4" s="1"/>
  <c r="B415" i="5"/>
  <c r="B414" i="5"/>
  <c r="CP78" i="4" s="1"/>
  <c r="B413" i="5"/>
  <c r="CO78" i="4" s="1"/>
  <c r="B412" i="5"/>
  <c r="CN78" i="4" s="1"/>
  <c r="B411" i="5"/>
  <c r="CM78" i="4" s="1"/>
  <c r="B410" i="5"/>
  <c r="CL78" i="4" s="1"/>
  <c r="B409" i="5"/>
  <c r="CK78" i="4" s="1"/>
  <c r="B408" i="5"/>
  <c r="CJ78" i="4" s="1"/>
  <c r="B407" i="5"/>
  <c r="CI78" i="4" s="1"/>
  <c r="B406" i="5"/>
  <c r="CH78" i="4" s="1"/>
  <c r="B405" i="5"/>
  <c r="B404" i="5"/>
  <c r="B403" i="5"/>
  <c r="CE78" i="4" s="1"/>
  <c r="B402" i="5"/>
  <c r="CD78" i="4" s="1"/>
  <c r="B401" i="5"/>
  <c r="CC78" i="4" s="1"/>
  <c r="B400" i="5"/>
  <c r="CB78" i="4" s="1"/>
  <c r="B399" i="5"/>
  <c r="CA78" i="4" s="1"/>
  <c r="B398" i="5"/>
  <c r="BZ78" i="4" s="1"/>
  <c r="B397" i="5"/>
  <c r="BY78" i="4" s="1"/>
  <c r="B396" i="5"/>
  <c r="BX78" i="4" s="1"/>
  <c r="B395" i="5"/>
  <c r="BW78" i="4" s="1"/>
  <c r="B394" i="5"/>
  <c r="BV78" i="4" s="1"/>
  <c r="B393" i="5"/>
  <c r="B392" i="5"/>
  <c r="BT78" i="4" s="1"/>
  <c r="B391" i="5"/>
  <c r="BS78" i="4" s="1"/>
  <c r="B390" i="5"/>
  <c r="BR78" i="4" s="1"/>
  <c r="B389" i="5"/>
  <c r="BQ78" i="4" s="1"/>
  <c r="B388" i="5"/>
  <c r="BP78" i="4" s="1"/>
  <c r="B387" i="5"/>
  <c r="BO78" i="4" s="1"/>
  <c r="B386" i="5"/>
  <c r="BN78" i="4" s="1"/>
  <c r="B385" i="5"/>
  <c r="BM78" i="4" s="1"/>
  <c r="B384" i="5"/>
  <c r="B383" i="5"/>
  <c r="BK78" i="4" s="1"/>
  <c r="B382" i="5"/>
  <c r="BJ78" i="4" s="1"/>
  <c r="B381" i="5"/>
  <c r="BI78" i="4" s="1"/>
  <c r="B380" i="5"/>
  <c r="BH78" i="4" s="1"/>
  <c r="B379" i="5"/>
  <c r="BG78" i="4" s="1"/>
  <c r="B378" i="5"/>
  <c r="BF78" i="4" s="1"/>
  <c r="B377" i="5"/>
  <c r="BE78" i="4" s="1"/>
  <c r="B376" i="5"/>
  <c r="BD78" i="4" s="1"/>
  <c r="B375" i="5"/>
  <c r="BC78" i="4" s="1"/>
  <c r="B374" i="5"/>
  <c r="BB78" i="4" s="1"/>
  <c r="B373" i="5"/>
  <c r="B372" i="5"/>
  <c r="B371" i="5"/>
  <c r="AY78" i="4" s="1"/>
  <c r="B370" i="5"/>
  <c r="AX78" i="4" s="1"/>
  <c r="B369" i="5"/>
  <c r="AW78" i="4" s="1"/>
  <c r="B368" i="5"/>
  <c r="AV78" i="4" s="1"/>
  <c r="B367" i="5"/>
  <c r="AU78" i="4" s="1"/>
  <c r="B366" i="5"/>
  <c r="AT78" i="4" s="1"/>
  <c r="B365" i="5"/>
  <c r="AS78" i="4" s="1"/>
  <c r="B364" i="5"/>
  <c r="AR78" i="4" s="1"/>
  <c r="B363" i="5"/>
  <c r="AQ78" i="4" s="1"/>
  <c r="B362" i="5"/>
  <c r="AP78" i="4" s="1"/>
  <c r="B361" i="5"/>
  <c r="B360" i="5"/>
  <c r="AN78" i="4" s="1"/>
  <c r="B359" i="5"/>
  <c r="AM78" i="4" s="1"/>
  <c r="B358" i="5"/>
  <c r="AL78" i="4" s="1"/>
  <c r="B357" i="5"/>
  <c r="AK78" i="4" s="1"/>
  <c r="B356" i="5"/>
  <c r="AJ78" i="4" s="1"/>
  <c r="B355" i="5"/>
  <c r="AI78" i="4" s="1"/>
  <c r="B354" i="5"/>
  <c r="AH78" i="4" s="1"/>
  <c r="B353" i="5"/>
  <c r="AG78" i="4" s="1"/>
  <c r="B352" i="5"/>
  <c r="B351" i="5"/>
  <c r="AE78" i="4" s="1"/>
  <c r="B350" i="5"/>
  <c r="AD78" i="4" s="1"/>
  <c r="B349" i="5"/>
  <c r="AC78" i="4" s="1"/>
  <c r="B348" i="5"/>
  <c r="AB78" i="4" s="1"/>
  <c r="B347" i="5"/>
  <c r="AA78" i="4" s="1"/>
  <c r="B346" i="5"/>
  <c r="Z78" i="4" s="1"/>
  <c r="B345" i="5"/>
  <c r="Y78" i="4" s="1"/>
  <c r="B344" i="5"/>
  <c r="X78" i="4" s="1"/>
  <c r="B343" i="5"/>
  <c r="W78" i="4" s="1"/>
  <c r="B342" i="5"/>
  <c r="V78" i="4" s="1"/>
  <c r="B341" i="5"/>
  <c r="B340" i="5"/>
  <c r="B339" i="5"/>
  <c r="S78" i="4" s="1"/>
  <c r="B338" i="5"/>
  <c r="R78" i="4" s="1"/>
  <c r="B337" i="5"/>
  <c r="Q78" i="4" s="1"/>
  <c r="B336" i="5"/>
  <c r="P78" i="4" s="1"/>
  <c r="B335" i="5"/>
  <c r="O78" i="4" s="1"/>
  <c r="B334" i="5"/>
  <c r="N78" i="4" s="1"/>
  <c r="B333" i="5"/>
  <c r="M78" i="4" s="1"/>
  <c r="B332" i="5"/>
  <c r="L78" i="4" s="1"/>
  <c r="B331" i="5"/>
  <c r="K78" i="4" s="1"/>
  <c r="B330" i="5"/>
  <c r="J78" i="4" s="1"/>
  <c r="B329" i="5"/>
  <c r="B328" i="5"/>
  <c r="H78" i="4" s="1"/>
  <c r="B327" i="5"/>
  <c r="G78" i="4" s="1"/>
  <c r="B326" i="5"/>
  <c r="F78" i="4" s="1"/>
  <c r="B325" i="5"/>
  <c r="IV77" i="4" s="1"/>
  <c r="B324" i="5"/>
  <c r="IU77" i="4" s="1"/>
  <c r="B323" i="5"/>
  <c r="IT77" i="4" s="1"/>
  <c r="B322" i="5"/>
  <c r="IS77" i="4" s="1"/>
  <c r="B321" i="5"/>
  <c r="IR77" i="4" s="1"/>
  <c r="B320" i="5"/>
  <c r="B319" i="5"/>
  <c r="IP77" i="4" s="1"/>
  <c r="B318" i="5"/>
  <c r="IO77" i="4" s="1"/>
  <c r="B317" i="5"/>
  <c r="IN77" i="4" s="1"/>
  <c r="B316" i="5"/>
  <c r="IM77" i="4" s="1"/>
  <c r="B315" i="5"/>
  <c r="IL77" i="4" s="1"/>
  <c r="B314" i="5"/>
  <c r="IK77" i="4" s="1"/>
  <c r="B313" i="5"/>
  <c r="IJ77" i="4" s="1"/>
  <c r="B312" i="5"/>
  <c r="II77" i="4" s="1"/>
  <c r="B311" i="5"/>
  <c r="IH77" i="4" s="1"/>
  <c r="B310" i="5"/>
  <c r="IG77" i="4" s="1"/>
  <c r="B309" i="5"/>
  <c r="B308" i="5"/>
  <c r="B307" i="5"/>
  <c r="ID77" i="4" s="1"/>
  <c r="B306" i="5"/>
  <c r="IC77" i="4" s="1"/>
  <c r="B305" i="5"/>
  <c r="IB77" i="4" s="1"/>
  <c r="B304" i="5"/>
  <c r="IA77" i="4" s="1"/>
  <c r="B303" i="5"/>
  <c r="HZ77" i="4" s="1"/>
  <c r="B302" i="5"/>
  <c r="HY77" i="4" s="1"/>
  <c r="B301" i="5"/>
  <c r="HX77" i="4" s="1"/>
  <c r="B300" i="5"/>
  <c r="HW77" i="4" s="1"/>
  <c r="B299" i="5"/>
  <c r="HV77" i="4" s="1"/>
  <c r="B298" i="5"/>
  <c r="HU77" i="4" s="1"/>
  <c r="B297" i="5"/>
  <c r="B296" i="5"/>
  <c r="HS77" i="4" s="1"/>
  <c r="B295" i="5"/>
  <c r="HR77" i="4" s="1"/>
  <c r="B294" i="5"/>
  <c r="HQ77" i="4" s="1"/>
  <c r="B293" i="5"/>
  <c r="HP77" i="4" s="1"/>
  <c r="B292" i="5"/>
  <c r="HO77" i="4" s="1"/>
  <c r="B291" i="5"/>
  <c r="HN77" i="4" s="1"/>
  <c r="B290" i="5"/>
  <c r="HM77" i="4" s="1"/>
  <c r="B289" i="5"/>
  <c r="HL77" i="4" s="1"/>
  <c r="B288" i="5"/>
  <c r="B287" i="5"/>
  <c r="HJ77" i="4" s="1"/>
  <c r="B286" i="5"/>
  <c r="HI77" i="4" s="1"/>
  <c r="B285" i="5"/>
  <c r="HH77" i="4" s="1"/>
  <c r="B284" i="5"/>
  <c r="HG77" i="4" s="1"/>
  <c r="B283" i="5"/>
  <c r="HF77" i="4" s="1"/>
  <c r="B282" i="5"/>
  <c r="HE77" i="4" s="1"/>
  <c r="B281" i="5"/>
  <c r="HD77" i="4" s="1"/>
  <c r="B280" i="5"/>
  <c r="HC77" i="4" s="1"/>
  <c r="B279" i="5"/>
  <c r="HB77" i="4" s="1"/>
  <c r="B278" i="5"/>
  <c r="HA77" i="4" s="1"/>
  <c r="B277" i="5"/>
  <c r="B276" i="5"/>
  <c r="B275" i="5"/>
  <c r="GX77" i="4" s="1"/>
  <c r="B274" i="5"/>
  <c r="GW77" i="4" s="1"/>
  <c r="B273" i="5"/>
  <c r="GV77" i="4" s="1"/>
  <c r="B272" i="5"/>
  <c r="GU77" i="4" s="1"/>
  <c r="B271" i="5"/>
  <c r="GT77" i="4" s="1"/>
  <c r="B270" i="5"/>
  <c r="GS77" i="4" s="1"/>
  <c r="B269" i="5"/>
  <c r="GR77" i="4" s="1"/>
  <c r="B268" i="5"/>
  <c r="GQ77" i="4" s="1"/>
  <c r="B267" i="5"/>
  <c r="GP77" i="4" s="1"/>
  <c r="B266" i="5"/>
  <c r="GO77" i="4" s="1"/>
  <c r="B265" i="5"/>
  <c r="B264" i="5"/>
  <c r="GM77" i="4" s="1"/>
  <c r="B263" i="5"/>
  <c r="GL77" i="4" s="1"/>
  <c r="B262" i="5"/>
  <c r="GK77" i="4" s="1"/>
  <c r="B261" i="5"/>
  <c r="GJ77" i="4" s="1"/>
  <c r="B260" i="5"/>
  <c r="GI77" i="4" s="1"/>
  <c r="B259" i="5"/>
  <c r="GH77" i="4" s="1"/>
  <c r="B258" i="5"/>
  <c r="GG77" i="4" s="1"/>
  <c r="B257" i="5"/>
  <c r="GF77" i="4" s="1"/>
  <c r="B256" i="5"/>
  <c r="B255" i="5"/>
  <c r="GD77" i="4" s="1"/>
  <c r="B254" i="5"/>
  <c r="GC77" i="4" s="1"/>
  <c r="B253" i="5"/>
  <c r="GB77" i="4" s="1"/>
  <c r="B252" i="5"/>
  <c r="GA77" i="4" s="1"/>
  <c r="B251" i="5"/>
  <c r="FZ77" i="4" s="1"/>
  <c r="B250" i="5"/>
  <c r="FY77" i="4" s="1"/>
  <c r="B249" i="5"/>
  <c r="FX77" i="4" s="1"/>
  <c r="B248" i="5"/>
  <c r="FW77" i="4" s="1"/>
  <c r="B247" i="5"/>
  <c r="FV77" i="4" s="1"/>
  <c r="B246" i="5"/>
  <c r="FU77" i="4" s="1"/>
  <c r="B245" i="5"/>
  <c r="B244" i="5"/>
  <c r="B243" i="5"/>
  <c r="FR77" i="4" s="1"/>
  <c r="B242" i="5"/>
  <c r="FQ77" i="4" s="1"/>
  <c r="B241" i="5"/>
  <c r="FP77" i="4" s="1"/>
  <c r="B240" i="5"/>
  <c r="FO77" i="4" s="1"/>
  <c r="B239" i="5"/>
  <c r="FN77" i="4" s="1"/>
  <c r="B238" i="5"/>
  <c r="FM77" i="4" s="1"/>
  <c r="B237" i="5"/>
  <c r="FL77" i="4" s="1"/>
  <c r="B236" i="5"/>
  <c r="FK77" i="4" s="1"/>
  <c r="B235" i="5"/>
  <c r="FJ77" i="4" s="1"/>
  <c r="B234" i="5"/>
  <c r="FI77" i="4" s="1"/>
  <c r="B233" i="5"/>
  <c r="B232" i="5"/>
  <c r="FG77" i="4" s="1"/>
  <c r="B231" i="5"/>
  <c r="FF77" i="4" s="1"/>
  <c r="B230" i="5"/>
  <c r="FE77" i="4" s="1"/>
  <c r="B229" i="5"/>
  <c r="FD77" i="4" s="1"/>
  <c r="B228" i="5"/>
  <c r="FC77" i="4" s="1"/>
  <c r="B227" i="5"/>
  <c r="FB77" i="4" s="1"/>
  <c r="B226" i="5"/>
  <c r="FA77" i="4" s="1"/>
  <c r="B225" i="5"/>
  <c r="EZ77" i="4" s="1"/>
  <c r="B224" i="5"/>
  <c r="B223" i="5"/>
  <c r="EX77" i="4" s="1"/>
  <c r="B222" i="5"/>
  <c r="EW77" i="4" s="1"/>
  <c r="B221" i="5"/>
  <c r="EV77" i="4" s="1"/>
  <c r="B220" i="5"/>
  <c r="EU77" i="4" s="1"/>
  <c r="B219" i="5"/>
  <c r="ET77" i="4" s="1"/>
  <c r="B218" i="5"/>
  <c r="ES77" i="4" s="1"/>
  <c r="B217" i="5"/>
  <c r="ER77" i="4" s="1"/>
  <c r="B216" i="5"/>
  <c r="EQ77" i="4" s="1"/>
  <c r="B215" i="5"/>
  <c r="EP77" i="4" s="1"/>
  <c r="B214" i="5"/>
  <c r="EO77" i="4" s="1"/>
  <c r="B213" i="5"/>
  <c r="B212" i="5"/>
  <c r="B211" i="5"/>
  <c r="EL77" i="4" s="1"/>
  <c r="B210" i="5"/>
  <c r="EK77" i="4" s="1"/>
  <c r="B209" i="5"/>
  <c r="EJ77" i="4" s="1"/>
  <c r="B208" i="5"/>
  <c r="EI77" i="4" s="1"/>
  <c r="B207" i="5"/>
  <c r="EH77" i="4" s="1"/>
  <c r="B206" i="5"/>
  <c r="EG77" i="4" s="1"/>
  <c r="B205" i="5"/>
  <c r="EF77" i="4" s="1"/>
  <c r="B204" i="5"/>
  <c r="EE77" i="4" s="1"/>
  <c r="B203" i="5"/>
  <c r="ED77" i="4" s="1"/>
  <c r="B202" i="5"/>
  <c r="EC77" i="4" s="1"/>
  <c r="B201" i="5"/>
  <c r="B200" i="5"/>
  <c r="EA77" i="4" s="1"/>
  <c r="B199" i="5"/>
  <c r="DZ77" i="4" s="1"/>
  <c r="B198" i="5"/>
  <c r="DY77" i="4" s="1"/>
  <c r="B197" i="5"/>
  <c r="DX77" i="4" s="1"/>
  <c r="B196" i="5"/>
  <c r="DW77" i="4" s="1"/>
  <c r="B195" i="5"/>
  <c r="DV77" i="4" s="1"/>
  <c r="B194" i="5"/>
  <c r="DU77" i="4" s="1"/>
  <c r="B193" i="5"/>
  <c r="DT77" i="4" s="1"/>
  <c r="B192" i="5"/>
  <c r="B191" i="5"/>
  <c r="DR77" i="4" s="1"/>
  <c r="B190" i="5"/>
  <c r="DQ77" i="4" s="1"/>
  <c r="B189" i="5"/>
  <c r="DP77" i="4" s="1"/>
  <c r="B188" i="5"/>
  <c r="DO77" i="4" s="1"/>
  <c r="B187" i="5"/>
  <c r="DN77" i="4" s="1"/>
  <c r="B186" i="5"/>
  <c r="DM77" i="4" s="1"/>
  <c r="B185" i="5"/>
  <c r="DL77" i="4" s="1"/>
  <c r="B184" i="5"/>
  <c r="DK77" i="4" s="1"/>
  <c r="B183" i="5"/>
  <c r="DJ77" i="4" s="1"/>
  <c r="B182" i="5"/>
  <c r="DI77" i="4" s="1"/>
  <c r="B181" i="5"/>
  <c r="B180" i="5"/>
  <c r="B179" i="5"/>
  <c r="DF77" i="4" s="1"/>
  <c r="B178" i="5"/>
  <c r="DE77" i="4" s="1"/>
  <c r="B177" i="5"/>
  <c r="DD77" i="4" s="1"/>
  <c r="B176" i="5"/>
  <c r="DC77" i="4" s="1"/>
  <c r="B175" i="5"/>
  <c r="DB77" i="4" s="1"/>
  <c r="B174" i="5"/>
  <c r="DA77" i="4" s="1"/>
  <c r="B173" i="5"/>
  <c r="CZ77" i="4" s="1"/>
  <c r="B172" i="5"/>
  <c r="CY77" i="4" s="1"/>
  <c r="B171" i="5"/>
  <c r="CX77" i="4" s="1"/>
  <c r="B170" i="5"/>
  <c r="CW77" i="4" s="1"/>
  <c r="B169" i="5"/>
  <c r="B168" i="5"/>
  <c r="CU77" i="4" s="1"/>
  <c r="B167" i="5"/>
  <c r="CT77" i="4" s="1"/>
  <c r="B166" i="5"/>
  <c r="CS77" i="4" s="1"/>
  <c r="B165" i="5"/>
  <c r="CR77" i="4" s="1"/>
  <c r="B164" i="5"/>
  <c r="CQ77" i="4" s="1"/>
  <c r="B163" i="5"/>
  <c r="CP77" i="4" s="1"/>
  <c r="B162" i="5"/>
  <c r="CO77" i="4" s="1"/>
  <c r="B161" i="5"/>
  <c r="CN77" i="4" s="1"/>
  <c r="B160" i="5"/>
  <c r="B159" i="5"/>
  <c r="CL77" i="4" s="1"/>
  <c r="B158" i="5"/>
  <c r="CK77" i="4" s="1"/>
  <c r="B157" i="5"/>
  <c r="CJ77" i="4" s="1"/>
  <c r="B156" i="5"/>
  <c r="CI77" i="4" s="1"/>
  <c r="B155" i="5"/>
  <c r="CH77" i="4" s="1"/>
  <c r="B154" i="5"/>
  <c r="CG77" i="4" s="1"/>
  <c r="B153" i="5"/>
  <c r="CF77" i="4" s="1"/>
  <c r="B152" i="5"/>
  <c r="CE77" i="4" s="1"/>
  <c r="B151" i="5"/>
  <c r="CD77" i="4" s="1"/>
  <c r="B150" i="5"/>
  <c r="CC77" i="4" s="1"/>
  <c r="B149" i="5"/>
  <c r="B148" i="5"/>
  <c r="B147" i="5"/>
  <c r="BZ77" i="4" s="1"/>
  <c r="B146" i="5"/>
  <c r="BY77" i="4" s="1"/>
  <c r="B145" i="5"/>
  <c r="BX77" i="4" s="1"/>
  <c r="B144" i="5"/>
  <c r="BW77" i="4" s="1"/>
  <c r="B143" i="5"/>
  <c r="BV77" i="4" s="1"/>
  <c r="B142" i="5"/>
  <c r="BU77" i="4" s="1"/>
  <c r="B141" i="5"/>
  <c r="BT77" i="4" s="1"/>
  <c r="B140" i="5"/>
  <c r="BS77" i="4" s="1"/>
  <c r="B139" i="5"/>
  <c r="BR77" i="4" s="1"/>
  <c r="B138" i="5"/>
  <c r="BQ77" i="4" s="1"/>
  <c r="B137" i="5"/>
  <c r="B136" i="5"/>
  <c r="BO77" i="4" s="1"/>
  <c r="B135" i="5"/>
  <c r="BN77" i="4" s="1"/>
  <c r="B134" i="5"/>
  <c r="BM77" i="4" s="1"/>
  <c r="B133" i="5"/>
  <c r="BL77" i="4" s="1"/>
  <c r="B132" i="5"/>
  <c r="BK77" i="4" s="1"/>
  <c r="B131" i="5"/>
  <c r="BJ77" i="4" s="1"/>
  <c r="B130" i="5"/>
  <c r="BI77" i="4" s="1"/>
  <c r="B129" i="5"/>
  <c r="BH77" i="4" s="1"/>
  <c r="B128" i="5"/>
  <c r="B127" i="5"/>
  <c r="BF77" i="4" s="1"/>
  <c r="B126" i="5"/>
  <c r="BE77" i="4" s="1"/>
  <c r="B125" i="5"/>
  <c r="BD77" i="4" s="1"/>
  <c r="B124" i="5"/>
  <c r="BC77" i="4" s="1"/>
  <c r="B123" i="5"/>
  <c r="BB77" i="4" s="1"/>
  <c r="B122" i="5"/>
  <c r="BA77" i="4" s="1"/>
  <c r="B121" i="5"/>
  <c r="AZ77" i="4" s="1"/>
  <c r="B120" i="5"/>
  <c r="AY77" i="4" s="1"/>
  <c r="B119" i="5"/>
  <c r="AX77" i="4" s="1"/>
  <c r="B118" i="5"/>
  <c r="AW77" i="4" s="1"/>
  <c r="B117" i="5"/>
  <c r="B116" i="5"/>
  <c r="B115" i="5"/>
  <c r="AT77" i="4" s="1"/>
  <c r="B114" i="5"/>
  <c r="AS77" i="4" s="1"/>
  <c r="B113" i="5"/>
  <c r="AR77" i="4" s="1"/>
  <c r="B112" i="5"/>
  <c r="AQ77" i="4" s="1"/>
  <c r="B111" i="5"/>
  <c r="AP77" i="4" s="1"/>
  <c r="B110" i="5"/>
  <c r="AO77" i="4" s="1"/>
  <c r="B109" i="5"/>
  <c r="AN77" i="4" s="1"/>
  <c r="B108" i="5"/>
  <c r="AM77" i="4" s="1"/>
  <c r="B107" i="5"/>
  <c r="AL77" i="4" s="1"/>
  <c r="B106" i="5"/>
  <c r="AK77" i="4" s="1"/>
  <c r="B105" i="5"/>
  <c r="B104" i="5"/>
  <c r="AI77" i="4" s="1"/>
  <c r="B103" i="5"/>
  <c r="AH77" i="4" s="1"/>
  <c r="B102" i="5"/>
  <c r="AG77" i="4" s="1"/>
  <c r="B101" i="5"/>
  <c r="AF77" i="4" s="1"/>
  <c r="B100" i="5"/>
  <c r="AE77" i="4" s="1"/>
  <c r="B99" i="5"/>
  <c r="AD77" i="4" s="1"/>
  <c r="B98" i="5"/>
  <c r="AC77" i="4" s="1"/>
  <c r="B97" i="5"/>
  <c r="AB77" i="4" s="1"/>
  <c r="B96" i="5"/>
  <c r="B95" i="5"/>
  <c r="Z77" i="4" s="1"/>
  <c r="B94" i="5"/>
  <c r="Y77" i="4" s="1"/>
  <c r="B93" i="5"/>
  <c r="X77" i="4" s="1"/>
  <c r="B92" i="5"/>
  <c r="W77" i="4" s="1"/>
  <c r="B91" i="5"/>
  <c r="V77" i="4" s="1"/>
  <c r="B90" i="5"/>
  <c r="U77" i="4" s="1"/>
  <c r="B89" i="5"/>
  <c r="T77" i="4" s="1"/>
  <c r="B88" i="5"/>
  <c r="S77" i="4" s="1"/>
  <c r="B87" i="5"/>
  <c r="R77" i="4" s="1"/>
  <c r="B86" i="5"/>
  <c r="Q77" i="4" s="1"/>
  <c r="B85" i="5"/>
  <c r="B84" i="5"/>
  <c r="B83" i="5"/>
  <c r="N77" i="4" s="1"/>
  <c r="B82" i="5"/>
  <c r="M77" i="4" s="1"/>
  <c r="B81" i="5"/>
  <c r="L77" i="4" s="1"/>
  <c r="B80" i="5"/>
  <c r="K77" i="4" s="1"/>
  <c r="B79" i="5"/>
  <c r="J77" i="4" s="1"/>
  <c r="B78" i="5"/>
  <c r="I77" i="4" s="1"/>
  <c r="B77" i="5"/>
  <c r="H77" i="4" s="1"/>
  <c r="B76" i="5"/>
  <c r="B75" i="5"/>
  <c r="F77" i="4" s="1"/>
  <c r="B74" i="5"/>
  <c r="IV76" i="4" s="1"/>
  <c r="B73" i="5"/>
  <c r="IU76" i="4" s="1"/>
  <c r="B72" i="5"/>
  <c r="B71" i="5"/>
  <c r="IS76" i="4" s="1"/>
  <c r="B70" i="5"/>
  <c r="IR76" i="4" s="1"/>
  <c r="B69" i="5"/>
  <c r="IQ76" i="4" s="1"/>
  <c r="B68" i="5"/>
  <c r="B67" i="5"/>
  <c r="IO76" i="4" s="1"/>
  <c r="B66" i="5"/>
  <c r="IN76" i="4" s="1"/>
  <c r="B65" i="5"/>
  <c r="IM76" i="4" s="1"/>
  <c r="B64" i="5"/>
  <c r="B63" i="5"/>
  <c r="IK76" i="4" s="1"/>
  <c r="B62" i="5"/>
  <c r="IJ76" i="4" s="1"/>
  <c r="B61" i="5"/>
  <c r="II76" i="4" s="1"/>
  <c r="B60" i="5"/>
  <c r="B59" i="5"/>
  <c r="IG76" i="4" s="1"/>
  <c r="B58" i="5"/>
  <c r="IF76" i="4" s="1"/>
  <c r="B57" i="5"/>
  <c r="IE76" i="4" s="1"/>
  <c r="B56" i="5"/>
  <c r="B55" i="5"/>
  <c r="IC76" i="4" s="1"/>
  <c r="B54" i="5"/>
  <c r="IB76" i="4" s="1"/>
  <c r="B53" i="5"/>
  <c r="IA76" i="4" s="1"/>
  <c r="B52" i="5"/>
  <c r="B51" i="5"/>
  <c r="HY76" i="4" s="1"/>
  <c r="B50" i="5"/>
  <c r="HX76" i="4" s="1"/>
  <c r="B49" i="5"/>
  <c r="HW76" i="4" s="1"/>
  <c r="B48" i="5"/>
  <c r="B47" i="5"/>
  <c r="HU76" i="4" s="1"/>
  <c r="B46" i="5"/>
  <c r="HT76" i="4" s="1"/>
  <c r="B45" i="5"/>
  <c r="HS76" i="4" s="1"/>
  <c r="B44" i="5"/>
  <c r="B43" i="5"/>
  <c r="HQ76" i="4" s="1"/>
  <c r="B42" i="5"/>
  <c r="HP76" i="4" s="1"/>
  <c r="B41" i="5"/>
  <c r="HO76" i="4" s="1"/>
  <c r="B40" i="5"/>
  <c r="B39" i="5"/>
  <c r="HM76" i="4" s="1"/>
  <c r="B38" i="5"/>
  <c r="HL76" i="4" s="1"/>
  <c r="B37" i="5"/>
  <c r="HK76" i="4" s="1"/>
  <c r="B36" i="5"/>
  <c r="B35" i="5"/>
  <c r="HI76" i="4" s="1"/>
  <c r="B34" i="5"/>
  <c r="HH76" i="4" s="1"/>
  <c r="B33" i="5"/>
  <c r="HG76" i="4" s="1"/>
  <c r="B32" i="5"/>
  <c r="B31" i="5"/>
  <c r="HE76" i="4" s="1"/>
  <c r="B30" i="5"/>
  <c r="HD76" i="4" s="1"/>
  <c r="B29" i="5"/>
  <c r="HC76" i="4" s="1"/>
  <c r="B28" i="5"/>
  <c r="B27" i="5"/>
  <c r="HA76" i="4" s="1"/>
  <c r="B26" i="5"/>
  <c r="GZ76" i="4" s="1"/>
  <c r="B25" i="5"/>
  <c r="GY76" i="4" s="1"/>
  <c r="B24" i="5"/>
  <c r="B23" i="5"/>
  <c r="GW76" i="4" s="1"/>
  <c r="B22" i="5"/>
  <c r="GV76" i="4" s="1"/>
  <c r="B21" i="5"/>
  <c r="GU76" i="4" s="1"/>
  <c r="B20" i="5"/>
  <c r="GT76" i="4" s="1"/>
  <c r="B19" i="5"/>
  <c r="B18" i="5"/>
  <c r="GR76" i="4" s="1"/>
  <c r="B17" i="5"/>
  <c r="B16" i="5"/>
  <c r="GP76" i="4" s="1"/>
  <c r="B15" i="5"/>
  <c r="GO76" i="4" s="1"/>
  <c r="B14" i="5"/>
  <c r="GN76" i="4" s="1"/>
  <c r="B13" i="5"/>
  <c r="GM76" i="4" s="1"/>
  <c r="B12" i="5"/>
  <c r="B11" i="5"/>
  <c r="GK76" i="4" s="1"/>
  <c r="B10" i="5"/>
  <c r="GJ76" i="4" s="1"/>
  <c r="B9" i="5"/>
  <c r="GI76" i="4" s="1"/>
  <c r="B8" i="5"/>
  <c r="GH76" i="4" s="1"/>
  <c r="B7" i="5"/>
  <c r="GG76" i="4" s="1"/>
  <c r="B6" i="5"/>
  <c r="GF76" i="4" s="1"/>
  <c r="G77" i="4" l="1"/>
  <c r="GA76" i="4"/>
  <c r="F54" i="4"/>
  <c r="G54" i="4"/>
  <c r="H54" i="4"/>
  <c r="I54" i="4"/>
  <c r="J54" i="4"/>
  <c r="K54" i="4"/>
  <c r="L54" i="4"/>
  <c r="M54" i="4"/>
  <c r="N54" i="4"/>
  <c r="O54" i="4"/>
  <c r="P54" i="4"/>
  <c r="Q54" i="4"/>
  <c r="R54" i="4"/>
  <c r="S54" i="4"/>
  <c r="T54" i="4"/>
  <c r="U54" i="4"/>
  <c r="V54" i="4"/>
  <c r="W54" i="4"/>
  <c r="Y54" i="4"/>
  <c r="Z54" i="4"/>
  <c r="AA54" i="4"/>
  <c r="AB54" i="4"/>
  <c r="AC54" i="4"/>
  <c r="AD54" i="4"/>
  <c r="AE54" i="4"/>
  <c r="AF54" i="4"/>
  <c r="AG54" i="4"/>
  <c r="AH54" i="4"/>
  <c r="AI54" i="4"/>
  <c r="AJ54" i="4"/>
  <c r="AK54" i="4"/>
  <c r="AL54" i="4"/>
  <c r="AM54" i="4"/>
  <c r="AN54" i="4"/>
  <c r="AO54" i="4"/>
  <c r="AP54" i="4"/>
  <c r="AQ54" i="4"/>
  <c r="AR54" i="4"/>
  <c r="AS54" i="4"/>
  <c r="AT54" i="4"/>
  <c r="AU54" i="4"/>
  <c r="AW54" i="4"/>
  <c r="AX54" i="4"/>
  <c r="AY54" i="4"/>
  <c r="AZ54" i="4"/>
  <c r="BA54" i="4"/>
  <c r="BB54" i="4"/>
  <c r="BC54" i="4"/>
  <c r="BD54" i="4"/>
  <c r="BE54" i="4"/>
  <c r="BF54" i="4"/>
  <c r="BG54" i="4"/>
  <c r="BH54" i="4"/>
  <c r="BI54" i="4"/>
  <c r="BJ54" i="4"/>
  <c r="BK54" i="4"/>
  <c r="BL54" i="4"/>
  <c r="BM54" i="4"/>
  <c r="BN54" i="4"/>
  <c r="BO54" i="4"/>
  <c r="BP54" i="4"/>
  <c r="BQ54" i="4"/>
  <c r="BR54" i="4"/>
  <c r="BS54" i="4"/>
  <c r="BU54" i="4"/>
  <c r="BV54" i="4"/>
  <c r="BW54" i="4"/>
  <c r="BX54" i="4"/>
  <c r="BY54" i="4"/>
  <c r="BZ54" i="4"/>
  <c r="CA54" i="4"/>
  <c r="CB54" i="4"/>
  <c r="CC54" i="4"/>
  <c r="CD54" i="4"/>
  <c r="CE54" i="4"/>
  <c r="CF54" i="4"/>
  <c r="CG54" i="4"/>
  <c r="CH54" i="4"/>
  <c r="CI54" i="4"/>
  <c r="CJ54" i="4"/>
  <c r="CK54" i="4"/>
  <c r="CL54" i="4"/>
  <c r="CM54" i="4"/>
  <c r="CN54" i="4"/>
  <c r="CO54" i="4"/>
  <c r="CP54" i="4"/>
  <c r="CQ54" i="4"/>
  <c r="CR54" i="4"/>
  <c r="CS54" i="4"/>
  <c r="CT54" i="4"/>
  <c r="CU54" i="4"/>
  <c r="CV54" i="4"/>
  <c r="CW54" i="4"/>
  <c r="CX54" i="4"/>
  <c r="CY54" i="4"/>
  <c r="CZ54" i="4"/>
  <c r="DA54" i="4"/>
  <c r="DB54" i="4"/>
  <c r="DC54" i="4"/>
  <c r="DD54" i="4"/>
  <c r="DE54" i="4"/>
  <c r="DF54" i="4"/>
  <c r="DG54" i="4"/>
  <c r="DH54" i="4"/>
  <c r="DI54" i="4"/>
  <c r="DJ54" i="4"/>
  <c r="DK54" i="4"/>
  <c r="DL54" i="4"/>
  <c r="DM54" i="4"/>
  <c r="DN54" i="4"/>
  <c r="DO54" i="4"/>
  <c r="DP54" i="4"/>
  <c r="DQ54" i="4"/>
  <c r="DR54" i="4"/>
  <c r="DS54" i="4"/>
  <c r="DT54" i="4"/>
  <c r="DU54" i="4"/>
  <c r="DV54" i="4"/>
  <c r="DW54" i="4"/>
  <c r="DX54" i="4"/>
  <c r="DY54" i="4"/>
  <c r="DZ54" i="4"/>
  <c r="EA54" i="4"/>
  <c r="EB54" i="4"/>
  <c r="EC54" i="4"/>
  <c r="ED54" i="4"/>
  <c r="EE54" i="4"/>
  <c r="EF54" i="4"/>
  <c r="EG54" i="4"/>
  <c r="EH54" i="4"/>
  <c r="EI54" i="4"/>
  <c r="EJ54" i="4"/>
  <c r="EK54" i="4"/>
  <c r="EL54" i="4"/>
  <c r="EM54" i="4"/>
  <c r="EN54" i="4"/>
  <c r="EO54" i="4"/>
  <c r="EP54" i="4"/>
  <c r="EQ54" i="4"/>
  <c r="ER54" i="4"/>
  <c r="ES54" i="4"/>
  <c r="ET54" i="4"/>
  <c r="EU54" i="4"/>
  <c r="EV54" i="4"/>
  <c r="EW54" i="4"/>
  <c r="EX54" i="4"/>
  <c r="EY54" i="4"/>
  <c r="EZ54" i="4"/>
  <c r="FA54" i="4"/>
  <c r="FB54" i="4"/>
  <c r="FC54" i="4"/>
  <c r="FD54" i="4"/>
  <c r="FE54" i="4"/>
  <c r="FF54" i="4"/>
  <c r="FG54" i="4"/>
  <c r="FH54" i="4"/>
  <c r="FI54" i="4"/>
  <c r="FJ54" i="4"/>
  <c r="FK54" i="4"/>
  <c r="FL54" i="4"/>
  <c r="FM54" i="4"/>
  <c r="FN54" i="4"/>
  <c r="FO54" i="4"/>
  <c r="FP54" i="4"/>
  <c r="FQ54" i="4"/>
  <c r="FR54" i="4"/>
  <c r="FS54" i="4"/>
  <c r="FT54" i="4"/>
  <c r="FU54" i="4"/>
  <c r="FV54" i="4"/>
  <c r="FW54" i="4"/>
  <c r="FX54" i="4"/>
  <c r="FY54" i="4"/>
  <c r="FZ54" i="4"/>
  <c r="GA54" i="4"/>
  <c r="GB54" i="4"/>
  <c r="GC54" i="4"/>
  <c r="GD54" i="4"/>
  <c r="GE54" i="4"/>
  <c r="GF54" i="4"/>
  <c r="GG54" i="4"/>
  <c r="GH54" i="4"/>
  <c r="GI54" i="4"/>
  <c r="GJ54" i="4"/>
  <c r="GK54" i="4"/>
  <c r="GL54" i="4"/>
  <c r="GM54" i="4"/>
  <c r="GN54" i="4"/>
  <c r="GO54" i="4"/>
  <c r="GP54" i="4"/>
  <c r="GQ54" i="4"/>
  <c r="GR54" i="4"/>
  <c r="GS54" i="4"/>
  <c r="GT54" i="4"/>
  <c r="GU54" i="4"/>
  <c r="GV54" i="4"/>
  <c r="GW54" i="4"/>
  <c r="GX54" i="4"/>
  <c r="GY54" i="4"/>
  <c r="GZ54" i="4"/>
  <c r="HA54" i="4"/>
  <c r="HB54" i="4"/>
  <c r="HC54" i="4"/>
  <c r="HD54" i="4"/>
  <c r="HE54" i="4"/>
  <c r="HF54" i="4"/>
  <c r="HG54" i="4"/>
  <c r="HH54" i="4"/>
  <c r="HI54" i="4"/>
  <c r="HJ54" i="4"/>
  <c r="HK54" i="4"/>
  <c r="HL54" i="4"/>
  <c r="HM54" i="4"/>
  <c r="HN54" i="4"/>
  <c r="HO54" i="4"/>
  <c r="HP54" i="4"/>
  <c r="HQ54" i="4"/>
  <c r="HR54" i="4"/>
  <c r="HS54" i="4"/>
  <c r="HT54" i="4"/>
  <c r="HU54" i="4"/>
  <c r="HV54" i="4"/>
  <c r="HW54" i="4"/>
  <c r="HX54" i="4"/>
  <c r="HY54" i="4"/>
  <c r="HZ54" i="4"/>
  <c r="IA54" i="4"/>
  <c r="IB54" i="4"/>
  <c r="IC54" i="4"/>
  <c r="ID54" i="4"/>
  <c r="IE54" i="4"/>
  <c r="IF54" i="4"/>
  <c r="IG54" i="4"/>
  <c r="IH54" i="4"/>
  <c r="II54" i="4"/>
  <c r="IJ54" i="4"/>
  <c r="IK54" i="4"/>
  <c r="IL54" i="4"/>
  <c r="IM54" i="4"/>
  <c r="IN54" i="4"/>
  <c r="IO54" i="4"/>
  <c r="IP54" i="4"/>
  <c r="IQ54" i="4"/>
  <c r="IR54" i="4"/>
  <c r="IS54" i="4"/>
  <c r="IT54" i="4"/>
  <c r="IU54" i="4"/>
  <c r="IV54" i="4"/>
  <c r="F55" i="4"/>
  <c r="G55" i="4"/>
  <c r="H55" i="4"/>
  <c r="I55" i="4"/>
  <c r="J55" i="4"/>
  <c r="K55" i="4"/>
  <c r="L55" i="4"/>
  <c r="M55" i="4"/>
  <c r="N55" i="4"/>
  <c r="O55" i="4"/>
  <c r="P55" i="4"/>
  <c r="Q55" i="4"/>
  <c r="R55" i="4"/>
  <c r="S55" i="4"/>
  <c r="T55" i="4"/>
  <c r="U55" i="4"/>
  <c r="V55" i="4"/>
  <c r="W55" i="4"/>
  <c r="X55" i="4"/>
  <c r="Y55" i="4"/>
  <c r="Z55" i="4"/>
  <c r="AA55" i="4"/>
  <c r="AB55" i="4"/>
  <c r="AC55" i="4"/>
  <c r="AD55" i="4"/>
  <c r="AE55" i="4"/>
  <c r="AF55" i="4"/>
  <c r="AG55" i="4"/>
  <c r="AH55" i="4"/>
  <c r="AI55" i="4"/>
  <c r="AJ55" i="4"/>
  <c r="AK55" i="4"/>
  <c r="AL55" i="4"/>
  <c r="AM55" i="4"/>
  <c r="AN55" i="4"/>
  <c r="AO55" i="4"/>
  <c r="AP55" i="4"/>
  <c r="AQ55" i="4"/>
  <c r="AR55" i="4"/>
  <c r="AS55" i="4"/>
  <c r="AT55" i="4"/>
  <c r="AU55" i="4"/>
  <c r="AV55" i="4"/>
  <c r="AW55" i="4"/>
  <c r="AX55" i="4"/>
  <c r="AY55" i="4"/>
  <c r="AZ55" i="4"/>
  <c r="BA55" i="4"/>
  <c r="BB55" i="4"/>
  <c r="BC55" i="4"/>
  <c r="BD55" i="4"/>
  <c r="BE55" i="4"/>
  <c r="BF55" i="4"/>
  <c r="BG55" i="4"/>
  <c r="BH55" i="4"/>
  <c r="BJ55" i="4"/>
  <c r="BK55" i="4"/>
  <c r="BL55" i="4"/>
  <c r="BM55" i="4"/>
  <c r="BN55" i="4"/>
  <c r="BO55" i="4"/>
  <c r="BP55" i="4"/>
  <c r="BQ55" i="4"/>
  <c r="BR55" i="4"/>
  <c r="BS55" i="4"/>
  <c r="BT55" i="4"/>
  <c r="BU55" i="4"/>
  <c r="BV55" i="4"/>
  <c r="BW55" i="4"/>
  <c r="BX55" i="4"/>
  <c r="BY55" i="4"/>
  <c r="BZ55" i="4"/>
  <c r="CA55" i="4"/>
  <c r="CB55" i="4"/>
  <c r="CC55" i="4"/>
  <c r="CD55" i="4"/>
  <c r="CE55" i="4"/>
  <c r="CF55" i="4"/>
  <c r="CH55" i="4"/>
  <c r="CI55" i="4"/>
  <c r="CJ55" i="4"/>
  <c r="CK55" i="4"/>
  <c r="CL55" i="4"/>
  <c r="CM55" i="4"/>
  <c r="CN55" i="4"/>
  <c r="CO55" i="4"/>
  <c r="CP55" i="4"/>
  <c r="CQ55" i="4"/>
  <c r="CR55" i="4"/>
  <c r="CS55" i="4"/>
  <c r="CT55" i="4"/>
  <c r="CU55" i="4"/>
  <c r="CV55" i="4"/>
  <c r="CW55" i="4"/>
  <c r="CX55" i="4"/>
  <c r="CY55" i="4"/>
  <c r="CZ55" i="4"/>
  <c r="DA55" i="4"/>
  <c r="DB55" i="4"/>
  <c r="DD55" i="4"/>
  <c r="DE55" i="4"/>
  <c r="DF55" i="4"/>
  <c r="DG55" i="4"/>
  <c r="DH55" i="4"/>
  <c r="DI55" i="4"/>
  <c r="DJ55" i="4"/>
  <c r="DK55" i="4"/>
  <c r="DL55" i="4"/>
  <c r="DM55" i="4"/>
  <c r="DN55" i="4"/>
  <c r="DO55" i="4"/>
  <c r="DP55" i="4"/>
  <c r="DQ55" i="4"/>
  <c r="DR55" i="4"/>
  <c r="DS55" i="4"/>
  <c r="DT55" i="4"/>
  <c r="DU55" i="4"/>
  <c r="DV55" i="4"/>
  <c r="DW55" i="4"/>
  <c r="DX55" i="4"/>
  <c r="DY55" i="4"/>
  <c r="DZ55" i="4"/>
  <c r="EA55" i="4"/>
  <c r="EB55" i="4"/>
  <c r="EC55" i="4"/>
  <c r="ED55" i="4"/>
  <c r="EE55" i="4"/>
  <c r="EF55" i="4"/>
  <c r="EG55" i="4"/>
  <c r="EH55" i="4"/>
  <c r="EI55" i="4"/>
  <c r="EJ55" i="4"/>
  <c r="EK55" i="4"/>
  <c r="EL55" i="4"/>
  <c r="EM55" i="4"/>
  <c r="EN55" i="4"/>
  <c r="EO55" i="4"/>
  <c r="EP55" i="4"/>
  <c r="EQ55" i="4"/>
  <c r="ER55" i="4"/>
  <c r="ES55" i="4"/>
  <c r="ET55" i="4"/>
  <c r="EU55" i="4"/>
  <c r="EV55" i="4"/>
  <c r="EW55" i="4"/>
  <c r="EX55" i="4"/>
  <c r="EY55" i="4"/>
  <c r="EZ55" i="4"/>
  <c r="FA55" i="4"/>
  <c r="FB55" i="4"/>
  <c r="FC55" i="4"/>
  <c r="FD55" i="4"/>
  <c r="FE55" i="4"/>
  <c r="FF55" i="4"/>
  <c r="FG55" i="4"/>
  <c r="FH55" i="4"/>
  <c r="FI55" i="4"/>
  <c r="FJ55" i="4"/>
  <c r="FK55" i="4"/>
  <c r="FL55" i="4"/>
  <c r="FM55" i="4"/>
  <c r="FN55" i="4"/>
  <c r="FO55" i="4"/>
  <c r="FP55" i="4"/>
  <c r="FQ55" i="4"/>
  <c r="FR55" i="4"/>
  <c r="FS55" i="4"/>
  <c r="FT55" i="4"/>
  <c r="FU55" i="4"/>
  <c r="FV55" i="4"/>
  <c r="FW55" i="4"/>
  <c r="FX55" i="4"/>
  <c r="FY55" i="4"/>
  <c r="FZ55" i="4"/>
  <c r="GA55" i="4"/>
  <c r="GB55" i="4"/>
  <c r="GC55" i="4"/>
  <c r="GD55" i="4"/>
  <c r="GE55" i="4"/>
  <c r="GF55" i="4"/>
  <c r="GG55" i="4"/>
  <c r="GH55" i="4"/>
  <c r="GI55" i="4"/>
  <c r="GJ55" i="4"/>
  <c r="GK55" i="4"/>
  <c r="GL55" i="4"/>
  <c r="GM55" i="4"/>
  <c r="GN55" i="4"/>
  <c r="GO55" i="4"/>
  <c r="GP55" i="4"/>
  <c r="GQ55" i="4"/>
  <c r="GR55" i="4"/>
  <c r="GS55" i="4"/>
  <c r="GT55" i="4"/>
  <c r="GU55" i="4"/>
  <c r="GV55" i="4"/>
  <c r="GW55" i="4"/>
  <c r="GX55" i="4"/>
  <c r="GY55" i="4"/>
  <c r="GZ55" i="4"/>
  <c r="HA55" i="4"/>
  <c r="HB55" i="4"/>
  <c r="HC55" i="4"/>
  <c r="HD55" i="4"/>
  <c r="HE55" i="4"/>
  <c r="HF55" i="4"/>
  <c r="HG55" i="4"/>
  <c r="HH55" i="4"/>
  <c r="HI55" i="4"/>
  <c r="HJ55" i="4"/>
  <c r="HK55" i="4"/>
  <c r="HL55" i="4"/>
  <c r="HM55" i="4"/>
  <c r="HN55" i="4"/>
  <c r="HO55" i="4"/>
  <c r="HP55" i="4"/>
  <c r="HQ55" i="4"/>
  <c r="HR55" i="4"/>
  <c r="HS55" i="4"/>
  <c r="HT55" i="4"/>
  <c r="HU55" i="4"/>
  <c r="HV55" i="4"/>
  <c r="HW55" i="4"/>
  <c r="HX55" i="4"/>
  <c r="HY55" i="4"/>
  <c r="HZ55" i="4"/>
  <c r="IA55" i="4"/>
  <c r="IB55" i="4"/>
  <c r="IC55" i="4"/>
  <c r="ID55" i="4"/>
  <c r="IE55" i="4"/>
  <c r="IF55" i="4"/>
  <c r="IG55" i="4"/>
  <c r="IH55" i="4"/>
  <c r="II55" i="4"/>
  <c r="IJ55" i="4"/>
  <c r="IK55" i="4"/>
  <c r="IL55" i="4"/>
  <c r="IM55" i="4"/>
  <c r="IN55" i="4"/>
  <c r="IO55" i="4"/>
  <c r="IP55" i="4"/>
  <c r="IQ55" i="4"/>
  <c r="IR55" i="4"/>
  <c r="IS55" i="4"/>
  <c r="IT55" i="4"/>
  <c r="IU55" i="4"/>
  <c r="IV55" i="4"/>
  <c r="F56" i="4"/>
  <c r="G56" i="4"/>
  <c r="H56" i="4"/>
  <c r="I56" i="4"/>
  <c r="J56" i="4"/>
  <c r="K56" i="4"/>
  <c r="L56" i="4"/>
  <c r="M56" i="4"/>
  <c r="N56" i="4"/>
  <c r="O56" i="4"/>
  <c r="P56" i="4"/>
  <c r="Q56" i="4"/>
  <c r="R56" i="4"/>
  <c r="S56" i="4"/>
  <c r="T56" i="4"/>
  <c r="U56" i="4"/>
  <c r="V56" i="4"/>
  <c r="W56" i="4"/>
  <c r="X56" i="4"/>
  <c r="Y56" i="4"/>
  <c r="Z56" i="4"/>
  <c r="AA56" i="4"/>
  <c r="AB56" i="4"/>
  <c r="AC56" i="4"/>
  <c r="AD56" i="4"/>
  <c r="AE56" i="4"/>
  <c r="AF56" i="4"/>
  <c r="AG56" i="4"/>
  <c r="AH56" i="4"/>
  <c r="AI56" i="4"/>
  <c r="AJ56" i="4"/>
  <c r="AK56" i="4"/>
  <c r="AL56" i="4"/>
  <c r="AM56" i="4"/>
  <c r="AN56" i="4"/>
  <c r="AO56" i="4"/>
  <c r="AP56" i="4"/>
  <c r="AQ56" i="4"/>
  <c r="AR56" i="4"/>
  <c r="AS56" i="4"/>
  <c r="AT56" i="4"/>
  <c r="AU56" i="4"/>
  <c r="AV56" i="4"/>
  <c r="AW56" i="4"/>
  <c r="AX56" i="4"/>
  <c r="AY56" i="4"/>
  <c r="AZ56" i="4"/>
  <c r="BA56" i="4"/>
  <c r="BB56" i="4"/>
  <c r="BC56" i="4"/>
  <c r="BD56" i="4"/>
  <c r="BE56" i="4"/>
  <c r="BF56" i="4"/>
  <c r="BG56" i="4"/>
  <c r="BH56" i="4"/>
  <c r="BI56" i="4"/>
  <c r="BJ56" i="4"/>
  <c r="BK56" i="4"/>
  <c r="BL56" i="4"/>
  <c r="BM56" i="4"/>
  <c r="BN56" i="4"/>
  <c r="BO56" i="4"/>
  <c r="BP56" i="4"/>
  <c r="BQ56" i="4"/>
  <c r="BR56" i="4"/>
  <c r="BS56" i="4"/>
  <c r="BT56" i="4"/>
  <c r="BU56" i="4"/>
  <c r="BV56" i="4"/>
  <c r="BW56" i="4"/>
  <c r="BX56" i="4"/>
  <c r="BY56" i="4"/>
  <c r="BZ56" i="4"/>
  <c r="CA56" i="4"/>
  <c r="CB56" i="4"/>
  <c r="CC56" i="4"/>
  <c r="CD56" i="4"/>
  <c r="CE56" i="4"/>
  <c r="CF56" i="4"/>
  <c r="CG56" i="4"/>
  <c r="CH56" i="4"/>
  <c r="CI56" i="4"/>
  <c r="CJ56" i="4"/>
  <c r="CK56" i="4"/>
  <c r="CL56" i="4"/>
  <c r="CM56" i="4"/>
  <c r="CN56" i="4"/>
  <c r="CO56" i="4"/>
  <c r="CP56" i="4"/>
  <c r="CQ56" i="4"/>
  <c r="CR56" i="4"/>
  <c r="CS56" i="4"/>
  <c r="CT56" i="4"/>
  <c r="CU56" i="4"/>
  <c r="CV56" i="4"/>
  <c r="CW56" i="4"/>
  <c r="CX56" i="4"/>
  <c r="CY56" i="4"/>
  <c r="CZ56" i="4"/>
  <c r="DA56" i="4"/>
  <c r="DB56" i="4"/>
  <c r="DC56" i="4"/>
  <c r="DD56" i="4"/>
  <c r="DE56" i="4"/>
  <c r="DF56" i="4"/>
  <c r="DG56" i="4"/>
  <c r="DH56" i="4"/>
  <c r="DI56" i="4"/>
  <c r="DJ56" i="4"/>
  <c r="DK56" i="4"/>
  <c r="DL56" i="4"/>
  <c r="DM56" i="4"/>
  <c r="DN56" i="4"/>
  <c r="DO56" i="4"/>
  <c r="DP56" i="4"/>
  <c r="DQ56" i="4"/>
  <c r="DR56" i="4"/>
  <c r="DS56" i="4"/>
  <c r="DT56" i="4"/>
  <c r="DU56" i="4"/>
  <c r="DV56" i="4"/>
  <c r="DW56" i="4"/>
  <c r="DX56" i="4"/>
  <c r="DY56" i="4"/>
  <c r="DZ56" i="4"/>
  <c r="EA56" i="4"/>
  <c r="EB56" i="4"/>
  <c r="EC56" i="4"/>
  <c r="ED56" i="4"/>
  <c r="EE56" i="4"/>
  <c r="EF56" i="4"/>
  <c r="EG56" i="4"/>
  <c r="EH56" i="4"/>
  <c r="EI56" i="4"/>
  <c r="EJ56" i="4"/>
  <c r="EK56" i="4"/>
  <c r="EL56" i="4"/>
  <c r="EM56" i="4"/>
  <c r="EN56" i="4"/>
  <c r="EO56" i="4"/>
  <c r="EP56" i="4"/>
  <c r="EQ56" i="4"/>
  <c r="ER56" i="4"/>
  <c r="ES56" i="4"/>
  <c r="ET56" i="4"/>
  <c r="EU56" i="4"/>
  <c r="EV56" i="4"/>
  <c r="EW56" i="4"/>
  <c r="EX56" i="4"/>
  <c r="EY56" i="4"/>
  <c r="EZ56" i="4"/>
  <c r="FA56" i="4"/>
  <c r="FB56" i="4"/>
  <c r="FC56" i="4"/>
  <c r="FD56" i="4"/>
  <c r="FE56" i="4"/>
  <c r="FF56" i="4"/>
  <c r="FG56" i="4"/>
  <c r="FH56" i="4"/>
  <c r="FI56" i="4"/>
  <c r="FJ56" i="4"/>
  <c r="FK56" i="4"/>
  <c r="FL56" i="4"/>
  <c r="FM56" i="4"/>
  <c r="FN56" i="4"/>
  <c r="FO56" i="4"/>
  <c r="FP56" i="4"/>
  <c r="FQ56" i="4"/>
  <c r="FR56" i="4"/>
  <c r="FS56" i="4"/>
  <c r="FT56" i="4"/>
  <c r="FU56" i="4"/>
  <c r="FV56" i="4"/>
  <c r="FW56" i="4"/>
  <c r="FX56" i="4"/>
  <c r="FY56" i="4"/>
  <c r="FZ56" i="4"/>
  <c r="GA56" i="4"/>
  <c r="GB56" i="4"/>
  <c r="GC56" i="4"/>
  <c r="GD56" i="4"/>
  <c r="GE56" i="4"/>
  <c r="GF56" i="4"/>
  <c r="GG56" i="4"/>
  <c r="GH56" i="4"/>
  <c r="GI56" i="4"/>
  <c r="GJ56" i="4"/>
  <c r="GK56" i="4"/>
  <c r="GL56" i="4"/>
  <c r="GM56" i="4"/>
  <c r="GN56" i="4"/>
  <c r="GO56" i="4"/>
  <c r="GP56" i="4"/>
  <c r="GQ56" i="4"/>
  <c r="GR56" i="4"/>
  <c r="GS56" i="4"/>
  <c r="GT56" i="4"/>
  <c r="GU56" i="4"/>
  <c r="GV56" i="4"/>
  <c r="GW56" i="4"/>
  <c r="GX56" i="4"/>
  <c r="GY56" i="4"/>
  <c r="GZ56" i="4"/>
  <c r="HA56" i="4"/>
  <c r="HB56" i="4"/>
  <c r="HC56" i="4"/>
  <c r="HD56" i="4"/>
  <c r="HE56" i="4"/>
  <c r="HF56" i="4"/>
  <c r="HG56" i="4"/>
  <c r="HH56" i="4"/>
  <c r="HI56" i="4"/>
  <c r="HJ56" i="4"/>
  <c r="HK56" i="4"/>
  <c r="HL56" i="4"/>
  <c r="HM56" i="4"/>
  <c r="HN56" i="4"/>
  <c r="HO56" i="4"/>
  <c r="HP56" i="4"/>
  <c r="HQ56" i="4"/>
  <c r="HR56" i="4"/>
  <c r="HS56" i="4"/>
  <c r="HT56" i="4"/>
  <c r="HU56" i="4"/>
  <c r="HV56" i="4"/>
  <c r="HW56" i="4"/>
  <c r="HX56" i="4"/>
  <c r="HY56" i="4"/>
  <c r="HZ56" i="4"/>
  <c r="IA56" i="4"/>
  <c r="IB56" i="4"/>
  <c r="IC56" i="4"/>
  <c r="ID56" i="4"/>
  <c r="IE56" i="4"/>
  <c r="IF56" i="4"/>
  <c r="IG56" i="4"/>
  <c r="IH56" i="4"/>
  <c r="II56" i="4"/>
  <c r="IJ56" i="4"/>
  <c r="IK56" i="4"/>
  <c r="IL56" i="4"/>
  <c r="IM56" i="4"/>
  <c r="IN56" i="4"/>
  <c r="IO56" i="4"/>
  <c r="IP56" i="4"/>
  <c r="IQ56" i="4"/>
  <c r="IR56" i="4"/>
  <c r="IS56" i="4"/>
  <c r="IT56" i="4"/>
  <c r="IU56" i="4"/>
  <c r="IV56" i="4"/>
  <c r="F57" i="4"/>
  <c r="G57" i="4"/>
  <c r="H57" i="4"/>
  <c r="I57" i="4"/>
  <c r="J57" i="4"/>
  <c r="K57" i="4"/>
  <c r="L57" i="4"/>
  <c r="M57" i="4"/>
  <c r="N57" i="4"/>
  <c r="O57" i="4"/>
  <c r="P57" i="4"/>
  <c r="Q57" i="4"/>
  <c r="R57" i="4"/>
  <c r="S57" i="4"/>
  <c r="T57" i="4"/>
  <c r="U57" i="4"/>
  <c r="V57" i="4"/>
  <c r="W57" i="4"/>
  <c r="X57" i="4"/>
  <c r="Y57" i="4"/>
  <c r="Z57" i="4"/>
  <c r="AA57" i="4"/>
  <c r="AB57" i="4"/>
  <c r="AC57" i="4"/>
  <c r="AD57" i="4"/>
  <c r="AE57" i="4"/>
  <c r="AF57" i="4"/>
  <c r="AG57" i="4"/>
  <c r="AH57" i="4"/>
  <c r="AI57" i="4"/>
  <c r="AJ57" i="4"/>
  <c r="AK57" i="4"/>
  <c r="AL57" i="4"/>
  <c r="AM57" i="4"/>
  <c r="AN57" i="4"/>
  <c r="AO57" i="4"/>
  <c r="AP57" i="4"/>
  <c r="AQ57" i="4"/>
  <c r="AR57" i="4"/>
  <c r="AS57" i="4"/>
  <c r="AT57" i="4"/>
  <c r="AU57" i="4"/>
  <c r="AV57" i="4"/>
  <c r="AW57" i="4"/>
  <c r="AX57" i="4"/>
  <c r="AY57" i="4"/>
  <c r="AZ57" i="4"/>
  <c r="BA57" i="4"/>
  <c r="BB57" i="4"/>
  <c r="BC57" i="4"/>
  <c r="BD57" i="4"/>
  <c r="BE57" i="4"/>
  <c r="BF57" i="4"/>
  <c r="BG57" i="4"/>
  <c r="BH57" i="4"/>
  <c r="BI57" i="4"/>
  <c r="BJ57" i="4"/>
  <c r="BK57" i="4"/>
  <c r="BL57" i="4"/>
  <c r="BM57" i="4"/>
  <c r="BN57" i="4"/>
  <c r="BO57" i="4"/>
  <c r="BP57" i="4"/>
  <c r="BQ57" i="4"/>
  <c r="BR57" i="4"/>
  <c r="BS57" i="4"/>
  <c r="BT57" i="4"/>
  <c r="BU57" i="4"/>
  <c r="BV57" i="4"/>
  <c r="BW57" i="4"/>
  <c r="BX57" i="4"/>
  <c r="BY57" i="4"/>
  <c r="BZ57" i="4"/>
  <c r="CA57" i="4"/>
  <c r="CB57" i="4"/>
  <c r="CC57" i="4"/>
  <c r="CD57" i="4"/>
  <c r="CE57" i="4"/>
  <c r="CF57" i="4"/>
  <c r="CG57" i="4"/>
  <c r="CH57" i="4"/>
  <c r="CI57" i="4"/>
  <c r="CJ57" i="4"/>
  <c r="CK57" i="4"/>
  <c r="CL57" i="4"/>
  <c r="CM57" i="4"/>
  <c r="CN57" i="4"/>
  <c r="CO57" i="4"/>
  <c r="CP57" i="4"/>
  <c r="CQ57" i="4"/>
  <c r="CR57" i="4"/>
  <c r="CS57" i="4"/>
  <c r="CT57" i="4"/>
  <c r="CU57" i="4"/>
  <c r="CV57" i="4"/>
  <c r="CW57" i="4"/>
  <c r="CX57" i="4"/>
  <c r="CY57" i="4"/>
  <c r="CZ57" i="4"/>
  <c r="DA57" i="4"/>
  <c r="DB57" i="4"/>
  <c r="DC57" i="4"/>
  <c r="DD57" i="4"/>
  <c r="DE57" i="4"/>
  <c r="DF57" i="4"/>
  <c r="DG57" i="4"/>
  <c r="DH57" i="4"/>
  <c r="DI57" i="4"/>
  <c r="DJ57" i="4"/>
  <c r="DK57" i="4"/>
  <c r="DL57" i="4"/>
  <c r="DM57" i="4"/>
  <c r="DN57" i="4"/>
  <c r="DO57" i="4"/>
  <c r="DP57" i="4"/>
  <c r="DQ57" i="4"/>
  <c r="DR57" i="4"/>
  <c r="DS57" i="4"/>
  <c r="DT57" i="4"/>
  <c r="DU57" i="4"/>
  <c r="DV57" i="4"/>
  <c r="DW57" i="4"/>
  <c r="DX57" i="4"/>
  <c r="DY57" i="4"/>
  <c r="DZ57" i="4"/>
  <c r="EA57" i="4"/>
  <c r="EB57" i="4"/>
  <c r="EC57" i="4"/>
  <c r="ED57" i="4"/>
  <c r="EE57" i="4"/>
  <c r="EF57" i="4"/>
  <c r="EG57" i="4"/>
  <c r="EH57" i="4"/>
  <c r="EI57" i="4"/>
  <c r="EJ57" i="4"/>
  <c r="EK57" i="4"/>
  <c r="EL57" i="4"/>
  <c r="EM57" i="4"/>
  <c r="EN57" i="4"/>
  <c r="EO57" i="4"/>
  <c r="EP57" i="4"/>
  <c r="EQ57" i="4"/>
  <c r="ER57" i="4"/>
  <c r="ES57" i="4"/>
  <c r="ET57" i="4"/>
  <c r="EU57" i="4"/>
  <c r="EV57" i="4"/>
  <c r="EW57" i="4"/>
  <c r="EX57" i="4"/>
  <c r="EY57" i="4"/>
  <c r="EZ57" i="4"/>
  <c r="FA57" i="4"/>
  <c r="FB57" i="4"/>
  <c r="FC57" i="4"/>
  <c r="FD57" i="4"/>
  <c r="FE57" i="4"/>
  <c r="FF57" i="4"/>
  <c r="FG57" i="4"/>
  <c r="FH57" i="4"/>
  <c r="FI57" i="4"/>
  <c r="FJ57" i="4"/>
  <c r="FK57" i="4"/>
  <c r="FL57" i="4"/>
  <c r="FM57" i="4"/>
  <c r="FN57" i="4"/>
  <c r="FO57" i="4"/>
  <c r="FP57" i="4"/>
  <c r="FQ57" i="4"/>
  <c r="FR57" i="4"/>
  <c r="FS57" i="4"/>
  <c r="FT57" i="4"/>
  <c r="FU57" i="4"/>
  <c r="FV57" i="4"/>
  <c r="FW57" i="4"/>
  <c r="FX57" i="4"/>
  <c r="FY57" i="4"/>
  <c r="FZ57" i="4"/>
  <c r="GA57" i="4"/>
  <c r="GB57" i="4"/>
  <c r="GC57" i="4"/>
  <c r="GD57" i="4"/>
  <c r="GE57" i="4"/>
  <c r="GF57" i="4"/>
  <c r="GG57" i="4"/>
  <c r="GH57" i="4"/>
  <c r="GI57" i="4"/>
  <c r="GJ57" i="4"/>
  <c r="GK57" i="4"/>
  <c r="GL57" i="4"/>
  <c r="GM57" i="4"/>
  <c r="GN57" i="4"/>
  <c r="GO57" i="4"/>
  <c r="GP57" i="4"/>
  <c r="GQ57" i="4"/>
  <c r="GR57" i="4"/>
  <c r="GS57" i="4"/>
  <c r="GT57" i="4"/>
  <c r="GU57" i="4"/>
  <c r="GV57" i="4"/>
  <c r="GW57" i="4"/>
  <c r="GX57" i="4"/>
  <c r="GY57" i="4"/>
  <c r="GZ57" i="4"/>
  <c r="HA57" i="4"/>
  <c r="HB57" i="4"/>
  <c r="HC57" i="4"/>
  <c r="HD57" i="4"/>
  <c r="HE57" i="4"/>
  <c r="HF57" i="4"/>
  <c r="HG57" i="4"/>
  <c r="HH57" i="4"/>
  <c r="HI57" i="4"/>
  <c r="HJ57" i="4"/>
  <c r="HK57" i="4"/>
  <c r="HL57" i="4"/>
  <c r="HM57" i="4"/>
  <c r="HN57" i="4"/>
  <c r="HO57" i="4"/>
  <c r="HP57" i="4"/>
  <c r="HQ57" i="4"/>
  <c r="HR57" i="4"/>
  <c r="HS57" i="4"/>
  <c r="HT57" i="4"/>
  <c r="HU57" i="4"/>
  <c r="HV57" i="4"/>
  <c r="HW57" i="4"/>
  <c r="HX57" i="4"/>
  <c r="HY57" i="4"/>
  <c r="HZ57" i="4"/>
  <c r="IA57" i="4"/>
  <c r="IB57" i="4"/>
  <c r="IC57" i="4"/>
  <c r="ID57" i="4"/>
  <c r="IE57" i="4"/>
  <c r="IF57" i="4"/>
  <c r="IG57" i="4"/>
  <c r="IH57" i="4"/>
  <c r="II57" i="4"/>
  <c r="IJ57" i="4"/>
  <c r="IK57" i="4"/>
  <c r="IL57" i="4"/>
  <c r="IM57" i="4"/>
  <c r="IN57" i="4"/>
  <c r="IO57" i="4"/>
  <c r="IP57" i="4"/>
  <c r="IQ57" i="4"/>
  <c r="IR57" i="4"/>
  <c r="IS57" i="4"/>
  <c r="IT57" i="4"/>
  <c r="IU57" i="4"/>
  <c r="IV57" i="4"/>
  <c r="F58" i="4"/>
  <c r="G58" i="4"/>
  <c r="H58" i="4"/>
  <c r="I58" i="4"/>
  <c r="J58" i="4"/>
  <c r="K58" i="4"/>
  <c r="L58" i="4"/>
  <c r="M58" i="4"/>
  <c r="N58" i="4"/>
  <c r="O58" i="4"/>
  <c r="P58" i="4"/>
  <c r="Q58" i="4"/>
  <c r="R58" i="4"/>
  <c r="S58" i="4"/>
  <c r="T58" i="4"/>
  <c r="U58" i="4"/>
  <c r="V58" i="4"/>
  <c r="W58" i="4"/>
  <c r="X58" i="4"/>
  <c r="Y58" i="4"/>
  <c r="Z58" i="4"/>
  <c r="AA58" i="4"/>
  <c r="AB58" i="4"/>
  <c r="AC58" i="4"/>
  <c r="AD58" i="4"/>
  <c r="AE58" i="4"/>
  <c r="AF58" i="4"/>
  <c r="AG58" i="4"/>
  <c r="AH58" i="4"/>
  <c r="AI58" i="4"/>
  <c r="AJ58" i="4"/>
  <c r="AK58" i="4"/>
  <c r="AL58" i="4"/>
  <c r="AM58" i="4"/>
  <c r="AN58" i="4"/>
  <c r="AO58" i="4"/>
  <c r="AP58" i="4"/>
  <c r="AQ58" i="4"/>
  <c r="AR58" i="4"/>
  <c r="AS58" i="4"/>
  <c r="AT58" i="4"/>
  <c r="AU58" i="4"/>
  <c r="AV58" i="4"/>
  <c r="AW58" i="4"/>
  <c r="AX58" i="4"/>
  <c r="AY58" i="4"/>
  <c r="AZ58" i="4"/>
  <c r="BA58" i="4"/>
  <c r="BB58" i="4"/>
  <c r="BC58" i="4"/>
  <c r="BD58" i="4"/>
  <c r="BE58" i="4"/>
  <c r="BF58" i="4"/>
  <c r="BG58" i="4"/>
  <c r="BH58" i="4"/>
  <c r="BI58" i="4"/>
  <c r="BJ58" i="4"/>
  <c r="BK58" i="4"/>
  <c r="BL58" i="4"/>
  <c r="BM58" i="4"/>
  <c r="BN58" i="4"/>
  <c r="BO58" i="4"/>
  <c r="BP58" i="4"/>
  <c r="BQ58" i="4"/>
  <c r="BR58" i="4"/>
  <c r="BS58" i="4"/>
  <c r="BT58" i="4"/>
  <c r="BU58" i="4"/>
  <c r="BV58" i="4"/>
  <c r="BW58" i="4"/>
  <c r="BX58" i="4"/>
  <c r="BY58" i="4"/>
  <c r="BZ58" i="4"/>
  <c r="CA58" i="4"/>
  <c r="CB58" i="4"/>
  <c r="CC58" i="4"/>
  <c r="CD58" i="4"/>
  <c r="CE58" i="4"/>
  <c r="CF58" i="4"/>
  <c r="CG58" i="4"/>
  <c r="CH58" i="4"/>
  <c r="CI58" i="4"/>
  <c r="CJ58" i="4"/>
  <c r="CK58" i="4"/>
  <c r="CL58" i="4"/>
  <c r="CM58" i="4"/>
  <c r="CN58" i="4"/>
  <c r="CO58" i="4"/>
  <c r="CP58" i="4"/>
  <c r="CQ58" i="4"/>
  <c r="CR58" i="4"/>
  <c r="CS58" i="4"/>
  <c r="CT58" i="4"/>
  <c r="CU58" i="4"/>
  <c r="CV58" i="4"/>
  <c r="CW58" i="4"/>
  <c r="CX58" i="4"/>
  <c r="CY58" i="4"/>
  <c r="CZ58" i="4"/>
  <c r="DA58" i="4"/>
  <c r="DB58" i="4"/>
  <c r="DC58" i="4"/>
  <c r="DD58" i="4"/>
  <c r="DE58" i="4"/>
  <c r="DF58" i="4"/>
  <c r="DG58" i="4"/>
  <c r="DH58" i="4"/>
  <c r="DI58" i="4"/>
  <c r="DJ58" i="4"/>
  <c r="DK58" i="4"/>
  <c r="DL58" i="4"/>
  <c r="DM58" i="4"/>
  <c r="DN58" i="4"/>
  <c r="DO58" i="4"/>
  <c r="DP58" i="4"/>
  <c r="DQ58" i="4"/>
  <c r="DR58" i="4"/>
  <c r="DS58" i="4"/>
  <c r="DT58" i="4"/>
  <c r="DU58" i="4"/>
  <c r="DV58" i="4"/>
  <c r="DW58" i="4"/>
  <c r="DX58" i="4"/>
  <c r="DY58" i="4"/>
  <c r="DZ58" i="4"/>
  <c r="EA58" i="4"/>
  <c r="EB58" i="4"/>
  <c r="EC58" i="4"/>
  <c r="ED58" i="4"/>
  <c r="EE58" i="4"/>
  <c r="EF58" i="4"/>
  <c r="EG58" i="4"/>
  <c r="EH58" i="4"/>
  <c r="EI58" i="4"/>
  <c r="EJ58" i="4"/>
  <c r="EK58" i="4"/>
  <c r="EL58" i="4"/>
  <c r="EM58" i="4"/>
  <c r="EN58" i="4"/>
  <c r="EO58" i="4"/>
  <c r="EP58" i="4"/>
  <c r="EQ58" i="4"/>
  <c r="ER58" i="4"/>
  <c r="ES58" i="4"/>
  <c r="ET58" i="4"/>
  <c r="EU58" i="4"/>
  <c r="EV58" i="4"/>
  <c r="EW58" i="4"/>
  <c r="EX58" i="4"/>
  <c r="EY58" i="4"/>
  <c r="EZ58" i="4"/>
  <c r="FA58" i="4"/>
  <c r="FB58" i="4"/>
  <c r="FC58" i="4"/>
  <c r="FD58" i="4"/>
  <c r="FE58" i="4"/>
  <c r="FF58" i="4"/>
  <c r="FG58" i="4"/>
  <c r="FH58" i="4"/>
  <c r="FI58" i="4"/>
  <c r="FJ58" i="4"/>
  <c r="FK58" i="4"/>
  <c r="FL58" i="4"/>
  <c r="FM58" i="4"/>
  <c r="FN58" i="4"/>
  <c r="FO58" i="4"/>
  <c r="FP58" i="4"/>
  <c r="FQ58" i="4"/>
  <c r="FR58" i="4"/>
  <c r="FS58" i="4"/>
  <c r="FT58" i="4"/>
  <c r="FU58" i="4"/>
  <c r="FV58" i="4"/>
  <c r="FW58" i="4"/>
  <c r="FX58" i="4"/>
  <c r="FY58" i="4"/>
  <c r="FZ58" i="4"/>
  <c r="GA58" i="4"/>
  <c r="GB58" i="4"/>
  <c r="GC58" i="4"/>
  <c r="GD58" i="4"/>
  <c r="GE58" i="4"/>
  <c r="GF58" i="4"/>
  <c r="GG58" i="4"/>
  <c r="GH58" i="4"/>
  <c r="GI58" i="4"/>
  <c r="GJ58" i="4"/>
  <c r="GK58" i="4"/>
  <c r="GL58" i="4"/>
  <c r="GM58" i="4"/>
  <c r="GN58" i="4"/>
  <c r="GO58" i="4"/>
  <c r="GP58" i="4"/>
  <c r="GQ58" i="4"/>
  <c r="GR58" i="4"/>
  <c r="GS58" i="4"/>
  <c r="GT58" i="4"/>
  <c r="GU58" i="4"/>
  <c r="GV58" i="4"/>
  <c r="GW58" i="4"/>
  <c r="GX58" i="4"/>
  <c r="GY58" i="4"/>
  <c r="GZ58" i="4"/>
  <c r="HA58" i="4"/>
  <c r="HB58" i="4"/>
  <c r="HC58" i="4"/>
  <c r="HD58" i="4"/>
  <c r="HE58" i="4"/>
  <c r="HF58" i="4"/>
  <c r="HG58" i="4"/>
  <c r="HH58" i="4"/>
  <c r="HI58" i="4"/>
  <c r="HJ58" i="4"/>
  <c r="HK58" i="4"/>
  <c r="HL58" i="4"/>
  <c r="HM58" i="4"/>
  <c r="HN58" i="4"/>
  <c r="HO58" i="4"/>
  <c r="HP58" i="4"/>
  <c r="HQ58" i="4"/>
  <c r="HR58" i="4"/>
  <c r="HS58" i="4"/>
  <c r="HT58" i="4"/>
  <c r="HU58" i="4"/>
  <c r="HV58" i="4"/>
  <c r="HW58" i="4"/>
  <c r="HX58" i="4"/>
  <c r="HY58" i="4"/>
  <c r="HZ58" i="4"/>
  <c r="IA58" i="4"/>
  <c r="IB58" i="4"/>
  <c r="IC58" i="4"/>
  <c r="ID58" i="4"/>
  <c r="IE58" i="4"/>
  <c r="IF58" i="4"/>
  <c r="IG58" i="4"/>
  <c r="IH58" i="4"/>
  <c r="II58" i="4"/>
  <c r="IJ58" i="4"/>
  <c r="IK58" i="4"/>
  <c r="IL58" i="4"/>
  <c r="IM58" i="4"/>
  <c r="IN58" i="4"/>
  <c r="IO58" i="4"/>
  <c r="IP58" i="4"/>
  <c r="IQ58" i="4"/>
  <c r="IR58" i="4"/>
  <c r="IS58" i="4"/>
  <c r="IT58" i="4"/>
  <c r="IU58" i="4"/>
  <c r="IV58" i="4"/>
  <c r="F59" i="4"/>
  <c r="G59" i="4"/>
  <c r="H59" i="4"/>
  <c r="I59" i="4"/>
  <c r="J59" i="4"/>
  <c r="K59" i="4"/>
  <c r="L59" i="4"/>
  <c r="M59" i="4"/>
  <c r="N59" i="4"/>
  <c r="O59" i="4"/>
  <c r="P59" i="4"/>
  <c r="Q59" i="4"/>
  <c r="R59" i="4"/>
  <c r="S59" i="4"/>
  <c r="T59" i="4"/>
  <c r="U59" i="4"/>
  <c r="V59" i="4"/>
  <c r="W59" i="4"/>
  <c r="X59" i="4"/>
  <c r="Y59" i="4"/>
  <c r="Z59" i="4"/>
  <c r="AA59" i="4"/>
  <c r="AB59" i="4"/>
  <c r="AC59" i="4"/>
  <c r="AD59" i="4"/>
  <c r="AE59" i="4"/>
  <c r="AF59" i="4"/>
  <c r="AG59" i="4"/>
  <c r="AH59" i="4"/>
  <c r="AI59" i="4"/>
  <c r="AJ59" i="4"/>
  <c r="AK59" i="4"/>
  <c r="AL59" i="4"/>
  <c r="AM59" i="4"/>
  <c r="AN59" i="4"/>
  <c r="AO59" i="4"/>
  <c r="AP59" i="4"/>
  <c r="AQ59" i="4"/>
  <c r="AR59" i="4"/>
  <c r="AS59" i="4"/>
  <c r="AT59" i="4"/>
  <c r="AU59" i="4"/>
  <c r="AV59" i="4"/>
  <c r="AW59" i="4"/>
  <c r="AX59" i="4"/>
  <c r="AY59" i="4"/>
  <c r="AZ59" i="4"/>
  <c r="BA59" i="4"/>
  <c r="BB59" i="4"/>
  <c r="BC59" i="4"/>
  <c r="BD59" i="4"/>
  <c r="BE59" i="4"/>
  <c r="BF59" i="4"/>
  <c r="BG59" i="4"/>
  <c r="BH59" i="4"/>
  <c r="BI59" i="4"/>
  <c r="BJ59" i="4"/>
  <c r="BK59" i="4"/>
  <c r="BL59" i="4"/>
  <c r="BM59" i="4"/>
  <c r="BN59" i="4"/>
  <c r="BO59" i="4"/>
  <c r="BP59" i="4"/>
  <c r="BQ59" i="4"/>
  <c r="BR59" i="4"/>
  <c r="BS59" i="4"/>
  <c r="BT59" i="4"/>
  <c r="BU59" i="4"/>
  <c r="BV59" i="4"/>
  <c r="BW59" i="4"/>
  <c r="BX59" i="4"/>
  <c r="BY59" i="4"/>
  <c r="BZ59" i="4"/>
  <c r="CA59" i="4"/>
  <c r="CB59" i="4"/>
  <c r="CC59" i="4"/>
  <c r="CD59" i="4"/>
  <c r="CE59" i="4"/>
  <c r="CF59" i="4"/>
  <c r="CG59" i="4"/>
  <c r="CH59" i="4"/>
  <c r="CI59" i="4"/>
  <c r="CJ59" i="4"/>
  <c r="CK59" i="4"/>
  <c r="CL59" i="4"/>
  <c r="CM59" i="4"/>
  <c r="CN59" i="4"/>
  <c r="CO59" i="4"/>
  <c r="CP59" i="4"/>
  <c r="CQ59" i="4"/>
  <c r="CR59" i="4"/>
  <c r="CS59" i="4"/>
  <c r="CT59" i="4"/>
  <c r="CU59" i="4"/>
  <c r="CV59" i="4"/>
  <c r="CW59" i="4"/>
  <c r="CX59" i="4"/>
  <c r="CY59" i="4"/>
  <c r="CZ59" i="4"/>
  <c r="DA59" i="4"/>
  <c r="DB59" i="4"/>
  <c r="DC59" i="4"/>
  <c r="DD59" i="4"/>
  <c r="DE59" i="4"/>
  <c r="DF59" i="4"/>
  <c r="DG59" i="4"/>
  <c r="DH59" i="4"/>
  <c r="DI59" i="4"/>
  <c r="DJ59" i="4"/>
  <c r="DK59" i="4"/>
  <c r="DL59" i="4"/>
  <c r="DM59" i="4"/>
  <c r="DN59" i="4"/>
  <c r="DO59" i="4"/>
  <c r="DP59" i="4"/>
  <c r="DQ59" i="4"/>
  <c r="DR59" i="4"/>
  <c r="DS59" i="4"/>
  <c r="DT59" i="4"/>
  <c r="DU59" i="4"/>
  <c r="DV59" i="4"/>
  <c r="DW59" i="4"/>
  <c r="DX59" i="4"/>
  <c r="DY59" i="4"/>
  <c r="DZ59" i="4"/>
  <c r="EA59" i="4"/>
  <c r="EB59" i="4"/>
  <c r="EC59" i="4"/>
  <c r="ED59" i="4"/>
  <c r="EE59" i="4"/>
  <c r="EF59" i="4"/>
  <c r="EG59" i="4"/>
  <c r="EH59" i="4"/>
  <c r="EI59" i="4"/>
  <c r="EJ59" i="4"/>
  <c r="EK59" i="4"/>
  <c r="EL59" i="4"/>
  <c r="EM59" i="4"/>
  <c r="EN59" i="4"/>
  <c r="EO59" i="4"/>
  <c r="EP59" i="4"/>
  <c r="EQ59" i="4"/>
  <c r="ER59" i="4"/>
  <c r="ES59" i="4"/>
  <c r="ET59" i="4"/>
  <c r="EU59" i="4"/>
  <c r="EV59" i="4"/>
  <c r="EW59" i="4"/>
  <c r="EX59" i="4"/>
  <c r="EY59" i="4"/>
  <c r="EZ59" i="4"/>
  <c r="FA59" i="4"/>
  <c r="FB59" i="4"/>
  <c r="FC59" i="4"/>
  <c r="FD59" i="4"/>
  <c r="FE59" i="4"/>
  <c r="FF59" i="4"/>
  <c r="FG59" i="4"/>
  <c r="FH59" i="4"/>
  <c r="FI59" i="4"/>
  <c r="FJ59" i="4"/>
  <c r="FK59" i="4"/>
  <c r="FL59" i="4"/>
  <c r="FM59" i="4"/>
  <c r="FN59" i="4"/>
  <c r="FO59" i="4"/>
  <c r="FP59" i="4"/>
  <c r="FQ59" i="4"/>
  <c r="FR59" i="4"/>
  <c r="FS59" i="4"/>
  <c r="FT59" i="4"/>
  <c r="FU59" i="4"/>
  <c r="FV59" i="4"/>
  <c r="FW59" i="4"/>
  <c r="FX59" i="4"/>
  <c r="FY59" i="4"/>
  <c r="FZ59" i="4"/>
  <c r="GA59" i="4"/>
  <c r="GB59" i="4"/>
  <c r="GC59" i="4"/>
  <c r="GD59" i="4"/>
  <c r="GE59" i="4"/>
  <c r="GF59" i="4"/>
  <c r="GG59" i="4"/>
  <c r="GH59" i="4"/>
  <c r="GI59" i="4"/>
  <c r="GJ59" i="4"/>
  <c r="GK59" i="4"/>
  <c r="GL59" i="4"/>
  <c r="GM59" i="4"/>
  <c r="GN59" i="4"/>
  <c r="GO59" i="4"/>
  <c r="GP59" i="4"/>
  <c r="GQ59" i="4"/>
  <c r="GR59" i="4"/>
  <c r="GS59" i="4"/>
  <c r="GT59" i="4"/>
  <c r="GU59" i="4"/>
  <c r="GV59" i="4"/>
  <c r="GW59" i="4"/>
  <c r="GX59" i="4"/>
  <c r="GY59" i="4"/>
  <c r="GZ59" i="4"/>
  <c r="HA59" i="4"/>
  <c r="HB59" i="4"/>
  <c r="HC59" i="4"/>
  <c r="HD59" i="4"/>
  <c r="HE59" i="4"/>
  <c r="HF59" i="4"/>
  <c r="HG59" i="4"/>
  <c r="HH59" i="4"/>
  <c r="HI59" i="4"/>
  <c r="HJ59" i="4"/>
  <c r="HK59" i="4"/>
  <c r="HL59" i="4"/>
  <c r="HM59" i="4"/>
  <c r="HN59" i="4"/>
  <c r="HO59" i="4"/>
  <c r="HP59" i="4"/>
  <c r="HQ59" i="4"/>
  <c r="HR59" i="4"/>
  <c r="HS59" i="4"/>
  <c r="HT59" i="4"/>
  <c r="HU59" i="4"/>
  <c r="HV59" i="4"/>
  <c r="HW59" i="4"/>
  <c r="HX59" i="4"/>
  <c r="HY59" i="4"/>
  <c r="HZ59" i="4"/>
  <c r="IA59" i="4"/>
  <c r="IB59" i="4"/>
  <c r="IC59" i="4"/>
  <c r="ID59" i="4"/>
  <c r="IE59" i="4"/>
  <c r="IF59" i="4"/>
  <c r="IG59" i="4"/>
  <c r="IH59" i="4"/>
  <c r="II59" i="4"/>
  <c r="IJ59" i="4"/>
  <c r="IK59" i="4"/>
  <c r="IL59" i="4"/>
  <c r="IM59" i="4"/>
  <c r="IN59" i="4"/>
  <c r="IO59" i="4"/>
  <c r="IP59" i="4"/>
  <c r="IQ59" i="4"/>
  <c r="IR59" i="4"/>
  <c r="IS59" i="4"/>
  <c r="IT59" i="4"/>
  <c r="IU59" i="4"/>
  <c r="IV59" i="4"/>
  <c r="F60" i="4"/>
  <c r="G60" i="4"/>
  <c r="H60" i="4"/>
  <c r="I60" i="4"/>
  <c r="J60" i="4"/>
  <c r="K60" i="4"/>
  <c r="L60" i="4"/>
  <c r="M60" i="4"/>
  <c r="N60" i="4"/>
  <c r="O60" i="4"/>
  <c r="P60" i="4"/>
  <c r="Q60" i="4"/>
  <c r="R60" i="4"/>
  <c r="S60" i="4"/>
  <c r="T60" i="4"/>
  <c r="U60" i="4"/>
  <c r="V60" i="4"/>
  <c r="W60" i="4"/>
  <c r="X60" i="4"/>
  <c r="Y60" i="4"/>
  <c r="Z60" i="4"/>
  <c r="AA60" i="4"/>
  <c r="AB60" i="4"/>
  <c r="AC60" i="4"/>
  <c r="AD60" i="4"/>
  <c r="AE60" i="4"/>
  <c r="AF60" i="4"/>
  <c r="AG60" i="4"/>
  <c r="AH60" i="4"/>
  <c r="AI60" i="4"/>
  <c r="AJ60" i="4"/>
  <c r="AK60" i="4"/>
  <c r="AL60" i="4"/>
  <c r="AM60" i="4"/>
  <c r="AN60" i="4"/>
  <c r="AO60" i="4"/>
  <c r="AP60" i="4"/>
  <c r="AQ60" i="4"/>
  <c r="AR60" i="4"/>
  <c r="AS60" i="4"/>
  <c r="AT60" i="4"/>
  <c r="AU60" i="4"/>
  <c r="AV60" i="4"/>
  <c r="AW60" i="4"/>
  <c r="AX60" i="4"/>
  <c r="AY60" i="4"/>
  <c r="AZ60" i="4"/>
  <c r="BA60" i="4"/>
  <c r="BB60" i="4"/>
  <c r="BC60" i="4"/>
  <c r="BD60" i="4"/>
  <c r="BE60" i="4"/>
  <c r="BF60" i="4"/>
  <c r="BG60" i="4"/>
  <c r="BH60" i="4"/>
  <c r="BI60" i="4"/>
  <c r="BJ60" i="4"/>
  <c r="BK60" i="4"/>
  <c r="BL60" i="4"/>
  <c r="BM60" i="4"/>
  <c r="BN60" i="4"/>
  <c r="BO60" i="4"/>
  <c r="BP60" i="4"/>
  <c r="BQ60" i="4"/>
  <c r="BR60" i="4"/>
  <c r="BS60" i="4"/>
  <c r="BT60" i="4"/>
  <c r="BU60" i="4"/>
  <c r="BV60" i="4"/>
  <c r="BW60" i="4"/>
  <c r="BX60" i="4"/>
  <c r="BY60" i="4"/>
  <c r="BZ60" i="4"/>
  <c r="CA60" i="4"/>
  <c r="CB60" i="4"/>
  <c r="CC60" i="4"/>
  <c r="CD60" i="4"/>
  <c r="CE60" i="4"/>
  <c r="CF60" i="4"/>
  <c r="CG60" i="4"/>
  <c r="CH60" i="4"/>
  <c r="CI60" i="4"/>
  <c r="CJ60" i="4"/>
  <c r="CK60" i="4"/>
  <c r="CL60" i="4"/>
  <c r="CM60" i="4"/>
  <c r="CN60" i="4"/>
  <c r="CO60" i="4"/>
  <c r="CP60" i="4"/>
  <c r="CQ60" i="4"/>
  <c r="CR60" i="4"/>
  <c r="CS60" i="4"/>
  <c r="CT60" i="4"/>
  <c r="CU60" i="4"/>
  <c r="CV60" i="4"/>
  <c r="CW60" i="4"/>
  <c r="CX60" i="4"/>
  <c r="CY60" i="4"/>
  <c r="CZ60" i="4"/>
  <c r="DA60" i="4"/>
  <c r="DB60" i="4"/>
  <c r="DC60" i="4"/>
  <c r="DD60" i="4"/>
  <c r="DE60" i="4"/>
  <c r="DF60" i="4"/>
  <c r="DG60" i="4"/>
  <c r="DH60" i="4"/>
  <c r="DI60" i="4"/>
  <c r="DJ60" i="4"/>
  <c r="DK60" i="4"/>
  <c r="DL60" i="4"/>
  <c r="DM60" i="4"/>
  <c r="DN60" i="4"/>
  <c r="DO60" i="4"/>
  <c r="DP60" i="4"/>
  <c r="DQ60" i="4"/>
  <c r="DR60" i="4"/>
  <c r="DS60" i="4"/>
  <c r="DT60" i="4"/>
  <c r="DU60" i="4"/>
  <c r="DV60" i="4"/>
  <c r="DW60" i="4"/>
  <c r="DX60" i="4"/>
  <c r="DY60" i="4"/>
  <c r="DZ60" i="4"/>
  <c r="EA60" i="4"/>
  <c r="EB60" i="4"/>
  <c r="EC60" i="4"/>
  <c r="ED60" i="4"/>
  <c r="EE60" i="4"/>
  <c r="EF60" i="4"/>
  <c r="EG60" i="4"/>
  <c r="EH60" i="4"/>
  <c r="EI60" i="4"/>
  <c r="EJ60" i="4"/>
  <c r="EK60" i="4"/>
  <c r="EL60" i="4"/>
  <c r="EM60" i="4"/>
  <c r="EN60" i="4"/>
  <c r="EO60" i="4"/>
  <c r="EP60" i="4"/>
  <c r="EQ60" i="4"/>
  <c r="ER60" i="4"/>
  <c r="ES60" i="4"/>
  <c r="ET60" i="4"/>
  <c r="EU60" i="4"/>
  <c r="EV60" i="4"/>
  <c r="EW60" i="4"/>
  <c r="EX60" i="4"/>
  <c r="EY60" i="4"/>
  <c r="EZ60" i="4"/>
  <c r="FA60" i="4"/>
  <c r="FB60" i="4"/>
  <c r="FC60" i="4"/>
  <c r="FD60" i="4"/>
  <c r="FE60" i="4"/>
  <c r="FF60" i="4"/>
  <c r="FG60" i="4"/>
  <c r="FH60" i="4"/>
  <c r="FI60" i="4"/>
  <c r="FJ60" i="4"/>
  <c r="FK60" i="4"/>
  <c r="FL60" i="4"/>
  <c r="FM60" i="4"/>
  <c r="FN60" i="4"/>
  <c r="FO60" i="4"/>
  <c r="FP60" i="4"/>
  <c r="FQ60" i="4"/>
  <c r="FR60" i="4"/>
  <c r="FS60" i="4"/>
  <c r="FT60" i="4"/>
  <c r="FU60" i="4"/>
  <c r="FV60" i="4"/>
  <c r="FW60" i="4"/>
  <c r="FX60" i="4"/>
  <c r="FY60" i="4"/>
  <c r="FZ60" i="4"/>
  <c r="GA60" i="4"/>
  <c r="GB60" i="4"/>
  <c r="GC60" i="4"/>
  <c r="GD60" i="4"/>
  <c r="GE60" i="4"/>
  <c r="GF60" i="4"/>
  <c r="GG60" i="4"/>
  <c r="GH60" i="4"/>
  <c r="GI60" i="4"/>
  <c r="GJ60" i="4"/>
  <c r="GK60" i="4"/>
  <c r="GL60" i="4"/>
  <c r="GM60" i="4"/>
  <c r="GN60" i="4"/>
  <c r="GO60" i="4"/>
  <c r="GP60" i="4"/>
  <c r="GQ60" i="4"/>
  <c r="GR60" i="4"/>
  <c r="GS60" i="4"/>
  <c r="GT60" i="4"/>
  <c r="GU60" i="4"/>
  <c r="GV60" i="4"/>
  <c r="GW60" i="4"/>
  <c r="GX60" i="4"/>
  <c r="GY60" i="4"/>
  <c r="GZ60" i="4"/>
  <c r="HA60" i="4"/>
  <c r="HB60" i="4"/>
  <c r="HC60" i="4"/>
  <c r="HD60" i="4"/>
  <c r="HE60" i="4"/>
  <c r="HF60" i="4"/>
  <c r="HG60" i="4"/>
  <c r="HH60" i="4"/>
  <c r="HI60" i="4"/>
  <c r="HJ60" i="4"/>
  <c r="HK60" i="4"/>
  <c r="HL60" i="4"/>
  <c r="HM60" i="4"/>
  <c r="HN60" i="4"/>
  <c r="HO60" i="4"/>
  <c r="HP60" i="4"/>
  <c r="HQ60" i="4"/>
  <c r="HR60" i="4"/>
  <c r="HS60" i="4"/>
  <c r="HT60" i="4"/>
  <c r="HU60" i="4"/>
  <c r="HV60" i="4"/>
  <c r="HW60" i="4"/>
  <c r="HX60" i="4"/>
  <c r="HY60" i="4"/>
  <c r="HZ60" i="4"/>
  <c r="IA60" i="4"/>
  <c r="IB60" i="4"/>
  <c r="IC60" i="4"/>
  <c r="ID60" i="4"/>
  <c r="IE60" i="4"/>
  <c r="IF60" i="4"/>
  <c r="IG60" i="4"/>
  <c r="IH60" i="4"/>
  <c r="II60" i="4"/>
  <c r="IJ60" i="4"/>
  <c r="IK60" i="4"/>
  <c r="IL60" i="4"/>
  <c r="IM60" i="4"/>
  <c r="IN60" i="4"/>
  <c r="IO60" i="4"/>
  <c r="IP60" i="4"/>
  <c r="IQ60" i="4"/>
  <c r="IR60" i="4"/>
  <c r="IS60" i="4"/>
  <c r="IT60" i="4"/>
  <c r="IU60" i="4"/>
  <c r="IV60" i="4"/>
  <c r="F61" i="4"/>
  <c r="G61" i="4"/>
  <c r="H61" i="4"/>
  <c r="I61" i="4"/>
  <c r="J61" i="4"/>
  <c r="K61" i="4"/>
  <c r="L61" i="4"/>
  <c r="M61" i="4"/>
  <c r="N61" i="4"/>
  <c r="O61" i="4"/>
  <c r="P61" i="4"/>
  <c r="Q61" i="4"/>
  <c r="R61" i="4"/>
  <c r="S61" i="4"/>
  <c r="T61" i="4"/>
  <c r="U61" i="4"/>
  <c r="V61" i="4"/>
  <c r="W61" i="4"/>
  <c r="X61" i="4"/>
  <c r="Y61" i="4"/>
  <c r="Z61" i="4"/>
  <c r="AA61" i="4"/>
  <c r="AB61" i="4"/>
  <c r="AC61" i="4"/>
  <c r="AD61" i="4"/>
  <c r="AE61" i="4"/>
  <c r="AF61" i="4"/>
  <c r="AG61" i="4"/>
  <c r="AH61" i="4"/>
  <c r="AI61" i="4"/>
  <c r="AJ61" i="4"/>
  <c r="AK61" i="4"/>
  <c r="AL61" i="4"/>
  <c r="AM61" i="4"/>
  <c r="AN61" i="4"/>
  <c r="AO61" i="4"/>
  <c r="AP61" i="4"/>
  <c r="AQ61" i="4"/>
  <c r="AR61" i="4"/>
  <c r="AS61" i="4"/>
  <c r="AT61" i="4"/>
  <c r="AU61" i="4"/>
  <c r="AV61" i="4"/>
  <c r="AW61" i="4"/>
  <c r="AX61" i="4"/>
  <c r="AY61" i="4"/>
  <c r="AZ61" i="4"/>
  <c r="BA61" i="4"/>
  <c r="BB61" i="4"/>
  <c r="BC61" i="4"/>
  <c r="BD61" i="4"/>
  <c r="BE61" i="4"/>
  <c r="BF61" i="4"/>
  <c r="BG61" i="4"/>
  <c r="BH61" i="4"/>
  <c r="BI61" i="4"/>
  <c r="BJ61" i="4"/>
  <c r="BK61" i="4"/>
  <c r="BL61" i="4"/>
  <c r="BM61" i="4"/>
  <c r="BN61" i="4"/>
  <c r="BO61" i="4"/>
  <c r="BP61" i="4"/>
  <c r="BQ61" i="4"/>
  <c r="BR61" i="4"/>
  <c r="BS61" i="4"/>
  <c r="BT61" i="4"/>
  <c r="BU61" i="4"/>
  <c r="BV61" i="4"/>
  <c r="BW61" i="4"/>
  <c r="BX61" i="4"/>
  <c r="BY61" i="4"/>
  <c r="BZ61" i="4"/>
  <c r="CA61" i="4"/>
  <c r="CB61" i="4"/>
  <c r="CC61" i="4"/>
  <c r="CD61" i="4"/>
  <c r="CE61" i="4"/>
  <c r="CF61" i="4"/>
  <c r="CG61" i="4"/>
  <c r="CH61" i="4"/>
  <c r="CI61" i="4"/>
  <c r="CJ61" i="4"/>
  <c r="CK61" i="4"/>
  <c r="CL61" i="4"/>
  <c r="CM61" i="4"/>
  <c r="CN61" i="4"/>
  <c r="CO61" i="4"/>
  <c r="CP61" i="4"/>
  <c r="CQ61" i="4"/>
  <c r="CR61" i="4"/>
  <c r="CS61" i="4"/>
  <c r="CT61" i="4"/>
  <c r="CU61" i="4"/>
  <c r="CV61" i="4"/>
  <c r="CW61" i="4"/>
  <c r="CX61" i="4"/>
  <c r="CY61" i="4"/>
  <c r="CZ61" i="4"/>
  <c r="DA61" i="4"/>
  <c r="DB61" i="4"/>
  <c r="DC61" i="4"/>
  <c r="DD61" i="4"/>
  <c r="DE61" i="4"/>
  <c r="DF61" i="4"/>
  <c r="DG61" i="4"/>
  <c r="DH61" i="4"/>
  <c r="DI61" i="4"/>
  <c r="DJ61" i="4"/>
  <c r="DK61" i="4"/>
  <c r="DL61" i="4"/>
  <c r="DM61" i="4"/>
  <c r="DN61" i="4"/>
  <c r="DO61" i="4"/>
  <c r="DP61" i="4"/>
  <c r="DQ61" i="4"/>
  <c r="DR61" i="4"/>
  <c r="DS61" i="4"/>
  <c r="DT61" i="4"/>
  <c r="DU61" i="4"/>
  <c r="DV61" i="4"/>
  <c r="DW61" i="4"/>
  <c r="DX61" i="4"/>
  <c r="DY61" i="4"/>
  <c r="DZ61" i="4"/>
  <c r="EA61" i="4"/>
  <c r="EB61" i="4"/>
  <c r="EC61" i="4"/>
  <c r="ED61" i="4"/>
  <c r="EE61" i="4"/>
  <c r="EF61" i="4"/>
  <c r="EG61" i="4"/>
  <c r="EH61" i="4"/>
  <c r="EI61" i="4"/>
  <c r="EJ61" i="4"/>
  <c r="EK61" i="4"/>
  <c r="EL61" i="4"/>
  <c r="EM61" i="4"/>
  <c r="EN61" i="4"/>
  <c r="EO61" i="4"/>
  <c r="EP61" i="4"/>
  <c r="EQ61" i="4"/>
  <c r="ER61" i="4"/>
  <c r="ES61" i="4"/>
  <c r="ET61" i="4"/>
  <c r="EU61" i="4"/>
  <c r="EV61" i="4"/>
  <c r="EW61" i="4"/>
  <c r="EX61" i="4"/>
  <c r="EY61" i="4"/>
  <c r="EZ61" i="4"/>
  <c r="FA61" i="4"/>
  <c r="FB61" i="4"/>
  <c r="FC61" i="4"/>
  <c r="FD61" i="4"/>
  <c r="FE61" i="4"/>
  <c r="FF61" i="4"/>
  <c r="FG61" i="4"/>
  <c r="FH61" i="4"/>
  <c r="FI61" i="4"/>
  <c r="FJ61" i="4"/>
  <c r="FK61" i="4"/>
  <c r="FL61" i="4"/>
  <c r="FM61" i="4"/>
  <c r="FN61" i="4"/>
  <c r="FO61" i="4"/>
  <c r="FP61" i="4"/>
  <c r="FQ61" i="4"/>
  <c r="FR61" i="4"/>
  <c r="FS61" i="4"/>
  <c r="FT61" i="4"/>
  <c r="FU61" i="4"/>
  <c r="FV61" i="4"/>
  <c r="FW61" i="4"/>
  <c r="FX61" i="4"/>
  <c r="FY61" i="4"/>
  <c r="FZ61" i="4"/>
  <c r="GA61" i="4"/>
  <c r="GB61" i="4"/>
  <c r="GC61" i="4"/>
  <c r="GD61" i="4"/>
  <c r="GE61" i="4"/>
  <c r="GF61" i="4"/>
  <c r="GG61" i="4"/>
  <c r="GH61" i="4"/>
  <c r="GI61" i="4"/>
  <c r="GJ61" i="4"/>
  <c r="GK61" i="4"/>
  <c r="GL61" i="4"/>
  <c r="GM61" i="4"/>
  <c r="GN61" i="4"/>
  <c r="GO61" i="4"/>
  <c r="GP61" i="4"/>
  <c r="GQ61" i="4"/>
  <c r="GR61" i="4"/>
  <c r="GS61" i="4"/>
  <c r="GT61" i="4"/>
  <c r="GU61" i="4"/>
  <c r="GV61" i="4"/>
  <c r="GW61" i="4"/>
  <c r="GX61" i="4"/>
  <c r="GY61" i="4"/>
  <c r="GZ61" i="4"/>
  <c r="HA61" i="4"/>
  <c r="HB61" i="4"/>
  <c r="HC61" i="4"/>
  <c r="HD61" i="4"/>
  <c r="HE61" i="4"/>
  <c r="HF61" i="4"/>
  <c r="HG61" i="4"/>
  <c r="HH61" i="4"/>
  <c r="HI61" i="4"/>
  <c r="HJ61" i="4"/>
  <c r="HK61" i="4"/>
  <c r="HL61" i="4"/>
  <c r="HM61" i="4"/>
  <c r="HN61" i="4"/>
  <c r="HO61" i="4"/>
  <c r="HP61" i="4"/>
  <c r="HQ61" i="4"/>
  <c r="HR61" i="4"/>
  <c r="HS61" i="4"/>
  <c r="HT61" i="4"/>
  <c r="HU61" i="4"/>
  <c r="HV61" i="4"/>
  <c r="HW61" i="4"/>
  <c r="HX61" i="4"/>
  <c r="HY61" i="4"/>
  <c r="HZ61" i="4"/>
  <c r="IA61" i="4"/>
  <c r="IB61" i="4"/>
  <c r="IC61" i="4"/>
  <c r="ID61" i="4"/>
  <c r="IE61" i="4"/>
  <c r="IF61" i="4"/>
  <c r="IG61" i="4"/>
  <c r="IH61" i="4"/>
  <c r="II61" i="4"/>
  <c r="IJ61" i="4"/>
  <c r="IK61" i="4"/>
  <c r="IL61" i="4"/>
  <c r="IM61" i="4"/>
  <c r="IN61" i="4"/>
  <c r="IO61" i="4"/>
  <c r="IP61" i="4"/>
  <c r="IQ61" i="4"/>
  <c r="IR61" i="4"/>
  <c r="IS61" i="4"/>
  <c r="IT61" i="4"/>
  <c r="IU61" i="4"/>
  <c r="IV61" i="4"/>
  <c r="F62" i="4"/>
  <c r="G62" i="4"/>
  <c r="H62" i="4"/>
  <c r="I62" i="4"/>
  <c r="J62" i="4"/>
  <c r="K62" i="4"/>
  <c r="L62" i="4"/>
  <c r="M62" i="4"/>
  <c r="N62" i="4"/>
  <c r="O62" i="4"/>
  <c r="P62" i="4"/>
  <c r="Q62" i="4"/>
  <c r="R62" i="4"/>
  <c r="S62" i="4"/>
  <c r="T62" i="4"/>
  <c r="U62" i="4"/>
  <c r="V62" i="4"/>
  <c r="W62" i="4"/>
  <c r="X62" i="4"/>
  <c r="Y62" i="4"/>
  <c r="Z62" i="4"/>
  <c r="AA62" i="4"/>
  <c r="AB62" i="4"/>
  <c r="AC62" i="4"/>
  <c r="AD62" i="4"/>
  <c r="AE62" i="4"/>
  <c r="AF62" i="4"/>
  <c r="AG62" i="4"/>
  <c r="AH62" i="4"/>
  <c r="AI62" i="4"/>
  <c r="AJ62" i="4"/>
  <c r="AK62" i="4"/>
  <c r="AL62" i="4"/>
  <c r="AM62" i="4"/>
  <c r="AN62" i="4"/>
  <c r="AO62" i="4"/>
  <c r="AP62" i="4"/>
  <c r="AQ62" i="4"/>
  <c r="AR62" i="4"/>
  <c r="AS62" i="4"/>
  <c r="AT62" i="4"/>
  <c r="AU62" i="4"/>
  <c r="AV62" i="4"/>
  <c r="AW62" i="4"/>
  <c r="AX62" i="4"/>
  <c r="AY62" i="4"/>
  <c r="AZ62" i="4"/>
  <c r="BA62" i="4"/>
  <c r="BB62" i="4"/>
  <c r="BC62" i="4"/>
  <c r="BD62" i="4"/>
  <c r="BE62" i="4"/>
  <c r="BF62" i="4"/>
  <c r="BG62" i="4"/>
  <c r="BH62" i="4"/>
  <c r="BI62" i="4"/>
  <c r="BJ62" i="4"/>
  <c r="BK62" i="4"/>
  <c r="BL62" i="4"/>
  <c r="BM62" i="4"/>
  <c r="BN62" i="4"/>
  <c r="BO62" i="4"/>
  <c r="BP62" i="4"/>
  <c r="BQ62" i="4"/>
  <c r="BR62" i="4"/>
  <c r="BS62" i="4"/>
  <c r="BT62" i="4"/>
  <c r="BU62" i="4"/>
  <c r="BV62" i="4"/>
  <c r="BW62" i="4"/>
  <c r="BX62" i="4"/>
  <c r="BY62" i="4"/>
  <c r="BZ62" i="4"/>
  <c r="CA62" i="4"/>
  <c r="CB62" i="4"/>
  <c r="CC62" i="4"/>
  <c r="CD62" i="4"/>
  <c r="CE62" i="4"/>
  <c r="CF62" i="4"/>
  <c r="CG62" i="4"/>
  <c r="CH62" i="4"/>
  <c r="CI62" i="4"/>
  <c r="CJ62" i="4"/>
  <c r="CK62" i="4"/>
  <c r="CL62" i="4"/>
  <c r="CM62" i="4"/>
  <c r="CN62" i="4"/>
  <c r="CO62" i="4"/>
  <c r="CP62" i="4"/>
  <c r="CQ62" i="4"/>
  <c r="CR62" i="4"/>
  <c r="CS62" i="4"/>
  <c r="CT62" i="4"/>
  <c r="CU62" i="4"/>
  <c r="CV62" i="4"/>
  <c r="CW62" i="4"/>
  <c r="CX62" i="4"/>
  <c r="CY62" i="4"/>
  <c r="CZ62" i="4"/>
  <c r="DA62" i="4"/>
  <c r="DB62" i="4"/>
  <c r="DC62" i="4"/>
  <c r="DD62" i="4"/>
  <c r="DE62" i="4"/>
  <c r="DF62" i="4"/>
  <c r="DG62" i="4"/>
  <c r="DH62" i="4"/>
  <c r="DI62" i="4"/>
  <c r="DJ62" i="4"/>
  <c r="DK62" i="4"/>
  <c r="DL62" i="4"/>
  <c r="DM62" i="4"/>
  <c r="DN62" i="4"/>
  <c r="DO62" i="4"/>
  <c r="DP62" i="4"/>
  <c r="DQ62" i="4"/>
  <c r="DR62" i="4"/>
  <c r="DS62" i="4"/>
  <c r="DT62" i="4"/>
  <c r="DU62" i="4"/>
  <c r="DV62" i="4"/>
  <c r="DW62" i="4"/>
  <c r="DX62" i="4"/>
  <c r="DY62" i="4"/>
  <c r="DZ62" i="4"/>
  <c r="EA62" i="4"/>
  <c r="EB62" i="4"/>
  <c r="EC62" i="4"/>
  <c r="ED62" i="4"/>
  <c r="EE62" i="4"/>
  <c r="EF62" i="4"/>
  <c r="EG62" i="4"/>
  <c r="EH62" i="4"/>
  <c r="EI62" i="4"/>
  <c r="EJ62" i="4"/>
  <c r="EK62" i="4"/>
  <c r="EL62" i="4"/>
  <c r="EM62" i="4"/>
  <c r="EN62" i="4"/>
  <c r="EO62" i="4"/>
  <c r="EP62" i="4"/>
  <c r="EQ62" i="4"/>
  <c r="ER62" i="4"/>
  <c r="ES62" i="4"/>
  <c r="ET62" i="4"/>
  <c r="EU62" i="4"/>
  <c r="EV62" i="4"/>
  <c r="EW62" i="4"/>
  <c r="EX62" i="4"/>
  <c r="EY62" i="4"/>
  <c r="EZ62" i="4"/>
  <c r="FA62" i="4"/>
  <c r="FB62" i="4"/>
  <c r="FC62" i="4"/>
  <c r="FD62" i="4"/>
  <c r="FE62" i="4"/>
  <c r="FF62" i="4"/>
  <c r="FG62" i="4"/>
  <c r="FH62" i="4"/>
  <c r="FI62" i="4"/>
  <c r="FJ62" i="4"/>
  <c r="FK62" i="4"/>
  <c r="FL62" i="4"/>
  <c r="FM62" i="4"/>
  <c r="FN62" i="4"/>
  <c r="FO62" i="4"/>
  <c r="FP62" i="4"/>
  <c r="FQ62" i="4"/>
  <c r="FR62" i="4"/>
  <c r="FS62" i="4"/>
  <c r="FT62" i="4"/>
  <c r="FU62" i="4"/>
  <c r="FV62" i="4"/>
  <c r="FW62" i="4"/>
  <c r="FX62" i="4"/>
  <c r="FY62" i="4"/>
  <c r="FZ62" i="4"/>
  <c r="GA62" i="4"/>
  <c r="GB62" i="4"/>
  <c r="GC62" i="4"/>
  <c r="GD62" i="4"/>
  <c r="GE62" i="4"/>
  <c r="GF62" i="4"/>
  <c r="GG62" i="4"/>
  <c r="GH62" i="4"/>
  <c r="GI62" i="4"/>
  <c r="GJ62" i="4"/>
  <c r="GK62" i="4"/>
  <c r="GL62" i="4"/>
  <c r="GM62" i="4"/>
  <c r="GN62" i="4"/>
  <c r="GO62" i="4"/>
  <c r="GP62" i="4"/>
  <c r="GQ62" i="4"/>
  <c r="GR62" i="4"/>
  <c r="GS62" i="4"/>
  <c r="GT62" i="4"/>
  <c r="GU62" i="4"/>
  <c r="GV62" i="4"/>
  <c r="GW62" i="4"/>
  <c r="GX62" i="4"/>
  <c r="GY62" i="4"/>
  <c r="GZ62" i="4"/>
  <c r="HA62" i="4"/>
  <c r="HB62" i="4"/>
  <c r="HC62" i="4"/>
  <c r="HD62" i="4"/>
  <c r="HE62" i="4"/>
  <c r="HF62" i="4"/>
  <c r="HG62" i="4"/>
  <c r="HH62" i="4"/>
  <c r="HI62" i="4"/>
  <c r="HJ62" i="4"/>
  <c r="HK62" i="4"/>
  <c r="HL62" i="4"/>
  <c r="HM62" i="4"/>
  <c r="HN62" i="4"/>
  <c r="HO62" i="4"/>
  <c r="HP62" i="4"/>
  <c r="HQ62" i="4"/>
  <c r="HR62" i="4"/>
  <c r="HS62" i="4"/>
  <c r="HT62" i="4"/>
  <c r="HU62" i="4"/>
  <c r="HV62" i="4"/>
  <c r="HW62" i="4"/>
  <c r="HX62" i="4"/>
  <c r="HY62" i="4"/>
  <c r="HZ62" i="4"/>
  <c r="IA62" i="4"/>
  <c r="IB62" i="4"/>
  <c r="IC62" i="4"/>
  <c r="ID62" i="4"/>
  <c r="IE62" i="4"/>
  <c r="IF62" i="4"/>
  <c r="IG62" i="4"/>
  <c r="IH62" i="4"/>
  <c r="II62" i="4"/>
  <c r="IJ62" i="4"/>
  <c r="IK62" i="4"/>
  <c r="IL62" i="4"/>
  <c r="IM62" i="4"/>
  <c r="IN62" i="4"/>
  <c r="IO62" i="4"/>
  <c r="IP62" i="4"/>
  <c r="IQ62" i="4"/>
  <c r="IR62" i="4"/>
  <c r="IS62" i="4"/>
  <c r="IT62" i="4"/>
  <c r="IU62" i="4"/>
  <c r="IV62" i="4"/>
  <c r="F63" i="4"/>
  <c r="G63" i="4"/>
  <c r="H63" i="4"/>
  <c r="I63" i="4"/>
  <c r="J63" i="4"/>
  <c r="K63" i="4"/>
  <c r="L63" i="4"/>
  <c r="M63" i="4"/>
  <c r="N63" i="4"/>
  <c r="O63" i="4"/>
  <c r="P63" i="4"/>
  <c r="Q63" i="4"/>
  <c r="R63" i="4"/>
  <c r="S63" i="4"/>
  <c r="T63" i="4"/>
  <c r="U63" i="4"/>
  <c r="V63" i="4"/>
  <c r="W63" i="4"/>
  <c r="X63" i="4"/>
  <c r="Y63" i="4"/>
  <c r="Z63" i="4"/>
  <c r="AA63" i="4"/>
  <c r="AB63" i="4"/>
  <c r="AC63" i="4"/>
  <c r="AD63" i="4"/>
  <c r="AE63" i="4"/>
  <c r="AF63" i="4"/>
  <c r="AG63" i="4"/>
  <c r="AH63" i="4"/>
  <c r="AI63" i="4"/>
  <c r="AJ63" i="4"/>
  <c r="AK63" i="4"/>
  <c r="AL63" i="4"/>
  <c r="AM63" i="4"/>
  <c r="AN63" i="4"/>
  <c r="AO63" i="4"/>
  <c r="AP63" i="4"/>
  <c r="AQ63" i="4"/>
  <c r="AR63" i="4"/>
  <c r="AS63" i="4"/>
  <c r="AT63" i="4"/>
  <c r="AU63" i="4"/>
  <c r="AV63" i="4"/>
  <c r="AW63" i="4"/>
  <c r="AX63" i="4"/>
  <c r="AY63" i="4"/>
  <c r="AZ63" i="4"/>
  <c r="BA63" i="4"/>
  <c r="BB63" i="4"/>
  <c r="BC63" i="4"/>
  <c r="BD63" i="4"/>
  <c r="BE63" i="4"/>
  <c r="BF63" i="4"/>
  <c r="BG63" i="4"/>
  <c r="BH63" i="4"/>
  <c r="BI63" i="4"/>
  <c r="BJ63" i="4"/>
  <c r="BK63" i="4"/>
  <c r="BL63" i="4"/>
  <c r="BM63" i="4"/>
  <c r="BN63" i="4"/>
  <c r="BO63" i="4"/>
  <c r="BP63" i="4"/>
  <c r="BQ63" i="4"/>
  <c r="BR63" i="4"/>
  <c r="BS63" i="4"/>
  <c r="BT63" i="4"/>
  <c r="BU63" i="4"/>
  <c r="BV63" i="4"/>
  <c r="BW63" i="4"/>
  <c r="BX63" i="4"/>
  <c r="BY63" i="4"/>
  <c r="BZ63" i="4"/>
  <c r="CA63" i="4"/>
  <c r="CB63" i="4"/>
  <c r="CC63" i="4"/>
  <c r="CD63" i="4"/>
  <c r="CE63" i="4"/>
  <c r="CF63" i="4"/>
  <c r="CG63" i="4"/>
  <c r="CH63" i="4"/>
  <c r="CI63" i="4"/>
  <c r="CJ63" i="4"/>
  <c r="CK63" i="4"/>
  <c r="CL63" i="4"/>
  <c r="CM63" i="4"/>
  <c r="CN63" i="4"/>
  <c r="CO63" i="4"/>
  <c r="CP63" i="4"/>
  <c r="CQ63" i="4"/>
  <c r="CR63" i="4"/>
  <c r="CS63" i="4"/>
  <c r="CT63" i="4"/>
  <c r="CU63" i="4"/>
  <c r="CV63" i="4"/>
  <c r="CW63" i="4"/>
  <c r="CX63" i="4"/>
  <c r="CY63" i="4"/>
  <c r="CZ63" i="4"/>
  <c r="DA63" i="4"/>
  <c r="DB63" i="4"/>
  <c r="DC63" i="4"/>
  <c r="DD63" i="4"/>
  <c r="DE63" i="4"/>
  <c r="DF63" i="4"/>
  <c r="DG63" i="4"/>
  <c r="DH63" i="4"/>
  <c r="DI63" i="4"/>
  <c r="DJ63" i="4"/>
  <c r="DK63" i="4"/>
  <c r="DL63" i="4"/>
  <c r="DM63" i="4"/>
  <c r="DN63" i="4"/>
  <c r="DO63" i="4"/>
  <c r="DP63" i="4"/>
  <c r="DQ63" i="4"/>
  <c r="DR63" i="4"/>
  <c r="DS63" i="4"/>
  <c r="DT63" i="4"/>
  <c r="DU63" i="4"/>
  <c r="DV63" i="4"/>
  <c r="DW63" i="4"/>
  <c r="DX63" i="4"/>
  <c r="DY63" i="4"/>
  <c r="DZ63" i="4"/>
  <c r="EA63" i="4"/>
  <c r="EB63" i="4"/>
  <c r="EC63" i="4"/>
  <c r="ED63" i="4"/>
  <c r="EE63" i="4"/>
  <c r="EF63" i="4"/>
  <c r="EG63" i="4"/>
  <c r="EH63" i="4"/>
  <c r="EI63" i="4"/>
  <c r="EJ63" i="4"/>
  <c r="EK63" i="4"/>
  <c r="EL63" i="4"/>
  <c r="EM63" i="4"/>
  <c r="EN63" i="4"/>
  <c r="EO63" i="4"/>
  <c r="EP63" i="4"/>
  <c r="EQ63" i="4"/>
  <c r="ER63" i="4"/>
  <c r="ES63" i="4"/>
  <c r="ET63" i="4"/>
  <c r="EU63" i="4"/>
  <c r="EV63" i="4"/>
  <c r="EW63" i="4"/>
  <c r="EX63" i="4"/>
  <c r="EY63" i="4"/>
  <c r="EZ63" i="4"/>
  <c r="FA63" i="4"/>
  <c r="FB63" i="4"/>
  <c r="FC63" i="4"/>
  <c r="FD63" i="4"/>
  <c r="FE63" i="4"/>
  <c r="FF63" i="4"/>
  <c r="FG63" i="4"/>
  <c r="FH63" i="4"/>
  <c r="FI63" i="4"/>
  <c r="FJ63" i="4"/>
  <c r="FK63" i="4"/>
  <c r="FL63" i="4"/>
  <c r="FM63" i="4"/>
  <c r="FN63" i="4"/>
  <c r="FO63" i="4"/>
  <c r="FP63" i="4"/>
  <c r="FQ63" i="4"/>
  <c r="FR63" i="4"/>
  <c r="FS63" i="4"/>
  <c r="FT63" i="4"/>
  <c r="FU63" i="4"/>
  <c r="FV63" i="4"/>
  <c r="FW63" i="4"/>
  <c r="FX63" i="4"/>
  <c r="FY63" i="4"/>
  <c r="FZ63" i="4"/>
  <c r="GA63" i="4"/>
  <c r="GB63" i="4"/>
  <c r="GC63" i="4"/>
  <c r="GD63" i="4"/>
  <c r="GE63" i="4"/>
  <c r="GF63" i="4"/>
  <c r="GG63" i="4"/>
  <c r="GH63" i="4"/>
  <c r="GI63" i="4"/>
  <c r="GJ63" i="4"/>
  <c r="GK63" i="4"/>
  <c r="GL63" i="4"/>
  <c r="GM63" i="4"/>
  <c r="GN63" i="4"/>
  <c r="GO63" i="4"/>
  <c r="GP63" i="4"/>
  <c r="GQ63" i="4"/>
  <c r="GR63" i="4"/>
  <c r="GS63" i="4"/>
  <c r="GT63" i="4"/>
  <c r="GU63" i="4"/>
  <c r="GV63" i="4"/>
  <c r="GW63" i="4"/>
  <c r="GX63" i="4"/>
  <c r="GY63" i="4"/>
  <c r="GZ63" i="4"/>
  <c r="HA63" i="4"/>
  <c r="HB63" i="4"/>
  <c r="HC63" i="4"/>
  <c r="HD63" i="4"/>
  <c r="HE63" i="4"/>
  <c r="HF63" i="4"/>
  <c r="HG63" i="4"/>
  <c r="HH63" i="4"/>
  <c r="HI63" i="4"/>
  <c r="HJ63" i="4"/>
  <c r="HK63" i="4"/>
  <c r="HL63" i="4"/>
  <c r="HM63" i="4"/>
  <c r="HN63" i="4"/>
  <c r="HO63" i="4"/>
  <c r="HP63" i="4"/>
  <c r="HQ63" i="4"/>
  <c r="HR63" i="4"/>
  <c r="HS63" i="4"/>
  <c r="HT63" i="4"/>
  <c r="HU63" i="4"/>
  <c r="HV63" i="4"/>
  <c r="HW63" i="4"/>
  <c r="HX63" i="4"/>
  <c r="HY63" i="4"/>
  <c r="HZ63" i="4"/>
  <c r="IA63" i="4"/>
  <c r="IB63" i="4"/>
  <c r="IC63" i="4"/>
  <c r="ID63" i="4"/>
  <c r="IE63" i="4"/>
  <c r="IF63" i="4"/>
  <c r="IG63" i="4"/>
  <c r="IH63" i="4"/>
  <c r="II63" i="4"/>
  <c r="IJ63" i="4"/>
  <c r="IK63" i="4"/>
  <c r="IL63" i="4"/>
  <c r="IM63" i="4"/>
  <c r="IN63" i="4"/>
  <c r="IO63" i="4"/>
  <c r="IP63" i="4"/>
  <c r="IQ63" i="4"/>
  <c r="IR63" i="4"/>
  <c r="IS63" i="4"/>
  <c r="IT63" i="4"/>
  <c r="IU63" i="4"/>
  <c r="IV63" i="4"/>
  <c r="F64" i="4"/>
  <c r="G64" i="4"/>
  <c r="H64" i="4"/>
  <c r="I64" i="4"/>
  <c r="J64" i="4"/>
  <c r="K64" i="4"/>
  <c r="L64" i="4"/>
  <c r="M64" i="4"/>
  <c r="N64" i="4"/>
  <c r="O64" i="4"/>
  <c r="P64" i="4"/>
  <c r="Q64" i="4"/>
  <c r="R64" i="4"/>
  <c r="S64" i="4"/>
  <c r="T64" i="4"/>
  <c r="U64" i="4"/>
  <c r="V64" i="4"/>
  <c r="W64" i="4"/>
  <c r="X64" i="4"/>
  <c r="Y64" i="4"/>
  <c r="Z64" i="4"/>
  <c r="AA64" i="4"/>
  <c r="AB64" i="4"/>
  <c r="AC64" i="4"/>
  <c r="AD64" i="4"/>
  <c r="AE64" i="4"/>
  <c r="AF64" i="4"/>
  <c r="AG64" i="4"/>
  <c r="AH64" i="4"/>
  <c r="AI64" i="4"/>
  <c r="AJ64" i="4"/>
  <c r="AK64" i="4"/>
  <c r="AL64" i="4"/>
  <c r="AM64" i="4"/>
  <c r="AN64" i="4"/>
  <c r="AO64" i="4"/>
  <c r="AP64" i="4"/>
  <c r="AQ64" i="4"/>
  <c r="AR64" i="4"/>
  <c r="AS64" i="4"/>
  <c r="AT64" i="4"/>
  <c r="AU64" i="4"/>
  <c r="AV64" i="4"/>
  <c r="AW64" i="4"/>
  <c r="AX64" i="4"/>
  <c r="AY64" i="4"/>
  <c r="AZ64" i="4"/>
  <c r="BA64" i="4"/>
  <c r="BB64" i="4"/>
  <c r="BC64" i="4"/>
  <c r="BD64" i="4"/>
  <c r="BE64" i="4"/>
  <c r="BF64" i="4"/>
  <c r="BG64" i="4"/>
  <c r="BH64" i="4"/>
  <c r="BI64" i="4"/>
  <c r="BJ64" i="4"/>
  <c r="BK64" i="4"/>
  <c r="BL64" i="4"/>
  <c r="BM64" i="4"/>
  <c r="BN64" i="4"/>
  <c r="BO64" i="4"/>
  <c r="BP64" i="4"/>
  <c r="BQ64" i="4"/>
  <c r="BR64" i="4"/>
  <c r="BS64" i="4"/>
  <c r="BT64" i="4"/>
  <c r="BU64" i="4"/>
  <c r="BV64" i="4"/>
  <c r="BW64" i="4"/>
  <c r="BX64" i="4"/>
  <c r="BY64" i="4"/>
  <c r="BZ64" i="4"/>
  <c r="CA64" i="4"/>
  <c r="CB64" i="4"/>
  <c r="CC64" i="4"/>
  <c r="CD64" i="4"/>
  <c r="CE64" i="4"/>
  <c r="CF64" i="4"/>
  <c r="CG64" i="4"/>
  <c r="CH64" i="4"/>
  <c r="CI64" i="4"/>
  <c r="CJ64" i="4"/>
  <c r="CK64" i="4"/>
  <c r="CL64" i="4"/>
  <c r="CM64" i="4"/>
  <c r="CN64" i="4"/>
  <c r="CO64" i="4"/>
  <c r="CP64" i="4"/>
  <c r="CQ64" i="4"/>
  <c r="CR64" i="4"/>
  <c r="CS64" i="4"/>
  <c r="CT64" i="4"/>
  <c r="CU64" i="4"/>
  <c r="CV64" i="4"/>
  <c r="CW64" i="4"/>
  <c r="CX64" i="4"/>
  <c r="CY64" i="4"/>
  <c r="CZ64" i="4"/>
  <c r="DA64" i="4"/>
  <c r="DB64" i="4"/>
  <c r="DC64" i="4"/>
  <c r="DD64" i="4"/>
  <c r="DE64" i="4"/>
  <c r="DF64" i="4"/>
  <c r="DG64" i="4"/>
  <c r="DH64" i="4"/>
  <c r="DI64" i="4"/>
  <c r="DJ64" i="4"/>
  <c r="DK64" i="4"/>
  <c r="DL64" i="4"/>
  <c r="DM64" i="4"/>
  <c r="DN64" i="4"/>
  <c r="DO64" i="4"/>
  <c r="DP64" i="4"/>
  <c r="DQ64" i="4"/>
  <c r="DR64" i="4"/>
  <c r="DS64" i="4"/>
  <c r="DT64" i="4"/>
  <c r="DU64" i="4"/>
  <c r="DV64" i="4"/>
  <c r="DW64" i="4"/>
  <c r="DX64" i="4"/>
  <c r="DY64" i="4"/>
  <c r="DZ64" i="4"/>
  <c r="EA64" i="4"/>
  <c r="EB64" i="4"/>
  <c r="EC64" i="4"/>
  <c r="ED64" i="4"/>
  <c r="EE64" i="4"/>
  <c r="EF64" i="4"/>
  <c r="EG64" i="4"/>
  <c r="EH64" i="4"/>
  <c r="EI64" i="4"/>
  <c r="EJ64" i="4"/>
  <c r="EK64" i="4"/>
  <c r="EL64" i="4"/>
  <c r="EM64" i="4"/>
  <c r="EN64" i="4"/>
  <c r="EO64" i="4"/>
  <c r="EP64" i="4"/>
  <c r="EQ64" i="4"/>
  <c r="ER64" i="4"/>
  <c r="ES64" i="4"/>
  <c r="ET64" i="4"/>
  <c r="EU64" i="4"/>
  <c r="EV64" i="4"/>
  <c r="EW64" i="4"/>
  <c r="EX64" i="4"/>
  <c r="EY64" i="4"/>
  <c r="EZ64" i="4"/>
  <c r="FA64" i="4"/>
  <c r="FB64" i="4"/>
  <c r="FC64" i="4"/>
  <c r="FD64" i="4"/>
  <c r="FE64" i="4"/>
  <c r="FF64" i="4"/>
  <c r="FG64" i="4"/>
  <c r="FH64" i="4"/>
  <c r="FI64" i="4"/>
  <c r="FJ64" i="4"/>
  <c r="FK64" i="4"/>
  <c r="FL64" i="4"/>
  <c r="FM64" i="4"/>
  <c r="FN64" i="4"/>
  <c r="FO64" i="4"/>
  <c r="FP64" i="4"/>
  <c r="FQ64" i="4"/>
  <c r="FR64" i="4"/>
  <c r="FS64" i="4"/>
  <c r="FT64" i="4"/>
  <c r="FU64" i="4"/>
  <c r="FV64" i="4"/>
  <c r="FW64" i="4"/>
  <c r="FX64" i="4"/>
  <c r="FY64" i="4"/>
  <c r="FZ64" i="4"/>
  <c r="GA64" i="4"/>
  <c r="GB64" i="4"/>
  <c r="GC64" i="4"/>
  <c r="GD64" i="4"/>
  <c r="GE64" i="4"/>
  <c r="GF64" i="4"/>
  <c r="GG64" i="4"/>
  <c r="GH64" i="4"/>
  <c r="GI64" i="4"/>
  <c r="GJ64" i="4"/>
  <c r="GK64" i="4"/>
  <c r="GL64" i="4"/>
  <c r="GM64" i="4"/>
  <c r="GN64" i="4"/>
  <c r="GO64" i="4"/>
  <c r="GP64" i="4"/>
  <c r="GQ64" i="4"/>
  <c r="GR64" i="4"/>
  <c r="GS64" i="4"/>
  <c r="GT64" i="4"/>
  <c r="GU64" i="4"/>
  <c r="GV64" i="4"/>
  <c r="GW64" i="4"/>
  <c r="GX64" i="4"/>
  <c r="GY64" i="4"/>
  <c r="GZ64" i="4"/>
  <c r="HA64" i="4"/>
  <c r="HB64" i="4"/>
  <c r="HC64" i="4"/>
  <c r="HD64" i="4"/>
  <c r="HE64" i="4"/>
  <c r="HF64" i="4"/>
  <c r="HG64" i="4"/>
  <c r="HH64" i="4"/>
  <c r="HI64" i="4"/>
  <c r="HJ64" i="4"/>
  <c r="HK64" i="4"/>
  <c r="HL64" i="4"/>
  <c r="HM64" i="4"/>
  <c r="HN64" i="4"/>
  <c r="HO64" i="4"/>
  <c r="HP64" i="4"/>
  <c r="HQ64" i="4"/>
  <c r="HR64" i="4"/>
  <c r="HS64" i="4"/>
  <c r="HT64" i="4"/>
  <c r="HU64" i="4"/>
  <c r="HV64" i="4"/>
  <c r="HW64" i="4"/>
  <c r="HX64" i="4"/>
  <c r="HY64" i="4"/>
  <c r="HZ64" i="4"/>
  <c r="IA64" i="4"/>
  <c r="IB64" i="4"/>
  <c r="IC64" i="4"/>
  <c r="ID64" i="4"/>
  <c r="IE64" i="4"/>
  <c r="IF64" i="4"/>
  <c r="IG64" i="4"/>
  <c r="IH64" i="4"/>
  <c r="II64" i="4"/>
  <c r="IJ64" i="4"/>
  <c r="IK64" i="4"/>
  <c r="IL64" i="4"/>
  <c r="IM64" i="4"/>
  <c r="IN64" i="4"/>
  <c r="IO64" i="4"/>
  <c r="IP64" i="4"/>
  <c r="IQ64" i="4"/>
  <c r="IR64" i="4"/>
  <c r="IS64" i="4"/>
  <c r="IT64" i="4"/>
  <c r="IU64" i="4"/>
  <c r="IV64" i="4"/>
  <c r="F65" i="4"/>
  <c r="G65" i="4"/>
  <c r="H65" i="4"/>
  <c r="I65" i="4"/>
  <c r="J65" i="4"/>
  <c r="K65" i="4"/>
  <c r="L65" i="4"/>
  <c r="M65" i="4"/>
  <c r="N65" i="4"/>
  <c r="O65" i="4"/>
  <c r="P65" i="4"/>
  <c r="Q65" i="4"/>
  <c r="R65" i="4"/>
  <c r="S65" i="4"/>
  <c r="T65" i="4"/>
  <c r="U65" i="4"/>
  <c r="V65" i="4"/>
  <c r="W65" i="4"/>
  <c r="X65" i="4"/>
  <c r="Y65" i="4"/>
  <c r="Z65" i="4"/>
  <c r="AA65" i="4"/>
  <c r="AB65" i="4"/>
  <c r="AC65" i="4"/>
  <c r="AD65" i="4"/>
  <c r="AE65" i="4"/>
  <c r="AF65" i="4"/>
  <c r="AG65" i="4"/>
  <c r="AH65" i="4"/>
  <c r="AI65" i="4"/>
  <c r="AJ65" i="4"/>
  <c r="AK65" i="4"/>
  <c r="AL65" i="4"/>
  <c r="AM65" i="4"/>
  <c r="AN65" i="4"/>
  <c r="AO65" i="4"/>
  <c r="AP65" i="4"/>
  <c r="AQ65" i="4"/>
  <c r="AR65" i="4"/>
  <c r="AS65" i="4"/>
  <c r="AT65" i="4"/>
  <c r="AU65" i="4"/>
  <c r="AV65" i="4"/>
  <c r="AW65" i="4"/>
  <c r="AX65" i="4"/>
  <c r="AY65" i="4"/>
  <c r="AZ65" i="4"/>
  <c r="BA65" i="4"/>
  <c r="BB65" i="4"/>
  <c r="BC65" i="4"/>
  <c r="BD65" i="4"/>
  <c r="BE65" i="4"/>
  <c r="BF65" i="4"/>
  <c r="BG65" i="4"/>
  <c r="BH65" i="4"/>
  <c r="BI65" i="4"/>
  <c r="BJ65" i="4"/>
  <c r="BK65" i="4"/>
  <c r="BL65" i="4"/>
  <c r="BM65" i="4"/>
  <c r="BN65" i="4"/>
  <c r="BO65" i="4"/>
  <c r="BP65" i="4"/>
  <c r="BQ65" i="4"/>
  <c r="BR65" i="4"/>
  <c r="BS65" i="4"/>
  <c r="BT65" i="4"/>
  <c r="BU65" i="4"/>
  <c r="BV65" i="4"/>
  <c r="BW65" i="4"/>
  <c r="BX65" i="4"/>
  <c r="BY65" i="4"/>
  <c r="BZ65" i="4"/>
  <c r="CA65" i="4"/>
  <c r="CB65" i="4"/>
  <c r="CC65" i="4"/>
  <c r="CD65" i="4"/>
  <c r="CE65" i="4"/>
  <c r="CF65" i="4"/>
  <c r="CG65" i="4"/>
  <c r="CH65" i="4"/>
  <c r="CI65" i="4"/>
  <c r="CJ65" i="4"/>
  <c r="CK65" i="4"/>
  <c r="CL65" i="4"/>
  <c r="CM65" i="4"/>
  <c r="CN65" i="4"/>
  <c r="CO65" i="4"/>
  <c r="CP65" i="4"/>
  <c r="CQ65" i="4"/>
  <c r="CR65" i="4"/>
  <c r="CS65" i="4"/>
  <c r="CT65" i="4"/>
  <c r="CU65" i="4"/>
  <c r="CV65" i="4"/>
  <c r="CW65" i="4"/>
  <c r="CX65" i="4"/>
  <c r="CY65" i="4"/>
  <c r="CZ65" i="4"/>
  <c r="DA65" i="4"/>
  <c r="DB65" i="4"/>
  <c r="DC65" i="4"/>
  <c r="DD65" i="4"/>
  <c r="DE65" i="4"/>
  <c r="DF65" i="4"/>
  <c r="DG65" i="4"/>
  <c r="DH65" i="4"/>
  <c r="DI65" i="4"/>
  <c r="DJ65" i="4"/>
  <c r="DK65" i="4"/>
  <c r="DL65" i="4"/>
  <c r="DM65" i="4"/>
  <c r="DN65" i="4"/>
  <c r="DO65" i="4"/>
  <c r="DP65" i="4"/>
  <c r="DQ65" i="4"/>
  <c r="DR65" i="4"/>
  <c r="DS65" i="4"/>
  <c r="DT65" i="4"/>
  <c r="DU65" i="4"/>
  <c r="DV65" i="4"/>
  <c r="DW65" i="4"/>
  <c r="DX65" i="4"/>
  <c r="DY65" i="4"/>
  <c r="DZ65" i="4"/>
  <c r="EA65" i="4"/>
  <c r="EB65" i="4"/>
  <c r="EC65" i="4"/>
  <c r="ED65" i="4"/>
  <c r="EE65" i="4"/>
  <c r="EF65" i="4"/>
  <c r="EG65" i="4"/>
  <c r="EH65" i="4"/>
  <c r="EI65" i="4"/>
  <c r="EJ65" i="4"/>
  <c r="EK65" i="4"/>
  <c r="EL65" i="4"/>
  <c r="EM65" i="4"/>
  <c r="EN65" i="4"/>
  <c r="EO65" i="4"/>
  <c r="EP65" i="4"/>
  <c r="EQ65" i="4"/>
  <c r="ER65" i="4"/>
  <c r="ES65" i="4"/>
  <c r="ET65" i="4"/>
  <c r="EU65" i="4"/>
  <c r="EV65" i="4"/>
  <c r="EW65" i="4"/>
  <c r="EX65" i="4"/>
  <c r="EY65" i="4"/>
  <c r="EZ65" i="4"/>
  <c r="FA65" i="4"/>
  <c r="FB65" i="4"/>
  <c r="FC65" i="4"/>
  <c r="FD65" i="4"/>
  <c r="FE65" i="4"/>
  <c r="FF65" i="4"/>
  <c r="FG65" i="4"/>
  <c r="FH65" i="4"/>
  <c r="FI65" i="4"/>
  <c r="FJ65" i="4"/>
  <c r="FK65" i="4"/>
  <c r="FL65" i="4"/>
  <c r="FM65" i="4"/>
  <c r="FN65" i="4"/>
  <c r="FO65" i="4"/>
  <c r="FP65" i="4"/>
  <c r="FQ65" i="4"/>
  <c r="FR65" i="4"/>
  <c r="FS65" i="4"/>
  <c r="FT65" i="4"/>
  <c r="FU65" i="4"/>
  <c r="FV65" i="4"/>
  <c r="FW65" i="4"/>
  <c r="FX65" i="4"/>
  <c r="FY65" i="4"/>
  <c r="FZ65" i="4"/>
  <c r="GA65" i="4"/>
  <c r="GB65" i="4"/>
  <c r="GC65" i="4"/>
  <c r="GD65" i="4"/>
  <c r="GE65" i="4"/>
  <c r="GF65" i="4"/>
  <c r="GG65" i="4"/>
  <c r="GH65" i="4"/>
  <c r="GI65" i="4"/>
  <c r="GJ65" i="4"/>
  <c r="GK65" i="4"/>
  <c r="GL65" i="4"/>
  <c r="GM65" i="4"/>
  <c r="GN65" i="4"/>
  <c r="GO65" i="4"/>
  <c r="GP65" i="4"/>
  <c r="GQ65" i="4"/>
  <c r="GR65" i="4"/>
  <c r="GS65" i="4"/>
  <c r="GT65" i="4"/>
  <c r="GU65" i="4"/>
  <c r="GV65" i="4"/>
  <c r="GW65" i="4"/>
  <c r="GX65" i="4"/>
  <c r="GY65" i="4"/>
  <c r="GZ65" i="4"/>
  <c r="HA65" i="4"/>
  <c r="HB65" i="4"/>
  <c r="HC65" i="4"/>
  <c r="HD65" i="4"/>
  <c r="HE65" i="4"/>
  <c r="HF65" i="4"/>
  <c r="HG65" i="4"/>
  <c r="HH65" i="4"/>
  <c r="HI65" i="4"/>
  <c r="HJ65" i="4"/>
  <c r="HK65" i="4"/>
  <c r="HL65" i="4"/>
  <c r="HM65" i="4"/>
  <c r="HN65" i="4"/>
  <c r="HO65" i="4"/>
  <c r="HP65" i="4"/>
  <c r="HQ65" i="4"/>
  <c r="HR65" i="4"/>
  <c r="HS65" i="4"/>
  <c r="HT65" i="4"/>
  <c r="HU65" i="4"/>
  <c r="HV65" i="4"/>
  <c r="HW65" i="4"/>
  <c r="HX65" i="4"/>
  <c r="HY65" i="4"/>
  <c r="HZ65" i="4"/>
  <c r="IA65" i="4"/>
  <c r="IB65" i="4"/>
  <c r="IC65" i="4"/>
  <c r="ID65" i="4"/>
  <c r="IE65" i="4"/>
  <c r="IF65" i="4"/>
  <c r="IG65" i="4"/>
  <c r="IH65" i="4"/>
  <c r="II65" i="4"/>
  <c r="IJ65" i="4"/>
  <c r="IK65" i="4"/>
  <c r="IL65" i="4"/>
  <c r="IM65" i="4"/>
  <c r="IN65" i="4"/>
  <c r="IO65" i="4"/>
  <c r="IP65" i="4"/>
  <c r="IQ65" i="4"/>
  <c r="IR65" i="4"/>
  <c r="IS65" i="4"/>
  <c r="IT65" i="4"/>
  <c r="IU65" i="4"/>
  <c r="IV65" i="4"/>
  <c r="F66" i="4"/>
  <c r="G66" i="4"/>
  <c r="H66" i="4"/>
  <c r="I66" i="4"/>
  <c r="J66" i="4"/>
  <c r="K66" i="4"/>
  <c r="L66" i="4"/>
  <c r="M66" i="4"/>
  <c r="N66" i="4"/>
  <c r="O66" i="4"/>
  <c r="P66" i="4"/>
  <c r="Q66" i="4"/>
  <c r="R66" i="4"/>
  <c r="S66" i="4"/>
  <c r="T66" i="4"/>
  <c r="U66" i="4"/>
  <c r="V66" i="4"/>
  <c r="W66" i="4"/>
  <c r="X66" i="4"/>
  <c r="Y66" i="4"/>
  <c r="Z66" i="4"/>
  <c r="AA66" i="4"/>
  <c r="AB66" i="4"/>
  <c r="AC66" i="4"/>
  <c r="AD66" i="4"/>
  <c r="AE66" i="4"/>
  <c r="AF66" i="4"/>
  <c r="AG66" i="4"/>
  <c r="AH66" i="4"/>
  <c r="AI66" i="4"/>
  <c r="AJ66" i="4"/>
  <c r="AK66" i="4"/>
  <c r="AL66" i="4"/>
  <c r="AM66" i="4"/>
  <c r="AN66" i="4"/>
  <c r="AO66" i="4"/>
  <c r="AP66" i="4"/>
  <c r="AQ66" i="4"/>
  <c r="AR66" i="4"/>
  <c r="AS66" i="4"/>
  <c r="AT66" i="4"/>
  <c r="AU66" i="4"/>
  <c r="AV66" i="4"/>
  <c r="AW66" i="4"/>
  <c r="AX66" i="4"/>
  <c r="AY66" i="4"/>
  <c r="AZ66" i="4"/>
  <c r="BA66" i="4"/>
  <c r="BB66" i="4"/>
  <c r="BC66" i="4"/>
  <c r="BD66" i="4"/>
  <c r="BE66" i="4"/>
  <c r="BF66" i="4"/>
  <c r="BG66" i="4"/>
  <c r="BH66" i="4"/>
  <c r="BI66" i="4"/>
  <c r="BJ66" i="4"/>
  <c r="BK66" i="4"/>
  <c r="BL66" i="4"/>
  <c r="BM66" i="4"/>
  <c r="BN66" i="4"/>
  <c r="BO66" i="4"/>
  <c r="BP66" i="4"/>
  <c r="BQ66" i="4"/>
  <c r="BR66" i="4"/>
  <c r="BS66" i="4"/>
  <c r="BT66" i="4"/>
  <c r="BU66" i="4"/>
  <c r="BV66" i="4"/>
  <c r="BW66" i="4"/>
  <c r="BX66" i="4"/>
  <c r="BY66" i="4"/>
  <c r="BZ66" i="4"/>
  <c r="CA66" i="4"/>
  <c r="CB66" i="4"/>
  <c r="CC66" i="4"/>
  <c r="CD66" i="4"/>
  <c r="CE66" i="4"/>
  <c r="CF66" i="4"/>
  <c r="CG66" i="4"/>
  <c r="CH66" i="4"/>
  <c r="CI66" i="4"/>
  <c r="CJ66" i="4"/>
  <c r="CK66" i="4"/>
  <c r="CL66" i="4"/>
  <c r="CM66" i="4"/>
  <c r="CN66" i="4"/>
  <c r="CO66" i="4"/>
  <c r="CP66" i="4"/>
  <c r="CQ66" i="4"/>
  <c r="CR66" i="4"/>
  <c r="CS66" i="4"/>
  <c r="CT66" i="4"/>
  <c r="CU66" i="4"/>
  <c r="CV66" i="4"/>
  <c r="CW66" i="4"/>
  <c r="CX66" i="4"/>
  <c r="CY66" i="4"/>
  <c r="CZ66" i="4"/>
  <c r="DA66" i="4"/>
  <c r="DB66" i="4"/>
  <c r="DC66" i="4"/>
  <c r="DD66" i="4"/>
  <c r="DE66" i="4"/>
  <c r="DF66" i="4"/>
  <c r="DG66" i="4"/>
  <c r="DH66" i="4"/>
  <c r="DI66" i="4"/>
  <c r="DJ66" i="4"/>
  <c r="DK66" i="4"/>
  <c r="DL66" i="4"/>
  <c r="DM66" i="4"/>
  <c r="DN66" i="4"/>
  <c r="DO66" i="4"/>
  <c r="DP66" i="4"/>
  <c r="DQ66" i="4"/>
  <c r="DR66" i="4"/>
  <c r="DS66" i="4"/>
  <c r="DT66" i="4"/>
  <c r="DU66" i="4"/>
  <c r="DV66" i="4"/>
  <c r="DW66" i="4"/>
  <c r="DX66" i="4"/>
  <c r="DY66" i="4"/>
  <c r="DZ66" i="4"/>
  <c r="EA66" i="4"/>
  <c r="EB66" i="4"/>
  <c r="EC66" i="4"/>
  <c r="ED66" i="4"/>
  <c r="EE66" i="4"/>
  <c r="EF66" i="4"/>
  <c r="EG66" i="4"/>
  <c r="EH66" i="4"/>
  <c r="EI66" i="4"/>
  <c r="EJ66" i="4"/>
  <c r="EK66" i="4"/>
  <c r="EL66" i="4"/>
  <c r="EM66" i="4"/>
  <c r="EN66" i="4"/>
  <c r="EO66" i="4"/>
  <c r="EP66" i="4"/>
  <c r="EQ66" i="4"/>
  <c r="ER66" i="4"/>
  <c r="ES66" i="4"/>
  <c r="ET66" i="4"/>
  <c r="EU66" i="4"/>
  <c r="EV66" i="4"/>
  <c r="EW66" i="4"/>
  <c r="EX66" i="4"/>
  <c r="EY66" i="4"/>
  <c r="EZ66" i="4"/>
  <c r="FA66" i="4"/>
  <c r="FB66" i="4"/>
  <c r="FC66" i="4"/>
  <c r="FD66" i="4"/>
  <c r="FE66" i="4"/>
  <c r="FF66" i="4"/>
  <c r="FG66" i="4"/>
  <c r="FH66" i="4"/>
  <c r="FI66" i="4"/>
  <c r="FJ66" i="4"/>
  <c r="FK66" i="4"/>
  <c r="FL66" i="4"/>
  <c r="FM66" i="4"/>
  <c r="FN66" i="4"/>
  <c r="FO66" i="4"/>
  <c r="FP66" i="4"/>
  <c r="FQ66" i="4"/>
  <c r="FR66" i="4"/>
  <c r="FS66" i="4"/>
  <c r="FT66" i="4"/>
  <c r="FU66" i="4"/>
  <c r="FV66" i="4"/>
  <c r="FW66" i="4"/>
  <c r="FX66" i="4"/>
  <c r="FY66" i="4"/>
  <c r="FZ66" i="4"/>
  <c r="GA66" i="4"/>
  <c r="GB66" i="4"/>
  <c r="GC66" i="4"/>
  <c r="GD66" i="4"/>
  <c r="GE66" i="4"/>
  <c r="GF66" i="4"/>
  <c r="GG66" i="4"/>
  <c r="GH66" i="4"/>
  <c r="GI66" i="4"/>
  <c r="GJ66" i="4"/>
  <c r="GK66" i="4"/>
  <c r="GL66" i="4"/>
  <c r="GM66" i="4"/>
  <c r="GN66" i="4"/>
  <c r="GO66" i="4"/>
  <c r="GP66" i="4"/>
  <c r="GQ66" i="4"/>
  <c r="GR66" i="4"/>
  <c r="GS66" i="4"/>
  <c r="GT66" i="4"/>
  <c r="GU66" i="4"/>
  <c r="GV66" i="4"/>
  <c r="GW66" i="4"/>
  <c r="GX66" i="4"/>
  <c r="GY66" i="4"/>
  <c r="GZ66" i="4"/>
  <c r="HA66" i="4"/>
  <c r="HB66" i="4"/>
  <c r="HC66" i="4"/>
  <c r="HD66" i="4"/>
  <c r="HE66" i="4"/>
  <c r="HF66" i="4"/>
  <c r="HG66" i="4"/>
  <c r="HH66" i="4"/>
  <c r="HI66" i="4"/>
  <c r="HJ66" i="4"/>
  <c r="HK66" i="4"/>
  <c r="HL66" i="4"/>
  <c r="HM66" i="4"/>
  <c r="HN66" i="4"/>
  <c r="HO66" i="4"/>
  <c r="HP66" i="4"/>
  <c r="HQ66" i="4"/>
  <c r="HR66" i="4"/>
  <c r="HS66" i="4"/>
  <c r="HT66" i="4"/>
  <c r="HU66" i="4"/>
  <c r="HV66" i="4"/>
  <c r="HW66" i="4"/>
  <c r="HX66" i="4"/>
  <c r="HY66" i="4"/>
  <c r="HZ66" i="4"/>
  <c r="IA66" i="4"/>
  <c r="IB66" i="4"/>
  <c r="IC66" i="4"/>
  <c r="ID66" i="4"/>
  <c r="IE66" i="4"/>
  <c r="IF66" i="4"/>
  <c r="IG66" i="4"/>
  <c r="IH66" i="4"/>
  <c r="II66" i="4"/>
  <c r="IJ66" i="4"/>
  <c r="IK66" i="4"/>
  <c r="IL66" i="4"/>
  <c r="IM66" i="4"/>
  <c r="IN66" i="4"/>
  <c r="IO66" i="4"/>
  <c r="IP66" i="4"/>
  <c r="IQ66" i="4"/>
  <c r="IR66" i="4"/>
  <c r="IS66" i="4"/>
  <c r="IT66" i="4"/>
  <c r="IU66" i="4"/>
  <c r="IV66" i="4"/>
  <c r="F67" i="4"/>
  <c r="G67" i="4"/>
  <c r="H67" i="4"/>
  <c r="I67" i="4"/>
  <c r="J67" i="4"/>
  <c r="K67" i="4"/>
  <c r="L67" i="4"/>
  <c r="M67" i="4"/>
  <c r="N67" i="4"/>
  <c r="O67" i="4"/>
  <c r="P67" i="4"/>
  <c r="Q67" i="4"/>
  <c r="R67" i="4"/>
  <c r="S67" i="4"/>
  <c r="T67" i="4"/>
  <c r="U67" i="4"/>
  <c r="V67" i="4"/>
  <c r="W67" i="4"/>
  <c r="X67" i="4"/>
  <c r="Y67" i="4"/>
  <c r="Z67" i="4"/>
  <c r="AA67" i="4"/>
  <c r="AB67" i="4"/>
  <c r="AC67" i="4"/>
  <c r="AD67" i="4"/>
  <c r="AE67" i="4"/>
  <c r="AF67" i="4"/>
  <c r="AG67" i="4"/>
  <c r="AH67" i="4"/>
  <c r="AI67" i="4"/>
  <c r="AJ67" i="4"/>
  <c r="AK67" i="4"/>
  <c r="AL67" i="4"/>
  <c r="AM67" i="4"/>
  <c r="AN67" i="4"/>
  <c r="AO67" i="4"/>
  <c r="AP67" i="4"/>
  <c r="AQ67" i="4"/>
  <c r="AR67" i="4"/>
  <c r="AS67" i="4"/>
  <c r="AT67" i="4"/>
  <c r="AU67" i="4"/>
  <c r="AV67" i="4"/>
  <c r="AW67" i="4"/>
  <c r="AX67" i="4"/>
  <c r="AY67" i="4"/>
  <c r="AZ67" i="4"/>
  <c r="BA67" i="4"/>
  <c r="BB67" i="4"/>
  <c r="BC67" i="4"/>
  <c r="BD67" i="4"/>
  <c r="BE67" i="4"/>
  <c r="BF67" i="4"/>
  <c r="BG67" i="4"/>
  <c r="BH67" i="4"/>
  <c r="BI67" i="4"/>
  <c r="BJ67" i="4"/>
  <c r="BK67" i="4"/>
  <c r="BL67" i="4"/>
  <c r="BM67" i="4"/>
  <c r="BN67" i="4"/>
  <c r="BO67" i="4"/>
  <c r="BP67" i="4"/>
  <c r="BQ67" i="4"/>
  <c r="BR67" i="4"/>
  <c r="BS67" i="4"/>
  <c r="BT67" i="4"/>
  <c r="BU67" i="4"/>
  <c r="BV67" i="4"/>
  <c r="BW67" i="4"/>
  <c r="BX67" i="4"/>
  <c r="BY67" i="4"/>
  <c r="BZ67" i="4"/>
  <c r="CA67" i="4"/>
  <c r="CB67" i="4"/>
  <c r="CC67" i="4"/>
  <c r="CD67" i="4"/>
  <c r="CE67" i="4"/>
  <c r="CF67" i="4"/>
  <c r="CG67" i="4"/>
  <c r="CH67" i="4"/>
  <c r="CI67" i="4"/>
  <c r="CJ67" i="4"/>
  <c r="CK67" i="4"/>
  <c r="CL67" i="4"/>
  <c r="CM67" i="4"/>
  <c r="CN67" i="4"/>
  <c r="CO67" i="4"/>
  <c r="CP67" i="4"/>
  <c r="CQ67" i="4"/>
  <c r="CR67" i="4"/>
  <c r="CS67" i="4"/>
  <c r="CT67" i="4"/>
  <c r="CU67" i="4"/>
  <c r="CV67" i="4"/>
  <c r="CW67" i="4"/>
  <c r="CX67" i="4"/>
  <c r="CY67" i="4"/>
  <c r="CZ67" i="4"/>
  <c r="DA67" i="4"/>
  <c r="DB67" i="4"/>
  <c r="DC67" i="4"/>
  <c r="DD67" i="4"/>
  <c r="DE67" i="4"/>
  <c r="DF67" i="4"/>
  <c r="DG67" i="4"/>
  <c r="DH67" i="4"/>
  <c r="DI67" i="4"/>
  <c r="DJ67" i="4"/>
  <c r="DK67" i="4"/>
  <c r="DL67" i="4"/>
  <c r="DM67" i="4"/>
  <c r="DN67" i="4"/>
  <c r="DO67" i="4"/>
  <c r="DP67" i="4"/>
  <c r="DQ67" i="4"/>
  <c r="DR67" i="4"/>
  <c r="DS67" i="4"/>
  <c r="DT67" i="4"/>
  <c r="DU67" i="4"/>
  <c r="DV67" i="4"/>
  <c r="DW67" i="4"/>
  <c r="DX67" i="4"/>
  <c r="DY67" i="4"/>
  <c r="DZ67" i="4"/>
  <c r="EA67" i="4"/>
  <c r="EB67" i="4"/>
  <c r="EC67" i="4"/>
  <c r="ED67" i="4"/>
  <c r="EE67" i="4"/>
  <c r="EF67" i="4"/>
  <c r="EG67" i="4"/>
  <c r="EH67" i="4"/>
  <c r="EI67" i="4"/>
  <c r="EJ67" i="4"/>
  <c r="EK67" i="4"/>
  <c r="EL67" i="4"/>
  <c r="EM67" i="4"/>
  <c r="EN67" i="4"/>
  <c r="EO67" i="4"/>
  <c r="EP67" i="4"/>
  <c r="EQ67" i="4"/>
  <c r="ER67" i="4"/>
  <c r="ES67" i="4"/>
  <c r="ET67" i="4"/>
  <c r="EU67" i="4"/>
  <c r="EV67" i="4"/>
  <c r="EW67" i="4"/>
  <c r="EX67" i="4"/>
  <c r="EY67" i="4"/>
  <c r="EZ67" i="4"/>
  <c r="FA67" i="4"/>
  <c r="FB67" i="4"/>
  <c r="FC67" i="4"/>
  <c r="FD67" i="4"/>
  <c r="FE67" i="4"/>
  <c r="FF67" i="4"/>
  <c r="FG67" i="4"/>
  <c r="FH67" i="4"/>
  <c r="FI67" i="4"/>
  <c r="FJ67" i="4"/>
  <c r="FK67" i="4"/>
  <c r="FL67" i="4"/>
  <c r="FM67" i="4"/>
  <c r="FN67" i="4"/>
  <c r="FO67" i="4"/>
  <c r="FP67" i="4"/>
  <c r="FQ67" i="4"/>
  <c r="FR67" i="4"/>
  <c r="FS67" i="4"/>
  <c r="FT67" i="4"/>
  <c r="FU67" i="4"/>
  <c r="FV67" i="4"/>
  <c r="FW67" i="4"/>
  <c r="FX67" i="4"/>
  <c r="FY67" i="4"/>
  <c r="FZ67" i="4"/>
  <c r="GA67" i="4"/>
  <c r="GB67" i="4"/>
  <c r="GC67" i="4"/>
  <c r="GD67" i="4"/>
  <c r="GE67" i="4"/>
  <c r="GF67" i="4"/>
  <c r="GG67" i="4"/>
  <c r="GH67" i="4"/>
  <c r="GI67" i="4"/>
  <c r="GJ67" i="4"/>
  <c r="GK67" i="4"/>
  <c r="GL67" i="4"/>
  <c r="GM67" i="4"/>
  <c r="GN67" i="4"/>
  <c r="GO67" i="4"/>
  <c r="GP67" i="4"/>
  <c r="GQ67" i="4"/>
  <c r="GR67" i="4"/>
  <c r="GS67" i="4"/>
  <c r="GT67" i="4"/>
  <c r="GU67" i="4"/>
  <c r="GV67" i="4"/>
  <c r="GW67" i="4"/>
  <c r="GX67" i="4"/>
  <c r="GY67" i="4"/>
  <c r="GZ67" i="4"/>
  <c r="HA67" i="4"/>
  <c r="HB67" i="4"/>
  <c r="HC67" i="4"/>
  <c r="HD67" i="4"/>
  <c r="HE67" i="4"/>
  <c r="HF67" i="4"/>
  <c r="HG67" i="4"/>
  <c r="HH67" i="4"/>
  <c r="HI67" i="4"/>
  <c r="HJ67" i="4"/>
  <c r="HK67" i="4"/>
  <c r="HL67" i="4"/>
  <c r="HM67" i="4"/>
  <c r="HN67" i="4"/>
  <c r="HO67" i="4"/>
  <c r="HP67" i="4"/>
  <c r="HQ67" i="4"/>
  <c r="HR67" i="4"/>
  <c r="HS67" i="4"/>
  <c r="HT67" i="4"/>
  <c r="HU67" i="4"/>
  <c r="HV67" i="4"/>
  <c r="HW67" i="4"/>
  <c r="HX67" i="4"/>
  <c r="HY67" i="4"/>
  <c r="HZ67" i="4"/>
  <c r="IA67" i="4"/>
  <c r="IB67" i="4"/>
  <c r="IC67" i="4"/>
  <c r="ID67" i="4"/>
  <c r="IE67" i="4"/>
  <c r="IF67" i="4"/>
  <c r="IG67" i="4"/>
  <c r="IH67" i="4"/>
  <c r="II67" i="4"/>
  <c r="IJ67" i="4"/>
  <c r="IK67" i="4"/>
  <c r="IL67" i="4"/>
  <c r="IM67" i="4"/>
  <c r="IN67" i="4"/>
  <c r="IO67" i="4"/>
  <c r="IP67" i="4"/>
  <c r="IQ67" i="4"/>
  <c r="IR67" i="4"/>
  <c r="IS67" i="4"/>
  <c r="IT67" i="4"/>
  <c r="IU67" i="4"/>
  <c r="IV67" i="4"/>
  <c r="F68" i="4"/>
  <c r="G68" i="4"/>
  <c r="H68" i="4"/>
  <c r="I68" i="4"/>
  <c r="J68" i="4"/>
  <c r="K68" i="4"/>
  <c r="L68" i="4"/>
  <c r="M68" i="4"/>
  <c r="N68" i="4"/>
  <c r="O68" i="4"/>
  <c r="P68" i="4"/>
  <c r="Q68" i="4"/>
  <c r="R68" i="4"/>
  <c r="S68" i="4"/>
  <c r="T68" i="4"/>
  <c r="U68" i="4"/>
  <c r="V68" i="4"/>
  <c r="W68" i="4"/>
  <c r="X68" i="4"/>
  <c r="Y68" i="4"/>
  <c r="Z68" i="4"/>
  <c r="AA68" i="4"/>
  <c r="AB68" i="4"/>
  <c r="AC68" i="4"/>
  <c r="AD68" i="4"/>
  <c r="AE68" i="4"/>
  <c r="AF68" i="4"/>
  <c r="AG68" i="4"/>
  <c r="AH68" i="4"/>
  <c r="AI68" i="4"/>
  <c r="AJ68" i="4"/>
  <c r="AK68" i="4"/>
  <c r="AL68" i="4"/>
  <c r="AM68" i="4"/>
  <c r="AN68" i="4"/>
  <c r="AO68" i="4"/>
  <c r="AP68" i="4"/>
  <c r="AQ68" i="4"/>
  <c r="AR68" i="4"/>
  <c r="AS68" i="4"/>
  <c r="AT68" i="4"/>
  <c r="AU68" i="4"/>
  <c r="AV68" i="4"/>
  <c r="AW68" i="4"/>
  <c r="AX68" i="4"/>
  <c r="AY68" i="4"/>
  <c r="AZ68" i="4"/>
  <c r="BA68" i="4"/>
  <c r="BB68" i="4"/>
  <c r="BC68" i="4"/>
  <c r="BD68" i="4"/>
  <c r="BE68" i="4"/>
  <c r="BF68" i="4"/>
  <c r="BG68" i="4"/>
  <c r="BH68" i="4"/>
  <c r="BI68" i="4"/>
  <c r="BJ68" i="4"/>
  <c r="BK68" i="4"/>
  <c r="BL68" i="4"/>
  <c r="BM68" i="4"/>
  <c r="BN68" i="4"/>
  <c r="BO68" i="4"/>
  <c r="BP68" i="4"/>
  <c r="BQ68" i="4"/>
  <c r="BR68" i="4"/>
  <c r="BS68" i="4"/>
  <c r="BT68" i="4"/>
  <c r="BU68" i="4"/>
  <c r="BV68" i="4"/>
  <c r="BW68" i="4"/>
  <c r="BX68" i="4"/>
  <c r="BY68" i="4"/>
  <c r="BZ68" i="4"/>
  <c r="CA68" i="4"/>
  <c r="CB68" i="4"/>
  <c r="CC68" i="4"/>
  <c r="CD68" i="4"/>
  <c r="CE68" i="4"/>
  <c r="CF68" i="4"/>
  <c r="CG68" i="4"/>
  <c r="CH68" i="4"/>
  <c r="CI68" i="4"/>
  <c r="CJ68" i="4"/>
  <c r="CK68" i="4"/>
  <c r="CL68" i="4"/>
  <c r="CM68" i="4"/>
  <c r="CN68" i="4"/>
  <c r="CO68" i="4"/>
  <c r="CP68" i="4"/>
  <c r="CQ68" i="4"/>
  <c r="CR68" i="4"/>
  <c r="CS68" i="4"/>
  <c r="CT68" i="4"/>
  <c r="CU68" i="4"/>
  <c r="CV68" i="4"/>
  <c r="CW68" i="4"/>
  <c r="CX68" i="4"/>
  <c r="CY68" i="4"/>
  <c r="CZ68" i="4"/>
  <c r="DA68" i="4"/>
  <c r="DB68" i="4"/>
  <c r="DC68" i="4"/>
  <c r="DD68" i="4"/>
  <c r="DE68" i="4"/>
  <c r="DF68" i="4"/>
  <c r="DG68" i="4"/>
  <c r="DH68" i="4"/>
  <c r="DI68" i="4"/>
  <c r="DJ68" i="4"/>
  <c r="DK68" i="4"/>
  <c r="DL68" i="4"/>
  <c r="DM68" i="4"/>
  <c r="DN68" i="4"/>
  <c r="DO68" i="4"/>
  <c r="DP68" i="4"/>
  <c r="DQ68" i="4"/>
  <c r="DR68" i="4"/>
  <c r="DS68" i="4"/>
  <c r="DT68" i="4"/>
  <c r="DU68" i="4"/>
  <c r="DV68" i="4"/>
  <c r="DW68" i="4"/>
  <c r="DX68" i="4"/>
  <c r="DY68" i="4"/>
  <c r="DZ68" i="4"/>
  <c r="EA68" i="4"/>
  <c r="EB68" i="4"/>
  <c r="EC68" i="4"/>
  <c r="ED68" i="4"/>
  <c r="EE68" i="4"/>
  <c r="EF68" i="4"/>
  <c r="EG68" i="4"/>
  <c r="EH68" i="4"/>
  <c r="EI68" i="4"/>
  <c r="EJ68" i="4"/>
  <c r="EK68" i="4"/>
  <c r="EL68" i="4"/>
  <c r="EM68" i="4"/>
  <c r="EN68" i="4"/>
  <c r="EO68" i="4"/>
  <c r="EP68" i="4"/>
  <c r="EQ68" i="4"/>
  <c r="ER68" i="4"/>
  <c r="ES68" i="4"/>
  <c r="ET68" i="4"/>
  <c r="EU68" i="4"/>
  <c r="EV68" i="4"/>
  <c r="EW68" i="4"/>
  <c r="EX68" i="4"/>
  <c r="EY68" i="4"/>
  <c r="EZ68" i="4"/>
  <c r="FA68" i="4"/>
  <c r="FB68" i="4"/>
  <c r="FC68" i="4"/>
  <c r="FD68" i="4"/>
  <c r="FE68" i="4"/>
  <c r="FF68" i="4"/>
  <c r="FG68" i="4"/>
  <c r="FH68" i="4"/>
  <c r="FI68" i="4"/>
  <c r="FJ68" i="4"/>
  <c r="FK68" i="4"/>
  <c r="FL68" i="4"/>
  <c r="FM68" i="4"/>
  <c r="FN68" i="4"/>
  <c r="FO68" i="4"/>
  <c r="FP68" i="4"/>
  <c r="FQ68" i="4"/>
  <c r="FR68" i="4"/>
  <c r="FS68" i="4"/>
  <c r="FT68" i="4"/>
  <c r="FU68" i="4"/>
  <c r="FV68" i="4"/>
  <c r="FW68" i="4"/>
  <c r="FX68" i="4"/>
  <c r="FY68" i="4"/>
  <c r="FZ68" i="4"/>
  <c r="GA68" i="4"/>
  <c r="GB68" i="4"/>
  <c r="GC68" i="4"/>
  <c r="GD68" i="4"/>
  <c r="GE68" i="4"/>
  <c r="GF68" i="4"/>
  <c r="GG68" i="4"/>
  <c r="GH68" i="4"/>
  <c r="GI68" i="4"/>
  <c r="GJ68" i="4"/>
  <c r="GK68" i="4"/>
  <c r="GL68" i="4"/>
  <c r="GM68" i="4"/>
  <c r="GN68" i="4"/>
  <c r="GO68" i="4"/>
  <c r="GP68" i="4"/>
  <c r="GQ68" i="4"/>
  <c r="GR68" i="4"/>
  <c r="GS68" i="4"/>
  <c r="GT68" i="4"/>
  <c r="GU68" i="4"/>
  <c r="GV68" i="4"/>
  <c r="GW68" i="4"/>
  <c r="GX68" i="4"/>
  <c r="GY68" i="4"/>
  <c r="GZ68" i="4"/>
  <c r="HA68" i="4"/>
  <c r="HB68" i="4"/>
  <c r="HC68" i="4"/>
  <c r="HD68" i="4"/>
  <c r="HE68" i="4"/>
  <c r="HF68" i="4"/>
  <c r="HG68" i="4"/>
  <c r="HH68" i="4"/>
  <c r="HI68" i="4"/>
  <c r="HJ68" i="4"/>
  <c r="HK68" i="4"/>
  <c r="HL68" i="4"/>
  <c r="HM68" i="4"/>
  <c r="HN68" i="4"/>
  <c r="HO68" i="4"/>
  <c r="HP68" i="4"/>
  <c r="HQ68" i="4"/>
  <c r="HR68" i="4"/>
  <c r="HS68" i="4"/>
  <c r="HT68" i="4"/>
  <c r="HU68" i="4"/>
  <c r="HV68" i="4"/>
  <c r="HW68" i="4"/>
  <c r="HX68" i="4"/>
  <c r="HY68" i="4"/>
  <c r="HZ68" i="4"/>
  <c r="IA68" i="4"/>
  <c r="IB68" i="4"/>
  <c r="IC68" i="4"/>
  <c r="ID68" i="4"/>
  <c r="IE68" i="4"/>
  <c r="IF68" i="4"/>
  <c r="IG68" i="4"/>
  <c r="IH68" i="4"/>
  <c r="II68" i="4"/>
  <c r="IJ68" i="4"/>
  <c r="IK68" i="4"/>
  <c r="IL68" i="4"/>
  <c r="IM68" i="4"/>
  <c r="IN68" i="4"/>
  <c r="IO68" i="4"/>
  <c r="IP68" i="4"/>
  <c r="IQ68" i="4"/>
  <c r="IR68" i="4"/>
  <c r="IS68" i="4"/>
  <c r="IT68" i="4"/>
  <c r="IU68" i="4"/>
  <c r="IV68" i="4"/>
  <c r="F69" i="4"/>
  <c r="G69" i="4"/>
  <c r="H69" i="4"/>
  <c r="I69" i="4"/>
  <c r="J69" i="4"/>
  <c r="K69" i="4"/>
  <c r="L69" i="4"/>
  <c r="M69" i="4"/>
  <c r="N69" i="4"/>
  <c r="O69" i="4"/>
  <c r="P69" i="4"/>
  <c r="Q69" i="4"/>
  <c r="R69" i="4"/>
  <c r="S69" i="4"/>
  <c r="T69" i="4"/>
  <c r="U69" i="4"/>
  <c r="V69" i="4"/>
  <c r="W69" i="4"/>
  <c r="X69" i="4"/>
  <c r="Y69" i="4"/>
  <c r="Z69" i="4"/>
  <c r="AA69" i="4"/>
  <c r="AB69" i="4"/>
  <c r="AC69" i="4"/>
  <c r="AD69" i="4"/>
  <c r="AE69" i="4"/>
  <c r="AF69" i="4"/>
  <c r="AG69" i="4"/>
  <c r="AH69" i="4"/>
  <c r="AI69" i="4"/>
  <c r="AJ69" i="4"/>
  <c r="AK69" i="4"/>
  <c r="AL69" i="4"/>
  <c r="AM69" i="4"/>
  <c r="AN69" i="4"/>
  <c r="AO69" i="4"/>
  <c r="AP69" i="4"/>
  <c r="AQ69" i="4"/>
  <c r="AR69" i="4"/>
  <c r="AS69" i="4"/>
  <c r="AT69" i="4"/>
  <c r="AU69" i="4"/>
  <c r="AV69" i="4"/>
  <c r="AW69" i="4"/>
  <c r="AX69" i="4"/>
  <c r="AY69" i="4"/>
  <c r="AZ69" i="4"/>
  <c r="BA69" i="4"/>
  <c r="BB69" i="4"/>
  <c r="BC69" i="4"/>
  <c r="BD69" i="4"/>
  <c r="BE69" i="4"/>
  <c r="BF69" i="4"/>
  <c r="BG69" i="4"/>
  <c r="BH69" i="4"/>
  <c r="BI69" i="4"/>
  <c r="BJ69" i="4"/>
  <c r="BK69" i="4"/>
  <c r="BL69" i="4"/>
  <c r="BM69" i="4"/>
  <c r="BN69" i="4"/>
  <c r="BO69" i="4"/>
  <c r="BP69" i="4"/>
  <c r="BQ69" i="4"/>
  <c r="BR69" i="4"/>
  <c r="BS69" i="4"/>
  <c r="BT69" i="4"/>
  <c r="BU69" i="4"/>
  <c r="BV69" i="4"/>
  <c r="BW69" i="4"/>
  <c r="BX69" i="4"/>
  <c r="BY69" i="4"/>
  <c r="BZ69" i="4"/>
  <c r="CA69" i="4"/>
  <c r="CB69" i="4"/>
  <c r="CC69" i="4"/>
  <c r="CD69" i="4"/>
  <c r="CE69" i="4"/>
  <c r="CF69" i="4"/>
  <c r="CG69" i="4"/>
  <c r="CH69" i="4"/>
  <c r="CI69" i="4"/>
  <c r="CJ69" i="4"/>
  <c r="CK69" i="4"/>
  <c r="CL69" i="4"/>
  <c r="CM69" i="4"/>
  <c r="CN69" i="4"/>
  <c r="CO69" i="4"/>
  <c r="CP69" i="4"/>
  <c r="CQ69" i="4"/>
  <c r="CR69" i="4"/>
  <c r="CS69" i="4"/>
  <c r="CT69" i="4"/>
  <c r="CU69" i="4"/>
  <c r="CV69" i="4"/>
  <c r="CW69" i="4"/>
  <c r="CX69" i="4"/>
  <c r="CY69" i="4"/>
  <c r="CZ69" i="4"/>
  <c r="DA69" i="4"/>
  <c r="DB69" i="4"/>
  <c r="DC69" i="4"/>
  <c r="DD69" i="4"/>
  <c r="DE69" i="4"/>
  <c r="DF69" i="4"/>
  <c r="DG69" i="4"/>
  <c r="DH69" i="4"/>
  <c r="DI69" i="4"/>
  <c r="DJ69" i="4"/>
  <c r="DK69" i="4"/>
  <c r="DL69" i="4"/>
  <c r="DM69" i="4"/>
  <c r="DN69" i="4"/>
  <c r="DO69" i="4"/>
  <c r="DP69" i="4"/>
  <c r="DQ69" i="4"/>
  <c r="DR69" i="4"/>
  <c r="DS69" i="4"/>
  <c r="DT69" i="4"/>
  <c r="DU69" i="4"/>
  <c r="DV69" i="4"/>
  <c r="DW69" i="4"/>
  <c r="DX69" i="4"/>
  <c r="DY69" i="4"/>
  <c r="DZ69" i="4"/>
  <c r="EA69" i="4"/>
  <c r="EB69" i="4"/>
  <c r="EC69" i="4"/>
  <c r="ED69" i="4"/>
  <c r="EE69" i="4"/>
  <c r="EF69" i="4"/>
  <c r="EG69" i="4"/>
  <c r="EH69" i="4"/>
  <c r="EI69" i="4"/>
  <c r="EJ69" i="4"/>
  <c r="EK69" i="4"/>
  <c r="EL69" i="4"/>
  <c r="EM69" i="4"/>
  <c r="EN69" i="4"/>
  <c r="EO69" i="4"/>
  <c r="EP69" i="4"/>
  <c r="EQ69" i="4"/>
  <c r="ER69" i="4"/>
  <c r="ES69" i="4"/>
  <c r="ET69" i="4"/>
  <c r="EU69" i="4"/>
  <c r="EV69" i="4"/>
  <c r="EW69" i="4"/>
  <c r="EX69" i="4"/>
  <c r="EY69" i="4"/>
  <c r="EZ69" i="4"/>
  <c r="FA69" i="4"/>
  <c r="FB69" i="4"/>
  <c r="FC69" i="4"/>
  <c r="FD69" i="4"/>
  <c r="FE69" i="4"/>
  <c r="FF69" i="4"/>
  <c r="FG69" i="4"/>
  <c r="FH69" i="4"/>
  <c r="FI69" i="4"/>
  <c r="FJ69" i="4"/>
  <c r="FK69" i="4"/>
  <c r="FL69" i="4"/>
  <c r="FM69" i="4"/>
  <c r="FN69" i="4"/>
  <c r="FO69" i="4"/>
  <c r="FP69" i="4"/>
  <c r="FQ69" i="4"/>
  <c r="FR69" i="4"/>
  <c r="FS69" i="4"/>
  <c r="FT69" i="4"/>
  <c r="FU69" i="4"/>
  <c r="FV69" i="4"/>
  <c r="FW69" i="4"/>
  <c r="FX69" i="4"/>
  <c r="FY69" i="4"/>
  <c r="FZ69" i="4"/>
  <c r="GA69" i="4"/>
  <c r="GB69" i="4"/>
  <c r="GC69" i="4"/>
  <c r="GD69" i="4"/>
  <c r="GE69" i="4"/>
  <c r="GF69" i="4"/>
  <c r="GG69" i="4"/>
  <c r="GH69" i="4"/>
  <c r="GI69" i="4"/>
  <c r="GJ69" i="4"/>
  <c r="GK69" i="4"/>
  <c r="GL69" i="4"/>
  <c r="GM69" i="4"/>
  <c r="GN69" i="4"/>
  <c r="GO69" i="4"/>
  <c r="GP69" i="4"/>
  <c r="GQ69" i="4"/>
  <c r="GR69" i="4"/>
  <c r="GS69" i="4"/>
  <c r="GT69" i="4"/>
  <c r="GU69" i="4"/>
  <c r="GV69" i="4"/>
  <c r="GW69" i="4"/>
  <c r="GX69" i="4"/>
  <c r="GY69" i="4"/>
  <c r="GZ69" i="4"/>
  <c r="HA69" i="4"/>
  <c r="HB69" i="4"/>
  <c r="HC69" i="4"/>
  <c r="HD69" i="4"/>
  <c r="HE69" i="4"/>
  <c r="HF69" i="4"/>
  <c r="HG69" i="4"/>
  <c r="HH69" i="4"/>
  <c r="HI69" i="4"/>
  <c r="HJ69" i="4"/>
  <c r="HK69" i="4"/>
  <c r="HL69" i="4"/>
  <c r="HM69" i="4"/>
  <c r="HN69" i="4"/>
  <c r="HO69" i="4"/>
  <c r="HP69" i="4"/>
  <c r="HQ69" i="4"/>
  <c r="HR69" i="4"/>
  <c r="HS69" i="4"/>
  <c r="HT69" i="4"/>
  <c r="HU69" i="4"/>
  <c r="HV69" i="4"/>
  <c r="HW69" i="4"/>
  <c r="HX69" i="4"/>
  <c r="HY69" i="4"/>
  <c r="HZ69" i="4"/>
  <c r="IA69" i="4"/>
  <c r="IB69" i="4"/>
  <c r="IC69" i="4"/>
  <c r="ID69" i="4"/>
  <c r="IE69" i="4"/>
  <c r="IF69" i="4"/>
  <c r="IG69" i="4"/>
  <c r="IH69" i="4"/>
  <c r="II69" i="4"/>
  <c r="IJ69" i="4"/>
  <c r="IK69" i="4"/>
  <c r="IL69" i="4"/>
  <c r="IM69" i="4"/>
  <c r="IN69" i="4"/>
  <c r="IO69" i="4"/>
  <c r="IP69" i="4"/>
  <c r="IQ69" i="4"/>
  <c r="IR69" i="4"/>
  <c r="IS69" i="4"/>
  <c r="IT69" i="4"/>
  <c r="IU69" i="4"/>
  <c r="IV69" i="4"/>
  <c r="F70" i="4"/>
  <c r="G70" i="4"/>
  <c r="H70" i="4"/>
  <c r="I70" i="4"/>
  <c r="J70" i="4"/>
  <c r="K70" i="4"/>
  <c r="L70" i="4"/>
  <c r="M70" i="4"/>
  <c r="N70" i="4"/>
  <c r="O70" i="4"/>
  <c r="P70" i="4"/>
  <c r="Q70" i="4"/>
  <c r="R70" i="4"/>
  <c r="S70" i="4"/>
  <c r="T70" i="4"/>
  <c r="U70" i="4"/>
  <c r="V70" i="4"/>
  <c r="W70" i="4"/>
  <c r="X70" i="4"/>
  <c r="Y70" i="4"/>
  <c r="Z70" i="4"/>
  <c r="AA70" i="4"/>
  <c r="AB70" i="4"/>
  <c r="AC70" i="4"/>
  <c r="AD70" i="4"/>
  <c r="AE70" i="4"/>
  <c r="AF70" i="4"/>
  <c r="AG70" i="4"/>
  <c r="AH70" i="4"/>
  <c r="AI70" i="4"/>
  <c r="AJ70" i="4"/>
  <c r="AK70" i="4"/>
  <c r="AL70" i="4"/>
  <c r="AM70" i="4"/>
  <c r="AN70" i="4"/>
  <c r="AO70" i="4"/>
  <c r="AP70" i="4"/>
  <c r="AQ70" i="4"/>
  <c r="AR70" i="4"/>
  <c r="AS70" i="4"/>
  <c r="AT70" i="4"/>
  <c r="AU70" i="4"/>
  <c r="AV70" i="4"/>
  <c r="AW70" i="4"/>
  <c r="AX70" i="4"/>
  <c r="AY70" i="4"/>
  <c r="AZ70" i="4"/>
  <c r="BA70" i="4"/>
  <c r="BB70" i="4"/>
  <c r="BC70" i="4"/>
  <c r="BD70" i="4"/>
  <c r="BE70" i="4"/>
  <c r="BF70" i="4"/>
  <c r="BG70" i="4"/>
  <c r="BH70" i="4"/>
  <c r="BI70" i="4"/>
  <c r="BJ70" i="4"/>
  <c r="BK70" i="4"/>
  <c r="BL70" i="4"/>
  <c r="BM70" i="4"/>
  <c r="BN70" i="4"/>
  <c r="BO70" i="4"/>
  <c r="BP70" i="4"/>
  <c r="BQ70" i="4"/>
  <c r="BR70" i="4"/>
  <c r="BS70" i="4"/>
  <c r="BT70" i="4"/>
  <c r="BU70" i="4"/>
  <c r="BV70" i="4"/>
  <c r="BW70" i="4"/>
  <c r="BX70" i="4"/>
  <c r="BY70" i="4"/>
  <c r="BZ70" i="4"/>
  <c r="CA70" i="4"/>
  <c r="CB70" i="4"/>
  <c r="CC70" i="4"/>
  <c r="CD70" i="4"/>
  <c r="CE70" i="4"/>
  <c r="CF70" i="4"/>
  <c r="CG70" i="4"/>
  <c r="CH70" i="4"/>
  <c r="CI70" i="4"/>
  <c r="CJ70" i="4"/>
  <c r="CK70" i="4"/>
  <c r="CL70" i="4"/>
  <c r="CM70" i="4"/>
  <c r="CN70" i="4"/>
  <c r="CO70" i="4"/>
  <c r="CP70" i="4"/>
  <c r="CQ70" i="4"/>
  <c r="CR70" i="4"/>
  <c r="CS70" i="4"/>
  <c r="CT70" i="4"/>
  <c r="CU70" i="4"/>
  <c r="CV70" i="4"/>
  <c r="CW70" i="4"/>
  <c r="CX70" i="4"/>
  <c r="CY70" i="4"/>
  <c r="CZ70" i="4"/>
  <c r="DA70" i="4"/>
  <c r="DB70" i="4"/>
  <c r="DC70" i="4"/>
  <c r="DD70" i="4"/>
  <c r="DE70" i="4"/>
  <c r="DF70" i="4"/>
  <c r="DG70" i="4"/>
  <c r="DH70" i="4"/>
  <c r="DI70" i="4"/>
  <c r="DJ70" i="4"/>
  <c r="DK70" i="4"/>
  <c r="DL70" i="4"/>
  <c r="DM70" i="4"/>
  <c r="DN70" i="4"/>
  <c r="DO70" i="4"/>
  <c r="DP70" i="4"/>
  <c r="DQ70" i="4"/>
  <c r="DR70" i="4"/>
  <c r="DS70" i="4"/>
  <c r="DT70" i="4"/>
  <c r="DU70" i="4"/>
  <c r="DV70" i="4"/>
  <c r="DW70" i="4"/>
  <c r="DX70" i="4"/>
  <c r="DY70" i="4"/>
  <c r="DZ70" i="4"/>
  <c r="EA70" i="4"/>
  <c r="EB70" i="4"/>
  <c r="EC70" i="4"/>
  <c r="ED70" i="4"/>
  <c r="EE70" i="4"/>
  <c r="EF70" i="4"/>
  <c r="EG70" i="4"/>
  <c r="EH70" i="4"/>
  <c r="EI70" i="4"/>
  <c r="EJ70" i="4"/>
  <c r="EK70" i="4"/>
  <c r="EL70" i="4"/>
  <c r="EM70" i="4"/>
  <c r="EN70" i="4"/>
  <c r="EO70" i="4"/>
  <c r="EP70" i="4"/>
  <c r="EQ70" i="4"/>
  <c r="ER70" i="4"/>
  <c r="ES70" i="4"/>
  <c r="ET70" i="4"/>
  <c r="EU70" i="4"/>
  <c r="EV70" i="4"/>
  <c r="EW70" i="4"/>
  <c r="EX70" i="4"/>
  <c r="EY70" i="4"/>
  <c r="EZ70" i="4"/>
  <c r="FA70" i="4"/>
  <c r="FB70" i="4"/>
  <c r="FC70" i="4"/>
  <c r="FD70" i="4"/>
  <c r="FE70" i="4"/>
  <c r="FF70" i="4"/>
  <c r="FG70" i="4"/>
  <c r="FH70" i="4"/>
  <c r="FI70" i="4"/>
  <c r="FJ70" i="4"/>
  <c r="FK70" i="4"/>
  <c r="FL70" i="4"/>
  <c r="FM70" i="4"/>
  <c r="FN70" i="4"/>
  <c r="FO70" i="4"/>
  <c r="FP70" i="4"/>
  <c r="FQ70" i="4"/>
  <c r="FR70" i="4"/>
  <c r="FS70" i="4"/>
  <c r="FT70" i="4"/>
  <c r="FU70" i="4"/>
  <c r="FV70" i="4"/>
  <c r="FW70" i="4"/>
  <c r="FX70" i="4"/>
  <c r="FY70" i="4"/>
  <c r="FZ70" i="4"/>
  <c r="GA70" i="4"/>
  <c r="GB70" i="4"/>
  <c r="GC70" i="4"/>
  <c r="GD70" i="4"/>
  <c r="GE70" i="4"/>
  <c r="GF70" i="4"/>
  <c r="GG70" i="4"/>
  <c r="GH70" i="4"/>
  <c r="GI70" i="4"/>
  <c r="GJ70" i="4"/>
  <c r="GK70" i="4"/>
  <c r="GL70" i="4"/>
  <c r="GM70" i="4"/>
  <c r="GN70" i="4"/>
  <c r="GO70" i="4"/>
  <c r="GP70" i="4"/>
  <c r="GQ70" i="4"/>
  <c r="GR70" i="4"/>
  <c r="GS70" i="4"/>
  <c r="GT70" i="4"/>
  <c r="GU70" i="4"/>
  <c r="GV70" i="4"/>
  <c r="GW70" i="4"/>
  <c r="GX70" i="4"/>
  <c r="GY70" i="4"/>
  <c r="GZ70" i="4"/>
  <c r="HA70" i="4"/>
  <c r="HB70" i="4"/>
  <c r="HC70" i="4"/>
  <c r="HD70" i="4"/>
  <c r="HE70" i="4"/>
  <c r="HF70" i="4"/>
  <c r="HG70" i="4"/>
  <c r="HH70" i="4"/>
  <c r="HI70" i="4"/>
  <c r="HJ70" i="4"/>
  <c r="HK70" i="4"/>
  <c r="HL70" i="4"/>
  <c r="HM70" i="4"/>
  <c r="HN70" i="4"/>
  <c r="HO70" i="4"/>
  <c r="HP70" i="4"/>
  <c r="HQ70" i="4"/>
  <c r="HR70" i="4"/>
  <c r="HS70" i="4"/>
  <c r="HT70" i="4"/>
  <c r="HU70" i="4"/>
  <c r="HV70" i="4"/>
  <c r="HW70" i="4"/>
  <c r="HX70" i="4"/>
  <c r="HY70" i="4"/>
  <c r="HZ70" i="4"/>
  <c r="IA70" i="4"/>
  <c r="IB70" i="4"/>
  <c r="IC70" i="4"/>
  <c r="ID70" i="4"/>
  <c r="IE70" i="4"/>
  <c r="IF70" i="4"/>
  <c r="IG70" i="4"/>
  <c r="IH70" i="4"/>
  <c r="II70" i="4"/>
  <c r="IJ70" i="4"/>
  <c r="IK70" i="4"/>
  <c r="IL70" i="4"/>
  <c r="IM70" i="4"/>
  <c r="IN70" i="4"/>
  <c r="IO70" i="4"/>
  <c r="IP70" i="4"/>
  <c r="IQ70" i="4"/>
  <c r="IR70" i="4"/>
  <c r="IS70" i="4"/>
  <c r="IT70" i="4"/>
  <c r="IU70" i="4"/>
  <c r="IV70" i="4"/>
  <c r="F71" i="4"/>
  <c r="G71" i="4"/>
  <c r="H71" i="4"/>
  <c r="I71" i="4"/>
  <c r="J71" i="4"/>
  <c r="K71" i="4"/>
  <c r="L71" i="4"/>
  <c r="M71" i="4"/>
  <c r="N71" i="4"/>
  <c r="O71" i="4"/>
  <c r="P71" i="4"/>
  <c r="Q71" i="4"/>
  <c r="R71" i="4"/>
  <c r="S71" i="4"/>
  <c r="T71" i="4"/>
  <c r="U71" i="4"/>
  <c r="V71" i="4"/>
  <c r="W71" i="4"/>
  <c r="X71" i="4"/>
  <c r="Y71" i="4"/>
  <c r="Z71" i="4"/>
  <c r="AA71" i="4"/>
  <c r="AB71" i="4"/>
  <c r="AC71" i="4"/>
  <c r="AD71" i="4"/>
  <c r="AE71" i="4"/>
  <c r="AF71" i="4"/>
  <c r="AG71" i="4"/>
  <c r="AH71" i="4"/>
  <c r="AI71" i="4"/>
  <c r="AJ71" i="4"/>
  <c r="AK71" i="4"/>
  <c r="AL71" i="4"/>
  <c r="AM71" i="4"/>
  <c r="AN71" i="4"/>
  <c r="AO71" i="4"/>
  <c r="AP71" i="4"/>
  <c r="AQ71" i="4"/>
  <c r="AR71" i="4"/>
  <c r="AS71" i="4"/>
  <c r="AT71" i="4"/>
  <c r="AU71" i="4"/>
  <c r="AV71" i="4"/>
  <c r="AW71" i="4"/>
  <c r="AX71" i="4"/>
  <c r="AY71" i="4"/>
  <c r="AZ71" i="4"/>
  <c r="BA71" i="4"/>
  <c r="BB71" i="4"/>
  <c r="BC71" i="4"/>
  <c r="BD71" i="4"/>
  <c r="BE71" i="4"/>
  <c r="BF71" i="4"/>
  <c r="BG71" i="4"/>
  <c r="BH71" i="4"/>
  <c r="BI71" i="4"/>
  <c r="BJ71" i="4"/>
  <c r="BK71" i="4"/>
  <c r="BL71" i="4"/>
  <c r="BM71" i="4"/>
  <c r="BN71" i="4"/>
  <c r="BO71" i="4"/>
  <c r="BP71" i="4"/>
  <c r="BQ71" i="4"/>
  <c r="BR71" i="4"/>
  <c r="BS71" i="4"/>
  <c r="BT71" i="4"/>
  <c r="BU71" i="4"/>
  <c r="BV71" i="4"/>
  <c r="BW71" i="4"/>
  <c r="BX71" i="4"/>
  <c r="BY71" i="4"/>
  <c r="BZ71" i="4"/>
  <c r="CA71" i="4"/>
  <c r="CB71" i="4"/>
  <c r="CC71" i="4"/>
  <c r="CD71" i="4"/>
  <c r="CE71" i="4"/>
  <c r="CF71" i="4"/>
  <c r="CG71" i="4"/>
  <c r="CH71" i="4"/>
  <c r="CI71" i="4"/>
  <c r="CJ71" i="4"/>
  <c r="CK71" i="4"/>
  <c r="CL71" i="4"/>
  <c r="CM71" i="4"/>
  <c r="CN71" i="4"/>
  <c r="CO71" i="4"/>
  <c r="CP71" i="4"/>
  <c r="CQ71" i="4"/>
  <c r="CR71" i="4"/>
  <c r="CS71" i="4"/>
  <c r="CT71" i="4"/>
  <c r="CU71" i="4"/>
  <c r="CV71" i="4"/>
  <c r="CW71" i="4"/>
  <c r="CX71" i="4"/>
  <c r="CY71" i="4"/>
  <c r="CZ71" i="4"/>
  <c r="DA71" i="4"/>
  <c r="DB71" i="4"/>
  <c r="DC71" i="4"/>
  <c r="DD71" i="4"/>
  <c r="DE71" i="4"/>
  <c r="DF71" i="4"/>
  <c r="DG71" i="4"/>
  <c r="DH71" i="4"/>
  <c r="DI71" i="4"/>
  <c r="DJ71" i="4"/>
  <c r="DK71" i="4"/>
  <c r="DL71" i="4"/>
  <c r="DM71" i="4"/>
  <c r="DN71" i="4"/>
  <c r="DO71" i="4"/>
  <c r="DP71" i="4"/>
  <c r="DQ71" i="4"/>
  <c r="DR71" i="4"/>
  <c r="DS71" i="4"/>
  <c r="DT71" i="4"/>
  <c r="DU71" i="4"/>
  <c r="DV71" i="4"/>
  <c r="DW71" i="4"/>
  <c r="DX71" i="4"/>
  <c r="DY71" i="4"/>
  <c r="DZ71" i="4"/>
  <c r="EA71" i="4"/>
  <c r="EB71" i="4"/>
  <c r="EC71" i="4"/>
  <c r="ED71" i="4"/>
  <c r="EE71" i="4"/>
  <c r="EF71" i="4"/>
  <c r="EG71" i="4"/>
  <c r="EH71" i="4"/>
  <c r="EI71" i="4"/>
  <c r="EJ71" i="4"/>
  <c r="EK71" i="4"/>
  <c r="EL71" i="4"/>
  <c r="EM71" i="4"/>
  <c r="EN71" i="4"/>
  <c r="EO71" i="4"/>
  <c r="EP71" i="4"/>
  <c r="EQ71" i="4"/>
  <c r="ER71" i="4"/>
  <c r="ES71" i="4"/>
  <c r="ET71" i="4"/>
  <c r="EU71" i="4"/>
  <c r="EV71" i="4"/>
  <c r="EW71" i="4"/>
  <c r="EX71" i="4"/>
  <c r="EY71" i="4"/>
  <c r="EZ71" i="4"/>
  <c r="FA71" i="4"/>
  <c r="FB71" i="4"/>
  <c r="FC71" i="4"/>
  <c r="FD71" i="4"/>
  <c r="FE71" i="4"/>
  <c r="FF71" i="4"/>
  <c r="FG71" i="4"/>
  <c r="FH71" i="4"/>
  <c r="FI71" i="4"/>
  <c r="FJ71" i="4"/>
  <c r="FK71" i="4"/>
  <c r="FL71" i="4"/>
  <c r="FM71" i="4"/>
  <c r="FN71" i="4"/>
  <c r="FO71" i="4"/>
  <c r="FP71" i="4"/>
  <c r="FQ71" i="4"/>
  <c r="FR71" i="4"/>
  <c r="FS71" i="4"/>
  <c r="FT71" i="4"/>
  <c r="FU71" i="4"/>
  <c r="FV71" i="4"/>
  <c r="FW71" i="4"/>
  <c r="FX71" i="4"/>
  <c r="FY71" i="4"/>
  <c r="FZ71" i="4"/>
  <c r="GA71" i="4"/>
  <c r="GB71" i="4"/>
  <c r="GC71" i="4"/>
  <c r="GD71" i="4"/>
  <c r="GE71" i="4"/>
  <c r="GF71" i="4"/>
  <c r="GG71" i="4"/>
  <c r="GH71" i="4"/>
  <c r="GI71" i="4"/>
  <c r="GJ71" i="4"/>
  <c r="GK71" i="4"/>
  <c r="GL71" i="4"/>
  <c r="GM71" i="4"/>
  <c r="GN71" i="4"/>
  <c r="GO71" i="4"/>
  <c r="GP71" i="4"/>
  <c r="GQ71" i="4"/>
  <c r="GR71" i="4"/>
  <c r="GS71" i="4"/>
  <c r="GT71" i="4"/>
  <c r="GU71" i="4"/>
  <c r="GV71" i="4"/>
  <c r="GW71" i="4"/>
  <c r="GX71" i="4"/>
  <c r="GY71" i="4"/>
  <c r="GZ71" i="4"/>
  <c r="HA71" i="4"/>
  <c r="HB71" i="4"/>
  <c r="HC71" i="4"/>
  <c r="HD71" i="4"/>
  <c r="HE71" i="4"/>
  <c r="HF71" i="4"/>
  <c r="HG71" i="4"/>
  <c r="HH71" i="4"/>
  <c r="HI71" i="4"/>
  <c r="HJ71" i="4"/>
  <c r="HK71" i="4"/>
  <c r="HL71" i="4"/>
  <c r="HM71" i="4"/>
  <c r="HN71" i="4"/>
  <c r="HO71" i="4"/>
  <c r="HP71" i="4"/>
  <c r="HQ71" i="4"/>
  <c r="HR71" i="4"/>
  <c r="HS71" i="4"/>
  <c r="HT71" i="4"/>
  <c r="HU71" i="4"/>
  <c r="HV71" i="4"/>
  <c r="HW71" i="4"/>
  <c r="HX71" i="4"/>
  <c r="HY71" i="4"/>
  <c r="HZ71" i="4"/>
  <c r="IA71" i="4"/>
  <c r="IB71" i="4"/>
  <c r="IC71" i="4"/>
  <c r="ID71" i="4"/>
  <c r="IE71" i="4"/>
  <c r="IF71" i="4"/>
  <c r="IG71" i="4"/>
  <c r="IH71" i="4"/>
  <c r="II71" i="4"/>
  <c r="IJ71" i="4"/>
  <c r="IK71" i="4"/>
  <c r="IL71" i="4"/>
  <c r="IM71" i="4"/>
  <c r="IN71" i="4"/>
  <c r="IO71" i="4"/>
  <c r="IP71" i="4"/>
  <c r="IQ71" i="4"/>
  <c r="IR71" i="4"/>
  <c r="IS71" i="4"/>
  <c r="IT71" i="4"/>
  <c r="IU71" i="4"/>
  <c r="IV71" i="4"/>
  <c r="F72" i="4"/>
  <c r="G72" i="4"/>
  <c r="H72" i="4"/>
  <c r="I72" i="4"/>
  <c r="J72" i="4"/>
  <c r="K72" i="4"/>
  <c r="L72" i="4"/>
  <c r="M72" i="4"/>
  <c r="N72" i="4"/>
  <c r="O72" i="4"/>
  <c r="P72" i="4"/>
  <c r="Q72" i="4"/>
  <c r="R72" i="4"/>
  <c r="S72" i="4"/>
  <c r="T72" i="4"/>
  <c r="U72" i="4"/>
  <c r="V72" i="4"/>
  <c r="W72" i="4"/>
  <c r="X72" i="4"/>
  <c r="Y72" i="4"/>
  <c r="Z72" i="4"/>
  <c r="AA72" i="4"/>
  <c r="AB72" i="4"/>
  <c r="AC72" i="4"/>
  <c r="AD72" i="4"/>
  <c r="AE72" i="4"/>
  <c r="AF72" i="4"/>
  <c r="AG72" i="4"/>
  <c r="AH72" i="4"/>
  <c r="AI72" i="4"/>
  <c r="AJ72" i="4"/>
  <c r="AK72" i="4"/>
  <c r="AL72" i="4"/>
  <c r="AM72" i="4"/>
  <c r="AN72" i="4"/>
  <c r="AO72" i="4"/>
  <c r="AP72" i="4"/>
  <c r="AQ72" i="4"/>
  <c r="AR72" i="4"/>
  <c r="AS72" i="4"/>
  <c r="AT72" i="4"/>
  <c r="AU72" i="4"/>
  <c r="AV72" i="4"/>
  <c r="AW72" i="4"/>
  <c r="AX72" i="4"/>
  <c r="AY72" i="4"/>
  <c r="AZ72" i="4"/>
  <c r="BA72" i="4"/>
  <c r="BB72" i="4"/>
  <c r="BC72" i="4"/>
  <c r="BD72" i="4"/>
  <c r="BE72" i="4"/>
  <c r="BF72" i="4"/>
  <c r="BG72" i="4"/>
  <c r="BH72" i="4"/>
  <c r="BI72" i="4"/>
  <c r="BJ72" i="4"/>
  <c r="BK72" i="4"/>
  <c r="BL72" i="4"/>
  <c r="BM72" i="4"/>
  <c r="BN72" i="4"/>
  <c r="BO72" i="4"/>
  <c r="BP72" i="4"/>
  <c r="BQ72" i="4"/>
  <c r="BR72" i="4"/>
  <c r="BS72" i="4"/>
  <c r="BT72" i="4"/>
  <c r="BU72" i="4"/>
  <c r="BV72" i="4"/>
  <c r="BW72" i="4"/>
  <c r="BX72" i="4"/>
  <c r="BY72" i="4"/>
  <c r="BZ72" i="4"/>
  <c r="CA72" i="4"/>
  <c r="CB72" i="4"/>
  <c r="CC72" i="4"/>
  <c r="CD72" i="4"/>
  <c r="CE72" i="4"/>
  <c r="CF72" i="4"/>
  <c r="CG72" i="4"/>
  <c r="CH72" i="4"/>
  <c r="CI72" i="4"/>
  <c r="CJ72" i="4"/>
  <c r="CK72" i="4"/>
  <c r="CL72" i="4"/>
  <c r="CM72" i="4"/>
  <c r="CN72" i="4"/>
  <c r="CO72" i="4"/>
  <c r="CP72" i="4"/>
  <c r="CQ72" i="4"/>
  <c r="CR72" i="4"/>
  <c r="CS72" i="4"/>
  <c r="CT72" i="4"/>
  <c r="CU72" i="4"/>
  <c r="CV72" i="4"/>
  <c r="CW72" i="4"/>
  <c r="CX72" i="4"/>
  <c r="CY72" i="4"/>
  <c r="CZ72" i="4"/>
  <c r="DA72" i="4"/>
  <c r="DB72" i="4"/>
  <c r="DC72" i="4"/>
  <c r="DD72" i="4"/>
  <c r="DE72" i="4"/>
  <c r="DF72" i="4"/>
  <c r="DG72" i="4"/>
  <c r="DH72" i="4"/>
  <c r="DI72" i="4"/>
  <c r="DJ72" i="4"/>
  <c r="DK72" i="4"/>
  <c r="DL72" i="4"/>
  <c r="DM72" i="4"/>
  <c r="DN72" i="4"/>
  <c r="DO72" i="4"/>
  <c r="DP72" i="4"/>
  <c r="DQ72" i="4"/>
  <c r="DR72" i="4"/>
  <c r="DS72" i="4"/>
  <c r="DT72" i="4"/>
  <c r="DU72" i="4"/>
  <c r="DV72" i="4"/>
  <c r="DW72" i="4"/>
  <c r="DX72" i="4"/>
  <c r="DY72" i="4"/>
  <c r="DZ72" i="4"/>
  <c r="EA72" i="4"/>
  <c r="EB72" i="4"/>
  <c r="EC72" i="4"/>
  <c r="ED72" i="4"/>
  <c r="EE72" i="4"/>
  <c r="EF72" i="4"/>
  <c r="EG72" i="4"/>
  <c r="EH72" i="4"/>
  <c r="EI72" i="4"/>
  <c r="EJ72" i="4"/>
  <c r="EK72" i="4"/>
  <c r="EL72" i="4"/>
  <c r="EM72" i="4"/>
  <c r="EN72" i="4"/>
  <c r="EO72" i="4"/>
  <c r="EP72" i="4"/>
  <c r="EQ72" i="4"/>
  <c r="ER72" i="4"/>
  <c r="ES72" i="4"/>
  <c r="ET72" i="4"/>
  <c r="EU72" i="4"/>
  <c r="EV72" i="4"/>
  <c r="EW72" i="4"/>
  <c r="EX72" i="4"/>
  <c r="EY72" i="4"/>
  <c r="EZ72" i="4"/>
  <c r="FA72" i="4"/>
  <c r="FB72" i="4"/>
  <c r="FC72" i="4"/>
  <c r="FD72" i="4"/>
  <c r="FE72" i="4"/>
  <c r="FF72" i="4"/>
  <c r="FG72" i="4"/>
  <c r="FH72" i="4"/>
  <c r="FI72" i="4"/>
  <c r="FJ72" i="4"/>
  <c r="FK72" i="4"/>
  <c r="FL72" i="4"/>
  <c r="FM72" i="4"/>
  <c r="FN72" i="4"/>
  <c r="FO72" i="4"/>
  <c r="FP72" i="4"/>
  <c r="FQ72" i="4"/>
  <c r="FR72" i="4"/>
  <c r="FS72" i="4"/>
  <c r="FT72" i="4"/>
  <c r="FU72" i="4"/>
  <c r="FV72" i="4"/>
  <c r="FW72" i="4"/>
  <c r="FX72" i="4"/>
  <c r="FY72" i="4"/>
  <c r="FZ72" i="4"/>
  <c r="GA72" i="4"/>
  <c r="GB72" i="4"/>
  <c r="GC72" i="4"/>
  <c r="GD72" i="4"/>
  <c r="GE72" i="4"/>
  <c r="GF72" i="4"/>
  <c r="GG72" i="4"/>
  <c r="GH72" i="4"/>
  <c r="GI72" i="4"/>
  <c r="GJ72" i="4"/>
  <c r="GK72" i="4"/>
  <c r="GL72" i="4"/>
  <c r="GM72" i="4"/>
  <c r="GN72" i="4"/>
  <c r="GO72" i="4"/>
  <c r="GP72" i="4"/>
  <c r="GQ72" i="4"/>
  <c r="GR72" i="4"/>
  <c r="GS72" i="4"/>
  <c r="GT72" i="4"/>
  <c r="GU72" i="4"/>
  <c r="GV72" i="4"/>
  <c r="GW72" i="4"/>
  <c r="GX72" i="4"/>
  <c r="GY72" i="4"/>
  <c r="GZ72" i="4"/>
  <c r="HA72" i="4"/>
  <c r="HB72" i="4"/>
  <c r="HC72" i="4"/>
  <c r="HD72" i="4"/>
  <c r="HE72" i="4"/>
  <c r="HF72" i="4"/>
  <c r="HG72" i="4"/>
  <c r="HH72" i="4"/>
  <c r="HI72" i="4"/>
  <c r="HJ72" i="4"/>
  <c r="HK72" i="4"/>
  <c r="HL72" i="4"/>
  <c r="HM72" i="4"/>
  <c r="HN72" i="4"/>
  <c r="HO72" i="4"/>
  <c r="HP72" i="4"/>
  <c r="HQ72" i="4"/>
  <c r="HR72" i="4"/>
  <c r="HS72" i="4"/>
  <c r="HT72" i="4"/>
  <c r="HU72" i="4"/>
  <c r="HV72" i="4"/>
  <c r="HW72" i="4"/>
  <c r="HX72" i="4"/>
  <c r="HY72" i="4"/>
  <c r="HZ72" i="4"/>
  <c r="IA72" i="4"/>
  <c r="IB72" i="4"/>
  <c r="IC72" i="4"/>
  <c r="ID72" i="4"/>
  <c r="IE72" i="4"/>
  <c r="IF72" i="4"/>
  <c r="IG72" i="4"/>
  <c r="IH72" i="4"/>
  <c r="II72" i="4"/>
  <c r="IJ72" i="4"/>
  <c r="IK72" i="4"/>
  <c r="IL72" i="4"/>
  <c r="IM72" i="4"/>
  <c r="IN72" i="4"/>
  <c r="IO72" i="4"/>
  <c r="IP72" i="4"/>
  <c r="IQ72" i="4"/>
  <c r="IR72" i="4"/>
  <c r="IS72" i="4"/>
  <c r="IT72" i="4"/>
  <c r="IU72" i="4"/>
  <c r="IV72" i="4"/>
  <c r="F73" i="4"/>
  <c r="G73" i="4"/>
  <c r="H73" i="4"/>
  <c r="I73" i="4"/>
  <c r="J73" i="4"/>
  <c r="K73" i="4"/>
  <c r="L73" i="4"/>
  <c r="M73" i="4"/>
  <c r="N73" i="4"/>
  <c r="O73" i="4"/>
  <c r="P73" i="4"/>
  <c r="Q73" i="4"/>
  <c r="R73" i="4"/>
  <c r="S73" i="4"/>
  <c r="T73" i="4"/>
  <c r="U73" i="4"/>
  <c r="V73" i="4"/>
  <c r="W73" i="4"/>
  <c r="X73" i="4"/>
  <c r="Y73" i="4"/>
  <c r="Z73" i="4"/>
  <c r="AA73" i="4"/>
  <c r="AB73" i="4"/>
  <c r="AC73" i="4"/>
  <c r="AD73" i="4"/>
  <c r="AE73" i="4"/>
  <c r="AF73" i="4"/>
  <c r="AG73" i="4"/>
  <c r="AH73" i="4"/>
  <c r="AI73" i="4"/>
  <c r="AJ73" i="4"/>
  <c r="AK73" i="4"/>
  <c r="AL73" i="4"/>
  <c r="AM73" i="4"/>
  <c r="AN73" i="4"/>
  <c r="AO73" i="4"/>
  <c r="AP73" i="4"/>
  <c r="AQ73" i="4"/>
  <c r="AR73" i="4"/>
  <c r="AS73" i="4"/>
  <c r="AT73" i="4"/>
  <c r="AU73" i="4"/>
  <c r="AV73" i="4"/>
  <c r="AW73" i="4"/>
  <c r="AX73" i="4"/>
  <c r="AY73" i="4"/>
  <c r="AZ73" i="4"/>
  <c r="BA73" i="4"/>
  <c r="BB73" i="4"/>
  <c r="BC73" i="4"/>
  <c r="BD73" i="4"/>
  <c r="BE73" i="4"/>
  <c r="BF73" i="4"/>
  <c r="BG73" i="4"/>
  <c r="BH73" i="4"/>
  <c r="BI73" i="4"/>
  <c r="BJ73" i="4"/>
  <c r="BK73" i="4"/>
  <c r="BL73" i="4"/>
  <c r="BM73" i="4"/>
  <c r="BN73" i="4"/>
  <c r="BO73" i="4"/>
  <c r="BP73" i="4"/>
  <c r="BQ73" i="4"/>
  <c r="BR73" i="4"/>
  <c r="BS73" i="4"/>
  <c r="BT73" i="4"/>
  <c r="BU73" i="4"/>
  <c r="BV73" i="4"/>
  <c r="BW73" i="4"/>
  <c r="BX73" i="4"/>
  <c r="BY73" i="4"/>
  <c r="BZ73" i="4"/>
  <c r="CA73" i="4"/>
  <c r="CB73" i="4"/>
  <c r="CC73" i="4"/>
  <c r="CD73" i="4"/>
  <c r="CE73" i="4"/>
  <c r="CF73" i="4"/>
  <c r="CG73" i="4"/>
  <c r="CH73" i="4"/>
  <c r="CI73" i="4"/>
  <c r="CJ73" i="4"/>
  <c r="CK73" i="4"/>
  <c r="CL73" i="4"/>
  <c r="CM73" i="4"/>
  <c r="CN73" i="4"/>
  <c r="CO73" i="4"/>
  <c r="CP73" i="4"/>
  <c r="CQ73" i="4"/>
  <c r="CR73" i="4"/>
  <c r="CS73" i="4"/>
  <c r="CT73" i="4"/>
  <c r="CU73" i="4"/>
  <c r="CV73" i="4"/>
  <c r="CW73" i="4"/>
  <c r="CX73" i="4"/>
  <c r="CY73" i="4"/>
  <c r="CZ73" i="4"/>
  <c r="DA73" i="4"/>
  <c r="DB73" i="4"/>
  <c r="DC73" i="4"/>
  <c r="DD73" i="4"/>
  <c r="DE73" i="4"/>
  <c r="DF73" i="4"/>
  <c r="DG73" i="4"/>
  <c r="DH73" i="4"/>
  <c r="DI73" i="4"/>
  <c r="DJ73" i="4"/>
  <c r="DK73" i="4"/>
  <c r="DL73" i="4"/>
  <c r="DM73" i="4"/>
  <c r="DN73" i="4"/>
  <c r="DO73" i="4"/>
  <c r="DP73" i="4"/>
  <c r="DQ73" i="4"/>
  <c r="DR73" i="4"/>
  <c r="DS73" i="4"/>
  <c r="DT73" i="4"/>
  <c r="DU73" i="4"/>
  <c r="DV73" i="4"/>
  <c r="DW73" i="4"/>
  <c r="DX73" i="4"/>
  <c r="DY73" i="4"/>
  <c r="DZ73" i="4"/>
  <c r="EA73" i="4"/>
  <c r="EB73" i="4"/>
  <c r="EC73" i="4"/>
  <c r="ED73" i="4"/>
  <c r="EE73" i="4"/>
  <c r="EF73" i="4"/>
  <c r="EG73" i="4"/>
  <c r="EH73" i="4"/>
  <c r="EI73" i="4"/>
  <c r="EJ73" i="4"/>
  <c r="EK73" i="4"/>
  <c r="EL73" i="4"/>
  <c r="EM73" i="4"/>
  <c r="EN73" i="4"/>
  <c r="EO73" i="4"/>
  <c r="EP73" i="4"/>
  <c r="EQ73" i="4"/>
  <c r="ER73" i="4"/>
  <c r="ES73" i="4"/>
  <c r="ET73" i="4"/>
  <c r="EU73" i="4"/>
  <c r="EV73" i="4"/>
  <c r="EW73" i="4"/>
  <c r="EX73" i="4"/>
  <c r="EY73" i="4"/>
  <c r="EZ73" i="4"/>
  <c r="FA73" i="4"/>
  <c r="FB73" i="4"/>
  <c r="FC73" i="4"/>
  <c r="FD73" i="4"/>
  <c r="FE73" i="4"/>
  <c r="FF73" i="4"/>
  <c r="FG73" i="4"/>
  <c r="FH73" i="4"/>
  <c r="FI73" i="4"/>
  <c r="FJ73" i="4"/>
  <c r="FK73" i="4"/>
  <c r="FL73" i="4"/>
  <c r="FM73" i="4"/>
  <c r="FN73" i="4"/>
  <c r="FO73" i="4"/>
  <c r="FP73" i="4"/>
  <c r="FQ73" i="4"/>
  <c r="FR73" i="4"/>
  <c r="FS73" i="4"/>
  <c r="FT73" i="4"/>
  <c r="FU73" i="4"/>
  <c r="FV73" i="4"/>
  <c r="FW73" i="4"/>
  <c r="FX73" i="4"/>
  <c r="FY73" i="4"/>
  <c r="FZ73" i="4"/>
  <c r="GA73" i="4"/>
  <c r="GB73" i="4"/>
  <c r="GC73" i="4"/>
  <c r="GD73" i="4"/>
  <c r="GE73" i="4"/>
  <c r="GF73" i="4"/>
  <c r="GG73" i="4"/>
  <c r="GH73" i="4"/>
  <c r="GI73" i="4"/>
  <c r="GJ73" i="4"/>
  <c r="GK73" i="4"/>
  <c r="GL73" i="4"/>
  <c r="GM73" i="4"/>
  <c r="GN73" i="4"/>
  <c r="GO73" i="4"/>
  <c r="GP73" i="4"/>
  <c r="GQ73" i="4"/>
  <c r="GR73" i="4"/>
  <c r="GS73" i="4"/>
  <c r="GT73" i="4"/>
  <c r="GU73" i="4"/>
  <c r="GV73" i="4"/>
  <c r="GW73" i="4"/>
  <c r="GX73" i="4"/>
  <c r="GY73" i="4"/>
  <c r="GZ73" i="4"/>
  <c r="HA73" i="4"/>
  <c r="HB73" i="4"/>
  <c r="HC73" i="4"/>
  <c r="HD73" i="4"/>
  <c r="HE73" i="4"/>
  <c r="HF73" i="4"/>
  <c r="HG73" i="4"/>
  <c r="HH73" i="4"/>
  <c r="HI73" i="4"/>
  <c r="HJ73" i="4"/>
  <c r="HK73" i="4"/>
  <c r="HL73" i="4"/>
  <c r="HM73" i="4"/>
  <c r="HN73" i="4"/>
  <c r="HO73" i="4"/>
  <c r="HP73" i="4"/>
  <c r="HQ73" i="4"/>
  <c r="HR73" i="4"/>
  <c r="HS73" i="4"/>
  <c r="HT73" i="4"/>
  <c r="HU73" i="4"/>
  <c r="HV73" i="4"/>
  <c r="HW73" i="4"/>
  <c r="HX73" i="4"/>
  <c r="HY73" i="4"/>
  <c r="HZ73" i="4"/>
  <c r="IA73" i="4"/>
  <c r="IB73" i="4"/>
  <c r="IC73" i="4"/>
  <c r="ID73" i="4"/>
  <c r="IE73" i="4"/>
  <c r="IF73" i="4"/>
  <c r="IG73" i="4"/>
  <c r="IH73" i="4"/>
  <c r="II73" i="4"/>
  <c r="IJ73" i="4"/>
  <c r="IK73" i="4"/>
  <c r="IL73" i="4"/>
  <c r="IM73" i="4"/>
  <c r="IN73" i="4"/>
  <c r="IO73" i="4"/>
  <c r="IP73" i="4"/>
  <c r="IQ73" i="4"/>
  <c r="IR73" i="4"/>
  <c r="IS73" i="4"/>
  <c r="IT73" i="4"/>
  <c r="IU73" i="4"/>
  <c r="IV73" i="4"/>
  <c r="F74" i="4"/>
  <c r="G74" i="4"/>
  <c r="H74" i="4"/>
  <c r="I74" i="4"/>
  <c r="J74" i="4"/>
  <c r="K74" i="4"/>
  <c r="L74" i="4"/>
  <c r="M74" i="4"/>
  <c r="N74" i="4"/>
  <c r="O74" i="4"/>
  <c r="P74" i="4"/>
  <c r="Q74" i="4"/>
  <c r="R74" i="4"/>
  <c r="S74" i="4"/>
  <c r="T74" i="4"/>
  <c r="U74" i="4"/>
  <c r="V74" i="4"/>
  <c r="W74" i="4"/>
  <c r="X74" i="4"/>
  <c r="Y74" i="4"/>
  <c r="Z74" i="4"/>
  <c r="AA74" i="4"/>
  <c r="AB74" i="4"/>
  <c r="AC74" i="4"/>
  <c r="AD74" i="4"/>
  <c r="AE74" i="4"/>
  <c r="AF74" i="4"/>
  <c r="AG74" i="4"/>
  <c r="AH74" i="4"/>
  <c r="AI74" i="4"/>
  <c r="AJ74" i="4"/>
  <c r="AK74" i="4"/>
  <c r="AL74" i="4"/>
  <c r="AM74" i="4"/>
  <c r="AN74" i="4"/>
  <c r="AO74" i="4"/>
  <c r="AP74" i="4"/>
  <c r="AQ74" i="4"/>
  <c r="AR74" i="4"/>
  <c r="AS74" i="4"/>
  <c r="AT74" i="4"/>
  <c r="AU74" i="4"/>
  <c r="AV74" i="4"/>
  <c r="AW74" i="4"/>
  <c r="AX74" i="4"/>
  <c r="AY74" i="4"/>
  <c r="AZ74" i="4"/>
  <c r="BA74" i="4"/>
  <c r="BB74" i="4"/>
  <c r="BC74" i="4"/>
  <c r="BD74" i="4"/>
  <c r="BE74" i="4"/>
  <c r="BF74" i="4"/>
  <c r="BG74" i="4"/>
  <c r="BH74" i="4"/>
  <c r="BI74" i="4"/>
  <c r="BJ74" i="4"/>
  <c r="BK74" i="4"/>
  <c r="BL74" i="4"/>
  <c r="BM74" i="4"/>
  <c r="BN74" i="4"/>
  <c r="BO74" i="4"/>
  <c r="BP74" i="4"/>
  <c r="BQ74" i="4"/>
  <c r="BR74" i="4"/>
  <c r="BS74" i="4"/>
  <c r="BT74" i="4"/>
  <c r="BU74" i="4"/>
  <c r="BV74" i="4"/>
  <c r="BW74" i="4"/>
  <c r="BX74" i="4"/>
  <c r="BY74" i="4"/>
  <c r="BZ74" i="4"/>
  <c r="CA74" i="4"/>
  <c r="CB74" i="4"/>
  <c r="CC74" i="4"/>
  <c r="CD74" i="4"/>
  <c r="CE74" i="4"/>
  <c r="CF74" i="4"/>
  <c r="CG74" i="4"/>
  <c r="CH74" i="4"/>
  <c r="CI74" i="4"/>
  <c r="CJ74" i="4"/>
  <c r="CK74" i="4"/>
  <c r="CL74" i="4"/>
  <c r="CM74" i="4"/>
  <c r="CN74" i="4"/>
  <c r="CO74" i="4"/>
  <c r="CP74" i="4"/>
  <c r="CQ74" i="4"/>
  <c r="CR74" i="4"/>
  <c r="CS74" i="4"/>
  <c r="CT74" i="4"/>
  <c r="CU74" i="4"/>
  <c r="CV74" i="4"/>
  <c r="CW74" i="4"/>
  <c r="CX74" i="4"/>
  <c r="CY74" i="4"/>
  <c r="CZ74" i="4"/>
  <c r="DA74" i="4"/>
  <c r="DB74" i="4"/>
  <c r="DC74" i="4"/>
  <c r="DD74" i="4"/>
  <c r="DE74" i="4"/>
  <c r="DF74" i="4"/>
  <c r="DG74" i="4"/>
  <c r="DH74" i="4"/>
  <c r="DI74" i="4"/>
  <c r="DJ74" i="4"/>
  <c r="DK74" i="4"/>
  <c r="DL74" i="4"/>
  <c r="DM74" i="4"/>
  <c r="DN74" i="4"/>
  <c r="DO74" i="4"/>
  <c r="DP74" i="4"/>
  <c r="DQ74" i="4"/>
  <c r="DR74" i="4"/>
  <c r="DS74" i="4"/>
  <c r="DT74" i="4"/>
  <c r="DU74" i="4"/>
  <c r="DV74" i="4"/>
  <c r="DW74" i="4"/>
  <c r="DX74" i="4"/>
  <c r="DY74" i="4"/>
  <c r="DZ74" i="4"/>
  <c r="EA74" i="4"/>
  <c r="EB74" i="4"/>
  <c r="EC74" i="4"/>
  <c r="EE74" i="4"/>
  <c r="EF74" i="4"/>
  <c r="EG74" i="4"/>
  <c r="EH74" i="4"/>
  <c r="EI74" i="4"/>
  <c r="EJ74" i="4"/>
  <c r="EK74" i="4"/>
  <c r="EL74" i="4"/>
  <c r="EM74" i="4"/>
  <c r="EN74" i="4"/>
  <c r="EO74" i="4"/>
  <c r="EP74" i="4"/>
  <c r="EQ74" i="4"/>
  <c r="ER74" i="4"/>
  <c r="ES74" i="4"/>
  <c r="ET74" i="4"/>
  <c r="EU74" i="4"/>
  <c r="EV74" i="4"/>
  <c r="EW74" i="4"/>
  <c r="EX74" i="4"/>
  <c r="EY74" i="4"/>
  <c r="EZ74" i="4"/>
  <c r="FA74" i="4"/>
  <c r="FB74" i="4"/>
  <c r="FC74" i="4"/>
  <c r="FD74" i="4"/>
  <c r="FE74" i="4"/>
  <c r="FF74" i="4"/>
  <c r="FG74" i="4"/>
  <c r="FH74" i="4"/>
  <c r="FI74" i="4"/>
  <c r="FJ74" i="4"/>
  <c r="FK74" i="4"/>
  <c r="FL74" i="4"/>
  <c r="FM74" i="4"/>
  <c r="FN74" i="4"/>
  <c r="FO74" i="4"/>
  <c r="FP74" i="4"/>
  <c r="FQ74" i="4"/>
  <c r="FR74" i="4"/>
  <c r="FS74" i="4"/>
  <c r="FT74" i="4"/>
  <c r="FU74" i="4"/>
  <c r="FV74" i="4"/>
  <c r="FW74" i="4"/>
  <c r="FX74" i="4"/>
  <c r="FY74" i="4"/>
  <c r="GA74" i="4"/>
  <c r="GB74" i="4"/>
  <c r="GC74" i="4"/>
  <c r="GD74" i="4"/>
  <c r="GE74" i="4"/>
  <c r="GF74" i="4"/>
  <c r="GG74" i="4"/>
  <c r="GH74" i="4"/>
  <c r="GI74" i="4"/>
  <c r="GJ74" i="4"/>
  <c r="GK74" i="4"/>
  <c r="GL74" i="4"/>
  <c r="GM74" i="4"/>
  <c r="GN74" i="4"/>
  <c r="GO74" i="4"/>
  <c r="GP74" i="4"/>
  <c r="GQ74" i="4"/>
  <c r="GR74" i="4"/>
  <c r="GS74" i="4"/>
  <c r="GT74" i="4"/>
  <c r="GU74" i="4"/>
  <c r="GV74" i="4"/>
  <c r="GW74" i="4"/>
  <c r="GY74" i="4"/>
  <c r="GZ74" i="4"/>
  <c r="HA74" i="4"/>
  <c r="HB74" i="4"/>
  <c r="HC74" i="4"/>
  <c r="HD74" i="4"/>
  <c r="HE74" i="4"/>
  <c r="HF74" i="4"/>
  <c r="HG74" i="4"/>
  <c r="HH74" i="4"/>
  <c r="HI74" i="4"/>
  <c r="HJ74" i="4"/>
  <c r="HK74" i="4"/>
  <c r="HL74" i="4"/>
  <c r="HM74" i="4"/>
  <c r="HN74" i="4"/>
  <c r="HO74" i="4"/>
  <c r="HP74" i="4"/>
  <c r="HQ74" i="4"/>
  <c r="HR74" i="4"/>
  <c r="HS74" i="4"/>
  <c r="HT74" i="4"/>
  <c r="HU74" i="4"/>
  <c r="HW74" i="4"/>
  <c r="HX74" i="4"/>
  <c r="HY74" i="4"/>
  <c r="HZ74" i="4"/>
  <c r="IA74" i="4"/>
  <c r="IB74" i="4"/>
  <c r="IC74" i="4"/>
  <c r="ID74" i="4"/>
  <c r="IE74" i="4"/>
  <c r="IF74" i="4"/>
  <c r="IG74" i="4"/>
  <c r="IH74" i="4"/>
  <c r="II74" i="4"/>
  <c r="IJ74" i="4"/>
  <c r="IK74" i="4"/>
  <c r="IL74" i="4"/>
  <c r="IM74" i="4"/>
  <c r="IN74" i="4"/>
  <c r="IO74" i="4"/>
  <c r="IP74" i="4"/>
  <c r="IQ74" i="4"/>
  <c r="IR74" i="4"/>
  <c r="IS74" i="4"/>
  <c r="IT74" i="4"/>
  <c r="IU74" i="4"/>
  <c r="IV74" i="4"/>
  <c r="F75" i="4"/>
  <c r="G75" i="4"/>
  <c r="H75" i="4"/>
  <c r="I75" i="4"/>
  <c r="J75" i="4"/>
  <c r="K75" i="4"/>
  <c r="L75" i="4"/>
  <c r="M75" i="4"/>
  <c r="N75" i="4"/>
  <c r="O75" i="4"/>
  <c r="P75" i="4"/>
  <c r="Q75" i="4"/>
  <c r="R75" i="4"/>
  <c r="S75" i="4"/>
  <c r="T75" i="4"/>
  <c r="U75" i="4"/>
  <c r="V75" i="4"/>
  <c r="W75" i="4"/>
  <c r="X75" i="4"/>
  <c r="Y75" i="4"/>
  <c r="Z75" i="4"/>
  <c r="AB75" i="4"/>
  <c r="AC75" i="4"/>
  <c r="AD75" i="4"/>
  <c r="AE75" i="4"/>
  <c r="AF75" i="4"/>
  <c r="AG75" i="4"/>
  <c r="AH75" i="4"/>
  <c r="AI75" i="4"/>
  <c r="AJ75" i="4"/>
  <c r="AK75" i="4"/>
  <c r="AL75" i="4"/>
  <c r="AM75" i="4"/>
  <c r="AN75" i="4"/>
  <c r="AO75" i="4"/>
  <c r="AP75" i="4"/>
  <c r="AQ75" i="4"/>
  <c r="AR75" i="4"/>
  <c r="AS75" i="4"/>
  <c r="AT75" i="4"/>
  <c r="AU75" i="4"/>
  <c r="AV75" i="4"/>
  <c r="AW75" i="4"/>
  <c r="AX75" i="4"/>
  <c r="AZ75" i="4"/>
  <c r="BA75" i="4"/>
  <c r="BB75" i="4"/>
  <c r="BC75" i="4"/>
  <c r="BD75" i="4"/>
  <c r="BE75" i="4"/>
  <c r="BF75" i="4"/>
  <c r="BG75" i="4"/>
  <c r="BH75" i="4"/>
  <c r="BI75" i="4"/>
  <c r="BJ75" i="4"/>
  <c r="BK75" i="4"/>
  <c r="BL75" i="4"/>
  <c r="BM75" i="4"/>
  <c r="BN75" i="4"/>
  <c r="BO75" i="4"/>
  <c r="BP75" i="4"/>
  <c r="BQ75" i="4"/>
  <c r="BR75" i="4"/>
  <c r="BS75" i="4"/>
  <c r="BT75" i="4"/>
  <c r="BU75" i="4"/>
  <c r="BV75" i="4"/>
  <c r="BW75" i="4"/>
  <c r="BX75" i="4"/>
  <c r="BY75" i="4"/>
  <c r="BZ75" i="4"/>
  <c r="CA75" i="4"/>
  <c r="CB75" i="4"/>
  <c r="CC75" i="4"/>
  <c r="CD75" i="4"/>
  <c r="CE75" i="4"/>
  <c r="CF75" i="4"/>
  <c r="CG75" i="4"/>
  <c r="CH75" i="4"/>
  <c r="CJ75" i="4"/>
  <c r="CK75" i="4"/>
  <c r="CL75" i="4"/>
  <c r="CM75" i="4"/>
  <c r="CO75" i="4"/>
  <c r="CP75" i="4"/>
  <c r="CQ75" i="4"/>
  <c r="CR75" i="4"/>
  <c r="CS75" i="4"/>
  <c r="CT75" i="4"/>
  <c r="CU75" i="4"/>
  <c r="CV75" i="4"/>
  <c r="CW75" i="4"/>
  <c r="CX75" i="4"/>
  <c r="CY75" i="4"/>
  <c r="CZ75" i="4"/>
  <c r="DB75" i="4"/>
  <c r="DC75" i="4"/>
  <c r="DD75" i="4"/>
  <c r="DE75" i="4"/>
  <c r="DF75" i="4"/>
  <c r="DG75" i="4"/>
  <c r="DH75" i="4"/>
  <c r="DI75" i="4"/>
  <c r="DJ75" i="4"/>
  <c r="DK75" i="4"/>
  <c r="DL75" i="4"/>
  <c r="DM75" i="4"/>
  <c r="DN75" i="4"/>
  <c r="DO75" i="4"/>
  <c r="DP75" i="4"/>
  <c r="DQ75" i="4"/>
  <c r="DR75" i="4"/>
  <c r="DS75" i="4"/>
  <c r="DT75" i="4"/>
  <c r="DV75" i="4"/>
  <c r="DW75" i="4"/>
  <c r="DX75" i="4"/>
  <c r="DY75" i="4"/>
  <c r="DZ75" i="4"/>
  <c r="EA75" i="4"/>
  <c r="EB75" i="4"/>
  <c r="EC75" i="4"/>
  <c r="ED75" i="4"/>
  <c r="EE75" i="4"/>
  <c r="EF75" i="4"/>
  <c r="EG75" i="4"/>
  <c r="EH75" i="4"/>
  <c r="EI75" i="4"/>
  <c r="EJ75" i="4"/>
  <c r="EK75" i="4"/>
  <c r="EL75" i="4"/>
  <c r="EM75" i="4"/>
  <c r="EN75" i="4"/>
  <c r="EP75" i="4"/>
  <c r="EQ75" i="4"/>
  <c r="ER75" i="4"/>
  <c r="ES75" i="4"/>
  <c r="ET75" i="4"/>
  <c r="EU75" i="4"/>
  <c r="EV75" i="4"/>
  <c r="EW75" i="4"/>
  <c r="EX75" i="4"/>
  <c r="EY75" i="4"/>
  <c r="EZ75" i="4"/>
  <c r="FA75" i="4"/>
  <c r="FB75" i="4"/>
  <c r="FC75" i="4"/>
  <c r="FD75" i="4"/>
  <c r="FE75" i="4"/>
  <c r="FF75" i="4"/>
  <c r="FG75" i="4"/>
  <c r="FH75" i="4"/>
  <c r="FJ75" i="4"/>
  <c r="FK75" i="4"/>
  <c r="FL75" i="4"/>
  <c r="FM75" i="4"/>
  <c r="FN75" i="4"/>
  <c r="FO75" i="4"/>
  <c r="FP75" i="4"/>
  <c r="FQ75" i="4"/>
  <c r="FR75" i="4"/>
  <c r="FS75" i="4"/>
  <c r="FT75" i="4"/>
  <c r="FU75" i="4"/>
  <c r="FV75" i="4"/>
  <c r="FW75" i="4"/>
  <c r="FX75" i="4"/>
  <c r="FY75" i="4"/>
  <c r="FZ75" i="4"/>
  <c r="GA75" i="4"/>
  <c r="GB75" i="4"/>
  <c r="GD75" i="4"/>
  <c r="GE75" i="4"/>
  <c r="GF75" i="4"/>
  <c r="GG75" i="4"/>
  <c r="GH75" i="4"/>
  <c r="GI75" i="4"/>
  <c r="GJ75" i="4"/>
  <c r="GK75" i="4"/>
  <c r="GL75" i="4"/>
  <c r="GM75" i="4"/>
  <c r="GN75" i="4"/>
  <c r="GO75" i="4"/>
  <c r="GP75" i="4"/>
  <c r="GQ75" i="4"/>
  <c r="GR75" i="4"/>
  <c r="GS75" i="4"/>
  <c r="GT75" i="4"/>
  <c r="GU75" i="4"/>
  <c r="GV75" i="4"/>
  <c r="GW75" i="4"/>
  <c r="GX75" i="4"/>
  <c r="GY75" i="4"/>
  <c r="GZ75" i="4"/>
  <c r="HA75" i="4"/>
  <c r="HB75" i="4"/>
  <c r="HC75" i="4"/>
  <c r="HD75" i="4"/>
  <c r="HE75" i="4"/>
  <c r="HF75" i="4"/>
  <c r="HG75" i="4"/>
  <c r="HH75" i="4"/>
  <c r="HI75" i="4"/>
  <c r="HJ75" i="4"/>
  <c r="HK75" i="4"/>
  <c r="HL75" i="4"/>
  <c r="HM75" i="4"/>
  <c r="HN75" i="4"/>
  <c r="HO75" i="4"/>
  <c r="HP75" i="4"/>
  <c r="HQ75" i="4"/>
  <c r="HR75" i="4"/>
  <c r="HS75" i="4"/>
  <c r="HT75" i="4"/>
  <c r="HU75" i="4"/>
  <c r="HV75" i="4"/>
  <c r="HW75" i="4"/>
  <c r="HX75" i="4"/>
  <c r="HY75" i="4"/>
  <c r="HZ75" i="4"/>
  <c r="IA75" i="4"/>
  <c r="IB75" i="4"/>
  <c r="IC75" i="4"/>
  <c r="ID75" i="4"/>
  <c r="IE75" i="4"/>
  <c r="IF75" i="4"/>
  <c r="IG75" i="4"/>
  <c r="IH75" i="4"/>
  <c r="II75" i="4"/>
  <c r="IJ75" i="4"/>
  <c r="IK75" i="4"/>
  <c r="IL75" i="4"/>
  <c r="IM75" i="4"/>
  <c r="IN75" i="4"/>
  <c r="IO75" i="4"/>
  <c r="IP75" i="4"/>
  <c r="IQ75" i="4"/>
  <c r="IR75" i="4"/>
  <c r="IS75" i="4"/>
  <c r="IT75" i="4"/>
  <c r="IU75" i="4"/>
  <c r="IV75" i="4"/>
  <c r="F76" i="4"/>
  <c r="G76" i="4"/>
  <c r="H76" i="4"/>
  <c r="I76" i="4"/>
  <c r="J76" i="4"/>
  <c r="K76" i="4"/>
  <c r="L76" i="4"/>
  <c r="M76" i="4"/>
  <c r="N76" i="4"/>
  <c r="O76" i="4"/>
  <c r="P76" i="4"/>
  <c r="Q76" i="4"/>
  <c r="R76" i="4"/>
  <c r="S76" i="4"/>
  <c r="T76" i="4"/>
  <c r="U76" i="4"/>
  <c r="V76" i="4"/>
  <c r="W76" i="4"/>
  <c r="X76" i="4"/>
  <c r="Y76" i="4"/>
  <c r="Z76" i="4"/>
  <c r="AA76" i="4"/>
  <c r="AB76" i="4"/>
  <c r="AC76" i="4"/>
  <c r="AD76" i="4"/>
  <c r="AE76" i="4"/>
  <c r="AF76" i="4"/>
  <c r="AG76" i="4"/>
  <c r="AH76" i="4"/>
  <c r="AI76" i="4"/>
  <c r="AJ76" i="4"/>
  <c r="AK76" i="4"/>
  <c r="AL76" i="4"/>
  <c r="AM76" i="4"/>
  <c r="AN76" i="4"/>
  <c r="AO76" i="4"/>
  <c r="AP76" i="4"/>
  <c r="AQ76" i="4"/>
  <c r="AR76" i="4"/>
  <c r="AS76" i="4"/>
  <c r="AT76" i="4"/>
  <c r="AU76" i="4"/>
  <c r="AV76" i="4"/>
  <c r="AW76" i="4"/>
  <c r="AX76" i="4"/>
  <c r="AY76" i="4"/>
  <c r="AZ76" i="4"/>
  <c r="BA76" i="4"/>
  <c r="BB76" i="4"/>
  <c r="BC76" i="4"/>
  <c r="BD76" i="4"/>
  <c r="BE76" i="4"/>
  <c r="BF76" i="4"/>
  <c r="BG76" i="4"/>
  <c r="BH76" i="4"/>
  <c r="BI76" i="4"/>
  <c r="BJ76" i="4"/>
  <c r="BK76" i="4"/>
  <c r="BL76" i="4"/>
  <c r="BM76" i="4"/>
  <c r="BN76" i="4"/>
  <c r="BO76" i="4"/>
  <c r="BP76" i="4"/>
  <c r="BQ76" i="4"/>
  <c r="BR76" i="4"/>
  <c r="BS76" i="4"/>
  <c r="BT76" i="4"/>
  <c r="BU76" i="4"/>
  <c r="BV76" i="4"/>
  <c r="BW76" i="4"/>
  <c r="BX76" i="4"/>
  <c r="BY76" i="4"/>
  <c r="BZ76" i="4"/>
  <c r="CA76" i="4"/>
  <c r="CB76" i="4"/>
  <c r="CC76" i="4"/>
  <c r="CD76" i="4"/>
  <c r="CE76" i="4"/>
  <c r="CF76" i="4"/>
  <c r="CG76" i="4"/>
  <c r="CH76" i="4"/>
  <c r="CI76" i="4"/>
  <c r="CJ76" i="4"/>
  <c r="CK76" i="4"/>
  <c r="CL76" i="4"/>
  <c r="CM76" i="4"/>
  <c r="CN76" i="4"/>
  <c r="CO76" i="4"/>
  <c r="CP76" i="4"/>
  <c r="CQ76" i="4"/>
  <c r="CR76" i="4"/>
  <c r="CS76" i="4"/>
  <c r="CT76" i="4"/>
  <c r="CU76" i="4"/>
  <c r="CV76" i="4"/>
  <c r="CW76" i="4"/>
  <c r="CX76" i="4"/>
  <c r="CY76" i="4"/>
  <c r="CZ76" i="4"/>
  <c r="DA76" i="4"/>
  <c r="DB76" i="4"/>
  <c r="DC76" i="4"/>
  <c r="DD76" i="4"/>
  <c r="DE76" i="4"/>
  <c r="DF76" i="4"/>
  <c r="DG76" i="4"/>
  <c r="DH76" i="4"/>
  <c r="DI76" i="4"/>
  <c r="DJ76" i="4"/>
  <c r="DK76" i="4"/>
  <c r="DL76" i="4"/>
  <c r="DM76" i="4"/>
  <c r="DN76" i="4"/>
  <c r="DO76" i="4"/>
  <c r="DP76" i="4"/>
  <c r="DQ76" i="4"/>
  <c r="DR76" i="4"/>
  <c r="DS76" i="4"/>
  <c r="DT76" i="4"/>
  <c r="DU76" i="4"/>
  <c r="DV76" i="4"/>
  <c r="DW76" i="4"/>
  <c r="DX76" i="4"/>
  <c r="DY76" i="4"/>
  <c r="DZ76" i="4"/>
  <c r="EA76" i="4"/>
  <c r="EB76" i="4"/>
  <c r="EC76" i="4"/>
  <c r="ED76" i="4"/>
  <c r="EE76" i="4"/>
  <c r="EF76" i="4"/>
  <c r="EG76" i="4"/>
  <c r="EH76" i="4"/>
  <c r="EI76" i="4"/>
  <c r="EJ76" i="4"/>
  <c r="EK76" i="4"/>
  <c r="EL76" i="4"/>
  <c r="EM76" i="4"/>
  <c r="EN76" i="4"/>
  <c r="EO76" i="4"/>
  <c r="EP76" i="4"/>
  <c r="EQ76" i="4"/>
  <c r="ER76" i="4"/>
  <c r="ES76" i="4"/>
  <c r="ET76" i="4"/>
  <c r="EU76" i="4"/>
  <c r="EV76" i="4"/>
  <c r="EW76" i="4"/>
  <c r="EX76" i="4"/>
  <c r="EY76" i="4"/>
  <c r="EZ76" i="4"/>
  <c r="FA76" i="4"/>
  <c r="FB76" i="4"/>
  <c r="FC76" i="4"/>
  <c r="FD76" i="4"/>
  <c r="FE76" i="4"/>
  <c r="FF76" i="4"/>
  <c r="FG76" i="4"/>
  <c r="FH76" i="4"/>
  <c r="FI76" i="4"/>
  <c r="FJ76" i="4"/>
  <c r="FK76" i="4"/>
  <c r="FL76" i="4"/>
  <c r="FM76" i="4"/>
  <c r="FN76" i="4"/>
  <c r="FO76" i="4"/>
  <c r="FP76" i="4"/>
  <c r="FQ76" i="4"/>
  <c r="FR76" i="4"/>
  <c r="FS76" i="4"/>
  <c r="FT76" i="4"/>
  <c r="FU76" i="4"/>
  <c r="FV76" i="4"/>
  <c r="FC53" i="4"/>
  <c r="FD53" i="4"/>
  <c r="FE53" i="4"/>
  <c r="FF53" i="4"/>
  <c r="FG53" i="4"/>
  <c r="FH53" i="4"/>
  <c r="FI53" i="4"/>
  <c r="FJ53" i="4"/>
  <c r="FK53" i="4"/>
  <c r="FL53" i="4"/>
  <c r="FM53" i="4"/>
  <c r="FN53" i="4"/>
  <c r="FO53" i="4"/>
  <c r="FP53" i="4"/>
  <c r="FQ53" i="4"/>
  <c r="FR53" i="4"/>
  <c r="FS53" i="4"/>
  <c r="FT53" i="4"/>
  <c r="FU53" i="4"/>
  <c r="FV53" i="4"/>
  <c r="FW53" i="4"/>
  <c r="FX53" i="4"/>
  <c r="FY53" i="4"/>
  <c r="FZ53" i="4"/>
  <c r="GA53" i="4"/>
  <c r="GB53" i="4"/>
  <c r="GC53" i="4"/>
  <c r="GD53" i="4"/>
  <c r="GE53" i="4"/>
  <c r="GF53" i="4"/>
  <c r="GG53" i="4"/>
  <c r="GH53" i="4"/>
  <c r="GI53" i="4"/>
  <c r="GJ53" i="4"/>
  <c r="GK53" i="4"/>
  <c r="GL53" i="4"/>
  <c r="GM53" i="4"/>
  <c r="GN53" i="4"/>
  <c r="GO53" i="4"/>
  <c r="GP53" i="4"/>
  <c r="GQ53" i="4"/>
  <c r="GR53" i="4"/>
  <c r="GS53" i="4"/>
  <c r="GT53" i="4"/>
  <c r="GU53" i="4"/>
  <c r="GV53" i="4"/>
  <c r="GW53" i="4"/>
  <c r="GX53" i="4"/>
  <c r="GY53" i="4"/>
  <c r="GZ53" i="4"/>
  <c r="HA53" i="4"/>
  <c r="HB53" i="4"/>
  <c r="HC53" i="4"/>
  <c r="HD53" i="4"/>
  <c r="HE53" i="4"/>
  <c r="HF53" i="4"/>
  <c r="HG53" i="4"/>
  <c r="HH53" i="4"/>
  <c r="HI53" i="4"/>
  <c r="HJ53" i="4"/>
  <c r="HK53" i="4"/>
  <c r="HL53" i="4"/>
  <c r="HM53" i="4"/>
  <c r="HN53" i="4"/>
  <c r="HO53" i="4"/>
  <c r="HP53" i="4"/>
  <c r="HQ53" i="4"/>
  <c r="HR53" i="4"/>
  <c r="HS53" i="4"/>
  <c r="HT53" i="4"/>
  <c r="HU53" i="4"/>
  <c r="HV53" i="4"/>
  <c r="HW53" i="4"/>
  <c r="HX53" i="4"/>
  <c r="HY53" i="4"/>
  <c r="HZ53" i="4"/>
  <c r="IA53" i="4"/>
  <c r="IB53" i="4"/>
  <c r="IC53" i="4"/>
  <c r="ID53" i="4"/>
  <c r="IE53" i="4"/>
  <c r="IF53" i="4"/>
  <c r="IG53" i="4"/>
  <c r="IH53" i="4"/>
  <c r="II53" i="4"/>
  <c r="IJ53" i="4"/>
  <c r="IK53" i="4"/>
  <c r="IL53" i="4"/>
  <c r="IM53" i="4"/>
  <c r="IN53" i="4"/>
  <c r="IO53" i="4"/>
  <c r="IP53" i="4"/>
  <c r="IQ53" i="4"/>
  <c r="IR53" i="4"/>
  <c r="IS53" i="4"/>
  <c r="IT53" i="4"/>
  <c r="IU53" i="4"/>
  <c r="IV53" i="4"/>
  <c r="W61" i="1"/>
  <c r="W73" i="1"/>
  <c r="W96" i="1"/>
  <c r="BI55" i="4" s="1"/>
  <c r="S18" i="8"/>
  <c r="AY75" i="4" s="1"/>
  <c r="S17" i="8"/>
  <c r="AA75" i="4" s="1"/>
  <c r="S16" i="8"/>
  <c r="S15" i="8"/>
  <c r="HV74" i="4" s="1"/>
  <c r="S14" i="8"/>
  <c r="GX74" i="4" s="1"/>
  <c r="S13" i="8"/>
  <c r="FZ74" i="4" s="1"/>
  <c r="S12" i="8"/>
  <c r="S11" i="8"/>
  <c r="ED74" i="4" s="1"/>
  <c r="W97" i="1"/>
  <c r="CG55" i="4" s="1"/>
  <c r="W85" i="1"/>
  <c r="BT54" i="4" s="1"/>
  <c r="W84" i="1"/>
  <c r="AV54" i="4" s="1"/>
  <c r="W83" i="1"/>
  <c r="X54" i="4" s="1"/>
  <c r="J23" i="8"/>
  <c r="J27" i="8"/>
  <c r="J28" i="8"/>
  <c r="J26" i="8"/>
  <c r="J29" i="8"/>
  <c r="J25" i="8"/>
  <c r="J24" i="8"/>
  <c r="DU75" i="4" l="1"/>
  <c r="CI75" i="4"/>
  <c r="EO75" i="4"/>
  <c r="CN75" i="4"/>
  <c r="FI75" i="4"/>
  <c r="DA75" i="4"/>
  <c r="GC75" i="4"/>
  <c r="J108" i="1"/>
  <c r="DC55" i="4" l="1"/>
  <c r="FA53" i="4" l="1"/>
  <c r="FB53" i="4"/>
  <c r="W60" i="1"/>
  <c r="W59" i="1"/>
  <c r="EY53" i="4" l="1"/>
  <c r="EZ53" i="4"/>
  <c r="F52" i="4" l="1"/>
  <c r="G52" i="4"/>
  <c r="H52" i="4"/>
  <c r="I52" i="4"/>
  <c r="J52" i="4"/>
  <c r="K52" i="4"/>
  <c r="L52" i="4"/>
  <c r="M52" i="4"/>
  <c r="N52" i="4"/>
  <c r="O52" i="4"/>
  <c r="Q52" i="4"/>
  <c r="R52" i="4"/>
  <c r="T52" i="4"/>
  <c r="U52" i="4"/>
  <c r="V52" i="4"/>
  <c r="W52" i="4"/>
  <c r="X52" i="4"/>
  <c r="Y52" i="4"/>
  <c r="Z52" i="4"/>
  <c r="AA52" i="4"/>
  <c r="AB52" i="4"/>
  <c r="AC52" i="4"/>
  <c r="AD52" i="4"/>
  <c r="AE52" i="4"/>
  <c r="AF52" i="4"/>
  <c r="AG52" i="4"/>
  <c r="AH52" i="4"/>
  <c r="AI52" i="4"/>
  <c r="AJ52" i="4"/>
  <c r="AK52" i="4"/>
  <c r="AL52" i="4"/>
  <c r="AM52" i="4"/>
  <c r="AO52" i="4"/>
  <c r="AP52" i="4"/>
  <c r="AR52" i="4"/>
  <c r="AS52" i="4"/>
  <c r="AT52" i="4"/>
  <c r="AU52" i="4"/>
  <c r="AV52" i="4"/>
  <c r="AW52" i="4"/>
  <c r="AX52" i="4"/>
  <c r="AY52" i="4"/>
  <c r="AZ52" i="4"/>
  <c r="BA52" i="4"/>
  <c r="BB52" i="4"/>
  <c r="BC52" i="4"/>
  <c r="BD52" i="4"/>
  <c r="BE52" i="4"/>
  <c r="BF52" i="4"/>
  <c r="BG52" i="4"/>
  <c r="BH52" i="4"/>
  <c r="BI52" i="4"/>
  <c r="BJ52" i="4"/>
  <c r="BK52" i="4"/>
  <c r="BM52" i="4"/>
  <c r="BN52" i="4"/>
  <c r="BP52" i="4"/>
  <c r="BQ52" i="4"/>
  <c r="BR52" i="4"/>
  <c r="BS52" i="4"/>
  <c r="BT52" i="4"/>
  <c r="BU52" i="4"/>
  <c r="BV52" i="4"/>
  <c r="BW52" i="4"/>
  <c r="BX52" i="4"/>
  <c r="BY52" i="4"/>
  <c r="BZ52" i="4"/>
  <c r="CA52" i="4"/>
  <c r="CB52" i="4"/>
  <c r="CC52" i="4"/>
  <c r="CD52" i="4"/>
  <c r="CE52" i="4"/>
  <c r="CF52" i="4"/>
  <c r="CG52" i="4"/>
  <c r="CH52" i="4"/>
  <c r="CI52" i="4"/>
  <c r="CJ52" i="4"/>
  <c r="CK52" i="4"/>
  <c r="CL52" i="4"/>
  <c r="CN52" i="4"/>
  <c r="CO52" i="4"/>
  <c r="CP52" i="4"/>
  <c r="CQ52" i="4"/>
  <c r="CR52" i="4"/>
  <c r="CS52" i="4"/>
  <c r="CT52" i="4"/>
  <c r="CU52" i="4"/>
  <c r="CV52" i="4"/>
  <c r="CW52" i="4"/>
  <c r="CX52" i="4"/>
  <c r="CY52" i="4"/>
  <c r="CZ52" i="4"/>
  <c r="DA52" i="4"/>
  <c r="DB52" i="4"/>
  <c r="DC52" i="4"/>
  <c r="DD52" i="4"/>
  <c r="DE52" i="4"/>
  <c r="DF52" i="4"/>
  <c r="DG52" i="4"/>
  <c r="DI52" i="4"/>
  <c r="DJ52" i="4"/>
  <c r="DL52" i="4"/>
  <c r="DM52" i="4"/>
  <c r="DN52" i="4"/>
  <c r="DO52" i="4"/>
  <c r="DP52" i="4"/>
  <c r="DQ52" i="4"/>
  <c r="DR52" i="4"/>
  <c r="DS52" i="4"/>
  <c r="DT52" i="4"/>
  <c r="DU52" i="4"/>
  <c r="DV52" i="4"/>
  <c r="DW52" i="4"/>
  <c r="DX52" i="4"/>
  <c r="DY52" i="4"/>
  <c r="DZ52" i="4"/>
  <c r="EA52" i="4"/>
  <c r="EB52" i="4"/>
  <c r="EC52" i="4"/>
  <c r="ED52" i="4"/>
  <c r="EE52" i="4"/>
  <c r="EG52" i="4"/>
  <c r="EH52" i="4"/>
  <c r="EJ52" i="4"/>
  <c r="EK52" i="4"/>
  <c r="EL52" i="4"/>
  <c r="EM52" i="4"/>
  <c r="EN52" i="4"/>
  <c r="EO52" i="4"/>
  <c r="EP52" i="4"/>
  <c r="EQ52" i="4"/>
  <c r="ER52" i="4"/>
  <c r="ES52" i="4"/>
  <c r="ET52" i="4"/>
  <c r="EU52" i="4"/>
  <c r="EV52" i="4"/>
  <c r="EW52" i="4"/>
  <c r="EX52" i="4"/>
  <c r="EY52" i="4"/>
  <c r="EZ52" i="4"/>
  <c r="FA52" i="4"/>
  <c r="FB52" i="4"/>
  <c r="FC52" i="4"/>
  <c r="FE52" i="4"/>
  <c r="FF52" i="4"/>
  <c r="FH52" i="4"/>
  <c r="FI52" i="4"/>
  <c r="FJ52" i="4"/>
  <c r="FK52" i="4"/>
  <c r="FL52" i="4"/>
  <c r="FM52" i="4"/>
  <c r="FN52" i="4"/>
  <c r="FO52" i="4"/>
  <c r="FP52" i="4"/>
  <c r="FQ52" i="4"/>
  <c r="FR52" i="4"/>
  <c r="FS52" i="4"/>
  <c r="FT52" i="4"/>
  <c r="FU52" i="4"/>
  <c r="FV52" i="4"/>
  <c r="FW52" i="4"/>
  <c r="FX52" i="4"/>
  <c r="FY52" i="4"/>
  <c r="FZ52" i="4"/>
  <c r="GA52" i="4"/>
  <c r="GC52" i="4"/>
  <c r="GD52" i="4"/>
  <c r="GF52" i="4"/>
  <c r="GG52" i="4"/>
  <c r="GH52" i="4"/>
  <c r="GI52" i="4"/>
  <c r="GJ52" i="4"/>
  <c r="GK52" i="4"/>
  <c r="GL52" i="4"/>
  <c r="GM52" i="4"/>
  <c r="GN52" i="4"/>
  <c r="GO52" i="4"/>
  <c r="GP52" i="4"/>
  <c r="GQ52" i="4"/>
  <c r="GR52" i="4"/>
  <c r="GS52" i="4"/>
  <c r="GT52" i="4"/>
  <c r="GU52" i="4"/>
  <c r="GV52" i="4"/>
  <c r="GW52" i="4"/>
  <c r="GX52" i="4"/>
  <c r="GY52" i="4"/>
  <c r="HA52" i="4"/>
  <c r="HB52" i="4"/>
  <c r="HD52" i="4"/>
  <c r="HE52" i="4"/>
  <c r="HF52" i="4"/>
  <c r="HG52" i="4"/>
  <c r="HH52" i="4"/>
  <c r="HI52" i="4"/>
  <c r="HJ52" i="4"/>
  <c r="HK52" i="4"/>
  <c r="HL52" i="4"/>
  <c r="HM52" i="4"/>
  <c r="HN52" i="4"/>
  <c r="HO52" i="4"/>
  <c r="HP52" i="4"/>
  <c r="HQ52" i="4"/>
  <c r="HR52" i="4"/>
  <c r="HS52" i="4"/>
  <c r="HT52" i="4"/>
  <c r="HU52" i="4"/>
  <c r="HV52" i="4"/>
  <c r="HW52" i="4"/>
  <c r="HY52" i="4"/>
  <c r="HZ52" i="4"/>
  <c r="IB52" i="4"/>
  <c r="IC52" i="4"/>
  <c r="ID52" i="4"/>
  <c r="IE52" i="4"/>
  <c r="IF52" i="4"/>
  <c r="IG52" i="4"/>
  <c r="IH52" i="4"/>
  <c r="II52" i="4"/>
  <c r="IJ52" i="4"/>
  <c r="IK52" i="4"/>
  <c r="IL52" i="4"/>
  <c r="IM52" i="4"/>
  <c r="IN52" i="4"/>
  <c r="IO52" i="4"/>
  <c r="IP52" i="4"/>
  <c r="IQ52" i="4"/>
  <c r="IR52" i="4"/>
  <c r="IS52" i="4"/>
  <c r="IT52" i="4"/>
  <c r="IU52" i="4"/>
  <c r="F53" i="4"/>
  <c r="G53" i="4"/>
  <c r="I53" i="4"/>
  <c r="J53" i="4"/>
  <c r="K53" i="4"/>
  <c r="L53" i="4"/>
  <c r="M53" i="4"/>
  <c r="N53" i="4"/>
  <c r="O53" i="4"/>
  <c r="P53" i="4"/>
  <c r="Q53" i="4"/>
  <c r="R53" i="4"/>
  <c r="S53" i="4"/>
  <c r="T53" i="4"/>
  <c r="U53" i="4"/>
  <c r="V53" i="4"/>
  <c r="W53" i="4"/>
  <c r="X53" i="4"/>
  <c r="Y53" i="4"/>
  <c r="Z53" i="4"/>
  <c r="AA53" i="4"/>
  <c r="AB53" i="4"/>
  <c r="AD53" i="4"/>
  <c r="AE53" i="4"/>
  <c r="AG53" i="4"/>
  <c r="AH53" i="4"/>
  <c r="AI53" i="4"/>
  <c r="AJ53" i="4"/>
  <c r="AK53" i="4"/>
  <c r="AL53" i="4"/>
  <c r="AM53" i="4"/>
  <c r="AN53" i="4"/>
  <c r="AO53" i="4"/>
  <c r="AP53" i="4"/>
  <c r="AQ53" i="4"/>
  <c r="AR53" i="4"/>
  <c r="AS53" i="4"/>
  <c r="AT53" i="4"/>
  <c r="AU53" i="4"/>
  <c r="AV53" i="4"/>
  <c r="AW53" i="4"/>
  <c r="AX53" i="4"/>
  <c r="AY53" i="4"/>
  <c r="AZ53" i="4"/>
  <c r="BB53" i="4"/>
  <c r="BC53" i="4"/>
  <c r="BE53" i="4"/>
  <c r="BF53" i="4"/>
  <c r="BG53" i="4"/>
  <c r="BH53" i="4"/>
  <c r="BI53" i="4"/>
  <c r="BJ53" i="4"/>
  <c r="BK53" i="4"/>
  <c r="BL53" i="4"/>
  <c r="BM53" i="4"/>
  <c r="BN53" i="4"/>
  <c r="BO53" i="4"/>
  <c r="BP53" i="4"/>
  <c r="BQ53" i="4"/>
  <c r="BR53" i="4"/>
  <c r="BS53" i="4"/>
  <c r="BT53" i="4"/>
  <c r="BU53" i="4"/>
  <c r="BV53" i="4"/>
  <c r="BW53" i="4"/>
  <c r="BX53" i="4"/>
  <c r="BZ53" i="4"/>
  <c r="CA53" i="4"/>
  <c r="CC53" i="4"/>
  <c r="CD53" i="4"/>
  <c r="CE53" i="4"/>
  <c r="CF53" i="4"/>
  <c r="CG53" i="4"/>
  <c r="CH53" i="4"/>
  <c r="CI53" i="4"/>
  <c r="CJ53" i="4"/>
  <c r="CK53" i="4"/>
  <c r="CL53" i="4"/>
  <c r="CM53" i="4"/>
  <c r="CN53" i="4"/>
  <c r="CO53" i="4"/>
  <c r="CP53" i="4"/>
  <c r="CQ53" i="4"/>
  <c r="CR53" i="4"/>
  <c r="CS53" i="4"/>
  <c r="CT53" i="4"/>
  <c r="CU53" i="4"/>
  <c r="CV53" i="4"/>
  <c r="CX53" i="4"/>
  <c r="CY53" i="4"/>
  <c r="DA53" i="4"/>
  <c r="DB53" i="4"/>
  <c r="DC53" i="4"/>
  <c r="DD53" i="4"/>
  <c r="DE53" i="4"/>
  <c r="DF53" i="4"/>
  <c r="DG53" i="4"/>
  <c r="DH53" i="4"/>
  <c r="DI53" i="4"/>
  <c r="DJ53" i="4"/>
  <c r="DK53" i="4"/>
  <c r="DL53" i="4"/>
  <c r="DM53" i="4"/>
  <c r="DN53" i="4"/>
  <c r="DO53" i="4"/>
  <c r="DP53" i="4"/>
  <c r="DQ53" i="4"/>
  <c r="DR53" i="4"/>
  <c r="DS53" i="4"/>
  <c r="DT53" i="4"/>
  <c r="DV53" i="4"/>
  <c r="DW53" i="4"/>
  <c r="DY53" i="4"/>
  <c r="DZ53" i="4"/>
  <c r="EA53" i="4"/>
  <c r="EB53" i="4"/>
  <c r="EC53" i="4"/>
  <c r="ED53" i="4"/>
  <c r="EE53" i="4"/>
  <c r="EF53" i="4"/>
  <c r="EG53" i="4"/>
  <c r="EH53" i="4"/>
  <c r="EI53" i="4"/>
  <c r="EJ53" i="4"/>
  <c r="EK53" i="4"/>
  <c r="EL53" i="4"/>
  <c r="EM53" i="4"/>
  <c r="EN53" i="4"/>
  <c r="EO53" i="4"/>
  <c r="EP53" i="4"/>
  <c r="EQ53" i="4"/>
  <c r="ER53" i="4"/>
  <c r="ET53" i="4"/>
  <c r="EU53" i="4"/>
  <c r="EW53" i="4"/>
  <c r="EX53" i="4"/>
  <c r="FZ51" i="4"/>
  <c r="GA51" i="4"/>
  <c r="GB51" i="4"/>
  <c r="GC51" i="4"/>
  <c r="GD51" i="4"/>
  <c r="GE51" i="4"/>
  <c r="GF51" i="4"/>
  <c r="GG51" i="4"/>
  <c r="GH51" i="4"/>
  <c r="GI51" i="4"/>
  <c r="GJ51" i="4"/>
  <c r="GK51" i="4"/>
  <c r="GL51" i="4"/>
  <c r="GM51" i="4"/>
  <c r="GN51" i="4"/>
  <c r="GO51" i="4"/>
  <c r="GP51" i="4"/>
  <c r="GQ51" i="4"/>
  <c r="GR51" i="4"/>
  <c r="GS51" i="4"/>
  <c r="GT51" i="4"/>
  <c r="GU51" i="4"/>
  <c r="GV51" i="4"/>
  <c r="GW51" i="4"/>
  <c r="GX51" i="4"/>
  <c r="GY51" i="4"/>
  <c r="GZ51" i="4"/>
  <c r="HA51" i="4"/>
  <c r="HB51" i="4"/>
  <c r="HC51" i="4"/>
  <c r="HD51" i="4"/>
  <c r="HE51" i="4"/>
  <c r="HF51" i="4"/>
  <c r="HG51" i="4"/>
  <c r="HH51" i="4"/>
  <c r="HI51" i="4"/>
  <c r="HJ51" i="4"/>
  <c r="HK51" i="4"/>
  <c r="HL51" i="4"/>
  <c r="HM51" i="4"/>
  <c r="HO51" i="4"/>
  <c r="HP51" i="4"/>
  <c r="HQ51" i="4"/>
  <c r="HR51" i="4"/>
  <c r="HS51" i="4"/>
  <c r="HT51" i="4"/>
  <c r="HU51" i="4"/>
  <c r="HV51" i="4"/>
  <c r="HW51" i="4"/>
  <c r="HX51" i="4"/>
  <c r="HY51" i="4"/>
  <c r="HZ51" i="4"/>
  <c r="IA51" i="4"/>
  <c r="IB51" i="4"/>
  <c r="IC51" i="4"/>
  <c r="ID51" i="4"/>
  <c r="IE51" i="4"/>
  <c r="IF51" i="4"/>
  <c r="IG51" i="4"/>
  <c r="IH51" i="4"/>
  <c r="II51" i="4"/>
  <c r="IJ51" i="4"/>
  <c r="IK51" i="4"/>
  <c r="IM51" i="4"/>
  <c r="IN51" i="4"/>
  <c r="IO51" i="4"/>
  <c r="IP51" i="4"/>
  <c r="IQ51" i="4"/>
  <c r="IR51" i="4"/>
  <c r="IS51" i="4"/>
  <c r="IT51" i="4"/>
  <c r="IU51" i="4"/>
  <c r="IV51" i="4"/>
  <c r="FG52" i="4"/>
  <c r="FD52" i="4"/>
  <c r="EI52" i="4"/>
  <c r="EF52" i="4"/>
  <c r="DK52" i="4"/>
  <c r="DH52" i="4"/>
  <c r="CM52" i="4"/>
  <c r="W54" i="1"/>
  <c r="IL51" i="4" s="1"/>
  <c r="HN51" i="4"/>
  <c r="P52" i="4" l="1"/>
  <c r="BO52" i="4"/>
  <c r="BL52" i="4"/>
  <c r="AQ52" i="4"/>
  <c r="AN52" i="4"/>
  <c r="S52" i="4"/>
  <c r="EV53" i="4"/>
  <c r="ES53" i="4"/>
  <c r="DX53" i="4"/>
  <c r="DU53" i="4"/>
  <c r="CZ53" i="4"/>
  <c r="CW53" i="4"/>
  <c r="CB53" i="4"/>
  <c r="BY53" i="4"/>
  <c r="BD53" i="4"/>
  <c r="BA53" i="4"/>
  <c r="AF53" i="4"/>
  <c r="AC53" i="4"/>
  <c r="H53" i="4"/>
  <c r="IV52" i="4"/>
  <c r="IA52" i="4"/>
  <c r="HX52" i="4"/>
  <c r="HC52" i="4"/>
  <c r="GZ52" i="4"/>
  <c r="GE52" i="4"/>
  <c r="GB52" i="4"/>
  <c r="FP51" i="4" l="1"/>
  <c r="FQ51" i="4"/>
  <c r="FR51" i="4"/>
  <c r="FS51" i="4"/>
  <c r="FT51" i="4"/>
  <c r="FU51" i="4"/>
  <c r="FV51" i="4"/>
  <c r="FW51" i="4"/>
  <c r="FX51" i="4"/>
  <c r="FY51" i="4"/>
  <c r="FF51" i="4"/>
  <c r="FG51" i="4"/>
  <c r="FH51" i="4"/>
  <c r="FI51" i="4"/>
  <c r="FJ51" i="4"/>
  <c r="FK51" i="4"/>
  <c r="FL51" i="4"/>
  <c r="FM51" i="4"/>
  <c r="FN51" i="4"/>
  <c r="FO51" i="4"/>
  <c r="F51" i="4" l="1"/>
  <c r="G51" i="4"/>
  <c r="H51" i="4"/>
  <c r="I51" i="4"/>
  <c r="J51" i="4"/>
  <c r="K51" i="4"/>
  <c r="L51" i="4"/>
  <c r="M51" i="4"/>
  <c r="N51" i="4"/>
  <c r="O51" i="4"/>
  <c r="P51" i="4"/>
  <c r="Q51" i="4"/>
  <c r="R51" i="4"/>
  <c r="S51" i="4"/>
  <c r="T51" i="4"/>
  <c r="U51" i="4"/>
  <c r="V51" i="4"/>
  <c r="W51" i="4"/>
  <c r="X51" i="4"/>
  <c r="Y51" i="4"/>
  <c r="Z51" i="4"/>
  <c r="AA51" i="4"/>
  <c r="AB51" i="4"/>
  <c r="AC51" i="4"/>
  <c r="AD51" i="4"/>
  <c r="AE51" i="4"/>
  <c r="AF51" i="4"/>
  <c r="AG51" i="4"/>
  <c r="AH51" i="4"/>
  <c r="AI51" i="4"/>
  <c r="AJ51" i="4"/>
  <c r="AK51" i="4"/>
  <c r="AL51" i="4"/>
  <c r="AM51" i="4"/>
  <c r="AN51" i="4"/>
  <c r="AO51" i="4"/>
  <c r="AP51" i="4"/>
  <c r="AQ51" i="4"/>
  <c r="AR51" i="4"/>
  <c r="AS51" i="4"/>
  <c r="AT51" i="4"/>
  <c r="AU51" i="4"/>
  <c r="AV51" i="4"/>
  <c r="AW51" i="4"/>
  <c r="AX51" i="4"/>
  <c r="AY51" i="4"/>
  <c r="AZ51" i="4"/>
  <c r="BA51" i="4"/>
  <c r="BB51" i="4"/>
  <c r="BC51" i="4"/>
  <c r="BD51" i="4"/>
  <c r="BE51" i="4"/>
  <c r="BF51" i="4"/>
  <c r="BG51" i="4"/>
  <c r="BH51" i="4"/>
  <c r="BI51" i="4"/>
  <c r="BJ51" i="4"/>
  <c r="BK51" i="4"/>
  <c r="BL51" i="4"/>
  <c r="BM51" i="4"/>
  <c r="BN51" i="4"/>
  <c r="BO51" i="4"/>
  <c r="BP51" i="4"/>
  <c r="BQ51" i="4"/>
  <c r="BR51" i="4"/>
  <c r="BS51" i="4"/>
  <c r="BT51" i="4"/>
  <c r="BU51" i="4"/>
  <c r="BV51" i="4"/>
  <c r="BW51" i="4"/>
  <c r="BX51" i="4"/>
  <c r="BY51" i="4"/>
  <c r="BZ51" i="4"/>
  <c r="CA51" i="4"/>
  <c r="CB51" i="4"/>
  <c r="CC51" i="4"/>
  <c r="CD51" i="4"/>
  <c r="CE51" i="4"/>
  <c r="CF51" i="4"/>
  <c r="CG51" i="4"/>
  <c r="CH51" i="4"/>
  <c r="CI51" i="4"/>
  <c r="CJ51" i="4"/>
  <c r="CK51" i="4"/>
  <c r="CL51" i="4"/>
  <c r="CM51" i="4"/>
  <c r="CN51" i="4"/>
  <c r="CO51" i="4"/>
  <c r="CP51" i="4"/>
  <c r="CQ51" i="4"/>
  <c r="CR51" i="4"/>
  <c r="CS51" i="4"/>
  <c r="CT51" i="4"/>
  <c r="CU51" i="4"/>
  <c r="CV51" i="4"/>
  <c r="CW51" i="4"/>
  <c r="CX51" i="4"/>
  <c r="CY51" i="4"/>
  <c r="CZ51" i="4"/>
  <c r="DA51" i="4"/>
  <c r="DB51" i="4"/>
  <c r="DC51" i="4"/>
  <c r="DD51" i="4"/>
  <c r="DE51" i="4"/>
  <c r="DF51" i="4"/>
  <c r="DG51" i="4"/>
  <c r="DH51" i="4"/>
  <c r="DI51" i="4"/>
  <c r="DJ51" i="4"/>
  <c r="DK51" i="4"/>
  <c r="DL51" i="4"/>
  <c r="DM51" i="4"/>
  <c r="DN51" i="4"/>
  <c r="DO51" i="4"/>
  <c r="DP51" i="4"/>
  <c r="DQ51" i="4"/>
  <c r="DR51" i="4"/>
  <c r="DS51" i="4"/>
  <c r="DT51" i="4"/>
  <c r="DU51" i="4"/>
  <c r="DV51" i="4"/>
  <c r="DW51" i="4"/>
  <c r="DX51" i="4"/>
  <c r="DY51" i="4"/>
  <c r="DZ51" i="4"/>
  <c r="EA51" i="4"/>
  <c r="EB51" i="4"/>
  <c r="EC51" i="4"/>
  <c r="ED51" i="4"/>
  <c r="EE51" i="4"/>
  <c r="EF51" i="4"/>
  <c r="EG51" i="4"/>
  <c r="EH51" i="4"/>
  <c r="EI51" i="4"/>
  <c r="EJ51" i="4"/>
  <c r="EK51" i="4"/>
  <c r="EL51" i="4"/>
  <c r="EM51" i="4"/>
  <c r="EN51" i="4"/>
  <c r="EO51" i="4"/>
  <c r="EP51" i="4"/>
  <c r="EQ51" i="4"/>
  <c r="ER51" i="4"/>
  <c r="ES51" i="4"/>
  <c r="ET51" i="4"/>
  <c r="EU51" i="4"/>
  <c r="EV51" i="4"/>
  <c r="EW51" i="4"/>
  <c r="EX51" i="4"/>
  <c r="EY51" i="4"/>
  <c r="EZ51" i="4"/>
  <c r="FA51" i="4"/>
  <c r="FB51" i="4"/>
  <c r="FC51" i="4"/>
  <c r="FD51" i="4"/>
  <c r="FE51" i="4"/>
  <c r="HJ50" i="4"/>
  <c r="HK50" i="4"/>
  <c r="HL50" i="4"/>
  <c r="HM50" i="4"/>
  <c r="HN50" i="4"/>
  <c r="HO50" i="4"/>
  <c r="HP50" i="4"/>
  <c r="HQ50" i="4"/>
  <c r="HR50" i="4"/>
  <c r="HS50" i="4"/>
  <c r="HT50" i="4"/>
  <c r="HU50" i="4"/>
  <c r="HV50" i="4"/>
  <c r="HW50" i="4"/>
  <c r="HX50" i="4"/>
  <c r="HY50" i="4"/>
  <c r="HZ50" i="4"/>
  <c r="IA50" i="4"/>
  <c r="IB50" i="4"/>
  <c r="IC50" i="4"/>
  <c r="ID50" i="4"/>
  <c r="IE50" i="4"/>
  <c r="IF50" i="4"/>
  <c r="IG50" i="4"/>
  <c r="IH50" i="4"/>
  <c r="II50" i="4"/>
  <c r="IJ50" i="4"/>
  <c r="IK50" i="4"/>
  <c r="IM50" i="4"/>
  <c r="IO50" i="4"/>
  <c r="IQ50" i="4"/>
  <c r="IS50" i="4"/>
  <c r="IU50" i="4"/>
  <c r="ER50" i="4" l="1"/>
  <c r="ES50" i="4"/>
  <c r="ET50" i="4"/>
  <c r="EU50" i="4"/>
  <c r="EV50" i="4"/>
  <c r="EW50" i="4"/>
  <c r="EX50" i="4"/>
  <c r="EY50" i="4"/>
  <c r="EZ50" i="4"/>
  <c r="FA50" i="4"/>
  <c r="FB50" i="4"/>
  <c r="FC50" i="4"/>
  <c r="FD50" i="4"/>
  <c r="FE50" i="4"/>
  <c r="FF50" i="4"/>
  <c r="FG50" i="4"/>
  <c r="FH50" i="4"/>
  <c r="FI50" i="4"/>
  <c r="FJ50" i="4"/>
  <c r="FK50" i="4"/>
  <c r="FL50" i="4"/>
  <c r="FM50" i="4"/>
  <c r="FN50" i="4"/>
  <c r="FO50" i="4"/>
  <c r="FP50" i="4"/>
  <c r="FQ50" i="4"/>
  <c r="FR50" i="4"/>
  <c r="FS50" i="4"/>
  <c r="FT50" i="4"/>
  <c r="FU50" i="4"/>
  <c r="FV50" i="4"/>
  <c r="FW50" i="4"/>
  <c r="FX50" i="4"/>
  <c r="FY50" i="4"/>
  <c r="FZ50" i="4"/>
  <c r="GA50" i="4"/>
  <c r="GB50" i="4"/>
  <c r="GC50" i="4"/>
  <c r="GD50" i="4"/>
  <c r="GE50" i="4"/>
  <c r="GF50" i="4"/>
  <c r="GG50" i="4"/>
  <c r="GH50" i="4"/>
  <c r="GI50" i="4"/>
  <c r="GJ50" i="4"/>
  <c r="GK50" i="4"/>
  <c r="GL50" i="4"/>
  <c r="GM50" i="4"/>
  <c r="GN50" i="4"/>
  <c r="GO50" i="4"/>
  <c r="GP50" i="4"/>
  <c r="GQ50" i="4"/>
  <c r="GR50" i="4"/>
  <c r="GS50" i="4"/>
  <c r="GT50" i="4"/>
  <c r="GU50" i="4"/>
  <c r="GV50" i="4"/>
  <c r="GW50" i="4"/>
  <c r="GX50" i="4"/>
  <c r="GY50" i="4"/>
  <c r="GZ50" i="4"/>
  <c r="HA50" i="4"/>
  <c r="HB50" i="4"/>
  <c r="HC50" i="4"/>
  <c r="HD50" i="4"/>
  <c r="HE50" i="4"/>
  <c r="HF50" i="4"/>
  <c r="HG50" i="4"/>
  <c r="HH50" i="4"/>
  <c r="HI50" i="4"/>
  <c r="DZ50" i="4"/>
  <c r="EA50" i="4"/>
  <c r="EB50" i="4"/>
  <c r="EC50" i="4"/>
  <c r="ED50" i="4"/>
  <c r="EE50" i="4"/>
  <c r="EF50" i="4"/>
  <c r="EG50" i="4"/>
  <c r="EH50" i="4"/>
  <c r="EI50" i="4"/>
  <c r="EJ50" i="4"/>
  <c r="EK50" i="4"/>
  <c r="EL50" i="4"/>
  <c r="EM50" i="4"/>
  <c r="EN50" i="4"/>
  <c r="EO50" i="4"/>
  <c r="EP50" i="4"/>
  <c r="EQ50" i="4"/>
  <c r="J103" i="1"/>
  <c r="J104" i="1"/>
  <c r="J105" i="1"/>
  <c r="J106" i="1"/>
  <c r="IR50" i="4" l="1"/>
  <c r="IP50" i="4"/>
  <c r="IN50" i="4"/>
  <c r="IL50" i="4"/>
  <c r="F50" i="4" l="1"/>
  <c r="G50" i="4"/>
  <c r="H50" i="4"/>
  <c r="J50" i="4"/>
  <c r="K50" i="4"/>
  <c r="L50" i="4"/>
  <c r="M50" i="4"/>
  <c r="N50" i="4"/>
  <c r="O50" i="4"/>
  <c r="P50" i="4"/>
  <c r="Q50" i="4"/>
  <c r="R50" i="4"/>
  <c r="S50" i="4"/>
  <c r="T50" i="4"/>
  <c r="U50" i="4"/>
  <c r="V50" i="4"/>
  <c r="W50" i="4"/>
  <c r="X50" i="4"/>
  <c r="Y50" i="4"/>
  <c r="Z50" i="4"/>
  <c r="AA50" i="4"/>
  <c r="AB50" i="4"/>
  <c r="AC50" i="4"/>
  <c r="AD50" i="4"/>
  <c r="AE50" i="4"/>
  <c r="AG50" i="4"/>
  <c r="AH50" i="4"/>
  <c r="AI50" i="4"/>
  <c r="AJ50" i="4"/>
  <c r="AK50" i="4"/>
  <c r="AL50" i="4"/>
  <c r="AM50" i="4"/>
  <c r="AN50" i="4"/>
  <c r="AO50" i="4"/>
  <c r="AP50" i="4"/>
  <c r="AQ50" i="4"/>
  <c r="AR50" i="4"/>
  <c r="AS50" i="4"/>
  <c r="AT50" i="4"/>
  <c r="AU50" i="4"/>
  <c r="AV50" i="4"/>
  <c r="AW50" i="4"/>
  <c r="AX50" i="4"/>
  <c r="AY50" i="4"/>
  <c r="AZ50" i="4"/>
  <c r="BA50" i="4"/>
  <c r="BB50" i="4"/>
  <c r="BD50" i="4"/>
  <c r="BE50" i="4"/>
  <c r="BF50" i="4"/>
  <c r="BG50" i="4"/>
  <c r="BH50" i="4"/>
  <c r="BI50" i="4"/>
  <c r="BJ50" i="4"/>
  <c r="BK50" i="4"/>
  <c r="BL50" i="4"/>
  <c r="BM50" i="4"/>
  <c r="BN50" i="4"/>
  <c r="BO50" i="4"/>
  <c r="BP50" i="4"/>
  <c r="BQ50" i="4"/>
  <c r="BR50" i="4"/>
  <c r="BS50" i="4"/>
  <c r="BT50" i="4"/>
  <c r="BU50" i="4"/>
  <c r="BV50" i="4"/>
  <c r="BW50" i="4"/>
  <c r="BX50" i="4"/>
  <c r="BY50" i="4"/>
  <c r="CA50" i="4"/>
  <c r="CB50" i="4"/>
  <c r="CC50" i="4"/>
  <c r="CD50" i="4"/>
  <c r="CE50" i="4"/>
  <c r="CF50" i="4"/>
  <c r="CG50" i="4"/>
  <c r="CH50" i="4"/>
  <c r="CI50" i="4"/>
  <c r="CJ50" i="4"/>
  <c r="CK50" i="4"/>
  <c r="CL50" i="4"/>
  <c r="CM50" i="4"/>
  <c r="CN50" i="4"/>
  <c r="CO50" i="4"/>
  <c r="CP50" i="4"/>
  <c r="CQ50" i="4"/>
  <c r="CR50" i="4"/>
  <c r="CS50" i="4"/>
  <c r="CT50" i="4"/>
  <c r="CU50" i="4"/>
  <c r="CV50" i="4"/>
  <c r="CX50" i="4"/>
  <c r="CY50" i="4"/>
  <c r="CZ50" i="4"/>
  <c r="DA50" i="4"/>
  <c r="DB50" i="4"/>
  <c r="DC50" i="4"/>
  <c r="DD50" i="4"/>
  <c r="DE50" i="4"/>
  <c r="DF50" i="4"/>
  <c r="DG50" i="4"/>
  <c r="DH50" i="4"/>
  <c r="DI50" i="4"/>
  <c r="DJ50" i="4"/>
  <c r="DK50" i="4"/>
  <c r="DL50" i="4"/>
  <c r="DM50" i="4"/>
  <c r="DN50" i="4"/>
  <c r="DO50" i="4"/>
  <c r="DP50" i="4"/>
  <c r="DQ50" i="4"/>
  <c r="DR50" i="4"/>
  <c r="DS50" i="4"/>
  <c r="DU50" i="4"/>
  <c r="DV50" i="4"/>
  <c r="DW50" i="4"/>
  <c r="DX50" i="4"/>
  <c r="DY50" i="4"/>
  <c r="GG49" i="4"/>
  <c r="GH49" i="4"/>
  <c r="GI49" i="4"/>
  <c r="GJ49" i="4"/>
  <c r="GK49" i="4"/>
  <c r="GL49" i="4"/>
  <c r="GM49" i="4"/>
  <c r="GN49" i="4"/>
  <c r="GO49" i="4"/>
  <c r="GP49" i="4"/>
  <c r="GQ49" i="4"/>
  <c r="GR49" i="4"/>
  <c r="GS49" i="4"/>
  <c r="GT49" i="4"/>
  <c r="GU49" i="4"/>
  <c r="GV49" i="4"/>
  <c r="GW49" i="4"/>
  <c r="GX49" i="4"/>
  <c r="GY49" i="4"/>
  <c r="GZ49" i="4"/>
  <c r="HA49" i="4"/>
  <c r="HB49" i="4"/>
  <c r="HC49" i="4"/>
  <c r="HD49" i="4"/>
  <c r="HE49" i="4"/>
  <c r="HF49" i="4"/>
  <c r="HG49" i="4"/>
  <c r="HH49" i="4"/>
  <c r="HI49" i="4"/>
  <c r="HJ49" i="4"/>
  <c r="HK49" i="4"/>
  <c r="HL49" i="4"/>
  <c r="HM49" i="4"/>
  <c r="HN49" i="4"/>
  <c r="HO49" i="4"/>
  <c r="HP49" i="4"/>
  <c r="HQ49" i="4"/>
  <c r="HR49" i="4"/>
  <c r="HS49" i="4"/>
  <c r="HT49" i="4"/>
  <c r="HU49" i="4"/>
  <c r="HV49" i="4"/>
  <c r="HW49" i="4"/>
  <c r="HX49" i="4"/>
  <c r="HY49" i="4"/>
  <c r="HZ49" i="4"/>
  <c r="IA49" i="4"/>
  <c r="IB49" i="4"/>
  <c r="ID49" i="4"/>
  <c r="IE49" i="4"/>
  <c r="IF49" i="4"/>
  <c r="IG49" i="4"/>
  <c r="IH49" i="4"/>
  <c r="II49" i="4"/>
  <c r="IJ49" i="4"/>
  <c r="IK49" i="4"/>
  <c r="IL49" i="4"/>
  <c r="IM49" i="4"/>
  <c r="IN49" i="4"/>
  <c r="IO49" i="4"/>
  <c r="IP49" i="4"/>
  <c r="IQ49" i="4"/>
  <c r="IR49" i="4"/>
  <c r="IS49" i="4"/>
  <c r="IT49" i="4"/>
  <c r="IU49" i="4"/>
  <c r="IV49" i="4"/>
  <c r="CW50" i="4"/>
  <c r="BZ50" i="4"/>
  <c r="BC50" i="4"/>
  <c r="AF50" i="4"/>
  <c r="I50" i="4"/>
  <c r="IC49" i="4"/>
  <c r="DT50" i="4"/>
  <c r="F47" i="4" l="1"/>
  <c r="G47" i="4"/>
  <c r="H47" i="4"/>
  <c r="I47" i="4"/>
  <c r="J47" i="4"/>
  <c r="K47" i="4"/>
  <c r="L47" i="4"/>
  <c r="M47" i="4"/>
  <c r="N47" i="4"/>
  <c r="O47" i="4"/>
  <c r="P47" i="4"/>
  <c r="Q47" i="4"/>
  <c r="R47" i="4"/>
  <c r="S47" i="4"/>
  <c r="T47" i="4"/>
  <c r="U47" i="4"/>
  <c r="V47" i="4"/>
  <c r="W47" i="4"/>
  <c r="X47" i="4"/>
  <c r="Y47" i="4"/>
  <c r="Z47" i="4"/>
  <c r="AA47" i="4"/>
  <c r="AB47" i="4"/>
  <c r="AC47" i="4"/>
  <c r="AD47" i="4"/>
  <c r="AE47" i="4"/>
  <c r="AF47" i="4"/>
  <c r="AG47" i="4"/>
  <c r="AH47" i="4"/>
  <c r="AI47" i="4"/>
  <c r="AJ47" i="4"/>
  <c r="AK47" i="4"/>
  <c r="AL47" i="4"/>
  <c r="AM47" i="4"/>
  <c r="AN47" i="4"/>
  <c r="AO47" i="4"/>
  <c r="AP47" i="4"/>
  <c r="AQ47" i="4"/>
  <c r="AR47" i="4"/>
  <c r="AS47" i="4"/>
  <c r="AT47" i="4"/>
  <c r="AU47" i="4"/>
  <c r="AV47" i="4"/>
  <c r="AW47" i="4"/>
  <c r="AX47" i="4"/>
  <c r="AY47" i="4"/>
  <c r="AZ47" i="4"/>
  <c r="BA47" i="4"/>
  <c r="BB47" i="4"/>
  <c r="BC47" i="4"/>
  <c r="BD47" i="4"/>
  <c r="BE47" i="4"/>
  <c r="BF47" i="4"/>
  <c r="BG47" i="4"/>
  <c r="BH47" i="4"/>
  <c r="BI47" i="4"/>
  <c r="BJ47" i="4"/>
  <c r="BK47" i="4"/>
  <c r="BL47" i="4"/>
  <c r="BM47" i="4"/>
  <c r="BN47" i="4"/>
  <c r="BO47" i="4"/>
  <c r="BP47" i="4"/>
  <c r="BQ47" i="4"/>
  <c r="BR47" i="4"/>
  <c r="BS47" i="4"/>
  <c r="BT47" i="4"/>
  <c r="BU47" i="4"/>
  <c r="BV47" i="4"/>
  <c r="BW47" i="4"/>
  <c r="BX47" i="4"/>
  <c r="BY47" i="4"/>
  <c r="BZ47" i="4"/>
  <c r="CA47" i="4"/>
  <c r="CB47" i="4"/>
  <c r="CC47" i="4"/>
  <c r="CD47" i="4"/>
  <c r="CE47" i="4"/>
  <c r="CF47" i="4"/>
  <c r="CG47" i="4"/>
  <c r="CH47" i="4"/>
  <c r="CI47" i="4"/>
  <c r="CJ47" i="4"/>
  <c r="CK47" i="4"/>
  <c r="CL47" i="4"/>
  <c r="CM47" i="4"/>
  <c r="CN47" i="4"/>
  <c r="CO47" i="4"/>
  <c r="CP47" i="4"/>
  <c r="CQ47" i="4"/>
  <c r="CR47" i="4"/>
  <c r="CS47" i="4"/>
  <c r="CT47" i="4"/>
  <c r="CU47" i="4"/>
  <c r="CV47" i="4"/>
  <c r="CW47" i="4"/>
  <c r="CX47" i="4"/>
  <c r="CY47" i="4"/>
  <c r="CZ47" i="4"/>
  <c r="DA47" i="4"/>
  <c r="DB47" i="4"/>
  <c r="DC47" i="4"/>
  <c r="DD47" i="4"/>
  <c r="DE47" i="4"/>
  <c r="DF47" i="4"/>
  <c r="DG47" i="4"/>
  <c r="DH47" i="4"/>
  <c r="DI47" i="4"/>
  <c r="DJ47" i="4"/>
  <c r="DK47" i="4"/>
  <c r="DL47" i="4"/>
  <c r="DM47" i="4"/>
  <c r="DN47" i="4"/>
  <c r="DO47" i="4"/>
  <c r="DP47" i="4"/>
  <c r="DQ47" i="4"/>
  <c r="DR47" i="4"/>
  <c r="DS47" i="4"/>
  <c r="DT47" i="4"/>
  <c r="DU47" i="4"/>
  <c r="DV47" i="4"/>
  <c r="DW47" i="4"/>
  <c r="DX47" i="4"/>
  <c r="DY47" i="4"/>
  <c r="DZ47" i="4"/>
  <c r="EA47" i="4"/>
  <c r="EB47" i="4"/>
  <c r="EC47" i="4"/>
  <c r="ED47" i="4"/>
  <c r="EE47" i="4"/>
  <c r="EF47" i="4"/>
  <c r="EG47" i="4"/>
  <c r="EH47" i="4"/>
  <c r="EI47" i="4"/>
  <c r="EJ47" i="4"/>
  <c r="EK47" i="4"/>
  <c r="EL47" i="4"/>
  <c r="EM47" i="4"/>
  <c r="EN47" i="4"/>
  <c r="EO47" i="4"/>
  <c r="EP47" i="4"/>
  <c r="EQ47" i="4"/>
  <c r="ER47" i="4"/>
  <c r="ES47" i="4"/>
  <c r="ET47" i="4"/>
  <c r="EU47" i="4"/>
  <c r="EV47" i="4"/>
  <c r="EW47" i="4"/>
  <c r="EX47" i="4"/>
  <c r="EY47" i="4"/>
  <c r="EZ47" i="4"/>
  <c r="FA47" i="4"/>
  <c r="FB47" i="4"/>
  <c r="FC47" i="4"/>
  <c r="FD47" i="4"/>
  <c r="FE47" i="4"/>
  <c r="FF47" i="4"/>
  <c r="FG47" i="4"/>
  <c r="FH47" i="4"/>
  <c r="FI47" i="4"/>
  <c r="FJ47" i="4"/>
  <c r="FK47" i="4"/>
  <c r="FL47" i="4"/>
  <c r="FM47" i="4"/>
  <c r="FN47" i="4"/>
  <c r="FO47" i="4"/>
  <c r="FP47" i="4"/>
  <c r="FQ47" i="4"/>
  <c r="FR47" i="4"/>
  <c r="FS47" i="4"/>
  <c r="FT47" i="4"/>
  <c r="FU47" i="4"/>
  <c r="FV47" i="4"/>
  <c r="FW47" i="4"/>
  <c r="FX47" i="4"/>
  <c r="FY47" i="4"/>
  <c r="FZ47" i="4"/>
  <c r="GA47" i="4"/>
  <c r="GB47" i="4"/>
  <c r="GC47" i="4"/>
  <c r="GD47" i="4"/>
  <c r="GE47" i="4"/>
  <c r="GF47" i="4"/>
  <c r="GG47" i="4"/>
  <c r="GH47" i="4"/>
  <c r="GI47" i="4"/>
  <c r="GJ47" i="4"/>
  <c r="GK47" i="4"/>
  <c r="GL47" i="4"/>
  <c r="GM47" i="4"/>
  <c r="GN47" i="4"/>
  <c r="GO47" i="4"/>
  <c r="GP47" i="4"/>
  <c r="GQ47" i="4"/>
  <c r="GR47" i="4"/>
  <c r="GS47" i="4"/>
  <c r="GT47" i="4"/>
  <c r="GU47" i="4"/>
  <c r="GV47" i="4"/>
  <c r="GW47" i="4"/>
  <c r="GX47" i="4"/>
  <c r="GY47" i="4"/>
  <c r="GZ47" i="4"/>
  <c r="HA47" i="4"/>
  <c r="HB47" i="4"/>
  <c r="HC47" i="4"/>
  <c r="HD47" i="4"/>
  <c r="HE47" i="4"/>
  <c r="HF47" i="4"/>
  <c r="HG47" i="4"/>
  <c r="HH47" i="4"/>
  <c r="HI47" i="4"/>
  <c r="HJ47" i="4"/>
  <c r="HK47" i="4"/>
  <c r="HL47" i="4"/>
  <c r="HM47" i="4"/>
  <c r="HN47" i="4"/>
  <c r="HO47" i="4"/>
  <c r="HP47" i="4"/>
  <c r="HQ47" i="4"/>
  <c r="HR47" i="4"/>
  <c r="HS47" i="4"/>
  <c r="HT47" i="4"/>
  <c r="HU47" i="4"/>
  <c r="HV47" i="4"/>
  <c r="HW47" i="4"/>
  <c r="HX47" i="4"/>
  <c r="HY47" i="4"/>
  <c r="HZ47" i="4"/>
  <c r="IA47" i="4"/>
  <c r="IB47" i="4"/>
  <c r="IC47" i="4"/>
  <c r="ID47" i="4"/>
  <c r="IE47" i="4"/>
  <c r="IF47" i="4"/>
  <c r="IG47" i="4"/>
  <c r="IH47" i="4"/>
  <c r="II47" i="4"/>
  <c r="IJ47" i="4"/>
  <c r="IK47" i="4"/>
  <c r="IL47" i="4"/>
  <c r="IM47" i="4"/>
  <c r="IN47" i="4"/>
  <c r="IO47" i="4"/>
  <c r="IP47" i="4"/>
  <c r="IQ47" i="4"/>
  <c r="IR47" i="4"/>
  <c r="IS47" i="4"/>
  <c r="IT47" i="4"/>
  <c r="IU47" i="4"/>
  <c r="IV47" i="4"/>
  <c r="F48" i="4"/>
  <c r="G48" i="4"/>
  <c r="H48" i="4"/>
  <c r="I48" i="4"/>
  <c r="J48" i="4"/>
  <c r="K48" i="4"/>
  <c r="L48" i="4"/>
  <c r="M48" i="4"/>
  <c r="N48" i="4"/>
  <c r="O48" i="4"/>
  <c r="P48" i="4"/>
  <c r="Q48" i="4"/>
  <c r="R48" i="4"/>
  <c r="S48" i="4"/>
  <c r="T48" i="4"/>
  <c r="U48" i="4"/>
  <c r="V48" i="4"/>
  <c r="W48" i="4"/>
  <c r="X48" i="4"/>
  <c r="Y48" i="4"/>
  <c r="Z48" i="4"/>
  <c r="AA48" i="4"/>
  <c r="AB48" i="4"/>
  <c r="AC48" i="4"/>
  <c r="AD48" i="4"/>
  <c r="AE48" i="4"/>
  <c r="AF48" i="4"/>
  <c r="AG48" i="4"/>
  <c r="AH48" i="4"/>
  <c r="AI48" i="4"/>
  <c r="AJ48" i="4"/>
  <c r="AK48" i="4"/>
  <c r="AL48" i="4"/>
  <c r="AM48" i="4"/>
  <c r="AN48" i="4"/>
  <c r="AO48" i="4"/>
  <c r="AP48" i="4"/>
  <c r="AQ48" i="4"/>
  <c r="AR48" i="4"/>
  <c r="AS48" i="4"/>
  <c r="AT48" i="4"/>
  <c r="AU48" i="4"/>
  <c r="AV48" i="4"/>
  <c r="AW48" i="4"/>
  <c r="AX48" i="4"/>
  <c r="AY48" i="4"/>
  <c r="AZ48" i="4"/>
  <c r="BA48" i="4"/>
  <c r="BB48" i="4"/>
  <c r="BC48" i="4"/>
  <c r="BD48" i="4"/>
  <c r="BE48" i="4"/>
  <c r="BF48" i="4"/>
  <c r="BG48" i="4"/>
  <c r="BH48" i="4"/>
  <c r="BI48" i="4"/>
  <c r="BJ48" i="4"/>
  <c r="BK48" i="4"/>
  <c r="BL48" i="4"/>
  <c r="BM48" i="4"/>
  <c r="BN48" i="4"/>
  <c r="BO48" i="4"/>
  <c r="BP48" i="4"/>
  <c r="BQ48" i="4"/>
  <c r="BR48" i="4"/>
  <c r="BS48" i="4"/>
  <c r="BT48" i="4"/>
  <c r="BU48" i="4"/>
  <c r="BV48" i="4"/>
  <c r="BW48" i="4"/>
  <c r="BX48" i="4"/>
  <c r="BY48" i="4"/>
  <c r="BZ48" i="4"/>
  <c r="CA48" i="4"/>
  <c r="CB48" i="4"/>
  <c r="CC48" i="4"/>
  <c r="CD48" i="4"/>
  <c r="CE48" i="4"/>
  <c r="CF48" i="4"/>
  <c r="CG48" i="4"/>
  <c r="CH48" i="4"/>
  <c r="CI48" i="4"/>
  <c r="CJ48" i="4"/>
  <c r="CK48" i="4"/>
  <c r="CL48" i="4"/>
  <c r="CM48" i="4"/>
  <c r="CN48" i="4"/>
  <c r="CO48" i="4"/>
  <c r="CP48" i="4"/>
  <c r="CQ48" i="4"/>
  <c r="CR48" i="4"/>
  <c r="CS48" i="4"/>
  <c r="CT48" i="4"/>
  <c r="CU48" i="4"/>
  <c r="CV48" i="4"/>
  <c r="CW48" i="4"/>
  <c r="CX48" i="4"/>
  <c r="CY48" i="4"/>
  <c r="CZ48" i="4"/>
  <c r="DA48" i="4"/>
  <c r="DB48" i="4"/>
  <c r="DC48" i="4"/>
  <c r="DD48" i="4"/>
  <c r="DE48" i="4"/>
  <c r="DF48" i="4"/>
  <c r="DG48" i="4"/>
  <c r="DH48" i="4"/>
  <c r="DI48" i="4"/>
  <c r="DJ48" i="4"/>
  <c r="DK48" i="4"/>
  <c r="DL48" i="4"/>
  <c r="DM48" i="4"/>
  <c r="DN48" i="4"/>
  <c r="DO48" i="4"/>
  <c r="DP48" i="4"/>
  <c r="DQ48" i="4"/>
  <c r="DR48" i="4"/>
  <c r="DS48" i="4"/>
  <c r="DT48" i="4"/>
  <c r="DU48" i="4"/>
  <c r="DV48" i="4"/>
  <c r="DW48" i="4"/>
  <c r="DX48" i="4"/>
  <c r="DY48" i="4"/>
  <c r="DZ48" i="4"/>
  <c r="EA48" i="4"/>
  <c r="EB48" i="4"/>
  <c r="EC48" i="4"/>
  <c r="ED48" i="4"/>
  <c r="EE48" i="4"/>
  <c r="EF48" i="4"/>
  <c r="EG48" i="4"/>
  <c r="EH48" i="4"/>
  <c r="EI48" i="4"/>
  <c r="EJ48" i="4"/>
  <c r="EK48" i="4"/>
  <c r="EL48" i="4"/>
  <c r="EM48" i="4"/>
  <c r="EN48" i="4"/>
  <c r="EO48" i="4"/>
  <c r="EP48" i="4"/>
  <c r="EQ48" i="4"/>
  <c r="ER48" i="4"/>
  <c r="ES48" i="4"/>
  <c r="ET48" i="4"/>
  <c r="EU48" i="4"/>
  <c r="EV48" i="4"/>
  <c r="EW48" i="4"/>
  <c r="EX48" i="4"/>
  <c r="EY48" i="4"/>
  <c r="EZ48" i="4"/>
  <c r="FA48" i="4"/>
  <c r="FB48" i="4"/>
  <c r="FC48" i="4"/>
  <c r="FD48" i="4"/>
  <c r="FE48" i="4"/>
  <c r="FF48" i="4"/>
  <c r="FG48" i="4"/>
  <c r="FH48" i="4"/>
  <c r="FI48" i="4"/>
  <c r="FJ48" i="4"/>
  <c r="FK48" i="4"/>
  <c r="FL48" i="4"/>
  <c r="FM48" i="4"/>
  <c r="FN48" i="4"/>
  <c r="FO48" i="4"/>
  <c r="FP48" i="4"/>
  <c r="FQ48" i="4"/>
  <c r="FR48" i="4"/>
  <c r="FS48" i="4"/>
  <c r="FT48" i="4"/>
  <c r="FU48" i="4"/>
  <c r="FV48" i="4"/>
  <c r="FW48" i="4"/>
  <c r="FX48" i="4"/>
  <c r="FY48" i="4"/>
  <c r="FZ48" i="4"/>
  <c r="GA48" i="4"/>
  <c r="GB48" i="4"/>
  <c r="GC48" i="4"/>
  <c r="GD48" i="4"/>
  <c r="GE48" i="4"/>
  <c r="GF48" i="4"/>
  <c r="GG48" i="4"/>
  <c r="GH48" i="4"/>
  <c r="GI48" i="4"/>
  <c r="GJ48" i="4"/>
  <c r="GK48" i="4"/>
  <c r="GL48" i="4"/>
  <c r="GM48" i="4"/>
  <c r="GN48" i="4"/>
  <c r="GO48" i="4"/>
  <c r="GP48" i="4"/>
  <c r="GQ48" i="4"/>
  <c r="GR48" i="4"/>
  <c r="GS48" i="4"/>
  <c r="GT48" i="4"/>
  <c r="GU48" i="4"/>
  <c r="GV48" i="4"/>
  <c r="GW48" i="4"/>
  <c r="GX48" i="4"/>
  <c r="GY48" i="4"/>
  <c r="GZ48" i="4"/>
  <c r="HA48" i="4"/>
  <c r="HB48" i="4"/>
  <c r="HC48" i="4"/>
  <c r="HD48" i="4"/>
  <c r="HE48" i="4"/>
  <c r="HF48" i="4"/>
  <c r="HG48" i="4"/>
  <c r="HH48" i="4"/>
  <c r="HI48" i="4"/>
  <c r="HJ48" i="4"/>
  <c r="HK48" i="4"/>
  <c r="HL48" i="4"/>
  <c r="HM48" i="4"/>
  <c r="HN48" i="4"/>
  <c r="HO48" i="4"/>
  <c r="HP48" i="4"/>
  <c r="HQ48" i="4"/>
  <c r="HR48" i="4"/>
  <c r="HS48" i="4"/>
  <c r="HT48" i="4"/>
  <c r="HU48" i="4"/>
  <c r="HV48" i="4"/>
  <c r="HW48" i="4"/>
  <c r="HX48" i="4"/>
  <c r="HY48" i="4"/>
  <c r="HZ48" i="4"/>
  <c r="IA48" i="4"/>
  <c r="IB48" i="4"/>
  <c r="IC48" i="4"/>
  <c r="ID48" i="4"/>
  <c r="IE48" i="4"/>
  <c r="IF48" i="4"/>
  <c r="IG48" i="4"/>
  <c r="IH48" i="4"/>
  <c r="II48" i="4"/>
  <c r="IJ48" i="4"/>
  <c r="IK48" i="4"/>
  <c r="IL48" i="4"/>
  <c r="IM48" i="4"/>
  <c r="IN48" i="4"/>
  <c r="IO48" i="4"/>
  <c r="IP48" i="4"/>
  <c r="IQ48" i="4"/>
  <c r="IR48" i="4"/>
  <c r="IS48" i="4"/>
  <c r="IT48" i="4"/>
  <c r="IU48" i="4"/>
  <c r="IV48" i="4"/>
  <c r="F49" i="4"/>
  <c r="G49" i="4"/>
  <c r="H49" i="4"/>
  <c r="I49" i="4"/>
  <c r="J49" i="4"/>
  <c r="K49" i="4"/>
  <c r="L49" i="4"/>
  <c r="M49" i="4"/>
  <c r="N49" i="4"/>
  <c r="O49" i="4"/>
  <c r="P49" i="4"/>
  <c r="Q49" i="4"/>
  <c r="R49" i="4"/>
  <c r="S49" i="4"/>
  <c r="T49" i="4"/>
  <c r="U49" i="4"/>
  <c r="V49" i="4"/>
  <c r="W49" i="4"/>
  <c r="X49" i="4"/>
  <c r="Y49" i="4"/>
  <c r="Z49" i="4"/>
  <c r="AA49" i="4"/>
  <c r="AB49" i="4"/>
  <c r="AC49" i="4"/>
  <c r="AD49" i="4"/>
  <c r="AE49" i="4"/>
  <c r="AF49" i="4"/>
  <c r="AG49" i="4"/>
  <c r="AH49" i="4"/>
  <c r="AI49" i="4"/>
  <c r="AJ49" i="4"/>
  <c r="AK49" i="4"/>
  <c r="AL49" i="4"/>
  <c r="AM49" i="4"/>
  <c r="AN49" i="4"/>
  <c r="AO49" i="4"/>
  <c r="AP49" i="4"/>
  <c r="AQ49" i="4"/>
  <c r="AR49" i="4"/>
  <c r="AS49" i="4"/>
  <c r="AT49" i="4"/>
  <c r="AU49" i="4"/>
  <c r="AV49" i="4"/>
  <c r="AW49" i="4"/>
  <c r="AX49" i="4"/>
  <c r="AY49" i="4"/>
  <c r="AZ49" i="4"/>
  <c r="BA49" i="4"/>
  <c r="BB49" i="4"/>
  <c r="BC49" i="4"/>
  <c r="BD49" i="4"/>
  <c r="BE49" i="4"/>
  <c r="BF49" i="4"/>
  <c r="BG49" i="4"/>
  <c r="BH49" i="4"/>
  <c r="BI49" i="4"/>
  <c r="BJ49" i="4"/>
  <c r="BK49" i="4"/>
  <c r="BL49" i="4"/>
  <c r="BM49" i="4"/>
  <c r="BN49" i="4"/>
  <c r="BO49" i="4"/>
  <c r="BP49" i="4"/>
  <c r="BQ49" i="4"/>
  <c r="BR49" i="4"/>
  <c r="BS49" i="4"/>
  <c r="BT49" i="4"/>
  <c r="BU49" i="4"/>
  <c r="BV49" i="4"/>
  <c r="BW49" i="4"/>
  <c r="BX49" i="4"/>
  <c r="BY49" i="4"/>
  <c r="BZ49" i="4"/>
  <c r="CA49" i="4"/>
  <c r="CB49" i="4"/>
  <c r="CC49" i="4"/>
  <c r="CD49" i="4"/>
  <c r="CE49" i="4"/>
  <c r="CF49" i="4"/>
  <c r="CG49" i="4"/>
  <c r="CH49" i="4"/>
  <c r="CI49" i="4"/>
  <c r="CJ49" i="4"/>
  <c r="CK49" i="4"/>
  <c r="CL49" i="4"/>
  <c r="CM49" i="4"/>
  <c r="CN49" i="4"/>
  <c r="CO49" i="4"/>
  <c r="CP49" i="4"/>
  <c r="CQ49" i="4"/>
  <c r="CR49" i="4"/>
  <c r="CS49" i="4"/>
  <c r="CT49" i="4"/>
  <c r="CU49" i="4"/>
  <c r="CV49" i="4"/>
  <c r="CW49" i="4"/>
  <c r="CX49" i="4"/>
  <c r="CY49" i="4"/>
  <c r="CZ49" i="4"/>
  <c r="DA49" i="4"/>
  <c r="DB49" i="4"/>
  <c r="DC49" i="4"/>
  <c r="DD49" i="4"/>
  <c r="DE49" i="4"/>
  <c r="DF49" i="4"/>
  <c r="DG49" i="4"/>
  <c r="DH49" i="4"/>
  <c r="DI49" i="4"/>
  <c r="DJ49" i="4"/>
  <c r="DK49" i="4"/>
  <c r="DL49" i="4"/>
  <c r="DM49" i="4"/>
  <c r="DN49" i="4"/>
  <c r="DO49" i="4"/>
  <c r="DP49" i="4"/>
  <c r="DQ49" i="4"/>
  <c r="DR49" i="4"/>
  <c r="DS49" i="4"/>
  <c r="DT49" i="4"/>
  <c r="DU49" i="4"/>
  <c r="DV49" i="4"/>
  <c r="DW49" i="4"/>
  <c r="DX49" i="4"/>
  <c r="DY49" i="4"/>
  <c r="DZ49" i="4"/>
  <c r="EA49" i="4"/>
  <c r="EB49" i="4"/>
  <c r="EC49" i="4"/>
  <c r="ED49" i="4"/>
  <c r="EE49" i="4"/>
  <c r="EF49" i="4"/>
  <c r="EG49" i="4"/>
  <c r="EH49" i="4"/>
  <c r="EI49" i="4"/>
  <c r="EJ49" i="4"/>
  <c r="EK49" i="4"/>
  <c r="EL49" i="4"/>
  <c r="EM49" i="4"/>
  <c r="EN49" i="4"/>
  <c r="EO49" i="4"/>
  <c r="EP49" i="4"/>
  <c r="EQ49" i="4"/>
  <c r="ER49" i="4"/>
  <c r="ES49" i="4"/>
  <c r="ET49" i="4"/>
  <c r="EU49" i="4"/>
  <c r="EV49" i="4"/>
  <c r="EW49" i="4"/>
  <c r="EX49" i="4"/>
  <c r="EY49" i="4"/>
  <c r="EZ49" i="4"/>
  <c r="FA49" i="4"/>
  <c r="FB49" i="4"/>
  <c r="FC49" i="4"/>
  <c r="FD49" i="4"/>
  <c r="FE49" i="4"/>
  <c r="FF49" i="4"/>
  <c r="FG49" i="4"/>
  <c r="FH49" i="4"/>
  <c r="FI49" i="4"/>
  <c r="FJ49" i="4"/>
  <c r="FK49" i="4"/>
  <c r="FL49" i="4"/>
  <c r="FM49" i="4"/>
  <c r="FN49" i="4"/>
  <c r="FO49" i="4"/>
  <c r="FP49" i="4"/>
  <c r="FQ49" i="4"/>
  <c r="FR49" i="4"/>
  <c r="FS49" i="4"/>
  <c r="FT49" i="4"/>
  <c r="FU49" i="4"/>
  <c r="FV49" i="4"/>
  <c r="FW49" i="4"/>
  <c r="FX49" i="4"/>
  <c r="FY49" i="4"/>
  <c r="FZ49" i="4"/>
  <c r="GA49" i="4"/>
  <c r="GB49" i="4"/>
  <c r="GC49" i="4"/>
  <c r="GD49" i="4"/>
  <c r="GE49" i="4"/>
  <c r="GF49" i="4"/>
  <c r="DA46" i="4"/>
  <c r="DB46" i="4"/>
  <c r="DC46" i="4"/>
  <c r="DD46" i="4"/>
  <c r="DE46" i="4"/>
  <c r="DF46" i="4"/>
  <c r="DG46" i="4"/>
  <c r="DH46" i="4"/>
  <c r="DI46" i="4"/>
  <c r="DJ46" i="4"/>
  <c r="DK46" i="4"/>
  <c r="DL46" i="4"/>
  <c r="DM46" i="4"/>
  <c r="DN46" i="4"/>
  <c r="DO46" i="4"/>
  <c r="DP46" i="4"/>
  <c r="DQ46" i="4"/>
  <c r="DR46" i="4"/>
  <c r="DS46" i="4"/>
  <c r="DT46" i="4"/>
  <c r="DU46" i="4"/>
  <c r="DV46" i="4"/>
  <c r="DW46" i="4"/>
  <c r="DX46" i="4"/>
  <c r="DY46" i="4"/>
  <c r="DZ46" i="4"/>
  <c r="EA46" i="4"/>
  <c r="EB46" i="4"/>
  <c r="EC46" i="4"/>
  <c r="ED46" i="4"/>
  <c r="EE46" i="4"/>
  <c r="EF46" i="4"/>
  <c r="EG46" i="4"/>
  <c r="EH46" i="4"/>
  <c r="EI46" i="4"/>
  <c r="EJ46" i="4"/>
  <c r="EK46" i="4"/>
  <c r="EL46" i="4"/>
  <c r="EM46" i="4"/>
  <c r="EN46" i="4"/>
  <c r="EO46" i="4"/>
  <c r="EP46" i="4"/>
  <c r="EQ46" i="4"/>
  <c r="ER46" i="4"/>
  <c r="ES46" i="4"/>
  <c r="ET46" i="4"/>
  <c r="EU46" i="4"/>
  <c r="EV46" i="4"/>
  <c r="EW46" i="4"/>
  <c r="EX46" i="4"/>
  <c r="EY46" i="4"/>
  <c r="EZ46" i="4"/>
  <c r="FA46" i="4"/>
  <c r="FB46" i="4"/>
  <c r="FC46" i="4"/>
  <c r="FD46" i="4"/>
  <c r="FE46" i="4"/>
  <c r="FF46" i="4"/>
  <c r="FG46" i="4"/>
  <c r="FH46" i="4"/>
  <c r="FI46" i="4"/>
  <c r="FJ46" i="4"/>
  <c r="FK46" i="4"/>
  <c r="FL46" i="4"/>
  <c r="FM46" i="4"/>
  <c r="FN46" i="4"/>
  <c r="FO46" i="4"/>
  <c r="FP46" i="4"/>
  <c r="FQ46" i="4"/>
  <c r="FR46" i="4"/>
  <c r="FS46" i="4"/>
  <c r="FT46" i="4"/>
  <c r="FU46" i="4"/>
  <c r="FV46" i="4"/>
  <c r="FW46" i="4"/>
  <c r="FX46" i="4"/>
  <c r="FY46" i="4"/>
  <c r="FZ46" i="4"/>
  <c r="GA46" i="4"/>
  <c r="GB46" i="4"/>
  <c r="GC46" i="4"/>
  <c r="GD46" i="4"/>
  <c r="GE46" i="4"/>
  <c r="GF46" i="4"/>
  <c r="GG46" i="4"/>
  <c r="GH46" i="4"/>
  <c r="GI46" i="4"/>
  <c r="GJ46" i="4"/>
  <c r="GK46" i="4"/>
  <c r="GL46" i="4"/>
  <c r="GM46" i="4"/>
  <c r="GN46" i="4"/>
  <c r="GO46" i="4"/>
  <c r="GP46" i="4"/>
  <c r="GQ46" i="4"/>
  <c r="GR46" i="4"/>
  <c r="GS46" i="4"/>
  <c r="GT46" i="4"/>
  <c r="GU46" i="4"/>
  <c r="GV46" i="4"/>
  <c r="GW46" i="4"/>
  <c r="GX46" i="4"/>
  <c r="GY46" i="4"/>
  <c r="GZ46" i="4"/>
  <c r="HA46" i="4"/>
  <c r="HB46" i="4"/>
  <c r="HC46" i="4"/>
  <c r="HD46" i="4"/>
  <c r="HE46" i="4"/>
  <c r="HF46" i="4"/>
  <c r="HG46" i="4"/>
  <c r="HH46" i="4"/>
  <c r="HI46" i="4"/>
  <c r="HJ46" i="4"/>
  <c r="HK46" i="4"/>
  <c r="HL46" i="4"/>
  <c r="HM46" i="4"/>
  <c r="HN46" i="4"/>
  <c r="HO46" i="4"/>
  <c r="HP46" i="4"/>
  <c r="HQ46" i="4"/>
  <c r="HR46" i="4"/>
  <c r="HS46" i="4"/>
  <c r="HT46" i="4"/>
  <c r="HU46" i="4"/>
  <c r="HV46" i="4"/>
  <c r="HW46" i="4"/>
  <c r="HX46" i="4"/>
  <c r="HY46" i="4"/>
  <c r="HZ46" i="4"/>
  <c r="IA46" i="4"/>
  <c r="IB46" i="4"/>
  <c r="IC46" i="4"/>
  <c r="ID46" i="4"/>
  <c r="IE46" i="4"/>
  <c r="IF46" i="4"/>
  <c r="IG46" i="4"/>
  <c r="IH46" i="4"/>
  <c r="II46" i="4"/>
  <c r="IJ46" i="4"/>
  <c r="IK46" i="4"/>
  <c r="IL46" i="4"/>
  <c r="IM46" i="4"/>
  <c r="IN46" i="4"/>
  <c r="IO46" i="4"/>
  <c r="IP46" i="4"/>
  <c r="IQ46" i="4"/>
  <c r="IR46" i="4"/>
  <c r="IS46" i="4"/>
  <c r="IT46" i="4"/>
  <c r="IU46" i="4"/>
  <c r="IV46" i="4"/>
  <c r="F44" i="4" l="1"/>
  <c r="G44" i="4"/>
  <c r="H44" i="4"/>
  <c r="I44" i="4"/>
  <c r="J44" i="4"/>
  <c r="L44" i="4"/>
  <c r="M44" i="4"/>
  <c r="O44" i="4"/>
  <c r="P44" i="4"/>
  <c r="Q44" i="4"/>
  <c r="R44" i="4"/>
  <c r="S44" i="4"/>
  <c r="T44" i="4"/>
  <c r="U44" i="4"/>
  <c r="V44" i="4"/>
  <c r="W44" i="4"/>
  <c r="X44" i="4"/>
  <c r="Y44" i="4"/>
  <c r="Z44" i="4"/>
  <c r="AA44" i="4"/>
  <c r="AB44" i="4"/>
  <c r="AC44" i="4"/>
  <c r="AD44" i="4"/>
  <c r="AE44" i="4"/>
  <c r="AF44" i="4"/>
  <c r="AG44" i="4"/>
  <c r="AI44" i="4"/>
  <c r="AJ44" i="4"/>
  <c r="AL44" i="4"/>
  <c r="AM44" i="4"/>
  <c r="AN44" i="4"/>
  <c r="AO44" i="4"/>
  <c r="AP44" i="4"/>
  <c r="AQ44" i="4"/>
  <c r="AR44" i="4"/>
  <c r="AS44" i="4"/>
  <c r="AT44" i="4"/>
  <c r="AU44" i="4"/>
  <c r="AV44" i="4"/>
  <c r="AW44" i="4"/>
  <c r="AX44" i="4"/>
  <c r="AY44" i="4"/>
  <c r="AZ44" i="4"/>
  <c r="BA44" i="4"/>
  <c r="BB44" i="4"/>
  <c r="BC44" i="4"/>
  <c r="BD44" i="4"/>
  <c r="BE44" i="4"/>
  <c r="BG44" i="4"/>
  <c r="BH44" i="4"/>
  <c r="BJ44" i="4"/>
  <c r="BK44" i="4"/>
  <c r="BL44" i="4"/>
  <c r="BM44" i="4"/>
  <c r="BN44" i="4"/>
  <c r="BO44" i="4"/>
  <c r="BP44" i="4"/>
  <c r="BQ44" i="4"/>
  <c r="BR44" i="4"/>
  <c r="BS44" i="4"/>
  <c r="BT44" i="4"/>
  <c r="BU44" i="4"/>
  <c r="BV44" i="4"/>
  <c r="BW44" i="4"/>
  <c r="BX44" i="4"/>
  <c r="BY44" i="4"/>
  <c r="BZ44" i="4"/>
  <c r="CA44" i="4"/>
  <c r="CB44" i="4"/>
  <c r="CD44" i="4"/>
  <c r="CE44" i="4"/>
  <c r="CG44" i="4"/>
  <c r="CH44" i="4"/>
  <c r="CI44" i="4"/>
  <c r="CJ44" i="4"/>
  <c r="CK44" i="4"/>
  <c r="CL44" i="4"/>
  <c r="CM44" i="4"/>
  <c r="CN44" i="4"/>
  <c r="CO44" i="4"/>
  <c r="CP44" i="4"/>
  <c r="CQ44" i="4"/>
  <c r="CR44" i="4"/>
  <c r="CS44" i="4"/>
  <c r="CT44" i="4"/>
  <c r="CU44" i="4"/>
  <c r="CV44" i="4"/>
  <c r="CW44" i="4"/>
  <c r="CX44" i="4"/>
  <c r="CY44" i="4"/>
  <c r="DA44" i="4"/>
  <c r="DB44" i="4"/>
  <c r="DD44" i="4"/>
  <c r="DE44" i="4"/>
  <c r="DF44" i="4"/>
  <c r="DG44" i="4"/>
  <c r="DH44" i="4"/>
  <c r="DI44" i="4"/>
  <c r="DJ44" i="4"/>
  <c r="DK44" i="4"/>
  <c r="DL44" i="4"/>
  <c r="DM44" i="4"/>
  <c r="DN44" i="4"/>
  <c r="DO44" i="4"/>
  <c r="DP44" i="4"/>
  <c r="DQ44" i="4"/>
  <c r="DR44" i="4"/>
  <c r="DS44" i="4"/>
  <c r="DT44" i="4"/>
  <c r="DU44" i="4"/>
  <c r="DV44" i="4"/>
  <c r="DX44" i="4"/>
  <c r="DY44" i="4"/>
  <c r="EA44" i="4"/>
  <c r="EB44" i="4"/>
  <c r="EC44" i="4"/>
  <c r="ED44" i="4"/>
  <c r="EE44" i="4"/>
  <c r="EF44" i="4"/>
  <c r="EG44" i="4"/>
  <c r="EH44" i="4"/>
  <c r="EI44" i="4"/>
  <c r="EJ44" i="4"/>
  <c r="EK44" i="4"/>
  <c r="EL44" i="4"/>
  <c r="EM44" i="4"/>
  <c r="EN44" i="4"/>
  <c r="EO44" i="4"/>
  <c r="EP44" i="4"/>
  <c r="EQ44" i="4"/>
  <c r="ER44" i="4"/>
  <c r="ES44" i="4"/>
  <c r="EU44" i="4"/>
  <c r="EV44" i="4"/>
  <c r="EX44" i="4"/>
  <c r="EY44" i="4"/>
  <c r="EZ44" i="4"/>
  <c r="FA44" i="4"/>
  <c r="FB44" i="4"/>
  <c r="FC44" i="4"/>
  <c r="FD44" i="4"/>
  <c r="FE44" i="4"/>
  <c r="FF44" i="4"/>
  <c r="FG44" i="4"/>
  <c r="FH44" i="4"/>
  <c r="FI44" i="4"/>
  <c r="FJ44" i="4"/>
  <c r="FK44" i="4"/>
  <c r="FL44" i="4"/>
  <c r="FM44" i="4"/>
  <c r="FN44" i="4"/>
  <c r="FO44" i="4"/>
  <c r="FP44" i="4"/>
  <c r="FR44" i="4"/>
  <c r="FS44" i="4"/>
  <c r="FU44" i="4"/>
  <c r="FV44" i="4"/>
  <c r="FW44" i="4"/>
  <c r="FX44" i="4"/>
  <c r="FY44" i="4"/>
  <c r="FZ44" i="4"/>
  <c r="GA44" i="4"/>
  <c r="GB44" i="4"/>
  <c r="GC44" i="4"/>
  <c r="GD44" i="4"/>
  <c r="GE44" i="4"/>
  <c r="GF44" i="4"/>
  <c r="GG44" i="4"/>
  <c r="GH44" i="4"/>
  <c r="GI44" i="4"/>
  <c r="GJ44" i="4"/>
  <c r="GK44" i="4"/>
  <c r="GL44" i="4"/>
  <c r="GM44" i="4"/>
  <c r="GO44" i="4"/>
  <c r="GP44" i="4"/>
  <c r="GR44" i="4"/>
  <c r="GS44" i="4"/>
  <c r="GT44" i="4"/>
  <c r="GU44" i="4"/>
  <c r="GV44" i="4"/>
  <c r="GW44" i="4"/>
  <c r="GX44" i="4"/>
  <c r="GY44" i="4"/>
  <c r="GZ44" i="4"/>
  <c r="HA44" i="4"/>
  <c r="HB44" i="4"/>
  <c r="HC44" i="4"/>
  <c r="HD44" i="4"/>
  <c r="HE44" i="4"/>
  <c r="HF44" i="4"/>
  <c r="HG44" i="4"/>
  <c r="HH44" i="4"/>
  <c r="HI44" i="4"/>
  <c r="HJ44" i="4"/>
  <c r="HL44" i="4"/>
  <c r="HM44" i="4"/>
  <c r="HO44" i="4"/>
  <c r="HP44" i="4"/>
  <c r="HQ44" i="4"/>
  <c r="HR44" i="4"/>
  <c r="HS44" i="4"/>
  <c r="HT44" i="4"/>
  <c r="HU44" i="4"/>
  <c r="HV44" i="4"/>
  <c r="HW44" i="4"/>
  <c r="HX44" i="4"/>
  <c r="HY44" i="4"/>
  <c r="HZ44" i="4"/>
  <c r="IA44" i="4"/>
  <c r="IB44" i="4"/>
  <c r="IC44" i="4"/>
  <c r="ID44" i="4"/>
  <c r="IE44" i="4"/>
  <c r="IF44" i="4"/>
  <c r="IG44" i="4"/>
  <c r="II44" i="4"/>
  <c r="IJ44" i="4"/>
  <c r="IL44" i="4"/>
  <c r="IM44" i="4"/>
  <c r="IN44" i="4"/>
  <c r="IO44" i="4"/>
  <c r="IP44" i="4"/>
  <c r="IQ44" i="4"/>
  <c r="IR44" i="4"/>
  <c r="IS44" i="4"/>
  <c r="IT44" i="4"/>
  <c r="IU44" i="4"/>
  <c r="IV44" i="4"/>
  <c r="F45" i="4"/>
  <c r="G45" i="4"/>
  <c r="H45" i="4"/>
  <c r="I45" i="4"/>
  <c r="J45" i="4"/>
  <c r="K45" i="4"/>
  <c r="L45" i="4"/>
  <c r="M45" i="4"/>
  <c r="O45" i="4"/>
  <c r="P45" i="4"/>
  <c r="R45" i="4"/>
  <c r="S45" i="4"/>
  <c r="T45" i="4"/>
  <c r="U45" i="4"/>
  <c r="V45" i="4"/>
  <c r="W45" i="4"/>
  <c r="X45" i="4"/>
  <c r="Y45" i="4"/>
  <c r="Z45" i="4"/>
  <c r="AA45" i="4"/>
  <c r="AB45" i="4"/>
  <c r="AC45" i="4"/>
  <c r="AD45" i="4"/>
  <c r="AE45" i="4"/>
  <c r="AF45" i="4"/>
  <c r="AG45" i="4"/>
  <c r="AH45" i="4"/>
  <c r="AI45" i="4"/>
  <c r="AJ45" i="4"/>
  <c r="AL45" i="4"/>
  <c r="AM45" i="4"/>
  <c r="AO45" i="4"/>
  <c r="AP45" i="4"/>
  <c r="AQ45" i="4"/>
  <c r="AR45" i="4"/>
  <c r="AS45" i="4"/>
  <c r="AT45" i="4"/>
  <c r="AU45" i="4"/>
  <c r="AV45" i="4"/>
  <c r="AW45" i="4"/>
  <c r="AX45" i="4"/>
  <c r="AY45" i="4"/>
  <c r="AZ45" i="4"/>
  <c r="BA45" i="4"/>
  <c r="BB45" i="4"/>
  <c r="BC45" i="4"/>
  <c r="BD45" i="4"/>
  <c r="BE45" i="4"/>
  <c r="BF45" i="4"/>
  <c r="BG45" i="4"/>
  <c r="BI45" i="4"/>
  <c r="BJ45" i="4"/>
  <c r="BL45" i="4"/>
  <c r="BM45" i="4"/>
  <c r="BN45" i="4"/>
  <c r="BO45" i="4"/>
  <c r="BP45" i="4"/>
  <c r="BQ45" i="4"/>
  <c r="BR45" i="4"/>
  <c r="BS45" i="4"/>
  <c r="BT45" i="4"/>
  <c r="BU45" i="4"/>
  <c r="BV45" i="4"/>
  <c r="BW45" i="4"/>
  <c r="BX45" i="4"/>
  <c r="BY45" i="4"/>
  <c r="BZ45" i="4"/>
  <c r="CA45" i="4"/>
  <c r="CB45" i="4"/>
  <c r="CC45" i="4"/>
  <c r="CD45" i="4"/>
  <c r="CF45" i="4"/>
  <c r="CG45" i="4"/>
  <c r="CI45" i="4"/>
  <c r="CJ45" i="4"/>
  <c r="CK45" i="4"/>
  <c r="CL45" i="4"/>
  <c r="CM45" i="4"/>
  <c r="CN45" i="4"/>
  <c r="CO45" i="4"/>
  <c r="CP45" i="4"/>
  <c r="CQ45" i="4"/>
  <c r="CR45" i="4"/>
  <c r="CS45" i="4"/>
  <c r="CT45" i="4"/>
  <c r="CU45" i="4"/>
  <c r="CV45" i="4"/>
  <c r="CW45" i="4"/>
  <c r="CX45" i="4"/>
  <c r="CY45" i="4"/>
  <c r="CZ45" i="4"/>
  <c r="DA45" i="4"/>
  <c r="DC45" i="4"/>
  <c r="DD45" i="4"/>
  <c r="DF45" i="4"/>
  <c r="DG45" i="4"/>
  <c r="DH45" i="4"/>
  <c r="DI45" i="4"/>
  <c r="DJ45" i="4"/>
  <c r="DK45" i="4"/>
  <c r="DL45" i="4"/>
  <c r="DM45" i="4"/>
  <c r="DN45" i="4"/>
  <c r="DO45" i="4"/>
  <c r="DP45" i="4"/>
  <c r="DQ45" i="4"/>
  <c r="DR45" i="4"/>
  <c r="DS45" i="4"/>
  <c r="DT45" i="4"/>
  <c r="DU45" i="4"/>
  <c r="DV45" i="4"/>
  <c r="DW45" i="4"/>
  <c r="DX45" i="4"/>
  <c r="DZ45" i="4"/>
  <c r="EA45" i="4"/>
  <c r="EC45" i="4"/>
  <c r="ED45" i="4"/>
  <c r="EE45" i="4"/>
  <c r="EF45" i="4"/>
  <c r="EG45" i="4"/>
  <c r="EH45" i="4"/>
  <c r="EI45" i="4"/>
  <c r="EJ45" i="4"/>
  <c r="EK45" i="4"/>
  <c r="EL45" i="4"/>
  <c r="EM45" i="4"/>
  <c r="EN45" i="4"/>
  <c r="EO45" i="4"/>
  <c r="EP45" i="4"/>
  <c r="EQ45" i="4"/>
  <c r="ER45" i="4"/>
  <c r="ES45" i="4"/>
  <c r="ET45" i="4"/>
  <c r="EU45" i="4"/>
  <c r="EW45" i="4"/>
  <c r="EX45" i="4"/>
  <c r="EZ45" i="4"/>
  <c r="FA45" i="4"/>
  <c r="FB45" i="4"/>
  <c r="FC45" i="4"/>
  <c r="FD45" i="4"/>
  <c r="FE45" i="4"/>
  <c r="FF45" i="4"/>
  <c r="FG45" i="4"/>
  <c r="FH45" i="4"/>
  <c r="FI45" i="4"/>
  <c r="FJ45" i="4"/>
  <c r="FK45" i="4"/>
  <c r="FL45" i="4"/>
  <c r="FM45" i="4"/>
  <c r="FN45" i="4"/>
  <c r="FO45" i="4"/>
  <c r="FP45" i="4"/>
  <c r="FQ45" i="4"/>
  <c r="FR45" i="4"/>
  <c r="FT45" i="4"/>
  <c r="FU45" i="4"/>
  <c r="FW45" i="4"/>
  <c r="FX45" i="4"/>
  <c r="FY45" i="4"/>
  <c r="FZ45" i="4"/>
  <c r="GA45" i="4"/>
  <c r="GB45" i="4"/>
  <c r="GC45" i="4"/>
  <c r="GD45" i="4"/>
  <c r="GE45" i="4"/>
  <c r="GF45" i="4"/>
  <c r="GG45" i="4"/>
  <c r="GH45" i="4"/>
  <c r="GI45" i="4"/>
  <c r="GJ45" i="4"/>
  <c r="GK45" i="4"/>
  <c r="GL45" i="4"/>
  <c r="GM45" i="4"/>
  <c r="GN45" i="4"/>
  <c r="GO45" i="4"/>
  <c r="GQ45" i="4"/>
  <c r="GR45" i="4"/>
  <c r="GT45" i="4"/>
  <c r="GU45" i="4"/>
  <c r="GV45" i="4"/>
  <c r="GW45" i="4"/>
  <c r="GX45" i="4"/>
  <c r="GY45" i="4"/>
  <c r="GZ45" i="4"/>
  <c r="HA45" i="4"/>
  <c r="HB45" i="4"/>
  <c r="HC45" i="4"/>
  <c r="HD45" i="4"/>
  <c r="HE45" i="4"/>
  <c r="HF45" i="4"/>
  <c r="HG45" i="4"/>
  <c r="HH45" i="4"/>
  <c r="HI45" i="4"/>
  <c r="HJ45" i="4"/>
  <c r="HK45" i="4"/>
  <c r="HL45" i="4"/>
  <c r="HM45" i="4"/>
  <c r="HN45" i="4"/>
  <c r="HO45" i="4"/>
  <c r="HP45" i="4"/>
  <c r="HQ45" i="4"/>
  <c r="HR45" i="4"/>
  <c r="HS45" i="4"/>
  <c r="HT45" i="4"/>
  <c r="HU45" i="4"/>
  <c r="HV45" i="4"/>
  <c r="HW45" i="4"/>
  <c r="HX45" i="4"/>
  <c r="HY45" i="4"/>
  <c r="HZ45" i="4"/>
  <c r="IA45" i="4"/>
  <c r="IB45" i="4"/>
  <c r="IC45" i="4"/>
  <c r="ID45" i="4"/>
  <c r="IE45" i="4"/>
  <c r="IF45" i="4"/>
  <c r="IH45" i="4"/>
  <c r="II45" i="4"/>
  <c r="IK45" i="4"/>
  <c r="IL45" i="4"/>
  <c r="IM45" i="4"/>
  <c r="IN45" i="4"/>
  <c r="IO45" i="4"/>
  <c r="IP45" i="4"/>
  <c r="IQ45" i="4"/>
  <c r="IR45" i="4"/>
  <c r="IS45" i="4"/>
  <c r="IT45" i="4"/>
  <c r="IU45" i="4"/>
  <c r="IV45" i="4"/>
  <c r="F46" i="4"/>
  <c r="G46" i="4"/>
  <c r="H46" i="4"/>
  <c r="I46" i="4"/>
  <c r="J46" i="4"/>
  <c r="K46" i="4"/>
  <c r="L46" i="4"/>
  <c r="M46" i="4"/>
  <c r="N46" i="4"/>
  <c r="O46" i="4"/>
  <c r="P46" i="4"/>
  <c r="Q46" i="4"/>
  <c r="R46" i="4"/>
  <c r="S46" i="4"/>
  <c r="T46" i="4"/>
  <c r="U46" i="4"/>
  <c r="V46" i="4"/>
  <c r="W46" i="4"/>
  <c r="X46" i="4"/>
  <c r="Y46" i="4"/>
  <c r="Z46" i="4"/>
  <c r="AA46" i="4"/>
  <c r="AB46" i="4"/>
  <c r="AC46" i="4"/>
  <c r="AD46" i="4"/>
  <c r="AE46" i="4"/>
  <c r="AF46" i="4"/>
  <c r="AG46" i="4"/>
  <c r="AH46" i="4"/>
  <c r="AI46" i="4"/>
  <c r="AJ46" i="4"/>
  <c r="AK46" i="4"/>
  <c r="AL46" i="4"/>
  <c r="AM46" i="4"/>
  <c r="AN46" i="4"/>
  <c r="AO46" i="4"/>
  <c r="AP46" i="4"/>
  <c r="AQ46" i="4"/>
  <c r="AR46" i="4"/>
  <c r="AS46" i="4"/>
  <c r="AT46" i="4"/>
  <c r="AU46" i="4"/>
  <c r="AV46" i="4"/>
  <c r="AW46" i="4"/>
  <c r="AX46" i="4"/>
  <c r="AY46" i="4"/>
  <c r="AZ46" i="4"/>
  <c r="BA46" i="4"/>
  <c r="BB46" i="4"/>
  <c r="BC46" i="4"/>
  <c r="BD46" i="4"/>
  <c r="BE46" i="4"/>
  <c r="BF46" i="4"/>
  <c r="BG46" i="4"/>
  <c r="BH46" i="4"/>
  <c r="BI46" i="4"/>
  <c r="BJ46" i="4"/>
  <c r="BK46" i="4"/>
  <c r="BL46" i="4"/>
  <c r="BM46" i="4"/>
  <c r="BN46" i="4"/>
  <c r="BO46" i="4"/>
  <c r="BP46" i="4"/>
  <c r="BQ46" i="4"/>
  <c r="BR46" i="4"/>
  <c r="BS46" i="4"/>
  <c r="BT46" i="4"/>
  <c r="BU46" i="4"/>
  <c r="BV46" i="4"/>
  <c r="BW46" i="4"/>
  <c r="BX46" i="4"/>
  <c r="BY46" i="4"/>
  <c r="BZ46" i="4"/>
  <c r="CA46" i="4"/>
  <c r="CB46" i="4"/>
  <c r="CC46" i="4"/>
  <c r="CD46" i="4"/>
  <c r="CE46" i="4"/>
  <c r="CF46" i="4"/>
  <c r="CG46" i="4"/>
  <c r="CH46" i="4"/>
  <c r="CI46" i="4"/>
  <c r="CJ46" i="4"/>
  <c r="CK46" i="4"/>
  <c r="CL46" i="4"/>
  <c r="CM46" i="4"/>
  <c r="CN46" i="4"/>
  <c r="CO46" i="4"/>
  <c r="CP46" i="4"/>
  <c r="CQ46" i="4"/>
  <c r="CR46" i="4"/>
  <c r="CS46" i="4"/>
  <c r="CT46" i="4"/>
  <c r="CU46" i="4"/>
  <c r="CV46" i="4"/>
  <c r="CW46" i="4"/>
  <c r="CX46" i="4"/>
  <c r="CY46" i="4"/>
  <c r="CZ46" i="4"/>
  <c r="AR43" i="4"/>
  <c r="AS43" i="4"/>
  <c r="AT43" i="4"/>
  <c r="AU43" i="4"/>
  <c r="AV43" i="4"/>
  <c r="AW43" i="4"/>
  <c r="AX43" i="4"/>
  <c r="AY43" i="4"/>
  <c r="AZ43" i="4"/>
  <c r="BA43" i="4"/>
  <c r="BB43" i="4"/>
  <c r="BC43" i="4"/>
  <c r="BD43" i="4"/>
  <c r="BE43" i="4"/>
  <c r="BF43" i="4"/>
  <c r="BG43" i="4"/>
  <c r="BH43" i="4"/>
  <c r="BI43" i="4"/>
  <c r="BJ43" i="4"/>
  <c r="BK43" i="4"/>
  <c r="BL43" i="4"/>
  <c r="BM43" i="4"/>
  <c r="BN43" i="4"/>
  <c r="BO43" i="4"/>
  <c r="BP43" i="4"/>
  <c r="BQ43" i="4"/>
  <c r="BR43" i="4"/>
  <c r="BS43" i="4"/>
  <c r="BT43" i="4"/>
  <c r="BU43" i="4"/>
  <c r="BV43" i="4"/>
  <c r="BW43" i="4"/>
  <c r="BX43" i="4"/>
  <c r="BY43" i="4"/>
  <c r="BZ43" i="4"/>
  <c r="CA43" i="4"/>
  <c r="CB43" i="4"/>
  <c r="CC43" i="4"/>
  <c r="CD43" i="4"/>
  <c r="CE43" i="4"/>
  <c r="CF43" i="4"/>
  <c r="CG43" i="4"/>
  <c r="CH43" i="4"/>
  <c r="CI43" i="4"/>
  <c r="CJ43" i="4"/>
  <c r="CK43" i="4"/>
  <c r="CL43" i="4"/>
  <c r="CM43" i="4"/>
  <c r="CN43" i="4"/>
  <c r="CO43" i="4"/>
  <c r="CP43" i="4"/>
  <c r="CQ43" i="4"/>
  <c r="CR43" i="4"/>
  <c r="CS43" i="4"/>
  <c r="CT43" i="4"/>
  <c r="CU43" i="4"/>
  <c r="CV43" i="4"/>
  <c r="CW43" i="4"/>
  <c r="CX43" i="4"/>
  <c r="CY43" i="4"/>
  <c r="CZ43" i="4"/>
  <c r="DA43" i="4"/>
  <c r="DB43" i="4"/>
  <c r="DC43" i="4"/>
  <c r="DD43" i="4"/>
  <c r="DE43" i="4"/>
  <c r="DF43" i="4"/>
  <c r="DG43" i="4"/>
  <c r="DH43" i="4"/>
  <c r="DI43" i="4"/>
  <c r="DJ43" i="4"/>
  <c r="DK43" i="4"/>
  <c r="DL43" i="4"/>
  <c r="DM43" i="4"/>
  <c r="DN43" i="4"/>
  <c r="DO43" i="4"/>
  <c r="DP43" i="4"/>
  <c r="DQ43" i="4"/>
  <c r="DR43" i="4"/>
  <c r="DS43" i="4"/>
  <c r="DT43" i="4"/>
  <c r="DU43" i="4"/>
  <c r="DV43" i="4"/>
  <c r="DW43" i="4"/>
  <c r="DX43" i="4"/>
  <c r="DY43" i="4"/>
  <c r="DZ43" i="4"/>
  <c r="EA43" i="4"/>
  <c r="EB43" i="4"/>
  <c r="EC43" i="4"/>
  <c r="ED43" i="4"/>
  <c r="EE43" i="4"/>
  <c r="EF43" i="4"/>
  <c r="EG43" i="4"/>
  <c r="EH43" i="4"/>
  <c r="EI43" i="4"/>
  <c r="EJ43" i="4"/>
  <c r="EK43" i="4"/>
  <c r="EL43" i="4"/>
  <c r="EM43" i="4"/>
  <c r="EN43" i="4"/>
  <c r="EO43" i="4"/>
  <c r="EP43" i="4"/>
  <c r="EQ43" i="4"/>
  <c r="ER43" i="4"/>
  <c r="ES43" i="4"/>
  <c r="ET43" i="4"/>
  <c r="EU43" i="4"/>
  <c r="EV43" i="4"/>
  <c r="EW43" i="4"/>
  <c r="EX43" i="4"/>
  <c r="EY43" i="4"/>
  <c r="EZ43" i="4"/>
  <c r="FA43" i="4"/>
  <c r="FB43" i="4"/>
  <c r="FC43" i="4"/>
  <c r="FD43" i="4"/>
  <c r="FE43" i="4"/>
  <c r="FF43" i="4"/>
  <c r="FG43" i="4"/>
  <c r="FH43" i="4"/>
  <c r="FI43" i="4"/>
  <c r="FJ43" i="4"/>
  <c r="FK43" i="4"/>
  <c r="FL43" i="4"/>
  <c r="FM43" i="4"/>
  <c r="FN43" i="4"/>
  <c r="FO43" i="4"/>
  <c r="FP43" i="4"/>
  <c r="FQ43" i="4"/>
  <c r="FR43" i="4"/>
  <c r="FS43" i="4"/>
  <c r="FT43" i="4"/>
  <c r="FU43" i="4"/>
  <c r="FV43" i="4"/>
  <c r="FW43" i="4"/>
  <c r="FX43" i="4"/>
  <c r="FY43" i="4"/>
  <c r="FZ43" i="4"/>
  <c r="GA43" i="4"/>
  <c r="GB43" i="4"/>
  <c r="GC43" i="4"/>
  <c r="GD43" i="4"/>
  <c r="GE43" i="4"/>
  <c r="GF43" i="4"/>
  <c r="GG43" i="4"/>
  <c r="GH43" i="4"/>
  <c r="GI43" i="4"/>
  <c r="GJ43" i="4"/>
  <c r="GL43" i="4"/>
  <c r="GM43" i="4"/>
  <c r="GO43" i="4"/>
  <c r="GP43" i="4"/>
  <c r="GQ43" i="4"/>
  <c r="GR43" i="4"/>
  <c r="GS43" i="4"/>
  <c r="GT43" i="4"/>
  <c r="GU43" i="4"/>
  <c r="GV43" i="4"/>
  <c r="GW43" i="4"/>
  <c r="GX43" i="4"/>
  <c r="GY43" i="4"/>
  <c r="GZ43" i="4"/>
  <c r="HA43" i="4"/>
  <c r="HB43" i="4"/>
  <c r="HC43" i="4"/>
  <c r="HD43" i="4"/>
  <c r="HE43" i="4"/>
  <c r="HF43" i="4"/>
  <c r="HG43" i="4"/>
  <c r="HI43" i="4"/>
  <c r="HJ43" i="4"/>
  <c r="HL43" i="4"/>
  <c r="HM43" i="4"/>
  <c r="HN43" i="4"/>
  <c r="HO43" i="4"/>
  <c r="HP43" i="4"/>
  <c r="HQ43" i="4"/>
  <c r="HR43" i="4"/>
  <c r="HS43" i="4"/>
  <c r="HT43" i="4"/>
  <c r="HU43" i="4"/>
  <c r="HV43" i="4"/>
  <c r="HW43" i="4"/>
  <c r="HX43" i="4"/>
  <c r="HY43" i="4"/>
  <c r="HZ43" i="4"/>
  <c r="IA43" i="4"/>
  <c r="IB43" i="4"/>
  <c r="IC43" i="4"/>
  <c r="ID43" i="4"/>
  <c r="IF43" i="4"/>
  <c r="IG43" i="4"/>
  <c r="II43" i="4"/>
  <c r="IJ43" i="4"/>
  <c r="IK43" i="4"/>
  <c r="IL43" i="4"/>
  <c r="IM43" i="4"/>
  <c r="IN43" i="4"/>
  <c r="IO43" i="4"/>
  <c r="IP43" i="4"/>
  <c r="IQ43" i="4"/>
  <c r="IR43" i="4"/>
  <c r="IS43" i="4"/>
  <c r="IT43" i="4"/>
  <c r="IU43" i="4"/>
  <c r="IV43" i="4"/>
  <c r="W74" i="1"/>
  <c r="IK44" i="4" s="1"/>
  <c r="IH44" i="4"/>
  <c r="HN44" i="4"/>
  <c r="HK44" i="4"/>
  <c r="GQ44" i="4"/>
  <c r="GN44" i="4"/>
  <c r="FT44" i="4"/>
  <c r="FQ44" i="4"/>
  <c r="W78" i="1"/>
  <c r="CH45" i="4" s="1"/>
  <c r="CE45" i="4"/>
  <c r="W77" i="1"/>
  <c r="BK45" i="4" s="1"/>
  <c r="BH45" i="4"/>
  <c r="W76" i="1"/>
  <c r="AN45" i="4" s="1"/>
  <c r="AK45" i="4"/>
  <c r="W75" i="1"/>
  <c r="Q45" i="4" s="1"/>
  <c r="N45" i="4"/>
  <c r="W99" i="1"/>
  <c r="IJ45" i="4" s="1"/>
  <c r="IG45" i="4"/>
  <c r="GS45" i="4"/>
  <c r="GP45" i="4"/>
  <c r="W82" i="1"/>
  <c r="FV45" i="4" s="1"/>
  <c r="FS45" i="4"/>
  <c r="W81" i="1"/>
  <c r="EY45" i="4" s="1"/>
  <c r="EV45" i="4"/>
  <c r="W80" i="1"/>
  <c r="EB45" i="4" s="1"/>
  <c r="DY45" i="4"/>
  <c r="W79" i="1"/>
  <c r="DE45" i="4" s="1"/>
  <c r="DB45" i="4"/>
  <c r="EW44" i="4"/>
  <c r="ET44" i="4"/>
  <c r="DZ44" i="4"/>
  <c r="DW44" i="4"/>
  <c r="DC44" i="4"/>
  <c r="CZ44" i="4"/>
  <c r="CF44" i="4"/>
  <c r="CC44" i="4"/>
  <c r="BI44" i="4"/>
  <c r="BF44" i="4"/>
  <c r="N44" i="4"/>
  <c r="K44" i="4"/>
  <c r="IE43" i="4"/>
  <c r="HK43" i="4"/>
  <c r="HH43" i="4"/>
  <c r="GN43" i="4"/>
  <c r="GK43" i="4"/>
  <c r="AK44" i="4"/>
  <c r="AH44" i="4"/>
  <c r="J107" i="1"/>
  <c r="IH43" i="4" l="1"/>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AG43" i="4"/>
  <c r="AH43" i="4"/>
  <c r="AI43" i="4"/>
  <c r="AJ43" i="4"/>
  <c r="AK43" i="4"/>
  <c r="AL43" i="4"/>
  <c r="AM43" i="4"/>
  <c r="AN43" i="4"/>
  <c r="AO43" i="4"/>
  <c r="AP43" i="4"/>
  <c r="AQ43" i="4"/>
  <c r="IV42" i="4"/>
  <c r="F42" i="4" l="1"/>
  <c r="G42" i="4"/>
  <c r="H42" i="4"/>
  <c r="I42" i="4"/>
  <c r="J42" i="4"/>
  <c r="K42" i="4"/>
  <c r="L42" i="4"/>
  <c r="M42" i="4"/>
  <c r="N42" i="4"/>
  <c r="O42" i="4"/>
  <c r="P42" i="4"/>
  <c r="Q42" i="4"/>
  <c r="R42" i="4"/>
  <c r="S42" i="4"/>
  <c r="T42" i="4"/>
  <c r="V42" i="4"/>
  <c r="W42" i="4"/>
  <c r="Y42" i="4"/>
  <c r="Z42" i="4"/>
  <c r="AA42" i="4"/>
  <c r="AB42" i="4"/>
  <c r="AC42" i="4"/>
  <c r="AD42" i="4"/>
  <c r="AE42" i="4"/>
  <c r="AF42" i="4"/>
  <c r="AG42" i="4"/>
  <c r="AH42" i="4"/>
  <c r="AI42" i="4"/>
  <c r="AJ42" i="4"/>
  <c r="AK42" i="4"/>
  <c r="AL42" i="4"/>
  <c r="AM42" i="4"/>
  <c r="AN42" i="4"/>
  <c r="AO42" i="4"/>
  <c r="AP42" i="4"/>
  <c r="AQ42" i="4"/>
  <c r="AR42" i="4"/>
  <c r="AS42" i="4"/>
  <c r="AT42" i="4"/>
  <c r="AU42" i="4"/>
  <c r="AV42" i="4"/>
  <c r="AW42" i="4"/>
  <c r="AY42" i="4"/>
  <c r="AZ42" i="4"/>
  <c r="BB42" i="4"/>
  <c r="BC42" i="4"/>
  <c r="BD42" i="4"/>
  <c r="BE42" i="4"/>
  <c r="BF42" i="4"/>
  <c r="BG42" i="4"/>
  <c r="BH42" i="4"/>
  <c r="BI42" i="4"/>
  <c r="BJ42" i="4"/>
  <c r="BK42" i="4"/>
  <c r="BL42" i="4"/>
  <c r="BM42" i="4"/>
  <c r="BN42" i="4"/>
  <c r="BO42" i="4"/>
  <c r="BP42" i="4"/>
  <c r="BQ42" i="4"/>
  <c r="BR42" i="4"/>
  <c r="BS42" i="4"/>
  <c r="BU42" i="4"/>
  <c r="BV42" i="4"/>
  <c r="BX42" i="4"/>
  <c r="BY42" i="4"/>
  <c r="BZ42" i="4"/>
  <c r="CA42" i="4"/>
  <c r="CB42" i="4"/>
  <c r="CC42" i="4"/>
  <c r="CD42" i="4"/>
  <c r="CE42" i="4"/>
  <c r="CF42" i="4"/>
  <c r="CG42" i="4"/>
  <c r="CI42" i="4"/>
  <c r="CJ42" i="4"/>
  <c r="CK42" i="4"/>
  <c r="CL42" i="4"/>
  <c r="CM42" i="4"/>
  <c r="CN42" i="4"/>
  <c r="CO42" i="4"/>
  <c r="CP42" i="4"/>
  <c r="CQ42" i="4"/>
  <c r="CR42" i="4"/>
  <c r="CS42" i="4"/>
  <c r="CT42" i="4"/>
  <c r="CU42" i="4"/>
  <c r="CV42" i="4"/>
  <c r="CW42" i="4"/>
  <c r="CX42" i="4"/>
  <c r="CY42" i="4"/>
  <c r="CZ42" i="4"/>
  <c r="DA42" i="4"/>
  <c r="DB42" i="4"/>
  <c r="DC42" i="4"/>
  <c r="DE42" i="4"/>
  <c r="DF42" i="4"/>
  <c r="DG42" i="4"/>
  <c r="DH42" i="4"/>
  <c r="DI42" i="4"/>
  <c r="DJ42" i="4"/>
  <c r="DK42" i="4"/>
  <c r="DL42" i="4"/>
  <c r="DM42" i="4"/>
  <c r="DN42" i="4"/>
  <c r="DP42" i="4"/>
  <c r="DQ42" i="4"/>
  <c r="DR42" i="4"/>
  <c r="DS42" i="4"/>
  <c r="DT42" i="4"/>
  <c r="DU42" i="4"/>
  <c r="DV42" i="4"/>
  <c r="DW42" i="4"/>
  <c r="DX42" i="4"/>
  <c r="DY42" i="4"/>
  <c r="EA42" i="4"/>
  <c r="EB42" i="4"/>
  <c r="EC42" i="4"/>
  <c r="ED42" i="4"/>
  <c r="EE42" i="4"/>
  <c r="EF42" i="4"/>
  <c r="EG42" i="4"/>
  <c r="EH42" i="4"/>
  <c r="EI42" i="4"/>
  <c r="EJ42" i="4"/>
  <c r="EK42" i="4"/>
  <c r="EL42" i="4"/>
  <c r="EM42" i="4"/>
  <c r="EN42" i="4"/>
  <c r="EO42" i="4"/>
  <c r="EP42" i="4"/>
  <c r="EQ42" i="4"/>
  <c r="ER42" i="4"/>
  <c r="ES42" i="4"/>
  <c r="ET42" i="4"/>
  <c r="EU42" i="4"/>
  <c r="EW42" i="4"/>
  <c r="EX42" i="4"/>
  <c r="EY42" i="4"/>
  <c r="EZ42" i="4"/>
  <c r="FA42" i="4"/>
  <c r="FB42" i="4"/>
  <c r="FC42" i="4"/>
  <c r="FD42" i="4"/>
  <c r="FE42" i="4"/>
  <c r="FF42" i="4"/>
  <c r="FG42" i="4"/>
  <c r="FH42" i="4"/>
  <c r="FI42" i="4"/>
  <c r="FJ42" i="4"/>
  <c r="FK42" i="4"/>
  <c r="FL42" i="4"/>
  <c r="FM42" i="4"/>
  <c r="FN42" i="4"/>
  <c r="FO42" i="4"/>
  <c r="FP42" i="4"/>
  <c r="FQ42" i="4"/>
  <c r="FR42" i="4"/>
  <c r="FS42" i="4"/>
  <c r="FT42" i="4"/>
  <c r="FU42" i="4"/>
  <c r="FV42" i="4"/>
  <c r="FW42" i="4"/>
  <c r="FX42" i="4"/>
  <c r="FY42" i="4"/>
  <c r="FZ42" i="4"/>
  <c r="GA42" i="4"/>
  <c r="GB42" i="4"/>
  <c r="GC42" i="4"/>
  <c r="GD42" i="4"/>
  <c r="GE42" i="4"/>
  <c r="GF42" i="4"/>
  <c r="GG42" i="4"/>
  <c r="GH42" i="4"/>
  <c r="GI42" i="4"/>
  <c r="GJ42" i="4"/>
  <c r="GK42" i="4"/>
  <c r="GL42" i="4"/>
  <c r="GM42" i="4"/>
  <c r="GN42" i="4"/>
  <c r="GO42" i="4"/>
  <c r="GP42" i="4"/>
  <c r="GQ42" i="4"/>
  <c r="GR42" i="4"/>
  <c r="GS42" i="4"/>
  <c r="GT42" i="4"/>
  <c r="GU42" i="4"/>
  <c r="GV42" i="4"/>
  <c r="GW42" i="4"/>
  <c r="GX42" i="4"/>
  <c r="GY42" i="4"/>
  <c r="GZ42" i="4"/>
  <c r="HA42" i="4"/>
  <c r="HB42" i="4"/>
  <c r="HC42" i="4"/>
  <c r="HD42" i="4"/>
  <c r="HE42" i="4"/>
  <c r="HF42" i="4"/>
  <c r="HG42" i="4"/>
  <c r="HH42" i="4"/>
  <c r="HI42" i="4"/>
  <c r="HJ42" i="4"/>
  <c r="HK42" i="4"/>
  <c r="HL42" i="4"/>
  <c r="HM42" i="4"/>
  <c r="HN42" i="4"/>
  <c r="HO42" i="4"/>
  <c r="HP42" i="4"/>
  <c r="HQ42" i="4"/>
  <c r="HR42" i="4"/>
  <c r="HS42" i="4"/>
  <c r="HT42" i="4"/>
  <c r="HU42" i="4"/>
  <c r="HV42" i="4"/>
  <c r="HW42" i="4"/>
  <c r="HX42" i="4"/>
  <c r="HY42" i="4"/>
  <c r="HZ42" i="4"/>
  <c r="IA42" i="4"/>
  <c r="IB42" i="4"/>
  <c r="IC42" i="4"/>
  <c r="ID42" i="4"/>
  <c r="IE42" i="4"/>
  <c r="IF42" i="4"/>
  <c r="IG42" i="4"/>
  <c r="IH42" i="4"/>
  <c r="II42" i="4"/>
  <c r="IJ42" i="4"/>
  <c r="IK42" i="4"/>
  <c r="IL42" i="4"/>
  <c r="IM42" i="4"/>
  <c r="IN42" i="4"/>
  <c r="IO42" i="4"/>
  <c r="IP42" i="4"/>
  <c r="IR42" i="4"/>
  <c r="IS42" i="4"/>
  <c r="IT42" i="4"/>
  <c r="IU42" i="4"/>
  <c r="Y41" i="4"/>
  <c r="Z41" i="4"/>
  <c r="AA41" i="4"/>
  <c r="AB41" i="4"/>
  <c r="AC41" i="4"/>
  <c r="AD41" i="4"/>
  <c r="AE41" i="4"/>
  <c r="AF41" i="4"/>
  <c r="AG41" i="4"/>
  <c r="AH41" i="4"/>
  <c r="AI41" i="4"/>
  <c r="AJ41" i="4"/>
  <c r="AK41" i="4"/>
  <c r="AL41" i="4"/>
  <c r="AM41" i="4"/>
  <c r="AN41" i="4"/>
  <c r="AO41" i="4"/>
  <c r="AP41" i="4"/>
  <c r="AQ41" i="4"/>
  <c r="AR41" i="4"/>
  <c r="AS41" i="4"/>
  <c r="AT41" i="4"/>
  <c r="AU41" i="4"/>
  <c r="AV41" i="4"/>
  <c r="AW41" i="4"/>
  <c r="AX41" i="4"/>
  <c r="AY41" i="4"/>
  <c r="AZ41" i="4"/>
  <c r="BA41" i="4"/>
  <c r="BB41" i="4"/>
  <c r="BC41" i="4"/>
  <c r="BD41" i="4"/>
  <c r="BE41" i="4"/>
  <c r="BF41" i="4"/>
  <c r="BG41" i="4"/>
  <c r="BH41" i="4"/>
  <c r="BI41" i="4"/>
  <c r="BJ41" i="4"/>
  <c r="BL41" i="4"/>
  <c r="BM41" i="4"/>
  <c r="BO41" i="4"/>
  <c r="BP41" i="4"/>
  <c r="BQ41" i="4"/>
  <c r="BR41" i="4"/>
  <c r="BS41" i="4"/>
  <c r="BT41" i="4"/>
  <c r="BU41" i="4"/>
  <c r="BV41" i="4"/>
  <c r="BW41" i="4"/>
  <c r="BX41" i="4"/>
  <c r="BY41" i="4"/>
  <c r="BZ41" i="4"/>
  <c r="CA41" i="4"/>
  <c r="CB41" i="4"/>
  <c r="CC41" i="4"/>
  <c r="CD41" i="4"/>
  <c r="CE41" i="4"/>
  <c r="CF41" i="4"/>
  <c r="CG41" i="4"/>
  <c r="CH41" i="4"/>
  <c r="CI41" i="4"/>
  <c r="CJ41" i="4"/>
  <c r="CK41" i="4"/>
  <c r="CL41" i="4"/>
  <c r="CM41" i="4"/>
  <c r="CN41" i="4"/>
  <c r="CO41" i="4"/>
  <c r="CP41" i="4"/>
  <c r="CQ41" i="4"/>
  <c r="CR41" i="4"/>
  <c r="CS41" i="4"/>
  <c r="CT41" i="4"/>
  <c r="CU41" i="4"/>
  <c r="CV41" i="4"/>
  <c r="CW41" i="4"/>
  <c r="CX41" i="4"/>
  <c r="CY41" i="4"/>
  <c r="CZ41" i="4"/>
  <c r="DA41" i="4"/>
  <c r="DB41" i="4"/>
  <c r="DC41" i="4"/>
  <c r="DD41" i="4"/>
  <c r="DE41" i="4"/>
  <c r="DF41" i="4"/>
  <c r="DG41" i="4"/>
  <c r="DH41" i="4"/>
  <c r="DI41" i="4"/>
  <c r="DJ41" i="4"/>
  <c r="DK41" i="4"/>
  <c r="DL41" i="4"/>
  <c r="DM41" i="4"/>
  <c r="DN41" i="4"/>
  <c r="DO41" i="4"/>
  <c r="DP41" i="4"/>
  <c r="DQ41" i="4"/>
  <c r="DR41" i="4"/>
  <c r="DS41" i="4"/>
  <c r="DT41" i="4"/>
  <c r="DU41" i="4"/>
  <c r="DV41" i="4"/>
  <c r="DW41" i="4"/>
  <c r="DX41" i="4"/>
  <c r="DY41" i="4"/>
  <c r="DZ41" i="4"/>
  <c r="EA41" i="4"/>
  <c r="EB41" i="4"/>
  <c r="EC41" i="4"/>
  <c r="ED41" i="4"/>
  <c r="EE41" i="4"/>
  <c r="EF41" i="4"/>
  <c r="EG41" i="4"/>
  <c r="EH41" i="4"/>
  <c r="EI41" i="4"/>
  <c r="EJ41" i="4"/>
  <c r="EK41" i="4"/>
  <c r="EM41" i="4"/>
  <c r="EN41" i="4"/>
  <c r="EP41" i="4"/>
  <c r="EQ41" i="4"/>
  <c r="ER41" i="4"/>
  <c r="ES41" i="4"/>
  <c r="ET41" i="4"/>
  <c r="EU41" i="4"/>
  <c r="EV41" i="4"/>
  <c r="EW41" i="4"/>
  <c r="EX41" i="4"/>
  <c r="EY41" i="4"/>
  <c r="EZ41" i="4"/>
  <c r="FA41" i="4"/>
  <c r="FB41" i="4"/>
  <c r="FC41" i="4"/>
  <c r="FD41" i="4"/>
  <c r="FE41" i="4"/>
  <c r="FF41" i="4"/>
  <c r="FG41" i="4"/>
  <c r="FI41" i="4"/>
  <c r="FJ41" i="4"/>
  <c r="FL41" i="4"/>
  <c r="FM41" i="4"/>
  <c r="FN41" i="4"/>
  <c r="FO41" i="4"/>
  <c r="FP41" i="4"/>
  <c r="FQ41" i="4"/>
  <c r="FR41" i="4"/>
  <c r="FS41" i="4"/>
  <c r="FT41" i="4"/>
  <c r="FU41" i="4"/>
  <c r="FV41" i="4"/>
  <c r="FW41" i="4"/>
  <c r="FX41" i="4"/>
  <c r="FY41" i="4"/>
  <c r="FZ41" i="4"/>
  <c r="GA41" i="4"/>
  <c r="GB41" i="4"/>
  <c r="GC41" i="4"/>
  <c r="GD41" i="4"/>
  <c r="GE41" i="4"/>
  <c r="GF41" i="4"/>
  <c r="GG41" i="4"/>
  <c r="GH41" i="4"/>
  <c r="GI41" i="4"/>
  <c r="GJ41" i="4"/>
  <c r="GK41" i="4"/>
  <c r="GL41" i="4"/>
  <c r="GM41" i="4"/>
  <c r="GN41" i="4"/>
  <c r="GO41" i="4"/>
  <c r="GP41" i="4"/>
  <c r="GQ41" i="4"/>
  <c r="GR41" i="4"/>
  <c r="GS41" i="4"/>
  <c r="GT41" i="4"/>
  <c r="GU41" i="4"/>
  <c r="GV41" i="4"/>
  <c r="GW41" i="4"/>
  <c r="GX41" i="4"/>
  <c r="GY41" i="4"/>
  <c r="GZ41" i="4"/>
  <c r="HA41" i="4"/>
  <c r="HB41" i="4"/>
  <c r="HC41" i="4"/>
  <c r="HD41" i="4"/>
  <c r="HE41" i="4"/>
  <c r="HF41" i="4"/>
  <c r="HG41" i="4"/>
  <c r="HH41" i="4"/>
  <c r="HI41" i="4"/>
  <c r="HJ41" i="4"/>
  <c r="HK41" i="4"/>
  <c r="HL41" i="4"/>
  <c r="HN41" i="4"/>
  <c r="HO41" i="4"/>
  <c r="HQ41" i="4"/>
  <c r="HR41" i="4"/>
  <c r="HS41" i="4"/>
  <c r="HT41" i="4"/>
  <c r="HU41" i="4"/>
  <c r="HV41" i="4"/>
  <c r="HW41" i="4"/>
  <c r="HX41" i="4"/>
  <c r="HY41" i="4"/>
  <c r="HZ41" i="4"/>
  <c r="IA41" i="4"/>
  <c r="IB41" i="4"/>
  <c r="IC41" i="4"/>
  <c r="ID41" i="4"/>
  <c r="IE41" i="4"/>
  <c r="IF41" i="4"/>
  <c r="IG41" i="4"/>
  <c r="IH41" i="4"/>
  <c r="II41" i="4"/>
  <c r="IJ41" i="4"/>
  <c r="IK41" i="4"/>
  <c r="IL41" i="4"/>
  <c r="IM41" i="4"/>
  <c r="IN41" i="4"/>
  <c r="IO41" i="4"/>
  <c r="IQ41" i="4"/>
  <c r="IR41" i="4"/>
  <c r="IT41" i="4"/>
  <c r="IU41" i="4"/>
  <c r="IV41" i="4"/>
  <c r="IQ42" i="4"/>
  <c r="EV42" i="4"/>
  <c r="DZ42" i="4"/>
  <c r="DO42" i="4"/>
  <c r="DD42" i="4"/>
  <c r="BA42" i="4"/>
  <c r="X42" i="4"/>
  <c r="IS41" i="4"/>
  <c r="HP41" i="4"/>
  <c r="FK41" i="4"/>
  <c r="EO41" i="4"/>
  <c r="BN41" i="4"/>
  <c r="BW42" i="4"/>
  <c r="CH42" i="4"/>
  <c r="BK41" i="4"/>
  <c r="BT42" i="4"/>
  <c r="AX42" i="4"/>
  <c r="U42" i="4"/>
  <c r="IP41" i="4"/>
  <c r="HM41" i="4"/>
  <c r="FH41" i="4"/>
  <c r="EL41" i="4"/>
  <c r="IT50" i="4" l="1"/>
  <c r="F41" i="4"/>
  <c r="G41" i="4"/>
  <c r="H41" i="4"/>
  <c r="I41" i="4"/>
  <c r="J41" i="4"/>
  <c r="K41" i="4"/>
  <c r="L41" i="4"/>
  <c r="M41" i="4"/>
  <c r="N41" i="4"/>
  <c r="O41" i="4"/>
  <c r="P41" i="4"/>
  <c r="Q41" i="4"/>
  <c r="R41" i="4"/>
  <c r="S41" i="4"/>
  <c r="T41" i="4"/>
  <c r="U41" i="4"/>
  <c r="V41" i="4"/>
  <c r="W41" i="4"/>
  <c r="X41" i="4"/>
  <c r="HU40" i="4"/>
  <c r="HV40" i="4"/>
  <c r="HW40" i="4"/>
  <c r="HX40" i="4"/>
  <c r="HY40" i="4"/>
  <c r="HZ40" i="4"/>
  <c r="IA40" i="4"/>
  <c r="IB40" i="4"/>
  <c r="IC40" i="4"/>
  <c r="ID40" i="4"/>
  <c r="IE40" i="4"/>
  <c r="IF40" i="4"/>
  <c r="IG40" i="4"/>
  <c r="IH40" i="4"/>
  <c r="II40" i="4"/>
  <c r="IJ40" i="4"/>
  <c r="IK40" i="4"/>
  <c r="IL40" i="4"/>
  <c r="IM40" i="4"/>
  <c r="IN40" i="4"/>
  <c r="IO40" i="4"/>
  <c r="IP40" i="4"/>
  <c r="IQ40" i="4"/>
  <c r="IR40" i="4"/>
  <c r="IS40" i="4"/>
  <c r="IT40" i="4"/>
  <c r="IU40" i="4"/>
  <c r="IV40" i="4"/>
  <c r="F5" i="4" l="1"/>
  <c r="G5" i="4"/>
  <c r="H5" i="4"/>
  <c r="I5" i="4"/>
  <c r="J5" i="4"/>
  <c r="K5" i="4"/>
  <c r="L5" i="4"/>
  <c r="M5" i="4"/>
  <c r="N5" i="4"/>
  <c r="O5" i="4"/>
  <c r="P5" i="4"/>
  <c r="Q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G5" i="4"/>
  <c r="BH5" i="4"/>
  <c r="BI5" i="4"/>
  <c r="BJ5" i="4"/>
  <c r="BK5" i="4"/>
  <c r="BL5" i="4"/>
  <c r="BM5" i="4"/>
  <c r="BN5" i="4"/>
  <c r="BO5" i="4"/>
  <c r="BP5" i="4"/>
  <c r="BQ5" i="4"/>
  <c r="BR5" i="4"/>
  <c r="BS5" i="4"/>
  <c r="BT5" i="4"/>
  <c r="BU5" i="4"/>
  <c r="BV5" i="4"/>
  <c r="BW5" i="4"/>
  <c r="BX5" i="4"/>
  <c r="BY5" i="4"/>
  <c r="BZ5" i="4"/>
  <c r="CA5" i="4"/>
  <c r="CB5" i="4"/>
  <c r="CC5" i="4"/>
  <c r="CD5" i="4"/>
  <c r="CE5" i="4"/>
  <c r="CF5" i="4"/>
  <c r="CG5" i="4"/>
  <c r="CH5" i="4"/>
  <c r="CI5" i="4"/>
  <c r="CJ5" i="4"/>
  <c r="CK5" i="4"/>
  <c r="CL5" i="4"/>
  <c r="CM5" i="4"/>
  <c r="CN5" i="4"/>
  <c r="CO5" i="4"/>
  <c r="CP5" i="4"/>
  <c r="CQ5" i="4"/>
  <c r="CR5" i="4"/>
  <c r="CS5" i="4"/>
  <c r="CT5" i="4"/>
  <c r="CU5" i="4"/>
  <c r="CV5" i="4"/>
  <c r="CW5" i="4"/>
  <c r="CX5" i="4"/>
  <c r="CY5" i="4"/>
  <c r="CZ5" i="4"/>
  <c r="DA5" i="4"/>
  <c r="DB5" i="4"/>
  <c r="DC5" i="4"/>
  <c r="DD5" i="4"/>
  <c r="DE5" i="4"/>
  <c r="DF5" i="4"/>
  <c r="DG5" i="4"/>
  <c r="DH5" i="4"/>
  <c r="DI5" i="4"/>
  <c r="DJ5" i="4"/>
  <c r="DK5" i="4"/>
  <c r="DL5" i="4"/>
  <c r="DM5" i="4"/>
  <c r="DN5" i="4"/>
  <c r="DO5" i="4"/>
  <c r="DP5" i="4"/>
  <c r="DQ5" i="4"/>
  <c r="DR5" i="4"/>
  <c r="DS5" i="4"/>
  <c r="DT5" i="4"/>
  <c r="DU5" i="4"/>
  <c r="DV5" i="4"/>
  <c r="DW5" i="4"/>
  <c r="DX5" i="4"/>
  <c r="DY5" i="4"/>
  <c r="DZ5" i="4"/>
  <c r="EA5" i="4"/>
  <c r="EB5" i="4"/>
  <c r="EC5" i="4"/>
  <c r="ED5" i="4"/>
  <c r="EE5" i="4"/>
  <c r="EF5" i="4"/>
  <c r="EG5" i="4"/>
  <c r="EH5" i="4"/>
  <c r="EI5" i="4"/>
  <c r="EJ5" i="4"/>
  <c r="EK5" i="4"/>
  <c r="EL5" i="4"/>
  <c r="EM5" i="4"/>
  <c r="EN5" i="4"/>
  <c r="EO5" i="4"/>
  <c r="EP5" i="4"/>
  <c r="EQ5" i="4"/>
  <c r="ES5" i="4"/>
  <c r="ET5" i="4"/>
  <c r="EU5" i="4"/>
  <c r="EV5" i="4"/>
  <c r="EW5" i="4"/>
  <c r="EX5" i="4"/>
  <c r="EY5" i="4"/>
  <c r="EZ5" i="4"/>
  <c r="FA5" i="4"/>
  <c r="FB5" i="4"/>
  <c r="FC5" i="4"/>
  <c r="FD5" i="4"/>
  <c r="FE5" i="4"/>
  <c r="FF5" i="4"/>
  <c r="FH5" i="4"/>
  <c r="FI5" i="4"/>
  <c r="FJ5" i="4"/>
  <c r="FK5" i="4"/>
  <c r="FL5" i="4"/>
  <c r="FM5" i="4"/>
  <c r="FN5" i="4"/>
  <c r="FO5" i="4"/>
  <c r="FP5" i="4"/>
  <c r="FQ5" i="4"/>
  <c r="FR5" i="4"/>
  <c r="FS5" i="4"/>
  <c r="FT5" i="4"/>
  <c r="FU5" i="4"/>
  <c r="FW5" i="4"/>
  <c r="FX5" i="4"/>
  <c r="FY5" i="4"/>
  <c r="FZ5" i="4"/>
  <c r="GA5" i="4"/>
  <c r="GB5" i="4"/>
  <c r="GC5" i="4"/>
  <c r="GD5" i="4"/>
  <c r="GE5" i="4"/>
  <c r="GF5" i="4"/>
  <c r="GG5" i="4"/>
  <c r="GH5" i="4"/>
  <c r="GI5" i="4"/>
  <c r="GJ5" i="4"/>
  <c r="GK5" i="4"/>
  <c r="GL5" i="4"/>
  <c r="GM5" i="4"/>
  <c r="GN5" i="4"/>
  <c r="GO5" i="4"/>
  <c r="GP5" i="4"/>
  <c r="GQ5" i="4"/>
  <c r="GR5" i="4"/>
  <c r="GS5" i="4"/>
  <c r="GT5" i="4"/>
  <c r="GU5" i="4"/>
  <c r="GV5" i="4"/>
  <c r="GW5" i="4"/>
  <c r="GX5" i="4"/>
  <c r="GY5" i="4"/>
  <c r="GZ5" i="4"/>
  <c r="HA5" i="4"/>
  <c r="HB5" i="4"/>
  <c r="HC5" i="4"/>
  <c r="HD5" i="4"/>
  <c r="HE5" i="4"/>
  <c r="HF5" i="4"/>
  <c r="HG5" i="4"/>
  <c r="HH5" i="4"/>
  <c r="HI5" i="4"/>
  <c r="HJ5" i="4"/>
  <c r="HK5" i="4"/>
  <c r="HL5" i="4"/>
  <c r="HM5" i="4"/>
  <c r="HN5" i="4"/>
  <c r="HO5" i="4"/>
  <c r="HP5" i="4"/>
  <c r="HQ5" i="4"/>
  <c r="HR5" i="4"/>
  <c r="HS5" i="4"/>
  <c r="HT5" i="4"/>
  <c r="HU5" i="4"/>
  <c r="HV5" i="4"/>
  <c r="HW5" i="4"/>
  <c r="HX5" i="4"/>
  <c r="HY5" i="4"/>
  <c r="HZ5" i="4"/>
  <c r="IA5" i="4"/>
  <c r="IB5" i="4"/>
  <c r="IC5" i="4"/>
  <c r="ID5" i="4"/>
  <c r="IE5" i="4"/>
  <c r="IF5" i="4"/>
  <c r="IG5" i="4"/>
  <c r="IH5" i="4"/>
  <c r="II5" i="4"/>
  <c r="IJ5" i="4"/>
  <c r="IK5" i="4"/>
  <c r="IL5" i="4"/>
  <c r="IM5" i="4"/>
  <c r="IN5" i="4"/>
  <c r="IO5" i="4"/>
  <c r="IP5" i="4"/>
  <c r="IQ5" i="4"/>
  <c r="IR5" i="4"/>
  <c r="IS5" i="4"/>
  <c r="IT5" i="4"/>
  <c r="IU5" i="4"/>
  <c r="IV5"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AU6" i="4"/>
  <c r="AV6" i="4"/>
  <c r="AW6" i="4"/>
  <c r="AX6" i="4"/>
  <c r="AY6" i="4"/>
  <c r="AZ6" i="4"/>
  <c r="BA6" i="4"/>
  <c r="BB6" i="4"/>
  <c r="BC6" i="4"/>
  <c r="BD6" i="4"/>
  <c r="BE6" i="4"/>
  <c r="BF6" i="4"/>
  <c r="BG6" i="4"/>
  <c r="BI6" i="4"/>
  <c r="BJ6" i="4"/>
  <c r="BK6" i="4"/>
  <c r="BL6" i="4"/>
  <c r="BM6" i="4"/>
  <c r="BN6" i="4"/>
  <c r="BO6" i="4"/>
  <c r="BP6" i="4"/>
  <c r="BQ6" i="4"/>
  <c r="BR6" i="4"/>
  <c r="BS6" i="4"/>
  <c r="BT6" i="4"/>
  <c r="BU6" i="4"/>
  <c r="BW6" i="4"/>
  <c r="BX6" i="4"/>
  <c r="BY6" i="4"/>
  <c r="BZ6" i="4"/>
  <c r="CA6" i="4"/>
  <c r="CB6" i="4"/>
  <c r="CC6" i="4"/>
  <c r="CD6" i="4"/>
  <c r="CE6" i="4"/>
  <c r="CF6" i="4"/>
  <c r="CG6" i="4"/>
  <c r="CH6" i="4"/>
  <c r="CI6" i="4"/>
  <c r="CK6" i="4"/>
  <c r="CL6" i="4"/>
  <c r="CM6" i="4"/>
  <c r="CN6" i="4"/>
  <c r="CO6" i="4"/>
  <c r="CP6" i="4"/>
  <c r="CQ6" i="4"/>
  <c r="CR6" i="4"/>
  <c r="CS6" i="4"/>
  <c r="CT6" i="4"/>
  <c r="CU6" i="4"/>
  <c r="CV6" i="4"/>
  <c r="CW6" i="4"/>
  <c r="CY6" i="4"/>
  <c r="CZ6" i="4"/>
  <c r="DA6" i="4"/>
  <c r="DB6" i="4"/>
  <c r="DC6" i="4"/>
  <c r="DD6" i="4"/>
  <c r="DE6" i="4"/>
  <c r="DF6" i="4"/>
  <c r="DG6" i="4"/>
  <c r="DH6" i="4"/>
  <c r="DJ6" i="4"/>
  <c r="DK6" i="4"/>
  <c r="DL6" i="4"/>
  <c r="DM6" i="4"/>
  <c r="DN6" i="4"/>
  <c r="DO6" i="4"/>
  <c r="DP6" i="4"/>
  <c r="DQ6" i="4"/>
  <c r="DR6" i="4"/>
  <c r="DT6" i="4"/>
  <c r="DU6" i="4"/>
  <c r="DV6" i="4"/>
  <c r="DW6" i="4"/>
  <c r="DX6" i="4"/>
  <c r="DY6" i="4"/>
  <c r="DZ6" i="4"/>
  <c r="EA6" i="4"/>
  <c r="EB6" i="4"/>
  <c r="ED6" i="4"/>
  <c r="EE6" i="4"/>
  <c r="EF6" i="4"/>
  <c r="EG6" i="4"/>
  <c r="EH6" i="4"/>
  <c r="EI6" i="4"/>
  <c r="EJ6" i="4"/>
  <c r="EK6" i="4"/>
  <c r="EL6" i="4"/>
  <c r="EN6" i="4"/>
  <c r="EO6" i="4"/>
  <c r="EP6" i="4"/>
  <c r="EQ6" i="4"/>
  <c r="ER6" i="4"/>
  <c r="ES6" i="4"/>
  <c r="ET6" i="4"/>
  <c r="EU6" i="4"/>
  <c r="EV6" i="4"/>
  <c r="EX6" i="4"/>
  <c r="EY6" i="4"/>
  <c r="EZ6" i="4"/>
  <c r="FA6" i="4"/>
  <c r="FB6" i="4"/>
  <c r="FC6" i="4"/>
  <c r="FD6" i="4"/>
  <c r="FE6" i="4"/>
  <c r="FF6" i="4"/>
  <c r="FH6" i="4"/>
  <c r="FI6" i="4"/>
  <c r="FJ6" i="4"/>
  <c r="FK6" i="4"/>
  <c r="FL6" i="4"/>
  <c r="FM6" i="4"/>
  <c r="FN6" i="4"/>
  <c r="FO6" i="4"/>
  <c r="FP6" i="4"/>
  <c r="FR6" i="4"/>
  <c r="FS6" i="4"/>
  <c r="FT6" i="4"/>
  <c r="FU6" i="4"/>
  <c r="FV6" i="4"/>
  <c r="FW6" i="4"/>
  <c r="FX6" i="4"/>
  <c r="FY6" i="4"/>
  <c r="FZ6" i="4"/>
  <c r="GB6" i="4"/>
  <c r="GC6" i="4"/>
  <c r="GD6" i="4"/>
  <c r="GE6" i="4"/>
  <c r="GF6" i="4"/>
  <c r="GG6" i="4"/>
  <c r="GH6" i="4"/>
  <c r="GI6" i="4"/>
  <c r="GJ6" i="4"/>
  <c r="GL6" i="4"/>
  <c r="GM6" i="4"/>
  <c r="GN6" i="4"/>
  <c r="GO6" i="4"/>
  <c r="GP6" i="4"/>
  <c r="GQ6" i="4"/>
  <c r="GR6" i="4"/>
  <c r="GS6" i="4"/>
  <c r="GT6" i="4"/>
  <c r="GV6" i="4"/>
  <c r="GW6" i="4"/>
  <c r="GX6" i="4"/>
  <c r="GY6" i="4"/>
  <c r="GZ6" i="4"/>
  <c r="HA6" i="4"/>
  <c r="HB6" i="4"/>
  <c r="HC6" i="4"/>
  <c r="HD6" i="4"/>
  <c r="HF6" i="4"/>
  <c r="HG6" i="4"/>
  <c r="HH6" i="4"/>
  <c r="HI6" i="4"/>
  <c r="HJ6" i="4"/>
  <c r="HK6" i="4"/>
  <c r="HL6" i="4"/>
  <c r="HM6" i="4"/>
  <c r="HN6" i="4"/>
  <c r="HP6" i="4"/>
  <c r="HQ6" i="4"/>
  <c r="HR6" i="4"/>
  <c r="HS6" i="4"/>
  <c r="HT6" i="4"/>
  <c r="HU6" i="4"/>
  <c r="HV6" i="4"/>
  <c r="HW6" i="4"/>
  <c r="HX6" i="4"/>
  <c r="HZ6" i="4"/>
  <c r="IA6" i="4"/>
  <c r="IB6" i="4"/>
  <c r="IC6" i="4"/>
  <c r="ID6" i="4"/>
  <c r="IE6" i="4"/>
  <c r="IF6" i="4"/>
  <c r="IG6" i="4"/>
  <c r="IH6" i="4"/>
  <c r="IJ6" i="4"/>
  <c r="IK6" i="4"/>
  <c r="IL6" i="4"/>
  <c r="IM6" i="4"/>
  <c r="IN6" i="4"/>
  <c r="IO6" i="4"/>
  <c r="IP6" i="4"/>
  <c r="IQ6" i="4"/>
  <c r="IR6" i="4"/>
  <c r="IT6" i="4"/>
  <c r="IU6" i="4"/>
  <c r="IV6" i="4"/>
  <c r="F7" i="4"/>
  <c r="G7" i="4"/>
  <c r="H7" i="4"/>
  <c r="I7" i="4"/>
  <c r="J7" i="4"/>
  <c r="K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BC7" i="4"/>
  <c r="BD7" i="4"/>
  <c r="BE7" i="4"/>
  <c r="BF7" i="4"/>
  <c r="BG7" i="4"/>
  <c r="BH7" i="4"/>
  <c r="BI7" i="4"/>
  <c r="BJ7" i="4"/>
  <c r="BK7" i="4"/>
  <c r="BL7" i="4"/>
  <c r="BM7" i="4"/>
  <c r="BN7" i="4"/>
  <c r="BO7" i="4"/>
  <c r="BP7" i="4"/>
  <c r="BQ7" i="4"/>
  <c r="BR7" i="4"/>
  <c r="BS7" i="4"/>
  <c r="BT7" i="4"/>
  <c r="BU7" i="4"/>
  <c r="BV7" i="4"/>
  <c r="BW7" i="4"/>
  <c r="BX7" i="4"/>
  <c r="BY7" i="4"/>
  <c r="BZ7" i="4"/>
  <c r="CA7" i="4"/>
  <c r="CB7" i="4"/>
  <c r="CC7" i="4"/>
  <c r="CD7" i="4"/>
  <c r="CE7" i="4"/>
  <c r="CF7" i="4"/>
  <c r="CG7" i="4"/>
  <c r="CH7" i="4"/>
  <c r="CI7" i="4"/>
  <c r="CJ7" i="4"/>
  <c r="CK7" i="4"/>
  <c r="CL7" i="4"/>
  <c r="CM7" i="4"/>
  <c r="CN7" i="4"/>
  <c r="CO7" i="4"/>
  <c r="CP7" i="4"/>
  <c r="CQ7" i="4"/>
  <c r="CR7" i="4"/>
  <c r="CS7" i="4"/>
  <c r="CT7" i="4"/>
  <c r="CU7" i="4"/>
  <c r="CV7" i="4"/>
  <c r="CW7" i="4"/>
  <c r="CX7" i="4"/>
  <c r="CY7" i="4"/>
  <c r="CZ7" i="4"/>
  <c r="DA7" i="4"/>
  <c r="DB7" i="4"/>
  <c r="DC7" i="4"/>
  <c r="DD7" i="4"/>
  <c r="DE7" i="4"/>
  <c r="DF7" i="4"/>
  <c r="DG7" i="4"/>
  <c r="DH7" i="4"/>
  <c r="DI7" i="4"/>
  <c r="DJ7" i="4"/>
  <c r="DK7" i="4"/>
  <c r="DL7" i="4"/>
  <c r="DM7" i="4"/>
  <c r="DN7" i="4"/>
  <c r="DO7" i="4"/>
  <c r="DP7" i="4"/>
  <c r="DQ7" i="4"/>
  <c r="DR7" i="4"/>
  <c r="DS7" i="4"/>
  <c r="DT7" i="4"/>
  <c r="DU7" i="4"/>
  <c r="DV7" i="4"/>
  <c r="DW7" i="4"/>
  <c r="DX7" i="4"/>
  <c r="DY7" i="4"/>
  <c r="DZ7" i="4"/>
  <c r="EA7" i="4"/>
  <c r="EB7" i="4"/>
  <c r="EC7" i="4"/>
  <c r="ED7" i="4"/>
  <c r="EE7" i="4"/>
  <c r="EF7" i="4"/>
  <c r="EG7" i="4"/>
  <c r="EH7" i="4"/>
  <c r="EI7" i="4"/>
  <c r="EJ7" i="4"/>
  <c r="EK7" i="4"/>
  <c r="EL7" i="4"/>
  <c r="EM7" i="4"/>
  <c r="EN7" i="4"/>
  <c r="EO7" i="4"/>
  <c r="EP7" i="4"/>
  <c r="EQ7" i="4"/>
  <c r="ER7" i="4"/>
  <c r="ES7" i="4"/>
  <c r="ET7" i="4"/>
  <c r="EU7" i="4"/>
  <c r="EV7" i="4"/>
  <c r="EW7" i="4"/>
  <c r="EX7" i="4"/>
  <c r="EY7" i="4"/>
  <c r="EZ7" i="4"/>
  <c r="FA7" i="4"/>
  <c r="FB7" i="4"/>
  <c r="FC7" i="4"/>
  <c r="FD7" i="4"/>
  <c r="FE7" i="4"/>
  <c r="FF7" i="4"/>
  <c r="FG7" i="4"/>
  <c r="FH7" i="4"/>
  <c r="FI7" i="4"/>
  <c r="FJ7" i="4"/>
  <c r="FK7" i="4"/>
  <c r="FL7" i="4"/>
  <c r="FM7" i="4"/>
  <c r="FN7" i="4"/>
  <c r="FO7" i="4"/>
  <c r="FP7" i="4"/>
  <c r="FQ7" i="4"/>
  <c r="FR7" i="4"/>
  <c r="FS7" i="4"/>
  <c r="FT7" i="4"/>
  <c r="FU7" i="4"/>
  <c r="FV7" i="4"/>
  <c r="FW7" i="4"/>
  <c r="FX7" i="4"/>
  <c r="FY7" i="4"/>
  <c r="FZ7" i="4"/>
  <c r="GA7" i="4"/>
  <c r="GB7" i="4"/>
  <c r="GC7" i="4"/>
  <c r="GD7" i="4"/>
  <c r="GE7" i="4"/>
  <c r="GF7" i="4"/>
  <c r="GG7" i="4"/>
  <c r="GH7" i="4"/>
  <c r="GI7" i="4"/>
  <c r="GJ7" i="4"/>
  <c r="GK7" i="4"/>
  <c r="GL7" i="4"/>
  <c r="GM7" i="4"/>
  <c r="GN7" i="4"/>
  <c r="GO7" i="4"/>
  <c r="GP7" i="4"/>
  <c r="GQ7" i="4"/>
  <c r="GR7" i="4"/>
  <c r="GS7" i="4"/>
  <c r="GT7" i="4"/>
  <c r="GU7" i="4"/>
  <c r="GV7" i="4"/>
  <c r="GW7" i="4"/>
  <c r="GX7" i="4"/>
  <c r="GY7" i="4"/>
  <c r="GZ7" i="4"/>
  <c r="HA7" i="4"/>
  <c r="HB7" i="4"/>
  <c r="HC7" i="4"/>
  <c r="HD7" i="4"/>
  <c r="HE7" i="4"/>
  <c r="HF7" i="4"/>
  <c r="HG7" i="4"/>
  <c r="HH7" i="4"/>
  <c r="HI7" i="4"/>
  <c r="HJ7" i="4"/>
  <c r="HK7" i="4"/>
  <c r="HL7" i="4"/>
  <c r="HM7" i="4"/>
  <c r="HN7" i="4"/>
  <c r="HO7" i="4"/>
  <c r="HP7" i="4"/>
  <c r="HQ7" i="4"/>
  <c r="HR7" i="4"/>
  <c r="HS7" i="4"/>
  <c r="HT7" i="4"/>
  <c r="HU7" i="4"/>
  <c r="HV7" i="4"/>
  <c r="HW7" i="4"/>
  <c r="HX7" i="4"/>
  <c r="HY7" i="4"/>
  <c r="HZ7" i="4"/>
  <c r="IA7" i="4"/>
  <c r="IB7" i="4"/>
  <c r="IC7" i="4"/>
  <c r="ID7" i="4"/>
  <c r="IE7" i="4"/>
  <c r="IF7" i="4"/>
  <c r="IG7" i="4"/>
  <c r="IH7" i="4"/>
  <c r="II7" i="4"/>
  <c r="IJ7" i="4"/>
  <c r="IK7" i="4"/>
  <c r="IL7" i="4"/>
  <c r="IM7" i="4"/>
  <c r="IN7" i="4"/>
  <c r="IO7" i="4"/>
  <c r="IP7" i="4"/>
  <c r="IQ7" i="4"/>
  <c r="IR7" i="4"/>
  <c r="IS7" i="4"/>
  <c r="IT7" i="4"/>
  <c r="IU7" i="4"/>
  <c r="IV7" i="4"/>
  <c r="F8" i="4"/>
  <c r="G8" i="4"/>
  <c r="H8" i="4"/>
  <c r="I8" i="4"/>
  <c r="J8" i="4"/>
  <c r="K8" i="4"/>
  <c r="L8" i="4"/>
  <c r="M8" i="4"/>
  <c r="N8" i="4"/>
  <c r="O8" i="4"/>
  <c r="P8" i="4"/>
  <c r="Q8" i="4"/>
  <c r="R8" i="4"/>
  <c r="S8" i="4"/>
  <c r="T8" i="4"/>
  <c r="U8" i="4"/>
  <c r="V8" i="4"/>
  <c r="W8" i="4"/>
  <c r="X8" i="4"/>
  <c r="Y8" i="4"/>
  <c r="Z8" i="4"/>
  <c r="AA8" i="4"/>
  <c r="AB8" i="4"/>
  <c r="AC8" i="4"/>
  <c r="AD8" i="4"/>
  <c r="AE8" i="4"/>
  <c r="AF8" i="4"/>
  <c r="AG8" i="4"/>
  <c r="AH8" i="4"/>
  <c r="AI8" i="4"/>
  <c r="AJ8" i="4"/>
  <c r="AK8" i="4"/>
  <c r="AL8" i="4"/>
  <c r="AM8" i="4"/>
  <c r="AN8" i="4"/>
  <c r="AO8" i="4"/>
  <c r="AP8" i="4"/>
  <c r="AQ8" i="4"/>
  <c r="AR8" i="4"/>
  <c r="AS8" i="4"/>
  <c r="AT8" i="4"/>
  <c r="AU8" i="4"/>
  <c r="AV8" i="4"/>
  <c r="AW8" i="4"/>
  <c r="AX8" i="4"/>
  <c r="AY8" i="4"/>
  <c r="AZ8" i="4"/>
  <c r="BA8" i="4"/>
  <c r="BB8" i="4"/>
  <c r="BC8" i="4"/>
  <c r="BD8" i="4"/>
  <c r="BE8" i="4"/>
  <c r="BF8" i="4"/>
  <c r="BG8" i="4"/>
  <c r="BH8" i="4"/>
  <c r="BI8" i="4"/>
  <c r="BJ8" i="4"/>
  <c r="BK8" i="4"/>
  <c r="BL8" i="4"/>
  <c r="BM8" i="4"/>
  <c r="BN8" i="4"/>
  <c r="BO8" i="4"/>
  <c r="BP8" i="4"/>
  <c r="BQ8" i="4"/>
  <c r="BR8" i="4"/>
  <c r="BS8" i="4"/>
  <c r="BT8" i="4"/>
  <c r="BU8" i="4"/>
  <c r="BV8" i="4"/>
  <c r="BW8" i="4"/>
  <c r="BX8" i="4"/>
  <c r="BY8" i="4"/>
  <c r="BZ8" i="4"/>
  <c r="CA8" i="4"/>
  <c r="CB8" i="4"/>
  <c r="CC8" i="4"/>
  <c r="CD8" i="4"/>
  <c r="CE8" i="4"/>
  <c r="CF8" i="4"/>
  <c r="CG8" i="4"/>
  <c r="CH8" i="4"/>
  <c r="CI8" i="4"/>
  <c r="CJ8" i="4"/>
  <c r="CK8" i="4"/>
  <c r="CL8" i="4"/>
  <c r="CM8" i="4"/>
  <c r="CN8" i="4"/>
  <c r="CO8" i="4"/>
  <c r="CP8" i="4"/>
  <c r="CQ8" i="4"/>
  <c r="CR8" i="4"/>
  <c r="CS8" i="4"/>
  <c r="CT8" i="4"/>
  <c r="CU8" i="4"/>
  <c r="CV8" i="4"/>
  <c r="CW8" i="4"/>
  <c r="CX8" i="4"/>
  <c r="CY8" i="4"/>
  <c r="CZ8" i="4"/>
  <c r="DA8" i="4"/>
  <c r="DB8" i="4"/>
  <c r="DC8" i="4"/>
  <c r="DD8" i="4"/>
  <c r="DE8" i="4"/>
  <c r="DF8" i="4"/>
  <c r="DG8" i="4"/>
  <c r="DH8" i="4"/>
  <c r="DI8" i="4"/>
  <c r="DJ8" i="4"/>
  <c r="DK8" i="4"/>
  <c r="DL8" i="4"/>
  <c r="DM8" i="4"/>
  <c r="DN8" i="4"/>
  <c r="DO8" i="4"/>
  <c r="DP8" i="4"/>
  <c r="DQ8" i="4"/>
  <c r="DR8" i="4"/>
  <c r="DS8" i="4"/>
  <c r="DT8" i="4"/>
  <c r="DU8" i="4"/>
  <c r="DV8" i="4"/>
  <c r="DW8" i="4"/>
  <c r="DX8" i="4"/>
  <c r="DY8" i="4"/>
  <c r="DZ8" i="4"/>
  <c r="EA8" i="4"/>
  <c r="EB8" i="4"/>
  <c r="EC8" i="4"/>
  <c r="ED8" i="4"/>
  <c r="EE8" i="4"/>
  <c r="EF8" i="4"/>
  <c r="EG8" i="4"/>
  <c r="EH8" i="4"/>
  <c r="EI8" i="4"/>
  <c r="EJ8" i="4"/>
  <c r="EK8" i="4"/>
  <c r="EL8" i="4"/>
  <c r="EM8" i="4"/>
  <c r="EN8" i="4"/>
  <c r="EO8" i="4"/>
  <c r="EP8" i="4"/>
  <c r="EQ8" i="4"/>
  <c r="ER8" i="4"/>
  <c r="ES8" i="4"/>
  <c r="ET8" i="4"/>
  <c r="EU8" i="4"/>
  <c r="EV8" i="4"/>
  <c r="EW8" i="4"/>
  <c r="EX8" i="4"/>
  <c r="EY8" i="4"/>
  <c r="EZ8" i="4"/>
  <c r="FA8" i="4"/>
  <c r="FB8" i="4"/>
  <c r="FC8" i="4"/>
  <c r="FD8" i="4"/>
  <c r="FE8" i="4"/>
  <c r="FF8" i="4"/>
  <c r="FG8" i="4"/>
  <c r="FH8" i="4"/>
  <c r="FI8" i="4"/>
  <c r="FJ8" i="4"/>
  <c r="FK8" i="4"/>
  <c r="FL8" i="4"/>
  <c r="FM8" i="4"/>
  <c r="FN8" i="4"/>
  <c r="FO8" i="4"/>
  <c r="FP8" i="4"/>
  <c r="FQ8" i="4"/>
  <c r="FR8" i="4"/>
  <c r="FS8" i="4"/>
  <c r="FT8" i="4"/>
  <c r="FU8" i="4"/>
  <c r="FV8" i="4"/>
  <c r="FW8" i="4"/>
  <c r="FX8" i="4"/>
  <c r="FY8" i="4"/>
  <c r="FZ8" i="4"/>
  <c r="GA8" i="4"/>
  <c r="GB8" i="4"/>
  <c r="GC8" i="4"/>
  <c r="GD8" i="4"/>
  <c r="GE8" i="4"/>
  <c r="GF8" i="4"/>
  <c r="GG8" i="4"/>
  <c r="GH8" i="4"/>
  <c r="GI8" i="4"/>
  <c r="GJ8" i="4"/>
  <c r="GK8" i="4"/>
  <c r="GL8" i="4"/>
  <c r="GM8" i="4"/>
  <c r="GN8" i="4"/>
  <c r="GO8" i="4"/>
  <c r="GP8" i="4"/>
  <c r="GQ8" i="4"/>
  <c r="GR8" i="4"/>
  <c r="GS8" i="4"/>
  <c r="GT8" i="4"/>
  <c r="GU8" i="4"/>
  <c r="GV8" i="4"/>
  <c r="GW8" i="4"/>
  <c r="GX8" i="4"/>
  <c r="GY8" i="4"/>
  <c r="GZ8" i="4"/>
  <c r="HA8" i="4"/>
  <c r="HB8" i="4"/>
  <c r="HC8" i="4"/>
  <c r="HD8" i="4"/>
  <c r="HE8" i="4"/>
  <c r="HF8" i="4"/>
  <c r="HG8" i="4"/>
  <c r="HH8" i="4"/>
  <c r="HI8" i="4"/>
  <c r="HJ8" i="4"/>
  <c r="HK8" i="4"/>
  <c r="HL8" i="4"/>
  <c r="HM8" i="4"/>
  <c r="HN8" i="4"/>
  <c r="HO8" i="4"/>
  <c r="HP8" i="4"/>
  <c r="HQ8" i="4"/>
  <c r="HR8" i="4"/>
  <c r="HS8" i="4"/>
  <c r="HT8" i="4"/>
  <c r="HU8" i="4"/>
  <c r="HV8" i="4"/>
  <c r="HW8" i="4"/>
  <c r="HX8" i="4"/>
  <c r="HY8" i="4"/>
  <c r="HZ8" i="4"/>
  <c r="IA8" i="4"/>
  <c r="IB8" i="4"/>
  <c r="IC8" i="4"/>
  <c r="ID8" i="4"/>
  <c r="IE8" i="4"/>
  <c r="IF8" i="4"/>
  <c r="IG8" i="4"/>
  <c r="IH8" i="4"/>
  <c r="II8" i="4"/>
  <c r="IJ8" i="4"/>
  <c r="IK8" i="4"/>
  <c r="IL8" i="4"/>
  <c r="IM8" i="4"/>
  <c r="IN8" i="4"/>
  <c r="IO8" i="4"/>
  <c r="IP8" i="4"/>
  <c r="IQ8" i="4"/>
  <c r="IR8" i="4"/>
  <c r="IS8" i="4"/>
  <c r="IT8" i="4"/>
  <c r="IU8" i="4"/>
  <c r="IV8"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AX9" i="4"/>
  <c r="AY9" i="4"/>
  <c r="AZ9" i="4"/>
  <c r="BA9" i="4"/>
  <c r="BB9" i="4"/>
  <c r="BC9" i="4"/>
  <c r="BD9" i="4"/>
  <c r="BE9" i="4"/>
  <c r="BF9" i="4"/>
  <c r="BG9" i="4"/>
  <c r="BH9" i="4"/>
  <c r="BI9" i="4"/>
  <c r="BJ9" i="4"/>
  <c r="BK9" i="4"/>
  <c r="BL9" i="4"/>
  <c r="BM9" i="4"/>
  <c r="BN9" i="4"/>
  <c r="BO9" i="4"/>
  <c r="BP9" i="4"/>
  <c r="BQ9" i="4"/>
  <c r="BR9" i="4"/>
  <c r="BS9" i="4"/>
  <c r="BT9" i="4"/>
  <c r="BU9" i="4"/>
  <c r="BV9" i="4"/>
  <c r="BW9" i="4"/>
  <c r="BX9" i="4"/>
  <c r="BY9" i="4"/>
  <c r="BZ9" i="4"/>
  <c r="CA9" i="4"/>
  <c r="CB9" i="4"/>
  <c r="CC9" i="4"/>
  <c r="CD9" i="4"/>
  <c r="CE9" i="4"/>
  <c r="CF9" i="4"/>
  <c r="CG9" i="4"/>
  <c r="CH9" i="4"/>
  <c r="CI9" i="4"/>
  <c r="CJ9" i="4"/>
  <c r="CK9" i="4"/>
  <c r="CL9" i="4"/>
  <c r="CM9" i="4"/>
  <c r="CN9" i="4"/>
  <c r="CO9" i="4"/>
  <c r="CP9" i="4"/>
  <c r="CQ9" i="4"/>
  <c r="CR9" i="4"/>
  <c r="CS9" i="4"/>
  <c r="CT9" i="4"/>
  <c r="CU9" i="4"/>
  <c r="CV9" i="4"/>
  <c r="CW9" i="4"/>
  <c r="CX9" i="4"/>
  <c r="CY9" i="4"/>
  <c r="CZ9" i="4"/>
  <c r="DA9" i="4"/>
  <c r="DB9" i="4"/>
  <c r="DC9" i="4"/>
  <c r="DD9" i="4"/>
  <c r="DE9" i="4"/>
  <c r="DF9" i="4"/>
  <c r="DG9" i="4"/>
  <c r="DH9" i="4"/>
  <c r="DI9" i="4"/>
  <c r="DJ9" i="4"/>
  <c r="DK9" i="4"/>
  <c r="DL9" i="4"/>
  <c r="DM9" i="4"/>
  <c r="DN9" i="4"/>
  <c r="DO9" i="4"/>
  <c r="DP9" i="4"/>
  <c r="DQ9" i="4"/>
  <c r="DR9" i="4"/>
  <c r="DS9" i="4"/>
  <c r="DT9" i="4"/>
  <c r="DU9" i="4"/>
  <c r="DV9" i="4"/>
  <c r="DW9" i="4"/>
  <c r="DX9" i="4"/>
  <c r="DY9" i="4"/>
  <c r="DZ9" i="4"/>
  <c r="EA9" i="4"/>
  <c r="EB9" i="4"/>
  <c r="EC9" i="4"/>
  <c r="ED9" i="4"/>
  <c r="EE9" i="4"/>
  <c r="EF9" i="4"/>
  <c r="EG9" i="4"/>
  <c r="EH9" i="4"/>
  <c r="EI9" i="4"/>
  <c r="EJ9" i="4"/>
  <c r="EK9" i="4"/>
  <c r="EL9" i="4"/>
  <c r="EM9" i="4"/>
  <c r="EN9" i="4"/>
  <c r="EO9" i="4"/>
  <c r="EP9" i="4"/>
  <c r="EQ9" i="4"/>
  <c r="ER9" i="4"/>
  <c r="ES9" i="4"/>
  <c r="ET9" i="4"/>
  <c r="EU9" i="4"/>
  <c r="EV9" i="4"/>
  <c r="EW9" i="4"/>
  <c r="EX9" i="4"/>
  <c r="EY9" i="4"/>
  <c r="EZ9" i="4"/>
  <c r="FA9" i="4"/>
  <c r="FB9" i="4"/>
  <c r="FC9" i="4"/>
  <c r="FD9" i="4"/>
  <c r="FE9" i="4"/>
  <c r="FF9" i="4"/>
  <c r="FG9" i="4"/>
  <c r="FH9" i="4"/>
  <c r="FI9" i="4"/>
  <c r="FJ9" i="4"/>
  <c r="FK9" i="4"/>
  <c r="FL9" i="4"/>
  <c r="FM9" i="4"/>
  <c r="FN9" i="4"/>
  <c r="FO9" i="4"/>
  <c r="FP9" i="4"/>
  <c r="FQ9" i="4"/>
  <c r="FR9" i="4"/>
  <c r="FS9" i="4"/>
  <c r="FT9" i="4"/>
  <c r="FU9" i="4"/>
  <c r="FV9" i="4"/>
  <c r="FW9" i="4"/>
  <c r="FX9" i="4"/>
  <c r="FY9" i="4"/>
  <c r="FZ9" i="4"/>
  <c r="GA9" i="4"/>
  <c r="GB9" i="4"/>
  <c r="GC9" i="4"/>
  <c r="GD9" i="4"/>
  <c r="GE9" i="4"/>
  <c r="GF9" i="4"/>
  <c r="GG9" i="4"/>
  <c r="GH9" i="4"/>
  <c r="GI9" i="4"/>
  <c r="GJ9" i="4"/>
  <c r="GK9" i="4"/>
  <c r="GL9" i="4"/>
  <c r="GM9" i="4"/>
  <c r="GN9" i="4"/>
  <c r="GO9" i="4"/>
  <c r="GP9" i="4"/>
  <c r="GQ9" i="4"/>
  <c r="GR9" i="4"/>
  <c r="GS9" i="4"/>
  <c r="GT9" i="4"/>
  <c r="GU9" i="4"/>
  <c r="GV9" i="4"/>
  <c r="GW9" i="4"/>
  <c r="GX9" i="4"/>
  <c r="GY9" i="4"/>
  <c r="GZ9" i="4"/>
  <c r="HA9" i="4"/>
  <c r="HB9" i="4"/>
  <c r="HC9" i="4"/>
  <c r="HD9" i="4"/>
  <c r="HE9" i="4"/>
  <c r="HF9" i="4"/>
  <c r="HG9" i="4"/>
  <c r="HH9" i="4"/>
  <c r="HI9" i="4"/>
  <c r="HJ9" i="4"/>
  <c r="HK9" i="4"/>
  <c r="HL9" i="4"/>
  <c r="HM9" i="4"/>
  <c r="HN9" i="4"/>
  <c r="HO9" i="4"/>
  <c r="HP9" i="4"/>
  <c r="HQ9" i="4"/>
  <c r="HR9" i="4"/>
  <c r="HS9" i="4"/>
  <c r="HT9" i="4"/>
  <c r="HU9" i="4"/>
  <c r="HV9" i="4"/>
  <c r="HW9" i="4"/>
  <c r="HX9" i="4"/>
  <c r="HY9" i="4"/>
  <c r="HZ9" i="4"/>
  <c r="IA9" i="4"/>
  <c r="IB9" i="4"/>
  <c r="IC9" i="4"/>
  <c r="ID9" i="4"/>
  <c r="IE9" i="4"/>
  <c r="IF9" i="4"/>
  <c r="IG9" i="4"/>
  <c r="IH9" i="4"/>
  <c r="II9" i="4"/>
  <c r="IJ9" i="4"/>
  <c r="IK9" i="4"/>
  <c r="IL9" i="4"/>
  <c r="IM9" i="4"/>
  <c r="IN9" i="4"/>
  <c r="IO9" i="4"/>
  <c r="IP9" i="4"/>
  <c r="IQ9" i="4"/>
  <c r="IR9" i="4"/>
  <c r="IS9" i="4"/>
  <c r="IT9" i="4"/>
  <c r="IU9" i="4"/>
  <c r="IV9"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AL10" i="4"/>
  <c r="AM10" i="4"/>
  <c r="AN10" i="4"/>
  <c r="AO10" i="4"/>
  <c r="AP10" i="4"/>
  <c r="AQ10" i="4"/>
  <c r="AR10" i="4"/>
  <c r="AS10" i="4"/>
  <c r="AT10" i="4"/>
  <c r="AU10" i="4"/>
  <c r="AV10" i="4"/>
  <c r="AW10" i="4"/>
  <c r="AX10" i="4"/>
  <c r="AY10" i="4"/>
  <c r="AZ10" i="4"/>
  <c r="BA10" i="4"/>
  <c r="BB10" i="4"/>
  <c r="BC10" i="4"/>
  <c r="BD10" i="4"/>
  <c r="BE10" i="4"/>
  <c r="BF10" i="4"/>
  <c r="BG10" i="4"/>
  <c r="BH10" i="4"/>
  <c r="BI10" i="4"/>
  <c r="BJ10" i="4"/>
  <c r="BK10" i="4"/>
  <c r="BL10" i="4"/>
  <c r="BM10" i="4"/>
  <c r="BN10" i="4"/>
  <c r="BO10" i="4"/>
  <c r="BP10" i="4"/>
  <c r="BQ10" i="4"/>
  <c r="BR10" i="4"/>
  <c r="BS10" i="4"/>
  <c r="BT10" i="4"/>
  <c r="BU10" i="4"/>
  <c r="BV10" i="4"/>
  <c r="BW10" i="4"/>
  <c r="BX10" i="4"/>
  <c r="BY10" i="4"/>
  <c r="BZ10" i="4"/>
  <c r="CA10" i="4"/>
  <c r="CB10" i="4"/>
  <c r="CC10" i="4"/>
  <c r="CD10" i="4"/>
  <c r="CE10" i="4"/>
  <c r="CF10" i="4"/>
  <c r="CG10" i="4"/>
  <c r="CH10" i="4"/>
  <c r="CI10" i="4"/>
  <c r="CJ10" i="4"/>
  <c r="CK10" i="4"/>
  <c r="CL10" i="4"/>
  <c r="CM10" i="4"/>
  <c r="CN10" i="4"/>
  <c r="CO10" i="4"/>
  <c r="CP10" i="4"/>
  <c r="CQ10" i="4"/>
  <c r="CR10" i="4"/>
  <c r="CS10" i="4"/>
  <c r="CT10" i="4"/>
  <c r="CU10" i="4"/>
  <c r="CV10" i="4"/>
  <c r="CW10" i="4"/>
  <c r="CX10" i="4"/>
  <c r="CY10" i="4"/>
  <c r="CZ10" i="4"/>
  <c r="DA10" i="4"/>
  <c r="DB10" i="4"/>
  <c r="DC10" i="4"/>
  <c r="DD10" i="4"/>
  <c r="DE10" i="4"/>
  <c r="DF10" i="4"/>
  <c r="DG10" i="4"/>
  <c r="DH10" i="4"/>
  <c r="DI10" i="4"/>
  <c r="DJ10" i="4"/>
  <c r="DK10" i="4"/>
  <c r="DL10" i="4"/>
  <c r="DM10" i="4"/>
  <c r="DN10" i="4"/>
  <c r="DO10" i="4"/>
  <c r="DP10" i="4"/>
  <c r="DQ10" i="4"/>
  <c r="DR10" i="4"/>
  <c r="DS10" i="4"/>
  <c r="DT10" i="4"/>
  <c r="DU10" i="4"/>
  <c r="DV10" i="4"/>
  <c r="DW10" i="4"/>
  <c r="DX10" i="4"/>
  <c r="DY10" i="4"/>
  <c r="DZ10" i="4"/>
  <c r="EA10" i="4"/>
  <c r="EB10" i="4"/>
  <c r="EC10" i="4"/>
  <c r="ED10" i="4"/>
  <c r="EE10" i="4"/>
  <c r="EF10" i="4"/>
  <c r="EG10" i="4"/>
  <c r="EH10" i="4"/>
  <c r="EI10" i="4"/>
  <c r="EJ10" i="4"/>
  <c r="EK10" i="4"/>
  <c r="EL10" i="4"/>
  <c r="EM10" i="4"/>
  <c r="EN10" i="4"/>
  <c r="EO10" i="4"/>
  <c r="EP10" i="4"/>
  <c r="EQ10" i="4"/>
  <c r="ER10" i="4"/>
  <c r="ES10" i="4"/>
  <c r="ET10" i="4"/>
  <c r="EU10" i="4"/>
  <c r="EV10" i="4"/>
  <c r="EW10" i="4"/>
  <c r="EX10" i="4"/>
  <c r="EY10" i="4"/>
  <c r="EZ10" i="4"/>
  <c r="FA10" i="4"/>
  <c r="FB10" i="4"/>
  <c r="FC10" i="4"/>
  <c r="FD10" i="4"/>
  <c r="FE10" i="4"/>
  <c r="FF10" i="4"/>
  <c r="FG10" i="4"/>
  <c r="FH10" i="4"/>
  <c r="FI10" i="4"/>
  <c r="FJ10" i="4"/>
  <c r="FK10" i="4"/>
  <c r="FL10" i="4"/>
  <c r="FM10" i="4"/>
  <c r="FN10" i="4"/>
  <c r="FO10" i="4"/>
  <c r="FP10" i="4"/>
  <c r="FQ10" i="4"/>
  <c r="FR10" i="4"/>
  <c r="FS10" i="4"/>
  <c r="FT10" i="4"/>
  <c r="FU10" i="4"/>
  <c r="FV10" i="4"/>
  <c r="FW10" i="4"/>
  <c r="FX10" i="4"/>
  <c r="FY10" i="4"/>
  <c r="FZ10" i="4"/>
  <c r="GA10" i="4"/>
  <c r="GB10" i="4"/>
  <c r="GC10" i="4"/>
  <c r="GD10" i="4"/>
  <c r="GE10" i="4"/>
  <c r="GF10" i="4"/>
  <c r="GG10" i="4"/>
  <c r="GH10" i="4"/>
  <c r="GI10" i="4"/>
  <c r="GJ10" i="4"/>
  <c r="GK10" i="4"/>
  <c r="GL10" i="4"/>
  <c r="GM10" i="4"/>
  <c r="GN10" i="4"/>
  <c r="GO10" i="4"/>
  <c r="GP10" i="4"/>
  <c r="GQ10" i="4"/>
  <c r="GR10" i="4"/>
  <c r="GS10" i="4"/>
  <c r="GT10" i="4"/>
  <c r="GU10" i="4"/>
  <c r="GV10" i="4"/>
  <c r="GW10" i="4"/>
  <c r="GX10" i="4"/>
  <c r="GY10" i="4"/>
  <c r="GZ10" i="4"/>
  <c r="HA10" i="4"/>
  <c r="HB10" i="4"/>
  <c r="HC10" i="4"/>
  <c r="HD10" i="4"/>
  <c r="HE10" i="4"/>
  <c r="HF10" i="4"/>
  <c r="HG10" i="4"/>
  <c r="HH10" i="4"/>
  <c r="HI10" i="4"/>
  <c r="HJ10" i="4"/>
  <c r="HK10" i="4"/>
  <c r="HL10" i="4"/>
  <c r="HM10" i="4"/>
  <c r="HN10" i="4"/>
  <c r="HO10" i="4"/>
  <c r="HP10" i="4"/>
  <c r="HQ10" i="4"/>
  <c r="HR10" i="4"/>
  <c r="HS10" i="4"/>
  <c r="HT10" i="4"/>
  <c r="HU10" i="4"/>
  <c r="HV10" i="4"/>
  <c r="HW10" i="4"/>
  <c r="HX10" i="4"/>
  <c r="HY10" i="4"/>
  <c r="HZ10" i="4"/>
  <c r="IA10" i="4"/>
  <c r="IB10" i="4"/>
  <c r="IC10" i="4"/>
  <c r="ID10" i="4"/>
  <c r="IE10" i="4"/>
  <c r="IF10" i="4"/>
  <c r="IG10" i="4"/>
  <c r="IH10" i="4"/>
  <c r="II10" i="4"/>
  <c r="IJ10" i="4"/>
  <c r="IK10" i="4"/>
  <c r="IL10" i="4"/>
  <c r="IM10" i="4"/>
  <c r="IN10" i="4"/>
  <c r="IO10" i="4"/>
  <c r="IP10" i="4"/>
  <c r="IQ10" i="4"/>
  <c r="IR10" i="4"/>
  <c r="IS10" i="4"/>
  <c r="IT10" i="4"/>
  <c r="IU10" i="4"/>
  <c r="IV10"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AK11" i="4"/>
  <c r="AL11" i="4"/>
  <c r="AM11" i="4"/>
  <c r="AN11" i="4"/>
  <c r="AO11" i="4"/>
  <c r="AP11" i="4"/>
  <c r="AQ11" i="4"/>
  <c r="AR11" i="4"/>
  <c r="AS11" i="4"/>
  <c r="AT11" i="4"/>
  <c r="AU11" i="4"/>
  <c r="AV11" i="4"/>
  <c r="AW11" i="4"/>
  <c r="AX11" i="4"/>
  <c r="AY11" i="4"/>
  <c r="AZ11" i="4"/>
  <c r="BA11" i="4"/>
  <c r="BB11" i="4"/>
  <c r="BC11" i="4"/>
  <c r="BD11" i="4"/>
  <c r="BE11" i="4"/>
  <c r="BF11" i="4"/>
  <c r="BG11" i="4"/>
  <c r="BH11" i="4"/>
  <c r="BI11" i="4"/>
  <c r="BJ11" i="4"/>
  <c r="BK11" i="4"/>
  <c r="BL11" i="4"/>
  <c r="BM11" i="4"/>
  <c r="BN11" i="4"/>
  <c r="BO11" i="4"/>
  <c r="BP11" i="4"/>
  <c r="BQ11" i="4"/>
  <c r="BR11" i="4"/>
  <c r="BS11" i="4"/>
  <c r="BT11" i="4"/>
  <c r="BU11" i="4"/>
  <c r="BV11" i="4"/>
  <c r="BW11" i="4"/>
  <c r="BX11" i="4"/>
  <c r="BY11" i="4"/>
  <c r="BZ11" i="4"/>
  <c r="CA11" i="4"/>
  <c r="CB11" i="4"/>
  <c r="CC11" i="4"/>
  <c r="CD11" i="4"/>
  <c r="CE11" i="4"/>
  <c r="CF11" i="4"/>
  <c r="CG11" i="4"/>
  <c r="CH11" i="4"/>
  <c r="CI11" i="4"/>
  <c r="CJ11" i="4"/>
  <c r="CK11" i="4"/>
  <c r="CL11" i="4"/>
  <c r="CM11" i="4"/>
  <c r="CN11" i="4"/>
  <c r="CO11" i="4"/>
  <c r="CP11" i="4"/>
  <c r="CQ11" i="4"/>
  <c r="CR11" i="4"/>
  <c r="CS11" i="4"/>
  <c r="CT11" i="4"/>
  <c r="CU11" i="4"/>
  <c r="CV11" i="4"/>
  <c r="CW11" i="4"/>
  <c r="CX11" i="4"/>
  <c r="CY11" i="4"/>
  <c r="CZ11" i="4"/>
  <c r="DA11" i="4"/>
  <c r="DB11" i="4"/>
  <c r="DC11" i="4"/>
  <c r="DD11" i="4"/>
  <c r="DE11" i="4"/>
  <c r="DF11" i="4"/>
  <c r="DG11" i="4"/>
  <c r="DH11" i="4"/>
  <c r="DI11" i="4"/>
  <c r="DJ11" i="4"/>
  <c r="DK11" i="4"/>
  <c r="DL11" i="4"/>
  <c r="DM11" i="4"/>
  <c r="DN11" i="4"/>
  <c r="DO11" i="4"/>
  <c r="DP11" i="4"/>
  <c r="DQ11" i="4"/>
  <c r="DR11" i="4"/>
  <c r="DS11" i="4"/>
  <c r="DT11" i="4"/>
  <c r="DU11" i="4"/>
  <c r="DV11" i="4"/>
  <c r="DW11" i="4"/>
  <c r="DX11" i="4"/>
  <c r="DY11" i="4"/>
  <c r="DZ11" i="4"/>
  <c r="EA11" i="4"/>
  <c r="EB11" i="4"/>
  <c r="EC11" i="4"/>
  <c r="ED11" i="4"/>
  <c r="EE11" i="4"/>
  <c r="EF11" i="4"/>
  <c r="EG11" i="4"/>
  <c r="EH11" i="4"/>
  <c r="EI11" i="4"/>
  <c r="EJ11" i="4"/>
  <c r="EK11" i="4"/>
  <c r="EL11" i="4"/>
  <c r="EM11" i="4"/>
  <c r="EN11" i="4"/>
  <c r="EO11" i="4"/>
  <c r="EP11" i="4"/>
  <c r="EQ11" i="4"/>
  <c r="ER11" i="4"/>
  <c r="ES11" i="4"/>
  <c r="ET11" i="4"/>
  <c r="EU11" i="4"/>
  <c r="EV11" i="4"/>
  <c r="EW11" i="4"/>
  <c r="EX11" i="4"/>
  <c r="EY11" i="4"/>
  <c r="EZ11" i="4"/>
  <c r="FA11" i="4"/>
  <c r="FB11" i="4"/>
  <c r="FC11" i="4"/>
  <c r="FD11" i="4"/>
  <c r="FE11" i="4"/>
  <c r="FF11" i="4"/>
  <c r="FG11" i="4"/>
  <c r="FH11" i="4"/>
  <c r="FI11" i="4"/>
  <c r="FJ11" i="4"/>
  <c r="FK11" i="4"/>
  <c r="FL11" i="4"/>
  <c r="FM11" i="4"/>
  <c r="FN11" i="4"/>
  <c r="FO11" i="4"/>
  <c r="FP11" i="4"/>
  <c r="FQ11" i="4"/>
  <c r="FR11" i="4"/>
  <c r="FS11" i="4"/>
  <c r="FT11" i="4"/>
  <c r="FU11" i="4"/>
  <c r="FV11" i="4"/>
  <c r="FW11" i="4"/>
  <c r="FX11" i="4"/>
  <c r="FY11" i="4"/>
  <c r="FZ11" i="4"/>
  <c r="GA11" i="4"/>
  <c r="GB11" i="4"/>
  <c r="GC11" i="4"/>
  <c r="GD11" i="4"/>
  <c r="GE11" i="4"/>
  <c r="GF11" i="4"/>
  <c r="GG11" i="4"/>
  <c r="GH11" i="4"/>
  <c r="GI11" i="4"/>
  <c r="GJ11" i="4"/>
  <c r="GK11" i="4"/>
  <c r="GL11" i="4"/>
  <c r="GM11" i="4"/>
  <c r="GN11" i="4"/>
  <c r="GO11" i="4"/>
  <c r="GP11" i="4"/>
  <c r="GQ11" i="4"/>
  <c r="GR11" i="4"/>
  <c r="GS11" i="4"/>
  <c r="GT11" i="4"/>
  <c r="GU11" i="4"/>
  <c r="GV11" i="4"/>
  <c r="GW11" i="4"/>
  <c r="GX11" i="4"/>
  <c r="GY11" i="4"/>
  <c r="GZ11" i="4"/>
  <c r="HA11" i="4"/>
  <c r="HB11" i="4"/>
  <c r="HC11" i="4"/>
  <c r="HD11" i="4"/>
  <c r="HE11" i="4"/>
  <c r="HF11" i="4"/>
  <c r="HG11" i="4"/>
  <c r="HH11" i="4"/>
  <c r="HI11" i="4"/>
  <c r="HJ11" i="4"/>
  <c r="HK11" i="4"/>
  <c r="HL11" i="4"/>
  <c r="HM11" i="4"/>
  <c r="HN11" i="4"/>
  <c r="HO11" i="4"/>
  <c r="HP11" i="4"/>
  <c r="HQ11" i="4"/>
  <c r="HR11" i="4"/>
  <c r="HS11" i="4"/>
  <c r="HT11" i="4"/>
  <c r="HU11" i="4"/>
  <c r="HV11" i="4"/>
  <c r="HW11" i="4"/>
  <c r="HX11" i="4"/>
  <c r="HY11" i="4"/>
  <c r="HZ11" i="4"/>
  <c r="IA11" i="4"/>
  <c r="IB11" i="4"/>
  <c r="IC11" i="4"/>
  <c r="ID11" i="4"/>
  <c r="IE11" i="4"/>
  <c r="IF11" i="4"/>
  <c r="IG11" i="4"/>
  <c r="IH11" i="4"/>
  <c r="II11" i="4"/>
  <c r="IJ11" i="4"/>
  <c r="IK11" i="4"/>
  <c r="IL11" i="4"/>
  <c r="IM11" i="4"/>
  <c r="IN11" i="4"/>
  <c r="IO11" i="4"/>
  <c r="IP11" i="4"/>
  <c r="IQ11" i="4"/>
  <c r="IR11" i="4"/>
  <c r="IS11" i="4"/>
  <c r="IT11" i="4"/>
  <c r="IU11" i="4"/>
  <c r="IV11"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H12" i="4"/>
  <c r="AI12" i="4"/>
  <c r="AJ12" i="4"/>
  <c r="AK12" i="4"/>
  <c r="AL12" i="4"/>
  <c r="AM12" i="4"/>
  <c r="AN12" i="4"/>
  <c r="AO12" i="4"/>
  <c r="AP12" i="4"/>
  <c r="AQ12" i="4"/>
  <c r="AR12" i="4"/>
  <c r="AS12" i="4"/>
  <c r="AT12" i="4"/>
  <c r="AU12" i="4"/>
  <c r="AV12" i="4"/>
  <c r="AW12" i="4"/>
  <c r="AX12" i="4"/>
  <c r="AY12" i="4"/>
  <c r="AZ12" i="4"/>
  <c r="BA12" i="4"/>
  <c r="BB12" i="4"/>
  <c r="BC12" i="4"/>
  <c r="BD12" i="4"/>
  <c r="BE12" i="4"/>
  <c r="BF12" i="4"/>
  <c r="BG12" i="4"/>
  <c r="BH12" i="4"/>
  <c r="BI12" i="4"/>
  <c r="BJ12" i="4"/>
  <c r="BK12" i="4"/>
  <c r="BL12" i="4"/>
  <c r="BM12" i="4"/>
  <c r="BN12" i="4"/>
  <c r="BO12" i="4"/>
  <c r="BP12" i="4"/>
  <c r="BQ12" i="4"/>
  <c r="BR12" i="4"/>
  <c r="BS12" i="4"/>
  <c r="BT12" i="4"/>
  <c r="BU12" i="4"/>
  <c r="BV12" i="4"/>
  <c r="BW12" i="4"/>
  <c r="BX12" i="4"/>
  <c r="BY12" i="4"/>
  <c r="BZ12" i="4"/>
  <c r="CA12" i="4"/>
  <c r="CB12" i="4"/>
  <c r="CC12" i="4"/>
  <c r="CD12" i="4"/>
  <c r="CE12" i="4"/>
  <c r="CF12" i="4"/>
  <c r="CG12" i="4"/>
  <c r="CH12" i="4"/>
  <c r="CI12" i="4"/>
  <c r="CJ12" i="4"/>
  <c r="CK12" i="4"/>
  <c r="CL12" i="4"/>
  <c r="CM12" i="4"/>
  <c r="CN12" i="4"/>
  <c r="CO12" i="4"/>
  <c r="CP12" i="4"/>
  <c r="CQ12" i="4"/>
  <c r="CR12" i="4"/>
  <c r="CS12" i="4"/>
  <c r="CT12" i="4"/>
  <c r="CU12" i="4"/>
  <c r="CV12" i="4"/>
  <c r="CW12" i="4"/>
  <c r="CX12" i="4"/>
  <c r="CY12" i="4"/>
  <c r="CZ12" i="4"/>
  <c r="DA12" i="4"/>
  <c r="DB12" i="4"/>
  <c r="DC12" i="4"/>
  <c r="DD12" i="4"/>
  <c r="DE12" i="4"/>
  <c r="DF12" i="4"/>
  <c r="DG12" i="4"/>
  <c r="DH12" i="4"/>
  <c r="DI12" i="4"/>
  <c r="DJ12" i="4"/>
  <c r="DK12" i="4"/>
  <c r="DL12" i="4"/>
  <c r="DM12" i="4"/>
  <c r="DN12" i="4"/>
  <c r="DO12" i="4"/>
  <c r="DP12" i="4"/>
  <c r="DQ12" i="4"/>
  <c r="DR12" i="4"/>
  <c r="DS12" i="4"/>
  <c r="DT12" i="4"/>
  <c r="DU12" i="4"/>
  <c r="DV12" i="4"/>
  <c r="DW12" i="4"/>
  <c r="DX12" i="4"/>
  <c r="DY12" i="4"/>
  <c r="DZ12" i="4"/>
  <c r="EA12" i="4"/>
  <c r="EB12" i="4"/>
  <c r="EC12" i="4"/>
  <c r="ED12" i="4"/>
  <c r="EE12" i="4"/>
  <c r="EF12" i="4"/>
  <c r="EG12" i="4"/>
  <c r="EH12" i="4"/>
  <c r="EI12" i="4"/>
  <c r="EJ12" i="4"/>
  <c r="EK12" i="4"/>
  <c r="EL12" i="4"/>
  <c r="EM12" i="4"/>
  <c r="EN12" i="4"/>
  <c r="EO12" i="4"/>
  <c r="EP12" i="4"/>
  <c r="EQ12" i="4"/>
  <c r="ER12" i="4"/>
  <c r="ES12" i="4"/>
  <c r="ET12" i="4"/>
  <c r="EU12" i="4"/>
  <c r="EV12" i="4"/>
  <c r="EW12" i="4"/>
  <c r="EX12" i="4"/>
  <c r="EY12" i="4"/>
  <c r="EZ12" i="4"/>
  <c r="FA12" i="4"/>
  <c r="FB12" i="4"/>
  <c r="FC12" i="4"/>
  <c r="FD12" i="4"/>
  <c r="FE12" i="4"/>
  <c r="FF12" i="4"/>
  <c r="FG12" i="4"/>
  <c r="FH12" i="4"/>
  <c r="FI12" i="4"/>
  <c r="FJ12" i="4"/>
  <c r="FK12" i="4"/>
  <c r="FL12" i="4"/>
  <c r="FM12" i="4"/>
  <c r="FN12" i="4"/>
  <c r="FO12" i="4"/>
  <c r="FP12" i="4"/>
  <c r="FQ12" i="4"/>
  <c r="FR12" i="4"/>
  <c r="FS12" i="4"/>
  <c r="FT12" i="4"/>
  <c r="FU12" i="4"/>
  <c r="FV12" i="4"/>
  <c r="FW12" i="4"/>
  <c r="FX12" i="4"/>
  <c r="FY12" i="4"/>
  <c r="FZ12" i="4"/>
  <c r="GA12" i="4"/>
  <c r="GB12" i="4"/>
  <c r="GC12" i="4"/>
  <c r="GD12" i="4"/>
  <c r="GE12" i="4"/>
  <c r="GF12" i="4"/>
  <c r="GG12" i="4"/>
  <c r="GH12" i="4"/>
  <c r="GI12" i="4"/>
  <c r="GJ12" i="4"/>
  <c r="GK12" i="4"/>
  <c r="GL12" i="4"/>
  <c r="GM12" i="4"/>
  <c r="GN12" i="4"/>
  <c r="GO12" i="4"/>
  <c r="GP12" i="4"/>
  <c r="GQ12" i="4"/>
  <c r="GR12" i="4"/>
  <c r="GS12" i="4"/>
  <c r="GT12" i="4"/>
  <c r="GU12" i="4"/>
  <c r="GV12" i="4"/>
  <c r="GW12" i="4"/>
  <c r="GX12" i="4"/>
  <c r="GY12" i="4"/>
  <c r="GZ12" i="4"/>
  <c r="HA12" i="4"/>
  <c r="HB12" i="4"/>
  <c r="HC12" i="4"/>
  <c r="HD12" i="4"/>
  <c r="HE12" i="4"/>
  <c r="HF12" i="4"/>
  <c r="HG12" i="4"/>
  <c r="HH12" i="4"/>
  <c r="HI12" i="4"/>
  <c r="HJ12" i="4"/>
  <c r="HK12" i="4"/>
  <c r="HL12" i="4"/>
  <c r="HM12" i="4"/>
  <c r="HN12" i="4"/>
  <c r="HO12" i="4"/>
  <c r="HP12" i="4"/>
  <c r="HQ12" i="4"/>
  <c r="HR12" i="4"/>
  <c r="HS12" i="4"/>
  <c r="HT12" i="4"/>
  <c r="HU12" i="4"/>
  <c r="HV12" i="4"/>
  <c r="HW12" i="4"/>
  <c r="HX12" i="4"/>
  <c r="HY12" i="4"/>
  <c r="HZ12" i="4"/>
  <c r="IA12" i="4"/>
  <c r="IB12" i="4"/>
  <c r="IC12" i="4"/>
  <c r="ID12" i="4"/>
  <c r="IE12" i="4"/>
  <c r="IF12" i="4"/>
  <c r="IG12" i="4"/>
  <c r="IH12" i="4"/>
  <c r="II12" i="4"/>
  <c r="IJ12" i="4"/>
  <c r="IK12" i="4"/>
  <c r="IL12" i="4"/>
  <c r="IM12" i="4"/>
  <c r="IN12" i="4"/>
  <c r="IO12" i="4"/>
  <c r="IP12" i="4"/>
  <c r="IQ12" i="4"/>
  <c r="IR12" i="4"/>
  <c r="IS12" i="4"/>
  <c r="IT12" i="4"/>
  <c r="IU12" i="4"/>
  <c r="IV12"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AH13" i="4"/>
  <c r="AI13" i="4"/>
  <c r="AJ13" i="4"/>
  <c r="AK13" i="4"/>
  <c r="AL13" i="4"/>
  <c r="AM13" i="4"/>
  <c r="AN13" i="4"/>
  <c r="AO13" i="4"/>
  <c r="AP13" i="4"/>
  <c r="AQ13" i="4"/>
  <c r="AR13" i="4"/>
  <c r="AS13" i="4"/>
  <c r="AT13" i="4"/>
  <c r="AU13" i="4"/>
  <c r="AV13" i="4"/>
  <c r="AW13" i="4"/>
  <c r="AX13" i="4"/>
  <c r="AY13" i="4"/>
  <c r="AZ13" i="4"/>
  <c r="BA13" i="4"/>
  <c r="BB13" i="4"/>
  <c r="BC13" i="4"/>
  <c r="BD13" i="4"/>
  <c r="BE13" i="4"/>
  <c r="BF13" i="4"/>
  <c r="BG13" i="4"/>
  <c r="BH13" i="4"/>
  <c r="BI13" i="4"/>
  <c r="BJ13" i="4"/>
  <c r="BK13" i="4"/>
  <c r="BL13" i="4"/>
  <c r="BM13" i="4"/>
  <c r="BN13" i="4"/>
  <c r="BO13" i="4"/>
  <c r="BP13" i="4"/>
  <c r="BQ13" i="4"/>
  <c r="BR13" i="4"/>
  <c r="BS13" i="4"/>
  <c r="BT13" i="4"/>
  <c r="BU13" i="4"/>
  <c r="BV13" i="4"/>
  <c r="BW13" i="4"/>
  <c r="BX13" i="4"/>
  <c r="BY13" i="4"/>
  <c r="BZ13" i="4"/>
  <c r="CA13" i="4"/>
  <c r="CB13" i="4"/>
  <c r="CC13" i="4"/>
  <c r="CD13" i="4"/>
  <c r="CE13" i="4"/>
  <c r="CF13" i="4"/>
  <c r="CG13" i="4"/>
  <c r="CH13" i="4"/>
  <c r="CI13" i="4"/>
  <c r="CJ13" i="4"/>
  <c r="CK13" i="4"/>
  <c r="CL13" i="4"/>
  <c r="CM13" i="4"/>
  <c r="CN13" i="4"/>
  <c r="CO13" i="4"/>
  <c r="CP13" i="4"/>
  <c r="CQ13" i="4"/>
  <c r="CR13" i="4"/>
  <c r="CS13" i="4"/>
  <c r="CT13" i="4"/>
  <c r="CU13" i="4"/>
  <c r="CV13" i="4"/>
  <c r="CW13" i="4"/>
  <c r="CX13" i="4"/>
  <c r="CY13" i="4"/>
  <c r="CZ13" i="4"/>
  <c r="DA13" i="4"/>
  <c r="DB13" i="4"/>
  <c r="DC13" i="4"/>
  <c r="DD13" i="4"/>
  <c r="DE13" i="4"/>
  <c r="DF13" i="4"/>
  <c r="DG13" i="4"/>
  <c r="DH13" i="4"/>
  <c r="DI13" i="4"/>
  <c r="DJ13" i="4"/>
  <c r="DK13" i="4"/>
  <c r="DL13" i="4"/>
  <c r="DM13" i="4"/>
  <c r="DN13" i="4"/>
  <c r="DO13" i="4"/>
  <c r="DP13" i="4"/>
  <c r="DQ13" i="4"/>
  <c r="DR13" i="4"/>
  <c r="DS13" i="4"/>
  <c r="DT13" i="4"/>
  <c r="DU13" i="4"/>
  <c r="DV13" i="4"/>
  <c r="DW13" i="4"/>
  <c r="DX13" i="4"/>
  <c r="DY13" i="4"/>
  <c r="DZ13" i="4"/>
  <c r="EA13" i="4"/>
  <c r="EB13" i="4"/>
  <c r="EC13" i="4"/>
  <c r="ED13" i="4"/>
  <c r="EE13" i="4"/>
  <c r="EF13" i="4"/>
  <c r="EG13" i="4"/>
  <c r="EH13" i="4"/>
  <c r="EI13" i="4"/>
  <c r="EJ13" i="4"/>
  <c r="EK13" i="4"/>
  <c r="EL13" i="4"/>
  <c r="EM13" i="4"/>
  <c r="EN13" i="4"/>
  <c r="EO13" i="4"/>
  <c r="EP13" i="4"/>
  <c r="EQ13" i="4"/>
  <c r="ER13" i="4"/>
  <c r="ES13" i="4"/>
  <c r="ET13" i="4"/>
  <c r="EU13" i="4"/>
  <c r="EV13" i="4"/>
  <c r="EW13" i="4"/>
  <c r="EX13" i="4"/>
  <c r="EY13" i="4"/>
  <c r="EZ13" i="4"/>
  <c r="FA13" i="4"/>
  <c r="FB13" i="4"/>
  <c r="FC13" i="4"/>
  <c r="FD13" i="4"/>
  <c r="FE13" i="4"/>
  <c r="FF13" i="4"/>
  <c r="FG13" i="4"/>
  <c r="FH13" i="4"/>
  <c r="FI13" i="4"/>
  <c r="FJ13" i="4"/>
  <c r="FK13" i="4"/>
  <c r="FL13" i="4"/>
  <c r="FM13" i="4"/>
  <c r="FN13" i="4"/>
  <c r="FO13" i="4"/>
  <c r="FP13" i="4"/>
  <c r="FQ13" i="4"/>
  <c r="FR13" i="4"/>
  <c r="FS13" i="4"/>
  <c r="FT13" i="4"/>
  <c r="FU13" i="4"/>
  <c r="FV13" i="4"/>
  <c r="FW13" i="4"/>
  <c r="FX13" i="4"/>
  <c r="FY13" i="4"/>
  <c r="FZ13" i="4"/>
  <c r="GA13" i="4"/>
  <c r="GB13" i="4"/>
  <c r="GC13" i="4"/>
  <c r="GD13" i="4"/>
  <c r="GE13" i="4"/>
  <c r="GF13" i="4"/>
  <c r="GG13" i="4"/>
  <c r="GH13" i="4"/>
  <c r="GI13" i="4"/>
  <c r="GJ13" i="4"/>
  <c r="GK13" i="4"/>
  <c r="GL13" i="4"/>
  <c r="GM13" i="4"/>
  <c r="GN13" i="4"/>
  <c r="GO13" i="4"/>
  <c r="GP13" i="4"/>
  <c r="GQ13" i="4"/>
  <c r="GR13" i="4"/>
  <c r="GS13" i="4"/>
  <c r="GT13" i="4"/>
  <c r="GU13" i="4"/>
  <c r="GV13" i="4"/>
  <c r="GW13" i="4"/>
  <c r="GX13" i="4"/>
  <c r="GY13" i="4"/>
  <c r="GZ13" i="4"/>
  <c r="HA13" i="4"/>
  <c r="HB13" i="4"/>
  <c r="HC13" i="4"/>
  <c r="HD13" i="4"/>
  <c r="HE13" i="4"/>
  <c r="HF13" i="4"/>
  <c r="HG13" i="4"/>
  <c r="HH13" i="4"/>
  <c r="HI13" i="4"/>
  <c r="HJ13" i="4"/>
  <c r="HK13" i="4"/>
  <c r="HL13" i="4"/>
  <c r="HM13" i="4"/>
  <c r="HN13" i="4"/>
  <c r="HO13" i="4"/>
  <c r="HP13" i="4"/>
  <c r="HQ13" i="4"/>
  <c r="HR13" i="4"/>
  <c r="HS13" i="4"/>
  <c r="HT13" i="4"/>
  <c r="HU13" i="4"/>
  <c r="HV13" i="4"/>
  <c r="HW13" i="4"/>
  <c r="HX13" i="4"/>
  <c r="HY13" i="4"/>
  <c r="HZ13" i="4"/>
  <c r="IA13" i="4"/>
  <c r="IB13" i="4"/>
  <c r="IC13" i="4"/>
  <c r="ID13" i="4"/>
  <c r="IE13" i="4"/>
  <c r="IF13" i="4"/>
  <c r="IG13" i="4"/>
  <c r="IH13" i="4"/>
  <c r="II13" i="4"/>
  <c r="IJ13" i="4"/>
  <c r="IK13" i="4"/>
  <c r="IL13" i="4"/>
  <c r="IM13" i="4"/>
  <c r="IN13" i="4"/>
  <c r="IO13" i="4"/>
  <c r="IP13" i="4"/>
  <c r="IQ13" i="4"/>
  <c r="IR13" i="4"/>
  <c r="IS13" i="4"/>
  <c r="IT13" i="4"/>
  <c r="IU13" i="4"/>
  <c r="IV13"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AL14" i="4"/>
  <c r="AM14" i="4"/>
  <c r="AN14" i="4"/>
  <c r="AO14" i="4"/>
  <c r="AP14" i="4"/>
  <c r="AQ14" i="4"/>
  <c r="AR14" i="4"/>
  <c r="AS14" i="4"/>
  <c r="AT14" i="4"/>
  <c r="AU14" i="4"/>
  <c r="AV14" i="4"/>
  <c r="AW14" i="4"/>
  <c r="AX14" i="4"/>
  <c r="AY14" i="4"/>
  <c r="AZ14" i="4"/>
  <c r="BA14" i="4"/>
  <c r="BB14" i="4"/>
  <c r="BC14" i="4"/>
  <c r="BD14" i="4"/>
  <c r="BE14" i="4"/>
  <c r="BF14" i="4"/>
  <c r="BG14" i="4"/>
  <c r="BH14" i="4"/>
  <c r="BI14" i="4"/>
  <c r="BJ14" i="4"/>
  <c r="BK14" i="4"/>
  <c r="BL14" i="4"/>
  <c r="BM14" i="4"/>
  <c r="BN14" i="4"/>
  <c r="BO14" i="4"/>
  <c r="BP14" i="4"/>
  <c r="BQ14" i="4"/>
  <c r="BR14" i="4"/>
  <c r="BS14" i="4"/>
  <c r="BT14" i="4"/>
  <c r="BU14" i="4"/>
  <c r="BV14" i="4"/>
  <c r="BW14" i="4"/>
  <c r="BX14" i="4"/>
  <c r="BY14" i="4"/>
  <c r="BZ14" i="4"/>
  <c r="CA14" i="4"/>
  <c r="CB14" i="4"/>
  <c r="CC14" i="4"/>
  <c r="CD14" i="4"/>
  <c r="CE14" i="4"/>
  <c r="CF14" i="4"/>
  <c r="CG14" i="4"/>
  <c r="CH14" i="4"/>
  <c r="CI14" i="4"/>
  <c r="CJ14" i="4"/>
  <c r="CK14" i="4"/>
  <c r="CL14" i="4"/>
  <c r="CM14" i="4"/>
  <c r="CN14" i="4"/>
  <c r="CO14" i="4"/>
  <c r="CP14" i="4"/>
  <c r="CQ14" i="4"/>
  <c r="CR14" i="4"/>
  <c r="CS14" i="4"/>
  <c r="CT14" i="4"/>
  <c r="CU14" i="4"/>
  <c r="CV14" i="4"/>
  <c r="CW14" i="4"/>
  <c r="CX14" i="4"/>
  <c r="CY14" i="4"/>
  <c r="CZ14" i="4"/>
  <c r="DA14" i="4"/>
  <c r="DB14" i="4"/>
  <c r="DC14" i="4"/>
  <c r="DD14" i="4"/>
  <c r="DE14" i="4"/>
  <c r="DF14" i="4"/>
  <c r="DG14" i="4"/>
  <c r="DH14" i="4"/>
  <c r="DI14" i="4"/>
  <c r="DJ14" i="4"/>
  <c r="DK14" i="4"/>
  <c r="DL14" i="4"/>
  <c r="DM14" i="4"/>
  <c r="DN14" i="4"/>
  <c r="DO14" i="4"/>
  <c r="DP14" i="4"/>
  <c r="DQ14" i="4"/>
  <c r="DR14" i="4"/>
  <c r="DS14" i="4"/>
  <c r="DT14" i="4"/>
  <c r="DU14" i="4"/>
  <c r="DV14" i="4"/>
  <c r="DW14" i="4"/>
  <c r="DX14" i="4"/>
  <c r="DY14" i="4"/>
  <c r="DZ14" i="4"/>
  <c r="EA14" i="4"/>
  <c r="EB14" i="4"/>
  <c r="EC14" i="4"/>
  <c r="ED14" i="4"/>
  <c r="EE14" i="4"/>
  <c r="EF14" i="4"/>
  <c r="EG14" i="4"/>
  <c r="EH14" i="4"/>
  <c r="EI14" i="4"/>
  <c r="EJ14" i="4"/>
  <c r="EK14" i="4"/>
  <c r="EL14" i="4"/>
  <c r="EM14" i="4"/>
  <c r="EN14" i="4"/>
  <c r="EO14" i="4"/>
  <c r="EP14" i="4"/>
  <c r="EQ14" i="4"/>
  <c r="ER14" i="4"/>
  <c r="ES14" i="4"/>
  <c r="ET14" i="4"/>
  <c r="EU14" i="4"/>
  <c r="EV14" i="4"/>
  <c r="EW14" i="4"/>
  <c r="EX14" i="4"/>
  <c r="EY14" i="4"/>
  <c r="EZ14" i="4"/>
  <c r="FA14" i="4"/>
  <c r="FB14" i="4"/>
  <c r="FC14" i="4"/>
  <c r="FD14" i="4"/>
  <c r="FE14" i="4"/>
  <c r="FF14" i="4"/>
  <c r="FG14" i="4"/>
  <c r="FH14" i="4"/>
  <c r="FI14" i="4"/>
  <c r="FJ14" i="4"/>
  <c r="FK14" i="4"/>
  <c r="FL14" i="4"/>
  <c r="FM14" i="4"/>
  <c r="FN14" i="4"/>
  <c r="FO14" i="4"/>
  <c r="FP14" i="4"/>
  <c r="FQ14" i="4"/>
  <c r="FR14" i="4"/>
  <c r="FS14" i="4"/>
  <c r="FT14" i="4"/>
  <c r="FU14" i="4"/>
  <c r="FV14" i="4"/>
  <c r="FW14" i="4"/>
  <c r="FX14" i="4"/>
  <c r="FY14" i="4"/>
  <c r="FZ14" i="4"/>
  <c r="GA14" i="4"/>
  <c r="GB14" i="4"/>
  <c r="GC14" i="4"/>
  <c r="GD14" i="4"/>
  <c r="GE14" i="4"/>
  <c r="GF14" i="4"/>
  <c r="GG14" i="4"/>
  <c r="GH14" i="4"/>
  <c r="GI14" i="4"/>
  <c r="GJ14" i="4"/>
  <c r="GK14" i="4"/>
  <c r="GL14" i="4"/>
  <c r="GM14" i="4"/>
  <c r="GN14" i="4"/>
  <c r="GO14" i="4"/>
  <c r="GP14" i="4"/>
  <c r="GQ14" i="4"/>
  <c r="GR14" i="4"/>
  <c r="GS14" i="4"/>
  <c r="GT14" i="4"/>
  <c r="GU14" i="4"/>
  <c r="GV14" i="4"/>
  <c r="GW14" i="4"/>
  <c r="GX14" i="4"/>
  <c r="GY14" i="4"/>
  <c r="GZ14" i="4"/>
  <c r="HA14" i="4"/>
  <c r="HB14" i="4"/>
  <c r="HC14" i="4"/>
  <c r="HD14" i="4"/>
  <c r="HE14" i="4"/>
  <c r="HF14" i="4"/>
  <c r="HG14" i="4"/>
  <c r="HH14" i="4"/>
  <c r="HI14" i="4"/>
  <c r="HJ14" i="4"/>
  <c r="HK14" i="4"/>
  <c r="HL14" i="4"/>
  <c r="HM14" i="4"/>
  <c r="HN14" i="4"/>
  <c r="HO14" i="4"/>
  <c r="HP14" i="4"/>
  <c r="HQ14" i="4"/>
  <c r="HR14" i="4"/>
  <c r="HS14" i="4"/>
  <c r="HT14" i="4"/>
  <c r="HU14" i="4"/>
  <c r="HV14" i="4"/>
  <c r="HW14" i="4"/>
  <c r="HX14" i="4"/>
  <c r="HY14" i="4"/>
  <c r="HZ14" i="4"/>
  <c r="IA14" i="4"/>
  <c r="IB14" i="4"/>
  <c r="IC14" i="4"/>
  <c r="ID14" i="4"/>
  <c r="IE14" i="4"/>
  <c r="IF14" i="4"/>
  <c r="IG14" i="4"/>
  <c r="IH14" i="4"/>
  <c r="II14" i="4"/>
  <c r="IJ14" i="4"/>
  <c r="IK14" i="4"/>
  <c r="IL14" i="4"/>
  <c r="IM14" i="4"/>
  <c r="IN14" i="4"/>
  <c r="IO14" i="4"/>
  <c r="IP14" i="4"/>
  <c r="IQ14" i="4"/>
  <c r="IR14" i="4"/>
  <c r="IS14" i="4"/>
  <c r="IT14" i="4"/>
  <c r="IU14" i="4"/>
  <c r="IV14"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AH15" i="4"/>
  <c r="AI15" i="4"/>
  <c r="AJ15" i="4"/>
  <c r="AK15" i="4"/>
  <c r="AL15" i="4"/>
  <c r="AM15" i="4"/>
  <c r="AN15" i="4"/>
  <c r="AO15" i="4"/>
  <c r="AP15" i="4"/>
  <c r="AQ15" i="4"/>
  <c r="AR15" i="4"/>
  <c r="AS15" i="4"/>
  <c r="AT15" i="4"/>
  <c r="AU15" i="4"/>
  <c r="AV15" i="4"/>
  <c r="AW15" i="4"/>
  <c r="AX15" i="4"/>
  <c r="AY15" i="4"/>
  <c r="AZ15" i="4"/>
  <c r="BA15" i="4"/>
  <c r="BB15" i="4"/>
  <c r="BC15" i="4"/>
  <c r="BD15" i="4"/>
  <c r="BE15" i="4"/>
  <c r="BF15" i="4"/>
  <c r="BG15" i="4"/>
  <c r="BH15" i="4"/>
  <c r="BI15" i="4"/>
  <c r="BJ15" i="4"/>
  <c r="BK15" i="4"/>
  <c r="BL15" i="4"/>
  <c r="BM15" i="4"/>
  <c r="BN15" i="4"/>
  <c r="BO15" i="4"/>
  <c r="BP15" i="4"/>
  <c r="BQ15" i="4"/>
  <c r="BR15" i="4"/>
  <c r="BS15" i="4"/>
  <c r="BT15" i="4"/>
  <c r="BU15" i="4"/>
  <c r="BV15" i="4"/>
  <c r="BW15" i="4"/>
  <c r="BX15" i="4"/>
  <c r="BY15" i="4"/>
  <c r="BZ15" i="4"/>
  <c r="CA15" i="4"/>
  <c r="CB15" i="4"/>
  <c r="CC15" i="4"/>
  <c r="CD15" i="4"/>
  <c r="CE15" i="4"/>
  <c r="CF15" i="4"/>
  <c r="CG15" i="4"/>
  <c r="CH15" i="4"/>
  <c r="CI15" i="4"/>
  <c r="CJ15" i="4"/>
  <c r="CK15" i="4"/>
  <c r="CL15" i="4"/>
  <c r="CM15" i="4"/>
  <c r="CN15" i="4"/>
  <c r="CO15" i="4"/>
  <c r="CP15" i="4"/>
  <c r="CQ15" i="4"/>
  <c r="CR15" i="4"/>
  <c r="CS15" i="4"/>
  <c r="CT15" i="4"/>
  <c r="CU15" i="4"/>
  <c r="CV15" i="4"/>
  <c r="CW15" i="4"/>
  <c r="CX15" i="4"/>
  <c r="CY15" i="4"/>
  <c r="CZ15" i="4"/>
  <c r="DA15" i="4"/>
  <c r="DB15" i="4"/>
  <c r="DC15" i="4"/>
  <c r="DD15" i="4"/>
  <c r="DE15" i="4"/>
  <c r="DF15" i="4"/>
  <c r="DG15" i="4"/>
  <c r="DH15" i="4"/>
  <c r="DI15" i="4"/>
  <c r="DJ15" i="4"/>
  <c r="DK15" i="4"/>
  <c r="DL15" i="4"/>
  <c r="DM15" i="4"/>
  <c r="DN15" i="4"/>
  <c r="DO15" i="4"/>
  <c r="DP15" i="4"/>
  <c r="DQ15" i="4"/>
  <c r="DR15" i="4"/>
  <c r="DS15" i="4"/>
  <c r="DT15" i="4"/>
  <c r="DU15" i="4"/>
  <c r="DV15" i="4"/>
  <c r="DW15" i="4"/>
  <c r="DX15" i="4"/>
  <c r="DY15" i="4"/>
  <c r="DZ15" i="4"/>
  <c r="EA15" i="4"/>
  <c r="EB15" i="4"/>
  <c r="EC15" i="4"/>
  <c r="ED15" i="4"/>
  <c r="EE15" i="4"/>
  <c r="EF15" i="4"/>
  <c r="EG15" i="4"/>
  <c r="EH15" i="4"/>
  <c r="EI15" i="4"/>
  <c r="EJ15" i="4"/>
  <c r="EK15" i="4"/>
  <c r="EL15" i="4"/>
  <c r="EM15" i="4"/>
  <c r="EN15" i="4"/>
  <c r="EO15" i="4"/>
  <c r="EP15" i="4"/>
  <c r="EQ15" i="4"/>
  <c r="ER15" i="4"/>
  <c r="ES15" i="4"/>
  <c r="ET15" i="4"/>
  <c r="EU15" i="4"/>
  <c r="EV15" i="4"/>
  <c r="EW15" i="4"/>
  <c r="EX15" i="4"/>
  <c r="EY15" i="4"/>
  <c r="EZ15" i="4"/>
  <c r="FA15" i="4"/>
  <c r="FB15" i="4"/>
  <c r="FC15" i="4"/>
  <c r="FD15" i="4"/>
  <c r="FE15" i="4"/>
  <c r="FF15" i="4"/>
  <c r="FG15" i="4"/>
  <c r="FH15" i="4"/>
  <c r="FI15" i="4"/>
  <c r="FJ15" i="4"/>
  <c r="FK15" i="4"/>
  <c r="FL15" i="4"/>
  <c r="FM15" i="4"/>
  <c r="FN15" i="4"/>
  <c r="FO15" i="4"/>
  <c r="FP15" i="4"/>
  <c r="FQ15" i="4"/>
  <c r="FR15" i="4"/>
  <c r="FS15" i="4"/>
  <c r="FT15" i="4"/>
  <c r="FU15" i="4"/>
  <c r="FV15" i="4"/>
  <c r="FW15" i="4"/>
  <c r="FX15" i="4"/>
  <c r="FY15" i="4"/>
  <c r="FZ15" i="4"/>
  <c r="GA15" i="4"/>
  <c r="GB15" i="4"/>
  <c r="GC15" i="4"/>
  <c r="GD15" i="4"/>
  <c r="GE15" i="4"/>
  <c r="GF15" i="4"/>
  <c r="GG15" i="4"/>
  <c r="GH15" i="4"/>
  <c r="GI15" i="4"/>
  <c r="GJ15" i="4"/>
  <c r="GK15" i="4"/>
  <c r="GL15" i="4"/>
  <c r="GM15" i="4"/>
  <c r="GN15" i="4"/>
  <c r="GO15" i="4"/>
  <c r="GP15" i="4"/>
  <c r="GQ15" i="4"/>
  <c r="GR15" i="4"/>
  <c r="GS15" i="4"/>
  <c r="GT15" i="4"/>
  <c r="GU15" i="4"/>
  <c r="GV15" i="4"/>
  <c r="GW15" i="4"/>
  <c r="GX15" i="4"/>
  <c r="GY15" i="4"/>
  <c r="GZ15" i="4"/>
  <c r="HA15" i="4"/>
  <c r="HB15" i="4"/>
  <c r="HC15" i="4"/>
  <c r="HD15" i="4"/>
  <c r="HE15" i="4"/>
  <c r="HF15" i="4"/>
  <c r="HG15" i="4"/>
  <c r="HH15" i="4"/>
  <c r="HI15" i="4"/>
  <c r="HJ15" i="4"/>
  <c r="HK15" i="4"/>
  <c r="HL15" i="4"/>
  <c r="HM15" i="4"/>
  <c r="HN15" i="4"/>
  <c r="HO15" i="4"/>
  <c r="HP15" i="4"/>
  <c r="HQ15" i="4"/>
  <c r="HR15" i="4"/>
  <c r="HS15" i="4"/>
  <c r="HT15" i="4"/>
  <c r="HU15" i="4"/>
  <c r="HV15" i="4"/>
  <c r="HW15" i="4"/>
  <c r="HX15" i="4"/>
  <c r="HY15" i="4"/>
  <c r="HZ15" i="4"/>
  <c r="IA15" i="4"/>
  <c r="IB15" i="4"/>
  <c r="IC15" i="4"/>
  <c r="ID15" i="4"/>
  <c r="IE15" i="4"/>
  <c r="IF15" i="4"/>
  <c r="IG15" i="4"/>
  <c r="IH15" i="4"/>
  <c r="II15" i="4"/>
  <c r="IJ15" i="4"/>
  <c r="IK15" i="4"/>
  <c r="IL15" i="4"/>
  <c r="IM15" i="4"/>
  <c r="IN15" i="4"/>
  <c r="IO15" i="4"/>
  <c r="IP15" i="4"/>
  <c r="IQ15" i="4"/>
  <c r="IR15" i="4"/>
  <c r="IS15" i="4"/>
  <c r="IT15" i="4"/>
  <c r="IU15" i="4"/>
  <c r="IV15"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AT16" i="4"/>
  <c r="AU16" i="4"/>
  <c r="AV16" i="4"/>
  <c r="AW16" i="4"/>
  <c r="AX16" i="4"/>
  <c r="AY16" i="4"/>
  <c r="AZ16" i="4"/>
  <c r="BA16" i="4"/>
  <c r="BB16" i="4"/>
  <c r="BC16" i="4"/>
  <c r="BD16" i="4"/>
  <c r="BE16" i="4"/>
  <c r="BF16" i="4"/>
  <c r="BG16" i="4"/>
  <c r="BH16" i="4"/>
  <c r="BI16" i="4"/>
  <c r="BJ16" i="4"/>
  <c r="BK16" i="4"/>
  <c r="BL16" i="4"/>
  <c r="BM16" i="4"/>
  <c r="BN16" i="4"/>
  <c r="BO16" i="4"/>
  <c r="BP16" i="4"/>
  <c r="BQ16" i="4"/>
  <c r="BR16" i="4"/>
  <c r="BS16" i="4"/>
  <c r="BT16" i="4"/>
  <c r="BU16" i="4"/>
  <c r="BV16" i="4"/>
  <c r="BW16" i="4"/>
  <c r="BX16" i="4"/>
  <c r="BY16" i="4"/>
  <c r="BZ16" i="4"/>
  <c r="CA16" i="4"/>
  <c r="CB16" i="4"/>
  <c r="CC16" i="4"/>
  <c r="CD16" i="4"/>
  <c r="CE16" i="4"/>
  <c r="CF16" i="4"/>
  <c r="CG16" i="4"/>
  <c r="CH16" i="4"/>
  <c r="CI16" i="4"/>
  <c r="CJ16" i="4"/>
  <c r="CK16" i="4"/>
  <c r="CL16" i="4"/>
  <c r="CM16" i="4"/>
  <c r="CN16" i="4"/>
  <c r="CO16" i="4"/>
  <c r="CP16" i="4"/>
  <c r="CQ16" i="4"/>
  <c r="CR16" i="4"/>
  <c r="CS16" i="4"/>
  <c r="CT16" i="4"/>
  <c r="CU16" i="4"/>
  <c r="CV16" i="4"/>
  <c r="CW16" i="4"/>
  <c r="CX16" i="4"/>
  <c r="CY16" i="4"/>
  <c r="CZ16" i="4"/>
  <c r="DA16" i="4"/>
  <c r="DB16" i="4"/>
  <c r="DC16" i="4"/>
  <c r="DD16" i="4"/>
  <c r="DE16" i="4"/>
  <c r="DF16" i="4"/>
  <c r="DG16" i="4"/>
  <c r="DH16" i="4"/>
  <c r="DI16" i="4"/>
  <c r="DJ16" i="4"/>
  <c r="DK16" i="4"/>
  <c r="DL16" i="4"/>
  <c r="DM16" i="4"/>
  <c r="DN16" i="4"/>
  <c r="DO16" i="4"/>
  <c r="DP16" i="4"/>
  <c r="DQ16" i="4"/>
  <c r="DR16" i="4"/>
  <c r="DS16" i="4"/>
  <c r="DT16" i="4"/>
  <c r="DU16" i="4"/>
  <c r="DV16" i="4"/>
  <c r="DW16" i="4"/>
  <c r="DX16" i="4"/>
  <c r="DY16" i="4"/>
  <c r="DZ16" i="4"/>
  <c r="EA16" i="4"/>
  <c r="EB16" i="4"/>
  <c r="EC16" i="4"/>
  <c r="ED16" i="4"/>
  <c r="EE16" i="4"/>
  <c r="EF16" i="4"/>
  <c r="EG16" i="4"/>
  <c r="EH16" i="4"/>
  <c r="EI16" i="4"/>
  <c r="EJ16" i="4"/>
  <c r="EK16" i="4"/>
  <c r="EL16" i="4"/>
  <c r="EM16" i="4"/>
  <c r="EN16" i="4"/>
  <c r="EO16" i="4"/>
  <c r="EP16" i="4"/>
  <c r="EQ16" i="4"/>
  <c r="ER16" i="4"/>
  <c r="ES16" i="4"/>
  <c r="ET16" i="4"/>
  <c r="EU16" i="4"/>
  <c r="EV16" i="4"/>
  <c r="EW16" i="4"/>
  <c r="EX16" i="4"/>
  <c r="EY16" i="4"/>
  <c r="EZ16" i="4"/>
  <c r="FA16" i="4"/>
  <c r="FB16" i="4"/>
  <c r="FC16" i="4"/>
  <c r="FD16" i="4"/>
  <c r="FE16" i="4"/>
  <c r="FF16" i="4"/>
  <c r="FG16" i="4"/>
  <c r="FH16" i="4"/>
  <c r="FI16" i="4"/>
  <c r="FJ16" i="4"/>
  <c r="FK16" i="4"/>
  <c r="FL16" i="4"/>
  <c r="FM16" i="4"/>
  <c r="FN16" i="4"/>
  <c r="FO16" i="4"/>
  <c r="FP16" i="4"/>
  <c r="FQ16" i="4"/>
  <c r="FR16" i="4"/>
  <c r="FS16" i="4"/>
  <c r="FT16" i="4"/>
  <c r="FU16" i="4"/>
  <c r="FV16" i="4"/>
  <c r="FW16" i="4"/>
  <c r="FX16" i="4"/>
  <c r="FY16" i="4"/>
  <c r="FZ16" i="4"/>
  <c r="GA16" i="4"/>
  <c r="GB16" i="4"/>
  <c r="GC16" i="4"/>
  <c r="GD16" i="4"/>
  <c r="GE16" i="4"/>
  <c r="GF16" i="4"/>
  <c r="GG16" i="4"/>
  <c r="GH16" i="4"/>
  <c r="GI16" i="4"/>
  <c r="GJ16" i="4"/>
  <c r="GK16" i="4"/>
  <c r="GL16" i="4"/>
  <c r="GM16" i="4"/>
  <c r="GN16" i="4"/>
  <c r="GO16" i="4"/>
  <c r="GP16" i="4"/>
  <c r="GQ16" i="4"/>
  <c r="GR16" i="4"/>
  <c r="GS16" i="4"/>
  <c r="GT16" i="4"/>
  <c r="GU16" i="4"/>
  <c r="GV16" i="4"/>
  <c r="GW16" i="4"/>
  <c r="GX16" i="4"/>
  <c r="GY16" i="4"/>
  <c r="GZ16" i="4"/>
  <c r="HA16" i="4"/>
  <c r="HB16" i="4"/>
  <c r="HC16" i="4"/>
  <c r="HD16" i="4"/>
  <c r="HE16" i="4"/>
  <c r="HF16" i="4"/>
  <c r="HG16" i="4"/>
  <c r="HH16" i="4"/>
  <c r="HI16" i="4"/>
  <c r="HJ16" i="4"/>
  <c r="HK16" i="4"/>
  <c r="HL16" i="4"/>
  <c r="HM16" i="4"/>
  <c r="HN16" i="4"/>
  <c r="HO16" i="4"/>
  <c r="HP16" i="4"/>
  <c r="HQ16" i="4"/>
  <c r="HR16" i="4"/>
  <c r="HS16" i="4"/>
  <c r="HT16" i="4"/>
  <c r="HU16" i="4"/>
  <c r="HV16" i="4"/>
  <c r="HW16" i="4"/>
  <c r="HX16" i="4"/>
  <c r="HY16" i="4"/>
  <c r="HZ16" i="4"/>
  <c r="IA16" i="4"/>
  <c r="IB16" i="4"/>
  <c r="IC16" i="4"/>
  <c r="ID16" i="4"/>
  <c r="IE16" i="4"/>
  <c r="IF16" i="4"/>
  <c r="IG16" i="4"/>
  <c r="IH16" i="4"/>
  <c r="II16" i="4"/>
  <c r="IJ16" i="4"/>
  <c r="IK16" i="4"/>
  <c r="IL16" i="4"/>
  <c r="IM16" i="4"/>
  <c r="IN16" i="4"/>
  <c r="IO16" i="4"/>
  <c r="IP16" i="4"/>
  <c r="IQ16" i="4"/>
  <c r="IR16" i="4"/>
  <c r="IS16" i="4"/>
  <c r="IT16" i="4"/>
  <c r="IU16" i="4"/>
  <c r="IV16"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AI17" i="4"/>
  <c r="AJ17" i="4"/>
  <c r="AK17" i="4"/>
  <c r="AL17" i="4"/>
  <c r="AM17" i="4"/>
  <c r="AN17" i="4"/>
  <c r="AO17" i="4"/>
  <c r="AP17" i="4"/>
  <c r="AQ17" i="4"/>
  <c r="AR17" i="4"/>
  <c r="AS17" i="4"/>
  <c r="AT17" i="4"/>
  <c r="AU17" i="4"/>
  <c r="AV17" i="4"/>
  <c r="AW17" i="4"/>
  <c r="AX17" i="4"/>
  <c r="AY17" i="4"/>
  <c r="AZ17" i="4"/>
  <c r="BA17" i="4"/>
  <c r="BB17" i="4"/>
  <c r="BC17" i="4"/>
  <c r="BD17" i="4"/>
  <c r="BE17" i="4"/>
  <c r="BF17" i="4"/>
  <c r="BG17" i="4"/>
  <c r="BH17" i="4"/>
  <c r="BI17" i="4"/>
  <c r="BJ17" i="4"/>
  <c r="BK17" i="4"/>
  <c r="BL17" i="4"/>
  <c r="BM17" i="4"/>
  <c r="BN17" i="4"/>
  <c r="BO17" i="4"/>
  <c r="BP17" i="4"/>
  <c r="BQ17" i="4"/>
  <c r="BR17" i="4"/>
  <c r="BS17" i="4"/>
  <c r="BT17" i="4"/>
  <c r="BU17" i="4"/>
  <c r="BV17" i="4"/>
  <c r="BW17" i="4"/>
  <c r="BX17" i="4"/>
  <c r="BY17" i="4"/>
  <c r="BZ17" i="4"/>
  <c r="CA17" i="4"/>
  <c r="CB17" i="4"/>
  <c r="CC17" i="4"/>
  <c r="CD17" i="4"/>
  <c r="CE17" i="4"/>
  <c r="CF17" i="4"/>
  <c r="CG17" i="4"/>
  <c r="CH17" i="4"/>
  <c r="CI17" i="4"/>
  <c r="CJ17" i="4"/>
  <c r="CK17" i="4"/>
  <c r="CL17" i="4"/>
  <c r="CM17" i="4"/>
  <c r="CN17" i="4"/>
  <c r="CO17" i="4"/>
  <c r="CP17" i="4"/>
  <c r="CQ17" i="4"/>
  <c r="CR17" i="4"/>
  <c r="CS17" i="4"/>
  <c r="CT17" i="4"/>
  <c r="CU17" i="4"/>
  <c r="CV17" i="4"/>
  <c r="CW17" i="4"/>
  <c r="CX17" i="4"/>
  <c r="CY17" i="4"/>
  <c r="CZ17" i="4"/>
  <c r="DA17" i="4"/>
  <c r="DB17" i="4"/>
  <c r="DC17" i="4"/>
  <c r="DD17" i="4"/>
  <c r="DE17" i="4"/>
  <c r="DF17" i="4"/>
  <c r="DG17" i="4"/>
  <c r="DH17" i="4"/>
  <c r="DI17" i="4"/>
  <c r="DJ17" i="4"/>
  <c r="DK17" i="4"/>
  <c r="DL17" i="4"/>
  <c r="DM17" i="4"/>
  <c r="DN17" i="4"/>
  <c r="DO17" i="4"/>
  <c r="DP17" i="4"/>
  <c r="DQ17" i="4"/>
  <c r="DR17" i="4"/>
  <c r="DS17" i="4"/>
  <c r="DT17" i="4"/>
  <c r="DU17" i="4"/>
  <c r="DV17" i="4"/>
  <c r="DW17" i="4"/>
  <c r="DX17" i="4"/>
  <c r="DY17" i="4"/>
  <c r="DZ17" i="4"/>
  <c r="EA17" i="4"/>
  <c r="EB17" i="4"/>
  <c r="EC17" i="4"/>
  <c r="ED17" i="4"/>
  <c r="EE17" i="4"/>
  <c r="EF17" i="4"/>
  <c r="EG17" i="4"/>
  <c r="EH17" i="4"/>
  <c r="EI17" i="4"/>
  <c r="EJ17" i="4"/>
  <c r="EK17" i="4"/>
  <c r="EL17" i="4"/>
  <c r="EM17" i="4"/>
  <c r="EN17" i="4"/>
  <c r="EO17" i="4"/>
  <c r="EP17" i="4"/>
  <c r="EQ17" i="4"/>
  <c r="ER17" i="4"/>
  <c r="ES17" i="4"/>
  <c r="ET17" i="4"/>
  <c r="EU17" i="4"/>
  <c r="EV17" i="4"/>
  <c r="EW17" i="4"/>
  <c r="EX17" i="4"/>
  <c r="EY17" i="4"/>
  <c r="EZ17" i="4"/>
  <c r="FA17" i="4"/>
  <c r="FB17" i="4"/>
  <c r="FC17" i="4"/>
  <c r="FD17" i="4"/>
  <c r="FE17" i="4"/>
  <c r="FF17" i="4"/>
  <c r="FG17" i="4"/>
  <c r="FH17" i="4"/>
  <c r="FI17" i="4"/>
  <c r="FJ17" i="4"/>
  <c r="FK17" i="4"/>
  <c r="FL17" i="4"/>
  <c r="FM17" i="4"/>
  <c r="FN17" i="4"/>
  <c r="FO17" i="4"/>
  <c r="FP17" i="4"/>
  <c r="FQ17" i="4"/>
  <c r="FR17" i="4"/>
  <c r="FS17" i="4"/>
  <c r="FT17" i="4"/>
  <c r="FU17" i="4"/>
  <c r="FV17" i="4"/>
  <c r="FW17" i="4"/>
  <c r="FX17" i="4"/>
  <c r="FY17" i="4"/>
  <c r="FZ17" i="4"/>
  <c r="GA17" i="4"/>
  <c r="GB17" i="4"/>
  <c r="GC17" i="4"/>
  <c r="GD17" i="4"/>
  <c r="GE17" i="4"/>
  <c r="GF17" i="4"/>
  <c r="GG17" i="4"/>
  <c r="GH17" i="4"/>
  <c r="GI17" i="4"/>
  <c r="GJ17" i="4"/>
  <c r="GK17" i="4"/>
  <c r="GL17" i="4"/>
  <c r="GM17" i="4"/>
  <c r="GN17" i="4"/>
  <c r="GO17" i="4"/>
  <c r="GP17" i="4"/>
  <c r="GQ17" i="4"/>
  <c r="GR17" i="4"/>
  <c r="GS17" i="4"/>
  <c r="GT17" i="4"/>
  <c r="GU17" i="4"/>
  <c r="GV17" i="4"/>
  <c r="GW17" i="4"/>
  <c r="GX17" i="4"/>
  <c r="GY17" i="4"/>
  <c r="GZ17" i="4"/>
  <c r="HA17" i="4"/>
  <c r="HB17" i="4"/>
  <c r="HC17" i="4"/>
  <c r="HD17" i="4"/>
  <c r="HE17" i="4"/>
  <c r="HF17" i="4"/>
  <c r="HG17" i="4"/>
  <c r="HH17" i="4"/>
  <c r="HI17" i="4"/>
  <c r="HJ17" i="4"/>
  <c r="HK17" i="4"/>
  <c r="HL17" i="4"/>
  <c r="HM17" i="4"/>
  <c r="HN17" i="4"/>
  <c r="HO17" i="4"/>
  <c r="HP17" i="4"/>
  <c r="HQ17" i="4"/>
  <c r="HR17" i="4"/>
  <c r="HS17" i="4"/>
  <c r="HT17" i="4"/>
  <c r="HU17" i="4"/>
  <c r="HV17" i="4"/>
  <c r="HW17" i="4"/>
  <c r="HX17" i="4"/>
  <c r="HY17" i="4"/>
  <c r="HZ17" i="4"/>
  <c r="IA17" i="4"/>
  <c r="IB17" i="4"/>
  <c r="IC17" i="4"/>
  <c r="ID17" i="4"/>
  <c r="IE17" i="4"/>
  <c r="IF17" i="4"/>
  <c r="IG17" i="4"/>
  <c r="IH17" i="4"/>
  <c r="II17" i="4"/>
  <c r="IJ17" i="4"/>
  <c r="IK17" i="4"/>
  <c r="IL17" i="4"/>
  <c r="IM17" i="4"/>
  <c r="IN17" i="4"/>
  <c r="IO17" i="4"/>
  <c r="IP17" i="4"/>
  <c r="IQ17" i="4"/>
  <c r="IR17" i="4"/>
  <c r="IS17" i="4"/>
  <c r="IT17" i="4"/>
  <c r="IU17" i="4"/>
  <c r="IV17"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S18" i="4"/>
  <c r="AT18" i="4"/>
  <c r="AU18" i="4"/>
  <c r="AV18" i="4"/>
  <c r="AW18" i="4"/>
  <c r="AX18" i="4"/>
  <c r="AY18" i="4"/>
  <c r="AZ18" i="4"/>
  <c r="BA18" i="4"/>
  <c r="BB18" i="4"/>
  <c r="BC18" i="4"/>
  <c r="BD18" i="4"/>
  <c r="BE18" i="4"/>
  <c r="BF18" i="4"/>
  <c r="BG18" i="4"/>
  <c r="BH18" i="4"/>
  <c r="BI18" i="4"/>
  <c r="BJ18" i="4"/>
  <c r="BK18" i="4"/>
  <c r="BL18" i="4"/>
  <c r="BM18" i="4"/>
  <c r="BN18" i="4"/>
  <c r="BO18" i="4"/>
  <c r="BP18" i="4"/>
  <c r="BQ18" i="4"/>
  <c r="BR18" i="4"/>
  <c r="BS18" i="4"/>
  <c r="BT18" i="4"/>
  <c r="BU18" i="4"/>
  <c r="BV18" i="4"/>
  <c r="BW18" i="4"/>
  <c r="BX18" i="4"/>
  <c r="BY18" i="4"/>
  <c r="BZ18" i="4"/>
  <c r="CA18" i="4"/>
  <c r="CB18" i="4"/>
  <c r="CC18" i="4"/>
  <c r="CD18" i="4"/>
  <c r="CE18" i="4"/>
  <c r="CF18" i="4"/>
  <c r="CG18" i="4"/>
  <c r="CH18" i="4"/>
  <c r="CI18" i="4"/>
  <c r="CJ18" i="4"/>
  <c r="CK18" i="4"/>
  <c r="CL18" i="4"/>
  <c r="CM18" i="4"/>
  <c r="CN18" i="4"/>
  <c r="CO18" i="4"/>
  <c r="CP18" i="4"/>
  <c r="CQ18" i="4"/>
  <c r="CR18" i="4"/>
  <c r="CS18" i="4"/>
  <c r="CT18" i="4"/>
  <c r="CU18" i="4"/>
  <c r="CV18" i="4"/>
  <c r="CW18" i="4"/>
  <c r="CX18" i="4"/>
  <c r="CY18" i="4"/>
  <c r="CZ18" i="4"/>
  <c r="DA18" i="4"/>
  <c r="DB18" i="4"/>
  <c r="DC18" i="4"/>
  <c r="DD18" i="4"/>
  <c r="DE18" i="4"/>
  <c r="DF18" i="4"/>
  <c r="DG18" i="4"/>
  <c r="DH18" i="4"/>
  <c r="DI18" i="4"/>
  <c r="DJ18" i="4"/>
  <c r="DK18" i="4"/>
  <c r="DL18" i="4"/>
  <c r="DM18" i="4"/>
  <c r="DN18" i="4"/>
  <c r="DO18" i="4"/>
  <c r="DP18" i="4"/>
  <c r="DQ18" i="4"/>
  <c r="DR18" i="4"/>
  <c r="DS18" i="4"/>
  <c r="DT18" i="4"/>
  <c r="DU18" i="4"/>
  <c r="DV18" i="4"/>
  <c r="DW18" i="4"/>
  <c r="DX18" i="4"/>
  <c r="DY18" i="4"/>
  <c r="DZ18" i="4"/>
  <c r="EA18" i="4"/>
  <c r="EB18" i="4"/>
  <c r="EC18" i="4"/>
  <c r="ED18" i="4"/>
  <c r="EE18" i="4"/>
  <c r="EF18" i="4"/>
  <c r="EG18" i="4"/>
  <c r="EH18" i="4"/>
  <c r="EI18" i="4"/>
  <c r="EJ18" i="4"/>
  <c r="EK18" i="4"/>
  <c r="EL18" i="4"/>
  <c r="EM18" i="4"/>
  <c r="EN18" i="4"/>
  <c r="EO18" i="4"/>
  <c r="EP18" i="4"/>
  <c r="EQ18" i="4"/>
  <c r="ER18" i="4"/>
  <c r="ES18" i="4"/>
  <c r="ET18" i="4"/>
  <c r="EU18" i="4"/>
  <c r="EV18" i="4"/>
  <c r="EW18" i="4"/>
  <c r="EX18" i="4"/>
  <c r="EY18" i="4"/>
  <c r="EZ18" i="4"/>
  <c r="FA18" i="4"/>
  <c r="FB18" i="4"/>
  <c r="FC18" i="4"/>
  <c r="FD18" i="4"/>
  <c r="FE18" i="4"/>
  <c r="FF18" i="4"/>
  <c r="FG18" i="4"/>
  <c r="FH18" i="4"/>
  <c r="FI18" i="4"/>
  <c r="FJ18" i="4"/>
  <c r="FK18" i="4"/>
  <c r="FL18" i="4"/>
  <c r="FM18" i="4"/>
  <c r="FN18" i="4"/>
  <c r="FO18" i="4"/>
  <c r="FP18" i="4"/>
  <c r="FQ18" i="4"/>
  <c r="FR18" i="4"/>
  <c r="FS18" i="4"/>
  <c r="FT18" i="4"/>
  <c r="FU18" i="4"/>
  <c r="FV18" i="4"/>
  <c r="FW18" i="4"/>
  <c r="FX18" i="4"/>
  <c r="FY18" i="4"/>
  <c r="FZ18" i="4"/>
  <c r="GA18" i="4"/>
  <c r="GB18" i="4"/>
  <c r="GC18" i="4"/>
  <c r="GD18" i="4"/>
  <c r="GE18" i="4"/>
  <c r="GF18" i="4"/>
  <c r="GG18" i="4"/>
  <c r="GH18" i="4"/>
  <c r="GI18" i="4"/>
  <c r="GJ18" i="4"/>
  <c r="GK18" i="4"/>
  <c r="GL18" i="4"/>
  <c r="GM18" i="4"/>
  <c r="GN18" i="4"/>
  <c r="GO18" i="4"/>
  <c r="GP18" i="4"/>
  <c r="GQ18" i="4"/>
  <c r="GR18" i="4"/>
  <c r="GS18" i="4"/>
  <c r="GT18" i="4"/>
  <c r="GU18" i="4"/>
  <c r="GV18" i="4"/>
  <c r="GW18" i="4"/>
  <c r="GX18" i="4"/>
  <c r="GY18" i="4"/>
  <c r="GZ18" i="4"/>
  <c r="HA18" i="4"/>
  <c r="HB18" i="4"/>
  <c r="HC18" i="4"/>
  <c r="HD18" i="4"/>
  <c r="HE18" i="4"/>
  <c r="HF18" i="4"/>
  <c r="HG18" i="4"/>
  <c r="HH18" i="4"/>
  <c r="HI18" i="4"/>
  <c r="HJ18" i="4"/>
  <c r="HK18" i="4"/>
  <c r="HL18" i="4"/>
  <c r="HM18" i="4"/>
  <c r="HN18" i="4"/>
  <c r="HO18" i="4"/>
  <c r="HP18" i="4"/>
  <c r="HQ18" i="4"/>
  <c r="HR18" i="4"/>
  <c r="HS18" i="4"/>
  <c r="HT18" i="4"/>
  <c r="HU18" i="4"/>
  <c r="HV18" i="4"/>
  <c r="HW18" i="4"/>
  <c r="HX18" i="4"/>
  <c r="HY18" i="4"/>
  <c r="HZ18" i="4"/>
  <c r="IA18" i="4"/>
  <c r="IB18" i="4"/>
  <c r="IC18" i="4"/>
  <c r="ID18" i="4"/>
  <c r="IE18" i="4"/>
  <c r="IF18" i="4"/>
  <c r="IG18" i="4"/>
  <c r="IH18" i="4"/>
  <c r="II18" i="4"/>
  <c r="IJ18" i="4"/>
  <c r="IK18" i="4"/>
  <c r="IL18" i="4"/>
  <c r="IM18" i="4"/>
  <c r="IN18" i="4"/>
  <c r="IO18" i="4"/>
  <c r="IP18" i="4"/>
  <c r="IQ18" i="4"/>
  <c r="IR18" i="4"/>
  <c r="IS18" i="4"/>
  <c r="IT18" i="4"/>
  <c r="IU18" i="4"/>
  <c r="IV18" i="4"/>
  <c r="F19" i="4"/>
  <c r="G19" i="4"/>
  <c r="H19" i="4"/>
  <c r="I19" i="4"/>
  <c r="J19" i="4"/>
  <c r="K19" i="4"/>
  <c r="L19" i="4"/>
  <c r="M19" i="4"/>
  <c r="N19" i="4"/>
  <c r="O19" i="4"/>
  <c r="P19" i="4"/>
  <c r="Q19" i="4"/>
  <c r="R19" i="4"/>
  <c r="S19" i="4"/>
  <c r="T19" i="4"/>
  <c r="U19" i="4"/>
  <c r="V19" i="4"/>
  <c r="W19" i="4"/>
  <c r="X19" i="4"/>
  <c r="Y19" i="4"/>
  <c r="Z19" i="4"/>
  <c r="AA19" i="4"/>
  <c r="AB19" i="4"/>
  <c r="AC19" i="4"/>
  <c r="AD19" i="4"/>
  <c r="AE19" i="4"/>
  <c r="AF19" i="4"/>
  <c r="AG19" i="4"/>
  <c r="AH19" i="4"/>
  <c r="AI19" i="4"/>
  <c r="AJ19" i="4"/>
  <c r="AK19" i="4"/>
  <c r="AL19" i="4"/>
  <c r="AM19" i="4"/>
  <c r="AN19" i="4"/>
  <c r="AO19" i="4"/>
  <c r="AP19" i="4"/>
  <c r="AQ19" i="4"/>
  <c r="AR19" i="4"/>
  <c r="AS19" i="4"/>
  <c r="AT19" i="4"/>
  <c r="AU19" i="4"/>
  <c r="AV19" i="4"/>
  <c r="AW19" i="4"/>
  <c r="AX19" i="4"/>
  <c r="AY19" i="4"/>
  <c r="AZ19" i="4"/>
  <c r="BA19" i="4"/>
  <c r="BB19" i="4"/>
  <c r="BC19" i="4"/>
  <c r="BD19" i="4"/>
  <c r="BE19" i="4"/>
  <c r="BF19" i="4"/>
  <c r="BG19" i="4"/>
  <c r="BH19" i="4"/>
  <c r="BI19" i="4"/>
  <c r="BJ19" i="4"/>
  <c r="BK19" i="4"/>
  <c r="BL19" i="4"/>
  <c r="BM19" i="4"/>
  <c r="BN19" i="4"/>
  <c r="BO19" i="4"/>
  <c r="BP19" i="4"/>
  <c r="BQ19" i="4"/>
  <c r="BR19" i="4"/>
  <c r="BS19" i="4"/>
  <c r="BT19" i="4"/>
  <c r="BU19" i="4"/>
  <c r="BV19" i="4"/>
  <c r="BW19" i="4"/>
  <c r="BX19" i="4"/>
  <c r="BY19" i="4"/>
  <c r="BZ19" i="4"/>
  <c r="CA19" i="4"/>
  <c r="CB19" i="4"/>
  <c r="CC19" i="4"/>
  <c r="CD19" i="4"/>
  <c r="CE19" i="4"/>
  <c r="CF19" i="4"/>
  <c r="CG19" i="4"/>
  <c r="CH19" i="4"/>
  <c r="CI19" i="4"/>
  <c r="CJ19" i="4"/>
  <c r="CK19" i="4"/>
  <c r="CL19" i="4"/>
  <c r="CM19" i="4"/>
  <c r="CN19" i="4"/>
  <c r="CO19" i="4"/>
  <c r="CP19" i="4"/>
  <c r="CQ19" i="4"/>
  <c r="CR19" i="4"/>
  <c r="CS19" i="4"/>
  <c r="CT19" i="4"/>
  <c r="CU19" i="4"/>
  <c r="CV19" i="4"/>
  <c r="CW19" i="4"/>
  <c r="CX19" i="4"/>
  <c r="CY19" i="4"/>
  <c r="CZ19" i="4"/>
  <c r="DA19" i="4"/>
  <c r="DB19" i="4"/>
  <c r="DC19" i="4"/>
  <c r="DD19" i="4"/>
  <c r="DE19" i="4"/>
  <c r="DF19" i="4"/>
  <c r="DG19" i="4"/>
  <c r="DH19" i="4"/>
  <c r="DI19" i="4"/>
  <c r="DJ19" i="4"/>
  <c r="DK19" i="4"/>
  <c r="DL19" i="4"/>
  <c r="DM19" i="4"/>
  <c r="DN19" i="4"/>
  <c r="DO19" i="4"/>
  <c r="DP19" i="4"/>
  <c r="DQ19" i="4"/>
  <c r="DR19" i="4"/>
  <c r="DS19" i="4"/>
  <c r="DT19" i="4"/>
  <c r="DU19" i="4"/>
  <c r="DV19" i="4"/>
  <c r="DW19" i="4"/>
  <c r="DX19" i="4"/>
  <c r="DY19" i="4"/>
  <c r="DZ19" i="4"/>
  <c r="EA19" i="4"/>
  <c r="EB19" i="4"/>
  <c r="EC19" i="4"/>
  <c r="ED19" i="4"/>
  <c r="EE19" i="4"/>
  <c r="EF19" i="4"/>
  <c r="EG19" i="4"/>
  <c r="EH19" i="4"/>
  <c r="EI19" i="4"/>
  <c r="EJ19" i="4"/>
  <c r="EK19" i="4"/>
  <c r="EL19" i="4"/>
  <c r="EM19" i="4"/>
  <c r="EN19" i="4"/>
  <c r="EO19" i="4"/>
  <c r="EP19" i="4"/>
  <c r="EQ19" i="4"/>
  <c r="ER19" i="4"/>
  <c r="ES19" i="4"/>
  <c r="ET19" i="4"/>
  <c r="EU19" i="4"/>
  <c r="EV19" i="4"/>
  <c r="EW19" i="4"/>
  <c r="EX19" i="4"/>
  <c r="EY19" i="4"/>
  <c r="EZ19" i="4"/>
  <c r="FA19" i="4"/>
  <c r="FB19" i="4"/>
  <c r="FC19" i="4"/>
  <c r="FD19" i="4"/>
  <c r="FE19" i="4"/>
  <c r="FF19" i="4"/>
  <c r="FG19" i="4"/>
  <c r="FH19" i="4"/>
  <c r="FI19" i="4"/>
  <c r="FJ19" i="4"/>
  <c r="FK19" i="4"/>
  <c r="FL19" i="4"/>
  <c r="FM19" i="4"/>
  <c r="FN19" i="4"/>
  <c r="FO19" i="4"/>
  <c r="FP19" i="4"/>
  <c r="FQ19" i="4"/>
  <c r="FR19" i="4"/>
  <c r="FS19" i="4"/>
  <c r="FT19" i="4"/>
  <c r="FU19" i="4"/>
  <c r="FV19" i="4"/>
  <c r="FW19" i="4"/>
  <c r="FX19" i="4"/>
  <c r="FY19" i="4"/>
  <c r="FZ19" i="4"/>
  <c r="GA19" i="4"/>
  <c r="GB19" i="4"/>
  <c r="GC19" i="4"/>
  <c r="GD19" i="4"/>
  <c r="GE19" i="4"/>
  <c r="GF19" i="4"/>
  <c r="GG19" i="4"/>
  <c r="GH19" i="4"/>
  <c r="GI19" i="4"/>
  <c r="GJ19" i="4"/>
  <c r="GK19" i="4"/>
  <c r="GL19" i="4"/>
  <c r="GM19" i="4"/>
  <c r="GN19" i="4"/>
  <c r="GO19" i="4"/>
  <c r="GP19" i="4"/>
  <c r="GQ19" i="4"/>
  <c r="GR19" i="4"/>
  <c r="GS19" i="4"/>
  <c r="GT19" i="4"/>
  <c r="GU19" i="4"/>
  <c r="GV19" i="4"/>
  <c r="GW19" i="4"/>
  <c r="GX19" i="4"/>
  <c r="GY19" i="4"/>
  <c r="GZ19" i="4"/>
  <c r="HA19" i="4"/>
  <c r="HB19" i="4"/>
  <c r="HC19" i="4"/>
  <c r="HD19" i="4"/>
  <c r="HE19" i="4"/>
  <c r="HF19" i="4"/>
  <c r="HG19" i="4"/>
  <c r="HH19" i="4"/>
  <c r="HI19" i="4"/>
  <c r="HJ19" i="4"/>
  <c r="HK19" i="4"/>
  <c r="HL19" i="4"/>
  <c r="HM19" i="4"/>
  <c r="HN19" i="4"/>
  <c r="HO19" i="4"/>
  <c r="HP19" i="4"/>
  <c r="HQ19" i="4"/>
  <c r="HR19" i="4"/>
  <c r="HS19" i="4"/>
  <c r="HT19" i="4"/>
  <c r="HU19" i="4"/>
  <c r="HV19" i="4"/>
  <c r="HW19" i="4"/>
  <c r="HX19" i="4"/>
  <c r="HY19" i="4"/>
  <c r="HZ19" i="4"/>
  <c r="IA19" i="4"/>
  <c r="IB19" i="4"/>
  <c r="IC19" i="4"/>
  <c r="ID19" i="4"/>
  <c r="IE19" i="4"/>
  <c r="IF19" i="4"/>
  <c r="IG19" i="4"/>
  <c r="IH19" i="4"/>
  <c r="II19" i="4"/>
  <c r="IJ19" i="4"/>
  <c r="IK19" i="4"/>
  <c r="IL19" i="4"/>
  <c r="IM19" i="4"/>
  <c r="IN19" i="4"/>
  <c r="IO19" i="4"/>
  <c r="IP19" i="4"/>
  <c r="IQ19" i="4"/>
  <c r="IR19" i="4"/>
  <c r="IS19" i="4"/>
  <c r="IT19" i="4"/>
  <c r="IU19" i="4"/>
  <c r="IV19" i="4"/>
  <c r="F20" i="4"/>
  <c r="G20" i="4"/>
  <c r="H20" i="4"/>
  <c r="I20" i="4"/>
  <c r="J20" i="4"/>
  <c r="K20" i="4"/>
  <c r="L20" i="4"/>
  <c r="M20" i="4"/>
  <c r="N20" i="4"/>
  <c r="O20" i="4"/>
  <c r="P20"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S20" i="4"/>
  <c r="AT20" i="4"/>
  <c r="AU20" i="4"/>
  <c r="AV20" i="4"/>
  <c r="AW20" i="4"/>
  <c r="AX20" i="4"/>
  <c r="AY20" i="4"/>
  <c r="AZ20" i="4"/>
  <c r="BA20" i="4"/>
  <c r="BB20" i="4"/>
  <c r="BC20" i="4"/>
  <c r="BD20" i="4"/>
  <c r="BE20" i="4"/>
  <c r="BF20" i="4"/>
  <c r="BG20" i="4"/>
  <c r="BH20" i="4"/>
  <c r="BI20" i="4"/>
  <c r="BJ20" i="4"/>
  <c r="BK20" i="4"/>
  <c r="BL20" i="4"/>
  <c r="BM20" i="4"/>
  <c r="BN20" i="4"/>
  <c r="BO20" i="4"/>
  <c r="BP20" i="4"/>
  <c r="BQ20" i="4"/>
  <c r="BR20" i="4"/>
  <c r="BS20" i="4"/>
  <c r="BT20" i="4"/>
  <c r="BU20" i="4"/>
  <c r="BV20" i="4"/>
  <c r="BW20" i="4"/>
  <c r="BX20" i="4"/>
  <c r="BY20" i="4"/>
  <c r="BZ20" i="4"/>
  <c r="CA20" i="4"/>
  <c r="CB20" i="4"/>
  <c r="CC20" i="4"/>
  <c r="CD20" i="4"/>
  <c r="CE20" i="4"/>
  <c r="CF20" i="4"/>
  <c r="CG20" i="4"/>
  <c r="CH20" i="4"/>
  <c r="CI20" i="4"/>
  <c r="CJ20" i="4"/>
  <c r="CK20" i="4"/>
  <c r="CL20" i="4"/>
  <c r="CM20" i="4"/>
  <c r="CN20" i="4"/>
  <c r="CO20" i="4"/>
  <c r="CP20" i="4"/>
  <c r="CQ20" i="4"/>
  <c r="CR20" i="4"/>
  <c r="CS20" i="4"/>
  <c r="CT20" i="4"/>
  <c r="CU20" i="4"/>
  <c r="CV20" i="4"/>
  <c r="CW20" i="4"/>
  <c r="CX20" i="4"/>
  <c r="CY20" i="4"/>
  <c r="CZ20" i="4"/>
  <c r="DA20" i="4"/>
  <c r="DB20" i="4"/>
  <c r="DC20" i="4"/>
  <c r="DD20" i="4"/>
  <c r="DE20" i="4"/>
  <c r="DF20" i="4"/>
  <c r="DG20" i="4"/>
  <c r="DH20" i="4"/>
  <c r="DI20" i="4"/>
  <c r="DJ20" i="4"/>
  <c r="DK20" i="4"/>
  <c r="DL20" i="4"/>
  <c r="DM20" i="4"/>
  <c r="DN20" i="4"/>
  <c r="DO20" i="4"/>
  <c r="DP20" i="4"/>
  <c r="DQ20" i="4"/>
  <c r="DR20" i="4"/>
  <c r="DS20" i="4"/>
  <c r="DT20" i="4"/>
  <c r="DU20" i="4"/>
  <c r="DV20" i="4"/>
  <c r="DW20" i="4"/>
  <c r="DX20" i="4"/>
  <c r="DY20" i="4"/>
  <c r="DZ20" i="4"/>
  <c r="EA20" i="4"/>
  <c r="EB20" i="4"/>
  <c r="EC20" i="4"/>
  <c r="ED20" i="4"/>
  <c r="EE20" i="4"/>
  <c r="EF20" i="4"/>
  <c r="EG20" i="4"/>
  <c r="EH20" i="4"/>
  <c r="EI20" i="4"/>
  <c r="EJ20" i="4"/>
  <c r="EK20" i="4"/>
  <c r="EL20" i="4"/>
  <c r="EM20" i="4"/>
  <c r="EN20" i="4"/>
  <c r="EO20" i="4"/>
  <c r="EP20" i="4"/>
  <c r="EQ20" i="4"/>
  <c r="ER20" i="4"/>
  <c r="ES20" i="4"/>
  <c r="ET20" i="4"/>
  <c r="EU20" i="4"/>
  <c r="EV20" i="4"/>
  <c r="EW20" i="4"/>
  <c r="EX20" i="4"/>
  <c r="EY20" i="4"/>
  <c r="EZ20" i="4"/>
  <c r="FA20" i="4"/>
  <c r="FB20" i="4"/>
  <c r="FC20" i="4"/>
  <c r="FD20" i="4"/>
  <c r="FE20" i="4"/>
  <c r="FF20" i="4"/>
  <c r="FG20" i="4"/>
  <c r="FH20" i="4"/>
  <c r="FI20" i="4"/>
  <c r="FJ20" i="4"/>
  <c r="FK20" i="4"/>
  <c r="FL20" i="4"/>
  <c r="FM20" i="4"/>
  <c r="FN20" i="4"/>
  <c r="FO20" i="4"/>
  <c r="FP20" i="4"/>
  <c r="FQ20" i="4"/>
  <c r="FR20" i="4"/>
  <c r="FS20" i="4"/>
  <c r="FT20" i="4"/>
  <c r="FU20" i="4"/>
  <c r="FV20" i="4"/>
  <c r="FW20" i="4"/>
  <c r="FX20" i="4"/>
  <c r="FY20" i="4"/>
  <c r="FZ20" i="4"/>
  <c r="GA20" i="4"/>
  <c r="GB20" i="4"/>
  <c r="GC20" i="4"/>
  <c r="GD20" i="4"/>
  <c r="GE20" i="4"/>
  <c r="GF20" i="4"/>
  <c r="GG20" i="4"/>
  <c r="GH20" i="4"/>
  <c r="GI20" i="4"/>
  <c r="GJ20" i="4"/>
  <c r="GK20" i="4"/>
  <c r="GL20" i="4"/>
  <c r="GM20" i="4"/>
  <c r="GN20" i="4"/>
  <c r="GO20" i="4"/>
  <c r="GP20" i="4"/>
  <c r="GQ20" i="4"/>
  <c r="GR20" i="4"/>
  <c r="GS20" i="4"/>
  <c r="GT20" i="4"/>
  <c r="GU20" i="4"/>
  <c r="GV20" i="4"/>
  <c r="GW20" i="4"/>
  <c r="GX20" i="4"/>
  <c r="GY20" i="4"/>
  <c r="GZ20" i="4"/>
  <c r="HA20" i="4"/>
  <c r="HB20" i="4"/>
  <c r="HC20" i="4"/>
  <c r="HD20" i="4"/>
  <c r="HE20" i="4"/>
  <c r="HF20" i="4"/>
  <c r="HG20" i="4"/>
  <c r="HH20" i="4"/>
  <c r="HI20" i="4"/>
  <c r="HJ20" i="4"/>
  <c r="HK20" i="4"/>
  <c r="HL20" i="4"/>
  <c r="HM20" i="4"/>
  <c r="HN20" i="4"/>
  <c r="HO20" i="4"/>
  <c r="HP20" i="4"/>
  <c r="HQ20" i="4"/>
  <c r="HR20" i="4"/>
  <c r="HS20" i="4"/>
  <c r="HT20" i="4"/>
  <c r="HU20" i="4"/>
  <c r="HV20" i="4"/>
  <c r="HW20" i="4"/>
  <c r="HX20" i="4"/>
  <c r="HY20" i="4"/>
  <c r="HZ20" i="4"/>
  <c r="IA20" i="4"/>
  <c r="IB20" i="4"/>
  <c r="IC20" i="4"/>
  <c r="ID20" i="4"/>
  <c r="IE20" i="4"/>
  <c r="IF20" i="4"/>
  <c r="IG20" i="4"/>
  <c r="IH20" i="4"/>
  <c r="II20" i="4"/>
  <c r="IJ20" i="4"/>
  <c r="IK20" i="4"/>
  <c r="IL20" i="4"/>
  <c r="IM20" i="4"/>
  <c r="IN20" i="4"/>
  <c r="IO20" i="4"/>
  <c r="IP20" i="4"/>
  <c r="IQ20" i="4"/>
  <c r="IR20" i="4"/>
  <c r="IS20" i="4"/>
  <c r="IT20" i="4"/>
  <c r="IU20" i="4"/>
  <c r="IV20" i="4"/>
  <c r="F21" i="4"/>
  <c r="G21" i="4"/>
  <c r="H21" i="4"/>
  <c r="I21" i="4"/>
  <c r="J21" i="4"/>
  <c r="K21" i="4"/>
  <c r="L21" i="4"/>
  <c r="M21" i="4"/>
  <c r="N21" i="4"/>
  <c r="O21" i="4"/>
  <c r="P21" i="4"/>
  <c r="Q21" i="4"/>
  <c r="R21" i="4"/>
  <c r="S21" i="4"/>
  <c r="T21" i="4"/>
  <c r="U21" i="4"/>
  <c r="V21" i="4"/>
  <c r="W21" i="4"/>
  <c r="X21" i="4"/>
  <c r="Y21" i="4"/>
  <c r="Z21" i="4"/>
  <c r="AA21" i="4"/>
  <c r="AB21" i="4"/>
  <c r="AC21" i="4"/>
  <c r="AD21" i="4"/>
  <c r="AE21" i="4"/>
  <c r="AF21" i="4"/>
  <c r="AG21" i="4"/>
  <c r="AH21" i="4"/>
  <c r="AI21" i="4"/>
  <c r="AJ21" i="4"/>
  <c r="AK21" i="4"/>
  <c r="AL21" i="4"/>
  <c r="AM21" i="4"/>
  <c r="AN21" i="4"/>
  <c r="AO21" i="4"/>
  <c r="AP21" i="4"/>
  <c r="AQ21" i="4"/>
  <c r="AR21" i="4"/>
  <c r="AS21" i="4"/>
  <c r="AT21" i="4"/>
  <c r="AU21" i="4"/>
  <c r="AV21" i="4"/>
  <c r="AW21" i="4"/>
  <c r="AX21" i="4"/>
  <c r="AY21" i="4"/>
  <c r="AZ21" i="4"/>
  <c r="BA21" i="4"/>
  <c r="BB21" i="4"/>
  <c r="BC21" i="4"/>
  <c r="BD21" i="4"/>
  <c r="BE21" i="4"/>
  <c r="BF21" i="4"/>
  <c r="BG21" i="4"/>
  <c r="BH21" i="4"/>
  <c r="BI21" i="4"/>
  <c r="BJ21" i="4"/>
  <c r="BK21" i="4"/>
  <c r="BL21" i="4"/>
  <c r="BM21" i="4"/>
  <c r="BN21" i="4"/>
  <c r="BO21" i="4"/>
  <c r="BP21" i="4"/>
  <c r="BQ21" i="4"/>
  <c r="BR21" i="4"/>
  <c r="BS21" i="4"/>
  <c r="BT21" i="4"/>
  <c r="BU21" i="4"/>
  <c r="BV21" i="4"/>
  <c r="BW21" i="4"/>
  <c r="BX21" i="4"/>
  <c r="BY21" i="4"/>
  <c r="BZ21" i="4"/>
  <c r="CA21" i="4"/>
  <c r="CB21" i="4"/>
  <c r="CC21" i="4"/>
  <c r="CD21" i="4"/>
  <c r="CE21" i="4"/>
  <c r="CF21" i="4"/>
  <c r="CG21" i="4"/>
  <c r="CH21" i="4"/>
  <c r="CI21" i="4"/>
  <c r="CJ21" i="4"/>
  <c r="CK21" i="4"/>
  <c r="CL21" i="4"/>
  <c r="CM21" i="4"/>
  <c r="CN21" i="4"/>
  <c r="CO21" i="4"/>
  <c r="CP21" i="4"/>
  <c r="CQ21" i="4"/>
  <c r="CR21" i="4"/>
  <c r="CS21" i="4"/>
  <c r="CT21" i="4"/>
  <c r="CU21" i="4"/>
  <c r="CV21" i="4"/>
  <c r="CW21" i="4"/>
  <c r="CX21" i="4"/>
  <c r="CY21" i="4"/>
  <c r="CZ21" i="4"/>
  <c r="DA21" i="4"/>
  <c r="DB21" i="4"/>
  <c r="DC21" i="4"/>
  <c r="DD21" i="4"/>
  <c r="DE21" i="4"/>
  <c r="DF21" i="4"/>
  <c r="DG21" i="4"/>
  <c r="DH21" i="4"/>
  <c r="DI21" i="4"/>
  <c r="DJ21" i="4"/>
  <c r="DK21" i="4"/>
  <c r="DL21" i="4"/>
  <c r="DM21" i="4"/>
  <c r="DN21" i="4"/>
  <c r="DO21" i="4"/>
  <c r="DP21" i="4"/>
  <c r="DQ21" i="4"/>
  <c r="DR21" i="4"/>
  <c r="DS21" i="4"/>
  <c r="DT21" i="4"/>
  <c r="DU21" i="4"/>
  <c r="DV21" i="4"/>
  <c r="DW21" i="4"/>
  <c r="DX21" i="4"/>
  <c r="DY21" i="4"/>
  <c r="DZ21" i="4"/>
  <c r="EA21" i="4"/>
  <c r="EB21" i="4"/>
  <c r="EC21" i="4"/>
  <c r="ED21" i="4"/>
  <c r="EE21" i="4"/>
  <c r="EF21" i="4"/>
  <c r="EG21" i="4"/>
  <c r="EH21" i="4"/>
  <c r="EI21" i="4"/>
  <c r="EJ21" i="4"/>
  <c r="EK21" i="4"/>
  <c r="EL21" i="4"/>
  <c r="EM21" i="4"/>
  <c r="EN21" i="4"/>
  <c r="EO21" i="4"/>
  <c r="EP21" i="4"/>
  <c r="EQ21" i="4"/>
  <c r="ER21" i="4"/>
  <c r="ES21" i="4"/>
  <c r="ET21" i="4"/>
  <c r="EU21" i="4"/>
  <c r="EV21" i="4"/>
  <c r="EW21" i="4"/>
  <c r="EX21" i="4"/>
  <c r="EY21" i="4"/>
  <c r="EZ21" i="4"/>
  <c r="FA21" i="4"/>
  <c r="FB21" i="4"/>
  <c r="FC21" i="4"/>
  <c r="FD21" i="4"/>
  <c r="FE21" i="4"/>
  <c r="FF21" i="4"/>
  <c r="FG21" i="4"/>
  <c r="FH21" i="4"/>
  <c r="FI21" i="4"/>
  <c r="FJ21" i="4"/>
  <c r="FK21" i="4"/>
  <c r="FL21" i="4"/>
  <c r="FM21" i="4"/>
  <c r="FN21" i="4"/>
  <c r="FO21" i="4"/>
  <c r="FP21" i="4"/>
  <c r="FQ21" i="4"/>
  <c r="FR21" i="4"/>
  <c r="FS21" i="4"/>
  <c r="FT21" i="4"/>
  <c r="FU21" i="4"/>
  <c r="FV21" i="4"/>
  <c r="FW21" i="4"/>
  <c r="FX21" i="4"/>
  <c r="FY21" i="4"/>
  <c r="FZ21" i="4"/>
  <c r="GA21" i="4"/>
  <c r="GB21" i="4"/>
  <c r="GC21" i="4"/>
  <c r="GD21" i="4"/>
  <c r="GE21" i="4"/>
  <c r="GF21" i="4"/>
  <c r="GG21" i="4"/>
  <c r="GH21" i="4"/>
  <c r="GI21" i="4"/>
  <c r="GJ21" i="4"/>
  <c r="GK21" i="4"/>
  <c r="GL21" i="4"/>
  <c r="GM21" i="4"/>
  <c r="GN21" i="4"/>
  <c r="GO21" i="4"/>
  <c r="GP21" i="4"/>
  <c r="GQ21" i="4"/>
  <c r="GR21" i="4"/>
  <c r="GS21" i="4"/>
  <c r="GT21" i="4"/>
  <c r="GU21" i="4"/>
  <c r="GV21" i="4"/>
  <c r="GW21" i="4"/>
  <c r="GX21" i="4"/>
  <c r="GY21" i="4"/>
  <c r="GZ21" i="4"/>
  <c r="HA21" i="4"/>
  <c r="HB21" i="4"/>
  <c r="HC21" i="4"/>
  <c r="HD21" i="4"/>
  <c r="HE21" i="4"/>
  <c r="HF21" i="4"/>
  <c r="HG21" i="4"/>
  <c r="HH21" i="4"/>
  <c r="HI21" i="4"/>
  <c r="HJ21" i="4"/>
  <c r="HK21" i="4"/>
  <c r="HL21" i="4"/>
  <c r="HM21" i="4"/>
  <c r="HN21" i="4"/>
  <c r="HO21" i="4"/>
  <c r="HP21" i="4"/>
  <c r="HQ21" i="4"/>
  <c r="HR21" i="4"/>
  <c r="HS21" i="4"/>
  <c r="HT21" i="4"/>
  <c r="HU21" i="4"/>
  <c r="HV21" i="4"/>
  <c r="HW21" i="4"/>
  <c r="HX21" i="4"/>
  <c r="HY21" i="4"/>
  <c r="HZ21" i="4"/>
  <c r="IA21" i="4"/>
  <c r="IB21" i="4"/>
  <c r="IC21" i="4"/>
  <c r="ID21" i="4"/>
  <c r="IE21" i="4"/>
  <c r="IF21" i="4"/>
  <c r="IG21" i="4"/>
  <c r="IH21" i="4"/>
  <c r="II21" i="4"/>
  <c r="IJ21" i="4"/>
  <c r="IK21" i="4"/>
  <c r="IL21" i="4"/>
  <c r="IM21" i="4"/>
  <c r="IN21" i="4"/>
  <c r="IO21" i="4"/>
  <c r="IP21" i="4"/>
  <c r="IQ21" i="4"/>
  <c r="IR21" i="4"/>
  <c r="IS21" i="4"/>
  <c r="IT21" i="4"/>
  <c r="IU21" i="4"/>
  <c r="IV21" i="4"/>
  <c r="F22" i="4"/>
  <c r="G22" i="4"/>
  <c r="H22" i="4"/>
  <c r="I22" i="4"/>
  <c r="J22" i="4"/>
  <c r="K22" i="4"/>
  <c r="L22" i="4"/>
  <c r="M22" i="4"/>
  <c r="N22" i="4"/>
  <c r="O22" i="4"/>
  <c r="P22" i="4"/>
  <c r="Q22" i="4"/>
  <c r="R22" i="4"/>
  <c r="S22" i="4"/>
  <c r="T22" i="4"/>
  <c r="U22" i="4"/>
  <c r="V22" i="4"/>
  <c r="W22" i="4"/>
  <c r="X22" i="4"/>
  <c r="Y22" i="4"/>
  <c r="Z22" i="4"/>
  <c r="AA22" i="4"/>
  <c r="AB22" i="4"/>
  <c r="AC22" i="4"/>
  <c r="AD22" i="4"/>
  <c r="AE22" i="4"/>
  <c r="AF22" i="4"/>
  <c r="AG22" i="4"/>
  <c r="AH22" i="4"/>
  <c r="AI22" i="4"/>
  <c r="AJ22" i="4"/>
  <c r="AK22" i="4"/>
  <c r="AL22" i="4"/>
  <c r="AM22" i="4"/>
  <c r="AN22" i="4"/>
  <c r="AO22" i="4"/>
  <c r="AP22" i="4"/>
  <c r="AQ22" i="4"/>
  <c r="AR22" i="4"/>
  <c r="AS22" i="4"/>
  <c r="AT22" i="4"/>
  <c r="AU22" i="4"/>
  <c r="AV22" i="4"/>
  <c r="AW22" i="4"/>
  <c r="AX22" i="4"/>
  <c r="AY22" i="4"/>
  <c r="AZ22" i="4"/>
  <c r="BA22" i="4"/>
  <c r="BB22" i="4"/>
  <c r="BC22" i="4"/>
  <c r="BD22" i="4"/>
  <c r="BE22" i="4"/>
  <c r="BF22" i="4"/>
  <c r="BG22" i="4"/>
  <c r="BH22" i="4"/>
  <c r="BI22" i="4"/>
  <c r="BJ22" i="4"/>
  <c r="BK22" i="4"/>
  <c r="BL22" i="4"/>
  <c r="BM22" i="4"/>
  <c r="BN22" i="4"/>
  <c r="BO22" i="4"/>
  <c r="BP22" i="4"/>
  <c r="BQ22" i="4"/>
  <c r="BR22" i="4"/>
  <c r="BS22" i="4"/>
  <c r="BT22" i="4"/>
  <c r="BU22" i="4"/>
  <c r="BV22" i="4"/>
  <c r="BW22" i="4"/>
  <c r="BX22" i="4"/>
  <c r="BY22" i="4"/>
  <c r="BZ22" i="4"/>
  <c r="CA22" i="4"/>
  <c r="CB22" i="4"/>
  <c r="CC22" i="4"/>
  <c r="CD22" i="4"/>
  <c r="CE22" i="4"/>
  <c r="CF22" i="4"/>
  <c r="CG22" i="4"/>
  <c r="CH22" i="4"/>
  <c r="CI22" i="4"/>
  <c r="CJ22" i="4"/>
  <c r="CK22" i="4"/>
  <c r="CL22" i="4"/>
  <c r="CM22" i="4"/>
  <c r="CN22" i="4"/>
  <c r="CO22" i="4"/>
  <c r="CP22" i="4"/>
  <c r="CQ22" i="4"/>
  <c r="CR22" i="4"/>
  <c r="CS22" i="4"/>
  <c r="CT22" i="4"/>
  <c r="CU22" i="4"/>
  <c r="CV22" i="4"/>
  <c r="CW22" i="4"/>
  <c r="CX22" i="4"/>
  <c r="CY22" i="4"/>
  <c r="CZ22" i="4"/>
  <c r="DA22" i="4"/>
  <c r="DB22" i="4"/>
  <c r="DC22" i="4"/>
  <c r="DD22" i="4"/>
  <c r="DE22" i="4"/>
  <c r="DF22" i="4"/>
  <c r="DG22" i="4"/>
  <c r="DH22" i="4"/>
  <c r="DI22" i="4"/>
  <c r="DJ22" i="4"/>
  <c r="DK22" i="4"/>
  <c r="DL22" i="4"/>
  <c r="DM22" i="4"/>
  <c r="DN22" i="4"/>
  <c r="DO22" i="4"/>
  <c r="DP22" i="4"/>
  <c r="DQ22" i="4"/>
  <c r="DR22" i="4"/>
  <c r="DS22" i="4"/>
  <c r="DT22" i="4"/>
  <c r="DU22" i="4"/>
  <c r="DV22" i="4"/>
  <c r="DW22" i="4"/>
  <c r="DX22" i="4"/>
  <c r="DY22" i="4"/>
  <c r="DZ22" i="4"/>
  <c r="EA22" i="4"/>
  <c r="EB22" i="4"/>
  <c r="EC22" i="4"/>
  <c r="ED22" i="4"/>
  <c r="EE22" i="4"/>
  <c r="EF22" i="4"/>
  <c r="EG22" i="4"/>
  <c r="EH22" i="4"/>
  <c r="EI22" i="4"/>
  <c r="EJ22" i="4"/>
  <c r="EK22" i="4"/>
  <c r="EL22" i="4"/>
  <c r="EM22" i="4"/>
  <c r="EN22" i="4"/>
  <c r="EO22" i="4"/>
  <c r="EP22" i="4"/>
  <c r="EQ22" i="4"/>
  <c r="ER22" i="4"/>
  <c r="ES22" i="4"/>
  <c r="ET22" i="4"/>
  <c r="EU22" i="4"/>
  <c r="EV22" i="4"/>
  <c r="EW22" i="4"/>
  <c r="EX22" i="4"/>
  <c r="EY22" i="4"/>
  <c r="EZ22" i="4"/>
  <c r="FA22" i="4"/>
  <c r="FB22" i="4"/>
  <c r="FC22" i="4"/>
  <c r="FD22" i="4"/>
  <c r="FE22" i="4"/>
  <c r="FF22" i="4"/>
  <c r="FG22" i="4"/>
  <c r="FH22" i="4"/>
  <c r="FI22" i="4"/>
  <c r="FJ22" i="4"/>
  <c r="FK22" i="4"/>
  <c r="FL22" i="4"/>
  <c r="FM22" i="4"/>
  <c r="FN22" i="4"/>
  <c r="FO22" i="4"/>
  <c r="FP22" i="4"/>
  <c r="FQ22" i="4"/>
  <c r="FR22" i="4"/>
  <c r="FS22" i="4"/>
  <c r="FT22" i="4"/>
  <c r="FU22" i="4"/>
  <c r="FV22" i="4"/>
  <c r="FW22" i="4"/>
  <c r="FX22" i="4"/>
  <c r="FY22" i="4"/>
  <c r="FZ22" i="4"/>
  <c r="GA22" i="4"/>
  <c r="GB22" i="4"/>
  <c r="GC22" i="4"/>
  <c r="GD22" i="4"/>
  <c r="GE22" i="4"/>
  <c r="GF22" i="4"/>
  <c r="GG22" i="4"/>
  <c r="GH22" i="4"/>
  <c r="GI22" i="4"/>
  <c r="GJ22" i="4"/>
  <c r="GK22" i="4"/>
  <c r="GL22" i="4"/>
  <c r="GM22" i="4"/>
  <c r="GN22" i="4"/>
  <c r="GO22" i="4"/>
  <c r="GP22" i="4"/>
  <c r="GQ22" i="4"/>
  <c r="GR22" i="4"/>
  <c r="GS22" i="4"/>
  <c r="GT22" i="4"/>
  <c r="GU22" i="4"/>
  <c r="GV22" i="4"/>
  <c r="GW22" i="4"/>
  <c r="GX22" i="4"/>
  <c r="GY22" i="4"/>
  <c r="GZ22" i="4"/>
  <c r="HA22" i="4"/>
  <c r="HB22" i="4"/>
  <c r="HC22" i="4"/>
  <c r="HD22" i="4"/>
  <c r="HE22" i="4"/>
  <c r="HF22" i="4"/>
  <c r="HG22" i="4"/>
  <c r="HH22" i="4"/>
  <c r="HI22" i="4"/>
  <c r="HJ22" i="4"/>
  <c r="HK22" i="4"/>
  <c r="HL22" i="4"/>
  <c r="HM22" i="4"/>
  <c r="HN22" i="4"/>
  <c r="HO22" i="4"/>
  <c r="HP22" i="4"/>
  <c r="HQ22" i="4"/>
  <c r="HR22" i="4"/>
  <c r="HS22" i="4"/>
  <c r="HT22" i="4"/>
  <c r="HU22" i="4"/>
  <c r="HV22" i="4"/>
  <c r="HW22" i="4"/>
  <c r="HX22" i="4"/>
  <c r="HY22" i="4"/>
  <c r="HZ22" i="4"/>
  <c r="IA22" i="4"/>
  <c r="IB22" i="4"/>
  <c r="IC22" i="4"/>
  <c r="ID22" i="4"/>
  <c r="IE22" i="4"/>
  <c r="IF22" i="4"/>
  <c r="IG22" i="4"/>
  <c r="IH22" i="4"/>
  <c r="II22" i="4"/>
  <c r="IJ22" i="4"/>
  <c r="IK22" i="4"/>
  <c r="IL22" i="4"/>
  <c r="IM22" i="4"/>
  <c r="IN22" i="4"/>
  <c r="IO22" i="4"/>
  <c r="IP22" i="4"/>
  <c r="IQ22" i="4"/>
  <c r="IR22" i="4"/>
  <c r="IS22" i="4"/>
  <c r="IT22" i="4"/>
  <c r="IU22" i="4"/>
  <c r="IV22" i="4"/>
  <c r="F23"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AH23" i="4"/>
  <c r="AI23" i="4"/>
  <c r="AJ23" i="4"/>
  <c r="AK23" i="4"/>
  <c r="AL23" i="4"/>
  <c r="AM23" i="4"/>
  <c r="AN23" i="4"/>
  <c r="AO23" i="4"/>
  <c r="AP23" i="4"/>
  <c r="AQ23" i="4"/>
  <c r="AR23" i="4"/>
  <c r="AS23" i="4"/>
  <c r="AT23" i="4"/>
  <c r="AU23" i="4"/>
  <c r="AV23" i="4"/>
  <c r="AW23" i="4"/>
  <c r="AX23" i="4"/>
  <c r="AY23" i="4"/>
  <c r="AZ23" i="4"/>
  <c r="BA23" i="4"/>
  <c r="BB23" i="4"/>
  <c r="BC23" i="4"/>
  <c r="BD23" i="4"/>
  <c r="BE23" i="4"/>
  <c r="BF23" i="4"/>
  <c r="BG23" i="4"/>
  <c r="BH23" i="4"/>
  <c r="BI23" i="4"/>
  <c r="BJ23" i="4"/>
  <c r="BK23" i="4"/>
  <c r="BL23" i="4"/>
  <c r="BM23" i="4"/>
  <c r="BN23" i="4"/>
  <c r="BO23" i="4"/>
  <c r="BP23" i="4"/>
  <c r="BQ23" i="4"/>
  <c r="BR23" i="4"/>
  <c r="BS23" i="4"/>
  <c r="BT23" i="4"/>
  <c r="BU23" i="4"/>
  <c r="BV23" i="4"/>
  <c r="BW23" i="4"/>
  <c r="BX23" i="4"/>
  <c r="BY23" i="4"/>
  <c r="BZ23" i="4"/>
  <c r="CA23" i="4"/>
  <c r="CB23" i="4"/>
  <c r="CC23" i="4"/>
  <c r="CD23" i="4"/>
  <c r="CE23" i="4"/>
  <c r="CF23" i="4"/>
  <c r="CG23" i="4"/>
  <c r="CH23" i="4"/>
  <c r="CI23" i="4"/>
  <c r="CJ23" i="4"/>
  <c r="CK23" i="4"/>
  <c r="CL23" i="4"/>
  <c r="CM23" i="4"/>
  <c r="CN23" i="4"/>
  <c r="CO23" i="4"/>
  <c r="CP23" i="4"/>
  <c r="CQ23" i="4"/>
  <c r="CR23" i="4"/>
  <c r="CS23" i="4"/>
  <c r="CT23" i="4"/>
  <c r="CU23" i="4"/>
  <c r="CV23" i="4"/>
  <c r="CW23" i="4"/>
  <c r="CX23" i="4"/>
  <c r="CY23" i="4"/>
  <c r="CZ23" i="4"/>
  <c r="DA23" i="4"/>
  <c r="DB23" i="4"/>
  <c r="DC23" i="4"/>
  <c r="DD23" i="4"/>
  <c r="DE23" i="4"/>
  <c r="DF23" i="4"/>
  <c r="DG23" i="4"/>
  <c r="DH23" i="4"/>
  <c r="DI23" i="4"/>
  <c r="DJ23" i="4"/>
  <c r="DK23" i="4"/>
  <c r="DL23" i="4"/>
  <c r="DM23" i="4"/>
  <c r="DN23" i="4"/>
  <c r="DO23" i="4"/>
  <c r="DP23" i="4"/>
  <c r="DQ23" i="4"/>
  <c r="DR23" i="4"/>
  <c r="DS23" i="4"/>
  <c r="DT23" i="4"/>
  <c r="DU23" i="4"/>
  <c r="DV23" i="4"/>
  <c r="DW23" i="4"/>
  <c r="DX23" i="4"/>
  <c r="DY23" i="4"/>
  <c r="DZ23" i="4"/>
  <c r="EA23" i="4"/>
  <c r="EB23" i="4"/>
  <c r="EC23" i="4"/>
  <c r="ED23" i="4"/>
  <c r="EE23" i="4"/>
  <c r="EF23" i="4"/>
  <c r="EG23" i="4"/>
  <c r="EH23" i="4"/>
  <c r="EI23" i="4"/>
  <c r="EJ23" i="4"/>
  <c r="EK23" i="4"/>
  <c r="EL23" i="4"/>
  <c r="EM23" i="4"/>
  <c r="EN23" i="4"/>
  <c r="EO23" i="4"/>
  <c r="EP23" i="4"/>
  <c r="EQ23" i="4"/>
  <c r="ER23" i="4"/>
  <c r="ES23" i="4"/>
  <c r="ET23" i="4"/>
  <c r="EU23" i="4"/>
  <c r="EV23" i="4"/>
  <c r="EW23" i="4"/>
  <c r="EX23" i="4"/>
  <c r="EY23" i="4"/>
  <c r="EZ23" i="4"/>
  <c r="FA23" i="4"/>
  <c r="FB23" i="4"/>
  <c r="FC23" i="4"/>
  <c r="FD23" i="4"/>
  <c r="FE23" i="4"/>
  <c r="FF23" i="4"/>
  <c r="FG23" i="4"/>
  <c r="FH23" i="4"/>
  <c r="FI23" i="4"/>
  <c r="FJ23" i="4"/>
  <c r="FK23" i="4"/>
  <c r="FL23" i="4"/>
  <c r="FM23" i="4"/>
  <c r="FN23" i="4"/>
  <c r="FO23" i="4"/>
  <c r="FP23" i="4"/>
  <c r="FQ23" i="4"/>
  <c r="FR23" i="4"/>
  <c r="FS23" i="4"/>
  <c r="FT23" i="4"/>
  <c r="FU23" i="4"/>
  <c r="FV23" i="4"/>
  <c r="FW23" i="4"/>
  <c r="FX23" i="4"/>
  <c r="FY23" i="4"/>
  <c r="FZ23" i="4"/>
  <c r="GA23" i="4"/>
  <c r="GB23" i="4"/>
  <c r="GC23" i="4"/>
  <c r="GD23" i="4"/>
  <c r="GE23" i="4"/>
  <c r="GF23" i="4"/>
  <c r="GG23" i="4"/>
  <c r="GH23" i="4"/>
  <c r="GI23" i="4"/>
  <c r="GJ23" i="4"/>
  <c r="GK23" i="4"/>
  <c r="GL23" i="4"/>
  <c r="GM23" i="4"/>
  <c r="GN23" i="4"/>
  <c r="GO23" i="4"/>
  <c r="GP23" i="4"/>
  <c r="GQ23" i="4"/>
  <c r="GR23" i="4"/>
  <c r="GS23" i="4"/>
  <c r="GT23" i="4"/>
  <c r="GU23" i="4"/>
  <c r="GV23" i="4"/>
  <c r="GW23" i="4"/>
  <c r="GX23" i="4"/>
  <c r="GY23" i="4"/>
  <c r="GZ23" i="4"/>
  <c r="HA23" i="4"/>
  <c r="HB23" i="4"/>
  <c r="HC23" i="4"/>
  <c r="HD23" i="4"/>
  <c r="HE23" i="4"/>
  <c r="HF23" i="4"/>
  <c r="HG23" i="4"/>
  <c r="HH23" i="4"/>
  <c r="HI23" i="4"/>
  <c r="HJ23" i="4"/>
  <c r="HK23" i="4"/>
  <c r="HL23" i="4"/>
  <c r="HM23" i="4"/>
  <c r="HN23" i="4"/>
  <c r="HO23" i="4"/>
  <c r="HP23" i="4"/>
  <c r="HQ23" i="4"/>
  <c r="HR23" i="4"/>
  <c r="HS23" i="4"/>
  <c r="HT23" i="4"/>
  <c r="HU23" i="4"/>
  <c r="HV23" i="4"/>
  <c r="HW23" i="4"/>
  <c r="HX23" i="4"/>
  <c r="HY23" i="4"/>
  <c r="HZ23" i="4"/>
  <c r="IA23" i="4"/>
  <c r="IB23" i="4"/>
  <c r="IC23" i="4"/>
  <c r="ID23" i="4"/>
  <c r="IE23" i="4"/>
  <c r="IF23" i="4"/>
  <c r="IG23" i="4"/>
  <c r="IH23" i="4"/>
  <c r="II23" i="4"/>
  <c r="IJ23" i="4"/>
  <c r="IK23" i="4"/>
  <c r="IL23" i="4"/>
  <c r="IM23" i="4"/>
  <c r="IN23" i="4"/>
  <c r="IO23" i="4"/>
  <c r="IP23" i="4"/>
  <c r="IQ23" i="4"/>
  <c r="IR23" i="4"/>
  <c r="IS23" i="4"/>
  <c r="IT23" i="4"/>
  <c r="IU23" i="4"/>
  <c r="IV23" i="4"/>
  <c r="F24" i="4"/>
  <c r="G24" i="4"/>
  <c r="H24" i="4"/>
  <c r="I24" i="4"/>
  <c r="J24" i="4"/>
  <c r="K24" i="4"/>
  <c r="L24" i="4"/>
  <c r="M24" i="4"/>
  <c r="N24" i="4"/>
  <c r="O24" i="4"/>
  <c r="P24" i="4"/>
  <c r="Q24" i="4"/>
  <c r="R24" i="4"/>
  <c r="S24" i="4"/>
  <c r="T24" i="4"/>
  <c r="U24" i="4"/>
  <c r="V24" i="4"/>
  <c r="W24" i="4"/>
  <c r="X24" i="4"/>
  <c r="Y24" i="4"/>
  <c r="Z24" i="4"/>
  <c r="AA24" i="4"/>
  <c r="AB24" i="4"/>
  <c r="AC24" i="4"/>
  <c r="AD24" i="4"/>
  <c r="AE24" i="4"/>
  <c r="AF24" i="4"/>
  <c r="AG24" i="4"/>
  <c r="AH24" i="4"/>
  <c r="AI24" i="4"/>
  <c r="AJ24" i="4"/>
  <c r="AK24" i="4"/>
  <c r="AL24" i="4"/>
  <c r="AM24" i="4"/>
  <c r="AN24" i="4"/>
  <c r="AO24" i="4"/>
  <c r="AP24" i="4"/>
  <c r="AQ24" i="4"/>
  <c r="AR24" i="4"/>
  <c r="AS24" i="4"/>
  <c r="AT24" i="4"/>
  <c r="AU24" i="4"/>
  <c r="AV24" i="4"/>
  <c r="AW24" i="4"/>
  <c r="AX24" i="4"/>
  <c r="AY24" i="4"/>
  <c r="AZ24" i="4"/>
  <c r="BA24" i="4"/>
  <c r="BB24" i="4"/>
  <c r="BC24" i="4"/>
  <c r="BD24" i="4"/>
  <c r="BE24" i="4"/>
  <c r="BF24" i="4"/>
  <c r="BG24" i="4"/>
  <c r="BH24" i="4"/>
  <c r="BI24" i="4"/>
  <c r="BJ24" i="4"/>
  <c r="BK24" i="4"/>
  <c r="BL24" i="4"/>
  <c r="BM24" i="4"/>
  <c r="BN24" i="4"/>
  <c r="BO24" i="4"/>
  <c r="BP24" i="4"/>
  <c r="BQ24" i="4"/>
  <c r="BR24" i="4"/>
  <c r="BS24" i="4"/>
  <c r="BT24" i="4"/>
  <c r="BU24" i="4"/>
  <c r="BV24" i="4"/>
  <c r="BW24" i="4"/>
  <c r="BX24" i="4"/>
  <c r="BY24" i="4"/>
  <c r="BZ24" i="4"/>
  <c r="CA24" i="4"/>
  <c r="CB24" i="4"/>
  <c r="CC24" i="4"/>
  <c r="CD24" i="4"/>
  <c r="CE24" i="4"/>
  <c r="CF24" i="4"/>
  <c r="CG24" i="4"/>
  <c r="CH24" i="4"/>
  <c r="CI24" i="4"/>
  <c r="CJ24" i="4"/>
  <c r="CK24" i="4"/>
  <c r="CL24" i="4"/>
  <c r="CM24" i="4"/>
  <c r="CN24" i="4"/>
  <c r="CO24" i="4"/>
  <c r="CP24" i="4"/>
  <c r="CQ24" i="4"/>
  <c r="CR24" i="4"/>
  <c r="CS24" i="4"/>
  <c r="CT24" i="4"/>
  <c r="CU24" i="4"/>
  <c r="CV24" i="4"/>
  <c r="CW24" i="4"/>
  <c r="CX24" i="4"/>
  <c r="CY24" i="4"/>
  <c r="CZ24" i="4"/>
  <c r="DA24" i="4"/>
  <c r="DB24" i="4"/>
  <c r="DC24" i="4"/>
  <c r="DD24" i="4"/>
  <c r="DE24" i="4"/>
  <c r="DF24" i="4"/>
  <c r="DG24" i="4"/>
  <c r="DH24" i="4"/>
  <c r="DI24" i="4"/>
  <c r="DJ24" i="4"/>
  <c r="DK24" i="4"/>
  <c r="DL24" i="4"/>
  <c r="DM24" i="4"/>
  <c r="DN24" i="4"/>
  <c r="DO24" i="4"/>
  <c r="DP24" i="4"/>
  <c r="DQ24" i="4"/>
  <c r="DR24" i="4"/>
  <c r="DS24" i="4"/>
  <c r="DT24" i="4"/>
  <c r="DU24" i="4"/>
  <c r="DV24" i="4"/>
  <c r="DW24" i="4"/>
  <c r="DX24" i="4"/>
  <c r="DY24" i="4"/>
  <c r="DZ24" i="4"/>
  <c r="EA24" i="4"/>
  <c r="EB24" i="4"/>
  <c r="EC24" i="4"/>
  <c r="ED24" i="4"/>
  <c r="EE24" i="4"/>
  <c r="EF24" i="4"/>
  <c r="EG24" i="4"/>
  <c r="EH24" i="4"/>
  <c r="EI24" i="4"/>
  <c r="EJ24" i="4"/>
  <c r="EK24" i="4"/>
  <c r="EL24" i="4"/>
  <c r="EM24" i="4"/>
  <c r="EN24" i="4"/>
  <c r="EO24" i="4"/>
  <c r="EP24" i="4"/>
  <c r="EQ24" i="4"/>
  <c r="ER24" i="4"/>
  <c r="ES24" i="4"/>
  <c r="ET24" i="4"/>
  <c r="EU24" i="4"/>
  <c r="EV24" i="4"/>
  <c r="EW24" i="4"/>
  <c r="EX24" i="4"/>
  <c r="EY24" i="4"/>
  <c r="EZ24" i="4"/>
  <c r="FA24" i="4"/>
  <c r="FB24" i="4"/>
  <c r="FC24" i="4"/>
  <c r="FD24" i="4"/>
  <c r="FE24" i="4"/>
  <c r="FF24" i="4"/>
  <c r="FG24" i="4"/>
  <c r="FH24" i="4"/>
  <c r="FI24" i="4"/>
  <c r="FJ24" i="4"/>
  <c r="FK24" i="4"/>
  <c r="FL24" i="4"/>
  <c r="FM24" i="4"/>
  <c r="FN24" i="4"/>
  <c r="FO24" i="4"/>
  <c r="FP24" i="4"/>
  <c r="FQ24" i="4"/>
  <c r="FR24" i="4"/>
  <c r="FS24" i="4"/>
  <c r="FT24" i="4"/>
  <c r="FU24" i="4"/>
  <c r="FV24" i="4"/>
  <c r="FW24" i="4"/>
  <c r="FX24" i="4"/>
  <c r="FY24" i="4"/>
  <c r="FZ24" i="4"/>
  <c r="GA24" i="4"/>
  <c r="GB24" i="4"/>
  <c r="GC24" i="4"/>
  <c r="GD24" i="4"/>
  <c r="GE24" i="4"/>
  <c r="GF24" i="4"/>
  <c r="GG24" i="4"/>
  <c r="GH24" i="4"/>
  <c r="GI24" i="4"/>
  <c r="GJ24" i="4"/>
  <c r="GK24" i="4"/>
  <c r="GL24" i="4"/>
  <c r="GM24" i="4"/>
  <c r="GN24" i="4"/>
  <c r="GO24" i="4"/>
  <c r="GP24" i="4"/>
  <c r="GQ24" i="4"/>
  <c r="GR24" i="4"/>
  <c r="GS24" i="4"/>
  <c r="GT24" i="4"/>
  <c r="GU24" i="4"/>
  <c r="GV24" i="4"/>
  <c r="GW24" i="4"/>
  <c r="GX24" i="4"/>
  <c r="GY24" i="4"/>
  <c r="GZ24" i="4"/>
  <c r="HA24" i="4"/>
  <c r="HB24" i="4"/>
  <c r="HC24" i="4"/>
  <c r="HD24" i="4"/>
  <c r="HE24" i="4"/>
  <c r="HF24" i="4"/>
  <c r="HG24" i="4"/>
  <c r="HH24" i="4"/>
  <c r="HI24" i="4"/>
  <c r="HJ24" i="4"/>
  <c r="HK24" i="4"/>
  <c r="HL24" i="4"/>
  <c r="HM24" i="4"/>
  <c r="HN24" i="4"/>
  <c r="HO24" i="4"/>
  <c r="HP24" i="4"/>
  <c r="HQ24" i="4"/>
  <c r="HR24" i="4"/>
  <c r="HS24" i="4"/>
  <c r="HT24" i="4"/>
  <c r="HU24" i="4"/>
  <c r="HV24" i="4"/>
  <c r="HW24" i="4"/>
  <c r="HX24" i="4"/>
  <c r="HY24" i="4"/>
  <c r="HZ24" i="4"/>
  <c r="IA24" i="4"/>
  <c r="IB24" i="4"/>
  <c r="IC24" i="4"/>
  <c r="ID24" i="4"/>
  <c r="IE24" i="4"/>
  <c r="IF24" i="4"/>
  <c r="IG24" i="4"/>
  <c r="IH24" i="4"/>
  <c r="II24" i="4"/>
  <c r="IJ24" i="4"/>
  <c r="IK24" i="4"/>
  <c r="IL24" i="4"/>
  <c r="IM24" i="4"/>
  <c r="IN24" i="4"/>
  <c r="IO24" i="4"/>
  <c r="IP24" i="4"/>
  <c r="IQ24" i="4"/>
  <c r="IR24" i="4"/>
  <c r="IS24" i="4"/>
  <c r="IT24" i="4"/>
  <c r="IU24" i="4"/>
  <c r="IV24" i="4"/>
  <c r="F25" i="4"/>
  <c r="G25" i="4"/>
  <c r="H25" i="4"/>
  <c r="I25" i="4"/>
  <c r="J25" i="4"/>
  <c r="K25" i="4"/>
  <c r="L25" i="4"/>
  <c r="M25" i="4"/>
  <c r="N25" i="4"/>
  <c r="O25" i="4"/>
  <c r="P25" i="4"/>
  <c r="Q25" i="4"/>
  <c r="R25" i="4"/>
  <c r="S25" i="4"/>
  <c r="T25" i="4"/>
  <c r="U25" i="4"/>
  <c r="V25" i="4"/>
  <c r="W25" i="4"/>
  <c r="X25" i="4"/>
  <c r="Y25" i="4"/>
  <c r="Z25" i="4"/>
  <c r="AA25" i="4"/>
  <c r="AB25" i="4"/>
  <c r="AC25" i="4"/>
  <c r="AD25" i="4"/>
  <c r="AE25" i="4"/>
  <c r="AF25" i="4"/>
  <c r="AG25" i="4"/>
  <c r="AH25" i="4"/>
  <c r="AI25" i="4"/>
  <c r="AJ25" i="4"/>
  <c r="AK25" i="4"/>
  <c r="AL25" i="4"/>
  <c r="AM25" i="4"/>
  <c r="AN25" i="4"/>
  <c r="AO25" i="4"/>
  <c r="AP25" i="4"/>
  <c r="AQ25" i="4"/>
  <c r="AR25" i="4"/>
  <c r="AS25" i="4"/>
  <c r="AT25" i="4"/>
  <c r="AU25" i="4"/>
  <c r="AV25" i="4"/>
  <c r="AW25" i="4"/>
  <c r="AX25" i="4"/>
  <c r="AY25" i="4"/>
  <c r="AZ25" i="4"/>
  <c r="BA25" i="4"/>
  <c r="BB25" i="4"/>
  <c r="BC25" i="4"/>
  <c r="BD25" i="4"/>
  <c r="BE25" i="4"/>
  <c r="BF25" i="4"/>
  <c r="BG25" i="4"/>
  <c r="BH25" i="4"/>
  <c r="BI25" i="4"/>
  <c r="BJ25" i="4"/>
  <c r="BK25" i="4"/>
  <c r="BL25" i="4"/>
  <c r="BM25" i="4"/>
  <c r="BN25" i="4"/>
  <c r="BO25" i="4"/>
  <c r="BP25" i="4"/>
  <c r="BQ25" i="4"/>
  <c r="BR25" i="4"/>
  <c r="BS25" i="4"/>
  <c r="BT25" i="4"/>
  <c r="BU25" i="4"/>
  <c r="BV25" i="4"/>
  <c r="BW25" i="4"/>
  <c r="BX25" i="4"/>
  <c r="BY25" i="4"/>
  <c r="BZ25" i="4"/>
  <c r="CA25" i="4"/>
  <c r="CB25" i="4"/>
  <c r="CC25" i="4"/>
  <c r="CD25" i="4"/>
  <c r="CE25" i="4"/>
  <c r="CF25" i="4"/>
  <c r="CG25" i="4"/>
  <c r="CH25" i="4"/>
  <c r="CI25" i="4"/>
  <c r="CJ25" i="4"/>
  <c r="CK25" i="4"/>
  <c r="CL25" i="4"/>
  <c r="CM25" i="4"/>
  <c r="CN25" i="4"/>
  <c r="CO25" i="4"/>
  <c r="CP25" i="4"/>
  <c r="CQ25" i="4"/>
  <c r="CR25" i="4"/>
  <c r="CS25" i="4"/>
  <c r="CT25" i="4"/>
  <c r="CU25" i="4"/>
  <c r="CV25" i="4"/>
  <c r="CW25" i="4"/>
  <c r="CX25" i="4"/>
  <c r="CY25" i="4"/>
  <c r="CZ25" i="4"/>
  <c r="DA25" i="4"/>
  <c r="DB25" i="4"/>
  <c r="DC25" i="4"/>
  <c r="DD25" i="4"/>
  <c r="DE25" i="4"/>
  <c r="DF25" i="4"/>
  <c r="DG25" i="4"/>
  <c r="DH25" i="4"/>
  <c r="DI25" i="4"/>
  <c r="DJ25" i="4"/>
  <c r="DK25" i="4"/>
  <c r="DL25" i="4"/>
  <c r="DM25" i="4"/>
  <c r="DN25" i="4"/>
  <c r="DO25" i="4"/>
  <c r="DP25" i="4"/>
  <c r="DQ25" i="4"/>
  <c r="DR25" i="4"/>
  <c r="DS25" i="4"/>
  <c r="DT25" i="4"/>
  <c r="DU25" i="4"/>
  <c r="DV25" i="4"/>
  <c r="DW25" i="4"/>
  <c r="DX25" i="4"/>
  <c r="DY25" i="4"/>
  <c r="DZ25" i="4"/>
  <c r="EA25" i="4"/>
  <c r="EB25" i="4"/>
  <c r="EC25" i="4"/>
  <c r="ED25" i="4"/>
  <c r="EE25" i="4"/>
  <c r="EF25" i="4"/>
  <c r="EG25" i="4"/>
  <c r="EH25" i="4"/>
  <c r="EI25" i="4"/>
  <c r="EJ25" i="4"/>
  <c r="EK25" i="4"/>
  <c r="EL25" i="4"/>
  <c r="EM25" i="4"/>
  <c r="EN25" i="4"/>
  <c r="EO25" i="4"/>
  <c r="EP25" i="4"/>
  <c r="EQ25" i="4"/>
  <c r="ER25" i="4"/>
  <c r="ES25" i="4"/>
  <c r="ET25" i="4"/>
  <c r="EU25" i="4"/>
  <c r="EV25" i="4"/>
  <c r="EW25" i="4"/>
  <c r="EX25" i="4"/>
  <c r="EY25" i="4"/>
  <c r="EZ25" i="4"/>
  <c r="FA25" i="4"/>
  <c r="FB25" i="4"/>
  <c r="FC25" i="4"/>
  <c r="FD25" i="4"/>
  <c r="FE25" i="4"/>
  <c r="FF25" i="4"/>
  <c r="FG25" i="4"/>
  <c r="FH25" i="4"/>
  <c r="FI25" i="4"/>
  <c r="FJ25" i="4"/>
  <c r="FK25" i="4"/>
  <c r="FL25" i="4"/>
  <c r="FM25" i="4"/>
  <c r="FN25" i="4"/>
  <c r="FO25" i="4"/>
  <c r="FP25" i="4"/>
  <c r="FQ25" i="4"/>
  <c r="FR25" i="4"/>
  <c r="FS25" i="4"/>
  <c r="FT25" i="4"/>
  <c r="FU25" i="4"/>
  <c r="FV25" i="4"/>
  <c r="FW25" i="4"/>
  <c r="FX25" i="4"/>
  <c r="FY25" i="4"/>
  <c r="FZ25" i="4"/>
  <c r="GA25" i="4"/>
  <c r="GB25" i="4"/>
  <c r="GC25" i="4"/>
  <c r="GD25" i="4"/>
  <c r="GE25" i="4"/>
  <c r="GF25" i="4"/>
  <c r="GG25" i="4"/>
  <c r="GH25" i="4"/>
  <c r="GI25" i="4"/>
  <c r="GJ25" i="4"/>
  <c r="GK25" i="4"/>
  <c r="GL25" i="4"/>
  <c r="GM25" i="4"/>
  <c r="GN25" i="4"/>
  <c r="GO25" i="4"/>
  <c r="GP25" i="4"/>
  <c r="GQ25" i="4"/>
  <c r="GR25" i="4"/>
  <c r="GS25" i="4"/>
  <c r="GT25" i="4"/>
  <c r="GU25" i="4"/>
  <c r="GV25" i="4"/>
  <c r="GW25" i="4"/>
  <c r="GX25" i="4"/>
  <c r="GY25" i="4"/>
  <c r="GZ25" i="4"/>
  <c r="HA25" i="4"/>
  <c r="HB25" i="4"/>
  <c r="HC25" i="4"/>
  <c r="HD25" i="4"/>
  <c r="HE25" i="4"/>
  <c r="HF25" i="4"/>
  <c r="HG25" i="4"/>
  <c r="HH25" i="4"/>
  <c r="HI25" i="4"/>
  <c r="HJ25" i="4"/>
  <c r="HK25" i="4"/>
  <c r="HL25" i="4"/>
  <c r="HM25" i="4"/>
  <c r="HN25" i="4"/>
  <c r="HO25" i="4"/>
  <c r="HP25" i="4"/>
  <c r="HQ25" i="4"/>
  <c r="HR25" i="4"/>
  <c r="HS25" i="4"/>
  <c r="HT25" i="4"/>
  <c r="HU25" i="4"/>
  <c r="HV25" i="4"/>
  <c r="HW25" i="4"/>
  <c r="HX25" i="4"/>
  <c r="HY25" i="4"/>
  <c r="HZ25" i="4"/>
  <c r="IA25" i="4"/>
  <c r="IB25" i="4"/>
  <c r="IC25" i="4"/>
  <c r="ID25" i="4"/>
  <c r="IE25" i="4"/>
  <c r="IF25" i="4"/>
  <c r="IG25" i="4"/>
  <c r="IH25" i="4"/>
  <c r="II25" i="4"/>
  <c r="IJ25" i="4"/>
  <c r="IK25" i="4"/>
  <c r="IL25" i="4"/>
  <c r="IM25" i="4"/>
  <c r="IN25" i="4"/>
  <c r="IO25" i="4"/>
  <c r="IP25" i="4"/>
  <c r="IQ25" i="4"/>
  <c r="IR25" i="4"/>
  <c r="IS25" i="4"/>
  <c r="IT25" i="4"/>
  <c r="IU25" i="4"/>
  <c r="IV25" i="4"/>
  <c r="F26" i="4"/>
  <c r="G26" i="4"/>
  <c r="H26" i="4"/>
  <c r="I26" i="4"/>
  <c r="J26" i="4"/>
  <c r="K26" i="4"/>
  <c r="L26" i="4"/>
  <c r="M26" i="4"/>
  <c r="N26" i="4"/>
  <c r="O26" i="4"/>
  <c r="P26" i="4"/>
  <c r="Q26" i="4"/>
  <c r="R26" i="4"/>
  <c r="S26" i="4"/>
  <c r="T26" i="4"/>
  <c r="U26" i="4"/>
  <c r="V26" i="4"/>
  <c r="W26" i="4"/>
  <c r="X26" i="4"/>
  <c r="Y26" i="4"/>
  <c r="Z26" i="4"/>
  <c r="AA26" i="4"/>
  <c r="AB26" i="4"/>
  <c r="AC26" i="4"/>
  <c r="AD26" i="4"/>
  <c r="AE26" i="4"/>
  <c r="AF26" i="4"/>
  <c r="AG26" i="4"/>
  <c r="AH26" i="4"/>
  <c r="AI26" i="4"/>
  <c r="AJ26" i="4"/>
  <c r="AK26" i="4"/>
  <c r="AL26" i="4"/>
  <c r="AM26" i="4"/>
  <c r="AN26" i="4"/>
  <c r="AO26" i="4"/>
  <c r="AP26" i="4"/>
  <c r="AQ26" i="4"/>
  <c r="AR26" i="4"/>
  <c r="AS26" i="4"/>
  <c r="AT26" i="4"/>
  <c r="AU26" i="4"/>
  <c r="AV26" i="4"/>
  <c r="AW26" i="4"/>
  <c r="AX26" i="4"/>
  <c r="AY26" i="4"/>
  <c r="AZ26" i="4"/>
  <c r="BA26" i="4"/>
  <c r="BB26" i="4"/>
  <c r="BC26" i="4"/>
  <c r="BD26" i="4"/>
  <c r="BE26" i="4"/>
  <c r="BF26" i="4"/>
  <c r="BG26" i="4"/>
  <c r="BH26" i="4"/>
  <c r="BI26" i="4"/>
  <c r="BJ26" i="4"/>
  <c r="BK26" i="4"/>
  <c r="BL26" i="4"/>
  <c r="BM26" i="4"/>
  <c r="BN26" i="4"/>
  <c r="BO26" i="4"/>
  <c r="BP26" i="4"/>
  <c r="BQ26" i="4"/>
  <c r="BR26" i="4"/>
  <c r="BS26" i="4"/>
  <c r="BT26" i="4"/>
  <c r="BU26" i="4"/>
  <c r="BV26" i="4"/>
  <c r="BW26" i="4"/>
  <c r="BX26" i="4"/>
  <c r="BY26" i="4"/>
  <c r="BZ26" i="4"/>
  <c r="CA26" i="4"/>
  <c r="CB26" i="4"/>
  <c r="CC26" i="4"/>
  <c r="CD26" i="4"/>
  <c r="CE26" i="4"/>
  <c r="CF26" i="4"/>
  <c r="CG26" i="4"/>
  <c r="CH26" i="4"/>
  <c r="CI26" i="4"/>
  <c r="CJ26" i="4"/>
  <c r="CK26" i="4"/>
  <c r="CL26" i="4"/>
  <c r="CM26" i="4"/>
  <c r="CN26" i="4"/>
  <c r="CO26" i="4"/>
  <c r="CP26" i="4"/>
  <c r="CQ26" i="4"/>
  <c r="CR26" i="4"/>
  <c r="CS26" i="4"/>
  <c r="CT26" i="4"/>
  <c r="CU26" i="4"/>
  <c r="CV26" i="4"/>
  <c r="CW26" i="4"/>
  <c r="CX26" i="4"/>
  <c r="CY26" i="4"/>
  <c r="CZ26" i="4"/>
  <c r="DA26" i="4"/>
  <c r="DB26" i="4"/>
  <c r="DC26" i="4"/>
  <c r="DD26" i="4"/>
  <c r="DE26" i="4"/>
  <c r="DF26" i="4"/>
  <c r="DG26" i="4"/>
  <c r="DH26" i="4"/>
  <c r="DI26" i="4"/>
  <c r="DJ26" i="4"/>
  <c r="DK26" i="4"/>
  <c r="DL26" i="4"/>
  <c r="DM26" i="4"/>
  <c r="DN26" i="4"/>
  <c r="DO26" i="4"/>
  <c r="DP26" i="4"/>
  <c r="DQ26" i="4"/>
  <c r="DR26" i="4"/>
  <c r="DS26" i="4"/>
  <c r="DT26" i="4"/>
  <c r="DU26" i="4"/>
  <c r="DV26" i="4"/>
  <c r="DW26" i="4"/>
  <c r="DX26" i="4"/>
  <c r="DY26" i="4"/>
  <c r="DZ26" i="4"/>
  <c r="EA26" i="4"/>
  <c r="EB26" i="4"/>
  <c r="EC26" i="4"/>
  <c r="ED26" i="4"/>
  <c r="EE26" i="4"/>
  <c r="EF26" i="4"/>
  <c r="EG26" i="4"/>
  <c r="EH26" i="4"/>
  <c r="EI26" i="4"/>
  <c r="EJ26" i="4"/>
  <c r="EK26" i="4"/>
  <c r="EL26" i="4"/>
  <c r="EM26" i="4"/>
  <c r="EN26" i="4"/>
  <c r="EO26" i="4"/>
  <c r="EP26" i="4"/>
  <c r="EQ26" i="4"/>
  <c r="ER26" i="4"/>
  <c r="ES26" i="4"/>
  <c r="ET26" i="4"/>
  <c r="EU26" i="4"/>
  <c r="EV26" i="4"/>
  <c r="EW26" i="4"/>
  <c r="EX26" i="4"/>
  <c r="EY26" i="4"/>
  <c r="EZ26" i="4"/>
  <c r="FA26" i="4"/>
  <c r="FB26" i="4"/>
  <c r="FC26" i="4"/>
  <c r="FD26" i="4"/>
  <c r="FE26" i="4"/>
  <c r="FF26" i="4"/>
  <c r="FG26" i="4"/>
  <c r="FH26" i="4"/>
  <c r="FI26" i="4"/>
  <c r="FJ26" i="4"/>
  <c r="FK26" i="4"/>
  <c r="FL26" i="4"/>
  <c r="FM26" i="4"/>
  <c r="FN26" i="4"/>
  <c r="FO26" i="4"/>
  <c r="FP26" i="4"/>
  <c r="FQ26" i="4"/>
  <c r="FR26" i="4"/>
  <c r="FS26" i="4"/>
  <c r="FT26" i="4"/>
  <c r="FU26" i="4"/>
  <c r="FV26" i="4"/>
  <c r="FW26" i="4"/>
  <c r="FX26" i="4"/>
  <c r="FY26" i="4"/>
  <c r="FZ26" i="4"/>
  <c r="GA26" i="4"/>
  <c r="GB26" i="4"/>
  <c r="GC26" i="4"/>
  <c r="GD26" i="4"/>
  <c r="GE26" i="4"/>
  <c r="GF26" i="4"/>
  <c r="GG26" i="4"/>
  <c r="GH26" i="4"/>
  <c r="GI26" i="4"/>
  <c r="GJ26" i="4"/>
  <c r="GK26" i="4"/>
  <c r="GL26" i="4"/>
  <c r="GM26" i="4"/>
  <c r="GN26" i="4"/>
  <c r="GO26" i="4"/>
  <c r="GP26" i="4"/>
  <c r="GQ26" i="4"/>
  <c r="GR26" i="4"/>
  <c r="GS26" i="4"/>
  <c r="GT26" i="4"/>
  <c r="GU26" i="4"/>
  <c r="GV26" i="4"/>
  <c r="GW26" i="4"/>
  <c r="GX26" i="4"/>
  <c r="GY26" i="4"/>
  <c r="GZ26" i="4"/>
  <c r="HA26" i="4"/>
  <c r="HB26" i="4"/>
  <c r="HC26" i="4"/>
  <c r="HD26" i="4"/>
  <c r="HE26" i="4"/>
  <c r="HF26" i="4"/>
  <c r="HG26" i="4"/>
  <c r="HH26" i="4"/>
  <c r="HI26" i="4"/>
  <c r="HJ26" i="4"/>
  <c r="HK26" i="4"/>
  <c r="HL26" i="4"/>
  <c r="HM26" i="4"/>
  <c r="HN26" i="4"/>
  <c r="HO26" i="4"/>
  <c r="HP26" i="4"/>
  <c r="HQ26" i="4"/>
  <c r="HR26" i="4"/>
  <c r="HS26" i="4"/>
  <c r="HT26" i="4"/>
  <c r="HU26" i="4"/>
  <c r="HV26" i="4"/>
  <c r="HW26" i="4"/>
  <c r="HX26" i="4"/>
  <c r="HY26" i="4"/>
  <c r="HZ26" i="4"/>
  <c r="IA26" i="4"/>
  <c r="IB26" i="4"/>
  <c r="IC26" i="4"/>
  <c r="ID26" i="4"/>
  <c r="IE26" i="4"/>
  <c r="IF26" i="4"/>
  <c r="IG26" i="4"/>
  <c r="IH26" i="4"/>
  <c r="II26" i="4"/>
  <c r="IJ26" i="4"/>
  <c r="IK26" i="4"/>
  <c r="IL26" i="4"/>
  <c r="IM26" i="4"/>
  <c r="IN26" i="4"/>
  <c r="IO26" i="4"/>
  <c r="IP26" i="4"/>
  <c r="IQ26" i="4"/>
  <c r="IR26" i="4"/>
  <c r="IS26" i="4"/>
  <c r="IT26" i="4"/>
  <c r="IU26" i="4"/>
  <c r="IV26" i="4"/>
  <c r="F27" i="4"/>
  <c r="G27" i="4"/>
  <c r="H27" i="4"/>
  <c r="I27" i="4"/>
  <c r="J27" i="4"/>
  <c r="K27" i="4"/>
  <c r="L27" i="4"/>
  <c r="M27" i="4"/>
  <c r="N27" i="4"/>
  <c r="O27" i="4"/>
  <c r="P27" i="4"/>
  <c r="Q27" i="4"/>
  <c r="R27" i="4"/>
  <c r="S27" i="4"/>
  <c r="T27" i="4"/>
  <c r="U27" i="4"/>
  <c r="V27" i="4"/>
  <c r="W27" i="4"/>
  <c r="X27" i="4"/>
  <c r="Y27" i="4"/>
  <c r="Z27" i="4"/>
  <c r="AA27" i="4"/>
  <c r="AB27" i="4"/>
  <c r="AC27" i="4"/>
  <c r="AD27" i="4"/>
  <c r="AE27" i="4"/>
  <c r="AF27" i="4"/>
  <c r="AG27" i="4"/>
  <c r="AH27" i="4"/>
  <c r="AI27" i="4"/>
  <c r="AJ27" i="4"/>
  <c r="AK27" i="4"/>
  <c r="AL27" i="4"/>
  <c r="AM27" i="4"/>
  <c r="AN27" i="4"/>
  <c r="AO27" i="4"/>
  <c r="AP27" i="4"/>
  <c r="AQ27" i="4"/>
  <c r="AR27" i="4"/>
  <c r="AS27" i="4"/>
  <c r="AT27" i="4"/>
  <c r="AU27" i="4"/>
  <c r="AV27" i="4"/>
  <c r="AW27" i="4"/>
  <c r="AX27" i="4"/>
  <c r="AY27" i="4"/>
  <c r="AZ27" i="4"/>
  <c r="BA27" i="4"/>
  <c r="BB27" i="4"/>
  <c r="BC27" i="4"/>
  <c r="BD27" i="4"/>
  <c r="BE27" i="4"/>
  <c r="BF27" i="4"/>
  <c r="BG27" i="4"/>
  <c r="BH27" i="4"/>
  <c r="BI27" i="4"/>
  <c r="BJ27" i="4"/>
  <c r="BK27" i="4"/>
  <c r="BL27" i="4"/>
  <c r="BM27" i="4"/>
  <c r="BN27" i="4"/>
  <c r="BO27" i="4"/>
  <c r="BP27" i="4"/>
  <c r="BQ27" i="4"/>
  <c r="BR27" i="4"/>
  <c r="BS27" i="4"/>
  <c r="BT27" i="4"/>
  <c r="BU27" i="4"/>
  <c r="BV27" i="4"/>
  <c r="BW27" i="4"/>
  <c r="BX27" i="4"/>
  <c r="BY27" i="4"/>
  <c r="BZ27" i="4"/>
  <c r="CA27" i="4"/>
  <c r="CB27" i="4"/>
  <c r="CC27" i="4"/>
  <c r="CD27" i="4"/>
  <c r="CE27" i="4"/>
  <c r="CF27" i="4"/>
  <c r="CG27" i="4"/>
  <c r="CH27" i="4"/>
  <c r="CI27" i="4"/>
  <c r="CJ27" i="4"/>
  <c r="CK27" i="4"/>
  <c r="CL27" i="4"/>
  <c r="CM27" i="4"/>
  <c r="CN27" i="4"/>
  <c r="CO27" i="4"/>
  <c r="CP27" i="4"/>
  <c r="CQ27" i="4"/>
  <c r="CR27" i="4"/>
  <c r="CS27" i="4"/>
  <c r="CT27" i="4"/>
  <c r="CU27" i="4"/>
  <c r="CV27" i="4"/>
  <c r="CW27" i="4"/>
  <c r="CX27" i="4"/>
  <c r="CY27" i="4"/>
  <c r="CZ27" i="4"/>
  <c r="DA27" i="4"/>
  <c r="DB27" i="4"/>
  <c r="DC27" i="4"/>
  <c r="DD27" i="4"/>
  <c r="DE27" i="4"/>
  <c r="DF27" i="4"/>
  <c r="DG27" i="4"/>
  <c r="DH27" i="4"/>
  <c r="DI27" i="4"/>
  <c r="DJ27" i="4"/>
  <c r="DK27" i="4"/>
  <c r="DL27" i="4"/>
  <c r="DM27" i="4"/>
  <c r="DN27" i="4"/>
  <c r="DO27" i="4"/>
  <c r="DP27" i="4"/>
  <c r="DQ27" i="4"/>
  <c r="DR27" i="4"/>
  <c r="DS27" i="4"/>
  <c r="DT27" i="4"/>
  <c r="DU27" i="4"/>
  <c r="DV27" i="4"/>
  <c r="DW27" i="4"/>
  <c r="DX27" i="4"/>
  <c r="DY27" i="4"/>
  <c r="DZ27" i="4"/>
  <c r="EA27" i="4"/>
  <c r="EB27" i="4"/>
  <c r="EC27" i="4"/>
  <c r="ED27" i="4"/>
  <c r="EE27" i="4"/>
  <c r="EF27" i="4"/>
  <c r="EG27" i="4"/>
  <c r="EH27" i="4"/>
  <c r="EI27" i="4"/>
  <c r="EJ27" i="4"/>
  <c r="EK27" i="4"/>
  <c r="EL27" i="4"/>
  <c r="EM27" i="4"/>
  <c r="EN27" i="4"/>
  <c r="EO27" i="4"/>
  <c r="EP27" i="4"/>
  <c r="EQ27" i="4"/>
  <c r="ER27" i="4"/>
  <c r="ES27" i="4"/>
  <c r="ET27" i="4"/>
  <c r="EU27" i="4"/>
  <c r="EV27" i="4"/>
  <c r="EW27" i="4"/>
  <c r="EX27" i="4"/>
  <c r="EY27" i="4"/>
  <c r="EZ27" i="4"/>
  <c r="FA27" i="4"/>
  <c r="FB27" i="4"/>
  <c r="FC27" i="4"/>
  <c r="FD27" i="4"/>
  <c r="FE27" i="4"/>
  <c r="FF27" i="4"/>
  <c r="FG27" i="4"/>
  <c r="FH27" i="4"/>
  <c r="FI27" i="4"/>
  <c r="FJ27" i="4"/>
  <c r="FK27" i="4"/>
  <c r="FL27" i="4"/>
  <c r="FM27" i="4"/>
  <c r="FN27" i="4"/>
  <c r="FO27" i="4"/>
  <c r="FP27" i="4"/>
  <c r="FQ27" i="4"/>
  <c r="FR27" i="4"/>
  <c r="FS27" i="4"/>
  <c r="FT27" i="4"/>
  <c r="FU27" i="4"/>
  <c r="FV27" i="4"/>
  <c r="FW27" i="4"/>
  <c r="FX27" i="4"/>
  <c r="FY27" i="4"/>
  <c r="FZ27" i="4"/>
  <c r="GA27" i="4"/>
  <c r="GB27" i="4"/>
  <c r="GC27" i="4"/>
  <c r="GD27" i="4"/>
  <c r="GE27" i="4"/>
  <c r="GF27" i="4"/>
  <c r="GG27" i="4"/>
  <c r="GH27" i="4"/>
  <c r="GI27" i="4"/>
  <c r="GJ27" i="4"/>
  <c r="GK27" i="4"/>
  <c r="GL27" i="4"/>
  <c r="GM27" i="4"/>
  <c r="GN27" i="4"/>
  <c r="GO27" i="4"/>
  <c r="GP27" i="4"/>
  <c r="GQ27" i="4"/>
  <c r="GR27" i="4"/>
  <c r="GS27" i="4"/>
  <c r="GT27" i="4"/>
  <c r="GU27" i="4"/>
  <c r="GV27" i="4"/>
  <c r="GW27" i="4"/>
  <c r="GX27" i="4"/>
  <c r="GY27" i="4"/>
  <c r="GZ27" i="4"/>
  <c r="HA27" i="4"/>
  <c r="HB27" i="4"/>
  <c r="HC27" i="4"/>
  <c r="HD27" i="4"/>
  <c r="HE27" i="4"/>
  <c r="HF27" i="4"/>
  <c r="HG27" i="4"/>
  <c r="HH27" i="4"/>
  <c r="HI27" i="4"/>
  <c r="HJ27" i="4"/>
  <c r="HK27" i="4"/>
  <c r="HL27" i="4"/>
  <c r="HM27" i="4"/>
  <c r="HN27" i="4"/>
  <c r="HO27" i="4"/>
  <c r="HP27" i="4"/>
  <c r="HQ27" i="4"/>
  <c r="HR27" i="4"/>
  <c r="HS27" i="4"/>
  <c r="HT27" i="4"/>
  <c r="HU27" i="4"/>
  <c r="HV27" i="4"/>
  <c r="HW27" i="4"/>
  <c r="HX27" i="4"/>
  <c r="HY27" i="4"/>
  <c r="HZ27" i="4"/>
  <c r="IA27" i="4"/>
  <c r="IB27" i="4"/>
  <c r="IC27" i="4"/>
  <c r="ID27" i="4"/>
  <c r="IE27" i="4"/>
  <c r="IF27" i="4"/>
  <c r="IG27" i="4"/>
  <c r="IH27" i="4"/>
  <c r="II27" i="4"/>
  <c r="IJ27" i="4"/>
  <c r="IK27" i="4"/>
  <c r="IL27" i="4"/>
  <c r="IM27" i="4"/>
  <c r="IN27" i="4"/>
  <c r="IO27" i="4"/>
  <c r="IP27" i="4"/>
  <c r="IQ27" i="4"/>
  <c r="IR27" i="4"/>
  <c r="IS27" i="4"/>
  <c r="IT27" i="4"/>
  <c r="IU27" i="4"/>
  <c r="IV27" i="4"/>
  <c r="F28" i="4"/>
  <c r="G28" i="4"/>
  <c r="H28" i="4"/>
  <c r="I28" i="4"/>
  <c r="J28" i="4"/>
  <c r="K28" i="4"/>
  <c r="L28" i="4"/>
  <c r="M28" i="4"/>
  <c r="N28" i="4"/>
  <c r="O28" i="4"/>
  <c r="P28" i="4"/>
  <c r="Q28" i="4"/>
  <c r="R28" i="4"/>
  <c r="S28" i="4"/>
  <c r="T28" i="4"/>
  <c r="U28" i="4"/>
  <c r="V28" i="4"/>
  <c r="W28" i="4"/>
  <c r="X28" i="4"/>
  <c r="Y28" i="4"/>
  <c r="Z28" i="4"/>
  <c r="AA28" i="4"/>
  <c r="AB28" i="4"/>
  <c r="AC28" i="4"/>
  <c r="AD28" i="4"/>
  <c r="AE28" i="4"/>
  <c r="AF28" i="4"/>
  <c r="AG28" i="4"/>
  <c r="AH28" i="4"/>
  <c r="AI28" i="4"/>
  <c r="AJ28" i="4"/>
  <c r="AK28" i="4"/>
  <c r="AL28" i="4"/>
  <c r="AM28" i="4"/>
  <c r="AN28" i="4"/>
  <c r="AO28" i="4"/>
  <c r="AP28" i="4"/>
  <c r="AQ28" i="4"/>
  <c r="AR28" i="4"/>
  <c r="AS28" i="4"/>
  <c r="AT28" i="4"/>
  <c r="AU28" i="4"/>
  <c r="AV28" i="4"/>
  <c r="AW28" i="4"/>
  <c r="AX28" i="4"/>
  <c r="AY28" i="4"/>
  <c r="AZ28" i="4"/>
  <c r="BA28" i="4"/>
  <c r="BB28" i="4"/>
  <c r="BC28" i="4"/>
  <c r="BD28" i="4"/>
  <c r="BE28" i="4"/>
  <c r="BF28" i="4"/>
  <c r="BG28" i="4"/>
  <c r="BH28" i="4"/>
  <c r="BI28" i="4"/>
  <c r="BJ28" i="4"/>
  <c r="BK28" i="4"/>
  <c r="BL28" i="4"/>
  <c r="BM28" i="4"/>
  <c r="BN28" i="4"/>
  <c r="BO28" i="4"/>
  <c r="BP28" i="4"/>
  <c r="BQ28" i="4"/>
  <c r="BR28" i="4"/>
  <c r="BS28" i="4"/>
  <c r="BT28" i="4"/>
  <c r="BU28" i="4"/>
  <c r="BV28" i="4"/>
  <c r="BW28" i="4"/>
  <c r="BX28" i="4"/>
  <c r="BY28" i="4"/>
  <c r="BZ28" i="4"/>
  <c r="CA28" i="4"/>
  <c r="CB28" i="4"/>
  <c r="CC28" i="4"/>
  <c r="CD28" i="4"/>
  <c r="CE28" i="4"/>
  <c r="CF28" i="4"/>
  <c r="CG28" i="4"/>
  <c r="CH28" i="4"/>
  <c r="CI28" i="4"/>
  <c r="CJ28" i="4"/>
  <c r="CK28" i="4"/>
  <c r="CL28" i="4"/>
  <c r="CM28" i="4"/>
  <c r="CN28" i="4"/>
  <c r="CO28" i="4"/>
  <c r="CP28" i="4"/>
  <c r="CQ28" i="4"/>
  <c r="CR28" i="4"/>
  <c r="CS28" i="4"/>
  <c r="CT28" i="4"/>
  <c r="CU28" i="4"/>
  <c r="CV28" i="4"/>
  <c r="CW28" i="4"/>
  <c r="CX28" i="4"/>
  <c r="CY28" i="4"/>
  <c r="CZ28" i="4"/>
  <c r="DA28" i="4"/>
  <c r="DB28" i="4"/>
  <c r="DC28" i="4"/>
  <c r="DD28" i="4"/>
  <c r="DE28" i="4"/>
  <c r="DF28" i="4"/>
  <c r="DG28" i="4"/>
  <c r="DH28" i="4"/>
  <c r="DI28" i="4"/>
  <c r="DJ28" i="4"/>
  <c r="DK28" i="4"/>
  <c r="DL28" i="4"/>
  <c r="DM28" i="4"/>
  <c r="DN28" i="4"/>
  <c r="DO28" i="4"/>
  <c r="DP28" i="4"/>
  <c r="DQ28" i="4"/>
  <c r="DR28" i="4"/>
  <c r="DS28" i="4"/>
  <c r="DT28" i="4"/>
  <c r="DU28" i="4"/>
  <c r="DV28" i="4"/>
  <c r="DW28" i="4"/>
  <c r="DX28" i="4"/>
  <c r="DY28" i="4"/>
  <c r="DZ28" i="4"/>
  <c r="EA28" i="4"/>
  <c r="EB28" i="4"/>
  <c r="EC28" i="4"/>
  <c r="ED28" i="4"/>
  <c r="EE28" i="4"/>
  <c r="EF28" i="4"/>
  <c r="EG28" i="4"/>
  <c r="EH28" i="4"/>
  <c r="EI28" i="4"/>
  <c r="EJ28" i="4"/>
  <c r="EK28" i="4"/>
  <c r="EL28" i="4"/>
  <c r="EM28" i="4"/>
  <c r="EN28" i="4"/>
  <c r="EO28" i="4"/>
  <c r="EP28" i="4"/>
  <c r="EQ28" i="4"/>
  <c r="ER28" i="4"/>
  <c r="ES28" i="4"/>
  <c r="ET28" i="4"/>
  <c r="EU28" i="4"/>
  <c r="EV28" i="4"/>
  <c r="EW28" i="4"/>
  <c r="EX28" i="4"/>
  <c r="EY28" i="4"/>
  <c r="EZ28" i="4"/>
  <c r="FA28" i="4"/>
  <c r="FB28" i="4"/>
  <c r="FC28" i="4"/>
  <c r="FD28" i="4"/>
  <c r="FE28" i="4"/>
  <c r="FF28" i="4"/>
  <c r="FG28" i="4"/>
  <c r="FH28" i="4"/>
  <c r="FI28" i="4"/>
  <c r="FJ28" i="4"/>
  <c r="FK28" i="4"/>
  <c r="FL28" i="4"/>
  <c r="FM28" i="4"/>
  <c r="FN28" i="4"/>
  <c r="FO28" i="4"/>
  <c r="FP28" i="4"/>
  <c r="FQ28" i="4"/>
  <c r="FR28" i="4"/>
  <c r="FS28" i="4"/>
  <c r="FT28" i="4"/>
  <c r="FU28" i="4"/>
  <c r="FV28" i="4"/>
  <c r="FW28" i="4"/>
  <c r="FX28" i="4"/>
  <c r="FY28" i="4"/>
  <c r="FZ28" i="4"/>
  <c r="GA28" i="4"/>
  <c r="GB28" i="4"/>
  <c r="GC28" i="4"/>
  <c r="GD28" i="4"/>
  <c r="GE28" i="4"/>
  <c r="GF28" i="4"/>
  <c r="GG28" i="4"/>
  <c r="GH28" i="4"/>
  <c r="GI28" i="4"/>
  <c r="GJ28" i="4"/>
  <c r="GK28" i="4"/>
  <c r="GL28" i="4"/>
  <c r="GM28" i="4"/>
  <c r="GN28" i="4"/>
  <c r="GO28" i="4"/>
  <c r="GP28" i="4"/>
  <c r="GQ28" i="4"/>
  <c r="GR28" i="4"/>
  <c r="GS28" i="4"/>
  <c r="GT28" i="4"/>
  <c r="GU28" i="4"/>
  <c r="GV28" i="4"/>
  <c r="GW28" i="4"/>
  <c r="GX28" i="4"/>
  <c r="GY28" i="4"/>
  <c r="GZ28" i="4"/>
  <c r="HA28" i="4"/>
  <c r="HB28" i="4"/>
  <c r="HC28" i="4"/>
  <c r="HD28" i="4"/>
  <c r="HE28" i="4"/>
  <c r="HF28" i="4"/>
  <c r="HG28" i="4"/>
  <c r="HH28" i="4"/>
  <c r="HI28" i="4"/>
  <c r="HJ28" i="4"/>
  <c r="HK28" i="4"/>
  <c r="HL28" i="4"/>
  <c r="HM28" i="4"/>
  <c r="HN28" i="4"/>
  <c r="HO28" i="4"/>
  <c r="HP28" i="4"/>
  <c r="HQ28" i="4"/>
  <c r="HR28" i="4"/>
  <c r="HS28" i="4"/>
  <c r="HT28" i="4"/>
  <c r="HU28" i="4"/>
  <c r="HV28" i="4"/>
  <c r="HW28" i="4"/>
  <c r="HX28" i="4"/>
  <c r="HY28" i="4"/>
  <c r="HZ28" i="4"/>
  <c r="IA28" i="4"/>
  <c r="IB28" i="4"/>
  <c r="IC28" i="4"/>
  <c r="ID28" i="4"/>
  <c r="IE28" i="4"/>
  <c r="IF28" i="4"/>
  <c r="IG28" i="4"/>
  <c r="IH28" i="4"/>
  <c r="II28" i="4"/>
  <c r="IJ28" i="4"/>
  <c r="IK28" i="4"/>
  <c r="IL28" i="4"/>
  <c r="IM28" i="4"/>
  <c r="IN28" i="4"/>
  <c r="IO28" i="4"/>
  <c r="IP28" i="4"/>
  <c r="IQ28" i="4"/>
  <c r="IR28" i="4"/>
  <c r="IS28" i="4"/>
  <c r="IT28" i="4"/>
  <c r="IU28" i="4"/>
  <c r="IV28" i="4"/>
  <c r="F29" i="4"/>
  <c r="G29" i="4"/>
  <c r="H29" i="4"/>
  <c r="I29" i="4"/>
  <c r="J29" i="4"/>
  <c r="K29" i="4"/>
  <c r="L29" i="4"/>
  <c r="M29" i="4"/>
  <c r="N29" i="4"/>
  <c r="O29" i="4"/>
  <c r="P29" i="4"/>
  <c r="Q29" i="4"/>
  <c r="R29" i="4"/>
  <c r="S29" i="4"/>
  <c r="T29" i="4"/>
  <c r="U29" i="4"/>
  <c r="V29" i="4"/>
  <c r="W29" i="4"/>
  <c r="X29" i="4"/>
  <c r="Y29" i="4"/>
  <c r="Z29" i="4"/>
  <c r="AA29" i="4"/>
  <c r="AB29" i="4"/>
  <c r="AC29" i="4"/>
  <c r="AD29" i="4"/>
  <c r="AE29" i="4"/>
  <c r="AF29" i="4"/>
  <c r="AG29" i="4"/>
  <c r="AH29" i="4"/>
  <c r="AI29" i="4"/>
  <c r="AJ29" i="4"/>
  <c r="AK29" i="4"/>
  <c r="AL29" i="4"/>
  <c r="AM29" i="4"/>
  <c r="AN29" i="4"/>
  <c r="AO29" i="4"/>
  <c r="AP29" i="4"/>
  <c r="AQ29" i="4"/>
  <c r="AR29" i="4"/>
  <c r="AS29" i="4"/>
  <c r="AT29" i="4"/>
  <c r="AU29" i="4"/>
  <c r="AV29" i="4"/>
  <c r="AW29" i="4"/>
  <c r="AX29" i="4"/>
  <c r="AY29" i="4"/>
  <c r="AZ29" i="4"/>
  <c r="BA29" i="4"/>
  <c r="BB29" i="4"/>
  <c r="BC29" i="4"/>
  <c r="BD29" i="4"/>
  <c r="BE29" i="4"/>
  <c r="BF29" i="4"/>
  <c r="BG29" i="4"/>
  <c r="BH29" i="4"/>
  <c r="BI29" i="4"/>
  <c r="BJ29" i="4"/>
  <c r="BK29" i="4"/>
  <c r="BL29" i="4"/>
  <c r="BM29" i="4"/>
  <c r="BN29" i="4"/>
  <c r="BO29" i="4"/>
  <c r="BP29" i="4"/>
  <c r="BQ29" i="4"/>
  <c r="BR29" i="4"/>
  <c r="BS29" i="4"/>
  <c r="BT29" i="4"/>
  <c r="BU29" i="4"/>
  <c r="BV29" i="4"/>
  <c r="BW29" i="4"/>
  <c r="BX29" i="4"/>
  <c r="BY29" i="4"/>
  <c r="BZ29" i="4"/>
  <c r="CA29" i="4"/>
  <c r="CB29" i="4"/>
  <c r="CC29" i="4"/>
  <c r="CD29" i="4"/>
  <c r="CE29" i="4"/>
  <c r="CF29" i="4"/>
  <c r="CG29" i="4"/>
  <c r="CH29" i="4"/>
  <c r="CI29" i="4"/>
  <c r="CJ29" i="4"/>
  <c r="CK29" i="4"/>
  <c r="CL29" i="4"/>
  <c r="CM29" i="4"/>
  <c r="CN29" i="4"/>
  <c r="CO29" i="4"/>
  <c r="CP29" i="4"/>
  <c r="CQ29" i="4"/>
  <c r="CR29" i="4"/>
  <c r="CS29" i="4"/>
  <c r="CT29" i="4"/>
  <c r="CU29" i="4"/>
  <c r="CV29" i="4"/>
  <c r="CW29" i="4"/>
  <c r="CX29" i="4"/>
  <c r="CY29" i="4"/>
  <c r="CZ29" i="4"/>
  <c r="DA29" i="4"/>
  <c r="DB29" i="4"/>
  <c r="DC29" i="4"/>
  <c r="DD29" i="4"/>
  <c r="DE29" i="4"/>
  <c r="DF29" i="4"/>
  <c r="DG29" i="4"/>
  <c r="DH29" i="4"/>
  <c r="DI29" i="4"/>
  <c r="DJ29" i="4"/>
  <c r="DK29" i="4"/>
  <c r="DL29" i="4"/>
  <c r="DM29" i="4"/>
  <c r="DN29" i="4"/>
  <c r="DO29" i="4"/>
  <c r="DP29" i="4"/>
  <c r="DQ29" i="4"/>
  <c r="DR29" i="4"/>
  <c r="DS29" i="4"/>
  <c r="DT29" i="4"/>
  <c r="DU29" i="4"/>
  <c r="DV29" i="4"/>
  <c r="DW29" i="4"/>
  <c r="DX29" i="4"/>
  <c r="DY29" i="4"/>
  <c r="DZ29" i="4"/>
  <c r="EA29" i="4"/>
  <c r="EB29" i="4"/>
  <c r="EC29" i="4"/>
  <c r="ED29" i="4"/>
  <c r="EE29" i="4"/>
  <c r="EF29" i="4"/>
  <c r="EG29" i="4"/>
  <c r="EH29" i="4"/>
  <c r="EI29" i="4"/>
  <c r="EJ29" i="4"/>
  <c r="EK29" i="4"/>
  <c r="EL29" i="4"/>
  <c r="EM29" i="4"/>
  <c r="EN29" i="4"/>
  <c r="EO29" i="4"/>
  <c r="EP29" i="4"/>
  <c r="EQ29" i="4"/>
  <c r="ER29" i="4"/>
  <c r="ES29" i="4"/>
  <c r="ET29" i="4"/>
  <c r="EU29" i="4"/>
  <c r="EV29" i="4"/>
  <c r="EW29" i="4"/>
  <c r="EX29" i="4"/>
  <c r="EY29" i="4"/>
  <c r="EZ29" i="4"/>
  <c r="FA29" i="4"/>
  <c r="FB29" i="4"/>
  <c r="FC29" i="4"/>
  <c r="FD29" i="4"/>
  <c r="FE29" i="4"/>
  <c r="FF29" i="4"/>
  <c r="FG29" i="4"/>
  <c r="FH29" i="4"/>
  <c r="FI29" i="4"/>
  <c r="FJ29" i="4"/>
  <c r="FK29" i="4"/>
  <c r="FL29" i="4"/>
  <c r="FM29" i="4"/>
  <c r="FN29" i="4"/>
  <c r="FO29" i="4"/>
  <c r="FP29" i="4"/>
  <c r="FQ29" i="4"/>
  <c r="FR29" i="4"/>
  <c r="FS29" i="4"/>
  <c r="FT29" i="4"/>
  <c r="FU29" i="4"/>
  <c r="FV29" i="4"/>
  <c r="FW29" i="4"/>
  <c r="FX29" i="4"/>
  <c r="FY29" i="4"/>
  <c r="FZ29" i="4"/>
  <c r="GA29" i="4"/>
  <c r="GB29" i="4"/>
  <c r="GC29" i="4"/>
  <c r="GD29" i="4"/>
  <c r="GE29" i="4"/>
  <c r="GF29" i="4"/>
  <c r="GG29" i="4"/>
  <c r="GH29" i="4"/>
  <c r="GI29" i="4"/>
  <c r="GJ29" i="4"/>
  <c r="GK29" i="4"/>
  <c r="GL29" i="4"/>
  <c r="GM29" i="4"/>
  <c r="GN29" i="4"/>
  <c r="GO29" i="4"/>
  <c r="GP29" i="4"/>
  <c r="GQ29" i="4"/>
  <c r="GR29" i="4"/>
  <c r="GS29" i="4"/>
  <c r="GT29" i="4"/>
  <c r="GU29" i="4"/>
  <c r="GV29" i="4"/>
  <c r="GW29" i="4"/>
  <c r="GX29" i="4"/>
  <c r="GY29" i="4"/>
  <c r="GZ29" i="4"/>
  <c r="HA29" i="4"/>
  <c r="HB29" i="4"/>
  <c r="HC29" i="4"/>
  <c r="HD29" i="4"/>
  <c r="HE29" i="4"/>
  <c r="HF29" i="4"/>
  <c r="HG29" i="4"/>
  <c r="HH29" i="4"/>
  <c r="HI29" i="4"/>
  <c r="HJ29" i="4"/>
  <c r="HK29" i="4"/>
  <c r="HL29" i="4"/>
  <c r="HM29" i="4"/>
  <c r="HN29" i="4"/>
  <c r="HO29" i="4"/>
  <c r="HP29" i="4"/>
  <c r="HQ29" i="4"/>
  <c r="HR29" i="4"/>
  <c r="HS29" i="4"/>
  <c r="HT29" i="4"/>
  <c r="HU29" i="4"/>
  <c r="HV29" i="4"/>
  <c r="HW29" i="4"/>
  <c r="HX29" i="4"/>
  <c r="HY29" i="4"/>
  <c r="HZ29" i="4"/>
  <c r="IA29" i="4"/>
  <c r="IB29" i="4"/>
  <c r="IC29" i="4"/>
  <c r="ID29" i="4"/>
  <c r="IE29" i="4"/>
  <c r="IF29" i="4"/>
  <c r="IG29" i="4"/>
  <c r="IH29" i="4"/>
  <c r="II29" i="4"/>
  <c r="IJ29" i="4"/>
  <c r="IK29" i="4"/>
  <c r="IL29" i="4"/>
  <c r="IM29" i="4"/>
  <c r="IN29" i="4"/>
  <c r="IO29" i="4"/>
  <c r="IP29" i="4"/>
  <c r="IQ29" i="4"/>
  <c r="IR29" i="4"/>
  <c r="IS29" i="4"/>
  <c r="IT29" i="4"/>
  <c r="IU29" i="4"/>
  <c r="IV29" i="4"/>
  <c r="F30" i="4"/>
  <c r="G30" i="4"/>
  <c r="H30" i="4"/>
  <c r="I30" i="4"/>
  <c r="J30" i="4"/>
  <c r="K30" i="4"/>
  <c r="L30" i="4"/>
  <c r="M30" i="4"/>
  <c r="N30" i="4"/>
  <c r="O30" i="4"/>
  <c r="P30" i="4"/>
  <c r="Q30" i="4"/>
  <c r="R30" i="4"/>
  <c r="S30" i="4"/>
  <c r="T30" i="4"/>
  <c r="U30" i="4"/>
  <c r="V30" i="4"/>
  <c r="W30" i="4"/>
  <c r="X30" i="4"/>
  <c r="Y30" i="4"/>
  <c r="Z30" i="4"/>
  <c r="AA30" i="4"/>
  <c r="AB30" i="4"/>
  <c r="AC30" i="4"/>
  <c r="AD30" i="4"/>
  <c r="AE30" i="4"/>
  <c r="AF30" i="4"/>
  <c r="AG30" i="4"/>
  <c r="AH30" i="4"/>
  <c r="AI30" i="4"/>
  <c r="AJ30" i="4"/>
  <c r="AK30" i="4"/>
  <c r="AL30" i="4"/>
  <c r="AM30" i="4"/>
  <c r="AN30" i="4"/>
  <c r="AO30" i="4"/>
  <c r="AP30" i="4"/>
  <c r="AQ30" i="4"/>
  <c r="AR30" i="4"/>
  <c r="AS30" i="4"/>
  <c r="AT30" i="4"/>
  <c r="AU30" i="4"/>
  <c r="AV30" i="4"/>
  <c r="AW30" i="4"/>
  <c r="AX30" i="4"/>
  <c r="AY30" i="4"/>
  <c r="AZ30" i="4"/>
  <c r="BA30" i="4"/>
  <c r="BB30" i="4"/>
  <c r="BC30" i="4"/>
  <c r="BD30" i="4"/>
  <c r="BE30" i="4"/>
  <c r="BF30" i="4"/>
  <c r="BG30" i="4"/>
  <c r="BH30" i="4"/>
  <c r="BI30" i="4"/>
  <c r="BJ30" i="4"/>
  <c r="BK30" i="4"/>
  <c r="BL30" i="4"/>
  <c r="BM30" i="4"/>
  <c r="BN30" i="4"/>
  <c r="BO30" i="4"/>
  <c r="BP30" i="4"/>
  <c r="BQ30" i="4"/>
  <c r="BR30" i="4"/>
  <c r="BS30" i="4"/>
  <c r="BT30" i="4"/>
  <c r="BU30" i="4"/>
  <c r="BV30" i="4"/>
  <c r="BW30" i="4"/>
  <c r="BX30" i="4"/>
  <c r="BY30" i="4"/>
  <c r="BZ30" i="4"/>
  <c r="CA30" i="4"/>
  <c r="CB30" i="4"/>
  <c r="CC30" i="4"/>
  <c r="CD30" i="4"/>
  <c r="CE30" i="4"/>
  <c r="CF30" i="4"/>
  <c r="CG30" i="4"/>
  <c r="CH30" i="4"/>
  <c r="CI30" i="4"/>
  <c r="CJ30" i="4"/>
  <c r="CK30" i="4"/>
  <c r="CL30" i="4"/>
  <c r="CM30" i="4"/>
  <c r="CN30" i="4"/>
  <c r="CO30" i="4"/>
  <c r="CP30" i="4"/>
  <c r="CQ30" i="4"/>
  <c r="CR30" i="4"/>
  <c r="CS30" i="4"/>
  <c r="CT30" i="4"/>
  <c r="CU30" i="4"/>
  <c r="CV30" i="4"/>
  <c r="CW30" i="4"/>
  <c r="CX30" i="4"/>
  <c r="CY30" i="4"/>
  <c r="CZ30" i="4"/>
  <c r="DA30" i="4"/>
  <c r="DB30" i="4"/>
  <c r="DC30" i="4"/>
  <c r="DD30" i="4"/>
  <c r="DE30" i="4"/>
  <c r="DF30" i="4"/>
  <c r="DG30" i="4"/>
  <c r="DH30" i="4"/>
  <c r="DI30" i="4"/>
  <c r="DJ30" i="4"/>
  <c r="DK30" i="4"/>
  <c r="DL30" i="4"/>
  <c r="DM30" i="4"/>
  <c r="DN30" i="4"/>
  <c r="DO30" i="4"/>
  <c r="DP30" i="4"/>
  <c r="DQ30" i="4"/>
  <c r="DR30" i="4"/>
  <c r="DS30" i="4"/>
  <c r="DT30" i="4"/>
  <c r="DU30" i="4"/>
  <c r="DV30" i="4"/>
  <c r="DW30" i="4"/>
  <c r="DX30" i="4"/>
  <c r="DY30" i="4"/>
  <c r="DZ30" i="4"/>
  <c r="EA30" i="4"/>
  <c r="EB30" i="4"/>
  <c r="EC30" i="4"/>
  <c r="ED30" i="4"/>
  <c r="EE30" i="4"/>
  <c r="EF30" i="4"/>
  <c r="EG30" i="4"/>
  <c r="EH30" i="4"/>
  <c r="EI30" i="4"/>
  <c r="EJ30" i="4"/>
  <c r="EK30" i="4"/>
  <c r="EL30" i="4"/>
  <c r="EM30" i="4"/>
  <c r="EN30" i="4"/>
  <c r="EO30" i="4"/>
  <c r="EP30" i="4"/>
  <c r="EQ30" i="4"/>
  <c r="ER30" i="4"/>
  <c r="ES30" i="4"/>
  <c r="ET30" i="4"/>
  <c r="EU30" i="4"/>
  <c r="EV30" i="4"/>
  <c r="EW30" i="4"/>
  <c r="EX30" i="4"/>
  <c r="EY30" i="4"/>
  <c r="EZ30" i="4"/>
  <c r="FA30" i="4"/>
  <c r="FB30" i="4"/>
  <c r="FC30" i="4"/>
  <c r="FD30" i="4"/>
  <c r="FE30" i="4"/>
  <c r="FF30" i="4"/>
  <c r="FG30" i="4"/>
  <c r="FH30" i="4"/>
  <c r="FI30" i="4"/>
  <c r="FJ30" i="4"/>
  <c r="FK30" i="4"/>
  <c r="FL30" i="4"/>
  <c r="FM30" i="4"/>
  <c r="FN30" i="4"/>
  <c r="FO30" i="4"/>
  <c r="FP30" i="4"/>
  <c r="FQ30" i="4"/>
  <c r="FR30" i="4"/>
  <c r="FS30" i="4"/>
  <c r="FT30" i="4"/>
  <c r="FU30" i="4"/>
  <c r="FV30" i="4"/>
  <c r="FW30" i="4"/>
  <c r="FX30" i="4"/>
  <c r="FY30" i="4"/>
  <c r="FZ30" i="4"/>
  <c r="GA30" i="4"/>
  <c r="GB30" i="4"/>
  <c r="GC30" i="4"/>
  <c r="GD30" i="4"/>
  <c r="GE30" i="4"/>
  <c r="GF30" i="4"/>
  <c r="GG30" i="4"/>
  <c r="GH30" i="4"/>
  <c r="GI30" i="4"/>
  <c r="GJ30" i="4"/>
  <c r="GK30" i="4"/>
  <c r="GL30" i="4"/>
  <c r="GM30" i="4"/>
  <c r="GN30" i="4"/>
  <c r="GO30" i="4"/>
  <c r="GP30" i="4"/>
  <c r="GQ30" i="4"/>
  <c r="GR30" i="4"/>
  <c r="GS30" i="4"/>
  <c r="GT30" i="4"/>
  <c r="GU30" i="4"/>
  <c r="GV30" i="4"/>
  <c r="GW30" i="4"/>
  <c r="GX30" i="4"/>
  <c r="GY30" i="4"/>
  <c r="GZ30" i="4"/>
  <c r="HA30" i="4"/>
  <c r="HB30" i="4"/>
  <c r="HC30" i="4"/>
  <c r="HD30" i="4"/>
  <c r="HE30" i="4"/>
  <c r="HF30" i="4"/>
  <c r="HG30" i="4"/>
  <c r="HH30" i="4"/>
  <c r="HI30" i="4"/>
  <c r="HJ30" i="4"/>
  <c r="HK30" i="4"/>
  <c r="HL30" i="4"/>
  <c r="HM30" i="4"/>
  <c r="HN30" i="4"/>
  <c r="HO30" i="4"/>
  <c r="HP30" i="4"/>
  <c r="HQ30" i="4"/>
  <c r="HR30" i="4"/>
  <c r="HS30" i="4"/>
  <c r="HT30" i="4"/>
  <c r="HU30" i="4"/>
  <c r="HV30" i="4"/>
  <c r="HW30" i="4"/>
  <c r="HX30" i="4"/>
  <c r="HY30" i="4"/>
  <c r="HZ30" i="4"/>
  <c r="IA30" i="4"/>
  <c r="IB30" i="4"/>
  <c r="IC30" i="4"/>
  <c r="ID30" i="4"/>
  <c r="IE30" i="4"/>
  <c r="IF30" i="4"/>
  <c r="IG30" i="4"/>
  <c r="IH30" i="4"/>
  <c r="II30" i="4"/>
  <c r="IJ30" i="4"/>
  <c r="IK30" i="4"/>
  <c r="IL30" i="4"/>
  <c r="IM30" i="4"/>
  <c r="IN30" i="4"/>
  <c r="IO30" i="4"/>
  <c r="IP30" i="4"/>
  <c r="IQ30" i="4"/>
  <c r="IR30" i="4"/>
  <c r="IS30" i="4"/>
  <c r="IT30" i="4"/>
  <c r="IU30" i="4"/>
  <c r="IV30" i="4"/>
  <c r="F31" i="4"/>
  <c r="G31" i="4"/>
  <c r="H31" i="4"/>
  <c r="I31" i="4"/>
  <c r="J31" i="4"/>
  <c r="K31" i="4"/>
  <c r="L31" i="4"/>
  <c r="M31" i="4"/>
  <c r="N31" i="4"/>
  <c r="O31" i="4"/>
  <c r="P31" i="4"/>
  <c r="Q31" i="4"/>
  <c r="R31" i="4"/>
  <c r="S31" i="4"/>
  <c r="T31" i="4"/>
  <c r="U31" i="4"/>
  <c r="V31" i="4"/>
  <c r="W31" i="4"/>
  <c r="X31" i="4"/>
  <c r="Y31" i="4"/>
  <c r="Z31" i="4"/>
  <c r="AA31" i="4"/>
  <c r="AB31" i="4"/>
  <c r="AC31" i="4"/>
  <c r="AD31" i="4"/>
  <c r="AE31" i="4"/>
  <c r="AF31" i="4"/>
  <c r="AG31" i="4"/>
  <c r="AH31" i="4"/>
  <c r="AI31" i="4"/>
  <c r="AJ31" i="4"/>
  <c r="AK31" i="4"/>
  <c r="AL31" i="4"/>
  <c r="AM31" i="4"/>
  <c r="AN31" i="4"/>
  <c r="AO31" i="4"/>
  <c r="AP31" i="4"/>
  <c r="AQ31" i="4"/>
  <c r="AR31" i="4"/>
  <c r="AS31" i="4"/>
  <c r="AT31" i="4"/>
  <c r="AU31" i="4"/>
  <c r="AV31" i="4"/>
  <c r="AW31" i="4"/>
  <c r="AX31" i="4"/>
  <c r="AY31" i="4"/>
  <c r="AZ31" i="4"/>
  <c r="BA31" i="4"/>
  <c r="BB31" i="4"/>
  <c r="BC31" i="4"/>
  <c r="BD31" i="4"/>
  <c r="BE31" i="4"/>
  <c r="BF31" i="4"/>
  <c r="BG31" i="4"/>
  <c r="BH31" i="4"/>
  <c r="BI31" i="4"/>
  <c r="BJ31" i="4"/>
  <c r="BK31" i="4"/>
  <c r="BL31" i="4"/>
  <c r="BM31" i="4"/>
  <c r="BN31" i="4"/>
  <c r="BO31" i="4"/>
  <c r="BP31" i="4"/>
  <c r="BQ31" i="4"/>
  <c r="BR31" i="4"/>
  <c r="BS31" i="4"/>
  <c r="BT31" i="4"/>
  <c r="BU31" i="4"/>
  <c r="BV31" i="4"/>
  <c r="BW31" i="4"/>
  <c r="BX31" i="4"/>
  <c r="BY31" i="4"/>
  <c r="BZ31" i="4"/>
  <c r="CA31" i="4"/>
  <c r="CB31" i="4"/>
  <c r="CC31" i="4"/>
  <c r="CD31" i="4"/>
  <c r="CE31" i="4"/>
  <c r="CF31" i="4"/>
  <c r="CG31" i="4"/>
  <c r="CH31" i="4"/>
  <c r="CI31" i="4"/>
  <c r="CJ31" i="4"/>
  <c r="CK31" i="4"/>
  <c r="CL31" i="4"/>
  <c r="CM31" i="4"/>
  <c r="CN31" i="4"/>
  <c r="CO31" i="4"/>
  <c r="CP31" i="4"/>
  <c r="CQ31" i="4"/>
  <c r="CR31" i="4"/>
  <c r="CS31" i="4"/>
  <c r="CT31" i="4"/>
  <c r="CU31" i="4"/>
  <c r="CV31" i="4"/>
  <c r="CW31" i="4"/>
  <c r="CX31" i="4"/>
  <c r="CY31" i="4"/>
  <c r="CZ31" i="4"/>
  <c r="DA31" i="4"/>
  <c r="DB31" i="4"/>
  <c r="DC31" i="4"/>
  <c r="DD31" i="4"/>
  <c r="DE31" i="4"/>
  <c r="DF31" i="4"/>
  <c r="DG31" i="4"/>
  <c r="DH31" i="4"/>
  <c r="DI31" i="4"/>
  <c r="DJ31" i="4"/>
  <c r="DK31" i="4"/>
  <c r="DL31" i="4"/>
  <c r="DM31" i="4"/>
  <c r="DN31" i="4"/>
  <c r="DO31" i="4"/>
  <c r="DP31" i="4"/>
  <c r="DQ31" i="4"/>
  <c r="DR31" i="4"/>
  <c r="DS31" i="4"/>
  <c r="DT31" i="4"/>
  <c r="DU31" i="4"/>
  <c r="DV31" i="4"/>
  <c r="DW31" i="4"/>
  <c r="DX31" i="4"/>
  <c r="DY31" i="4"/>
  <c r="DZ31" i="4"/>
  <c r="EA31" i="4"/>
  <c r="EB31" i="4"/>
  <c r="EC31" i="4"/>
  <c r="ED31" i="4"/>
  <c r="EE31" i="4"/>
  <c r="EF31" i="4"/>
  <c r="EG31" i="4"/>
  <c r="EH31" i="4"/>
  <c r="EI31" i="4"/>
  <c r="EJ31" i="4"/>
  <c r="EK31" i="4"/>
  <c r="EL31" i="4"/>
  <c r="EM31" i="4"/>
  <c r="EN31" i="4"/>
  <c r="EO31" i="4"/>
  <c r="EP31" i="4"/>
  <c r="EQ31" i="4"/>
  <c r="ER31" i="4"/>
  <c r="ES31" i="4"/>
  <c r="ET31" i="4"/>
  <c r="EU31" i="4"/>
  <c r="EV31" i="4"/>
  <c r="EW31" i="4"/>
  <c r="EX31" i="4"/>
  <c r="EY31" i="4"/>
  <c r="EZ31" i="4"/>
  <c r="FA31" i="4"/>
  <c r="FB31" i="4"/>
  <c r="FC31" i="4"/>
  <c r="FD31" i="4"/>
  <c r="FE31" i="4"/>
  <c r="FF31" i="4"/>
  <c r="FG31" i="4"/>
  <c r="FH31" i="4"/>
  <c r="FI31" i="4"/>
  <c r="FJ31" i="4"/>
  <c r="FK31" i="4"/>
  <c r="FL31" i="4"/>
  <c r="FM31" i="4"/>
  <c r="FN31" i="4"/>
  <c r="FO31" i="4"/>
  <c r="FP31" i="4"/>
  <c r="FQ31" i="4"/>
  <c r="FR31" i="4"/>
  <c r="FS31" i="4"/>
  <c r="FT31" i="4"/>
  <c r="FU31" i="4"/>
  <c r="FV31" i="4"/>
  <c r="FW31" i="4"/>
  <c r="FX31" i="4"/>
  <c r="FY31" i="4"/>
  <c r="FZ31" i="4"/>
  <c r="GA31" i="4"/>
  <c r="GB31" i="4"/>
  <c r="GC31" i="4"/>
  <c r="GD31" i="4"/>
  <c r="GE31" i="4"/>
  <c r="GF31" i="4"/>
  <c r="GG31" i="4"/>
  <c r="GH31" i="4"/>
  <c r="GI31" i="4"/>
  <c r="GJ31" i="4"/>
  <c r="GK31" i="4"/>
  <c r="GL31" i="4"/>
  <c r="GM31" i="4"/>
  <c r="GN31" i="4"/>
  <c r="GO31" i="4"/>
  <c r="GP31" i="4"/>
  <c r="GQ31" i="4"/>
  <c r="GR31" i="4"/>
  <c r="GS31" i="4"/>
  <c r="GT31" i="4"/>
  <c r="GU31" i="4"/>
  <c r="GV31" i="4"/>
  <c r="GW31" i="4"/>
  <c r="GX31" i="4"/>
  <c r="GY31" i="4"/>
  <c r="GZ31" i="4"/>
  <c r="HA31" i="4"/>
  <c r="HB31" i="4"/>
  <c r="HC31" i="4"/>
  <c r="HD31" i="4"/>
  <c r="HE31" i="4"/>
  <c r="HF31" i="4"/>
  <c r="HG31" i="4"/>
  <c r="HH31" i="4"/>
  <c r="HI31" i="4"/>
  <c r="HJ31" i="4"/>
  <c r="HK31" i="4"/>
  <c r="HL31" i="4"/>
  <c r="HM31" i="4"/>
  <c r="HN31" i="4"/>
  <c r="HO31" i="4"/>
  <c r="HP31" i="4"/>
  <c r="HQ31" i="4"/>
  <c r="HR31" i="4"/>
  <c r="HS31" i="4"/>
  <c r="HT31" i="4"/>
  <c r="HU31" i="4"/>
  <c r="HV31" i="4"/>
  <c r="HW31" i="4"/>
  <c r="HX31" i="4"/>
  <c r="HY31" i="4"/>
  <c r="HZ31" i="4"/>
  <c r="IA31" i="4"/>
  <c r="IB31" i="4"/>
  <c r="IC31" i="4"/>
  <c r="ID31" i="4"/>
  <c r="IE31" i="4"/>
  <c r="IF31" i="4"/>
  <c r="IG31" i="4"/>
  <c r="IH31" i="4"/>
  <c r="II31" i="4"/>
  <c r="IJ31" i="4"/>
  <c r="IK31" i="4"/>
  <c r="IL31" i="4"/>
  <c r="IM31" i="4"/>
  <c r="IN31" i="4"/>
  <c r="IO31" i="4"/>
  <c r="IP31" i="4"/>
  <c r="IQ31" i="4"/>
  <c r="IR31" i="4"/>
  <c r="IS31" i="4"/>
  <c r="IT31" i="4"/>
  <c r="IU31" i="4"/>
  <c r="IV31" i="4"/>
  <c r="F32" i="4"/>
  <c r="G32" i="4"/>
  <c r="H32" i="4"/>
  <c r="I32" i="4"/>
  <c r="J32" i="4"/>
  <c r="K32" i="4"/>
  <c r="L32" i="4"/>
  <c r="M32" i="4"/>
  <c r="N32" i="4"/>
  <c r="O32" i="4"/>
  <c r="P32" i="4"/>
  <c r="Q32" i="4"/>
  <c r="R32" i="4"/>
  <c r="S32" i="4"/>
  <c r="T32" i="4"/>
  <c r="U32" i="4"/>
  <c r="V32" i="4"/>
  <c r="W32" i="4"/>
  <c r="X32" i="4"/>
  <c r="Y32" i="4"/>
  <c r="Z32" i="4"/>
  <c r="AA32" i="4"/>
  <c r="AB32" i="4"/>
  <c r="AC32" i="4"/>
  <c r="AD32" i="4"/>
  <c r="AE32" i="4"/>
  <c r="AF32" i="4"/>
  <c r="AG32" i="4"/>
  <c r="AH32" i="4"/>
  <c r="AI32" i="4"/>
  <c r="AJ32" i="4"/>
  <c r="AK32" i="4"/>
  <c r="AL32" i="4"/>
  <c r="AM32" i="4"/>
  <c r="AN32" i="4"/>
  <c r="AO32" i="4"/>
  <c r="AP32" i="4"/>
  <c r="AQ32" i="4"/>
  <c r="AR32" i="4"/>
  <c r="AS32" i="4"/>
  <c r="AT32" i="4"/>
  <c r="AU32" i="4"/>
  <c r="AV32" i="4"/>
  <c r="AW32" i="4"/>
  <c r="AX32" i="4"/>
  <c r="AY32" i="4"/>
  <c r="AZ32" i="4"/>
  <c r="BA32" i="4"/>
  <c r="BB32" i="4"/>
  <c r="BC32" i="4"/>
  <c r="BD32" i="4"/>
  <c r="BE32" i="4"/>
  <c r="BF32" i="4"/>
  <c r="BG32" i="4"/>
  <c r="BH32" i="4"/>
  <c r="BI32" i="4"/>
  <c r="BJ32" i="4"/>
  <c r="BK32" i="4"/>
  <c r="BL32" i="4"/>
  <c r="BM32" i="4"/>
  <c r="BN32" i="4"/>
  <c r="BO32" i="4"/>
  <c r="BP32" i="4"/>
  <c r="BQ32" i="4"/>
  <c r="BR32" i="4"/>
  <c r="BS32" i="4"/>
  <c r="BT32" i="4"/>
  <c r="BU32" i="4"/>
  <c r="BV32" i="4"/>
  <c r="BW32" i="4"/>
  <c r="BX32" i="4"/>
  <c r="BY32" i="4"/>
  <c r="BZ32" i="4"/>
  <c r="CA32" i="4"/>
  <c r="CB32" i="4"/>
  <c r="CC32" i="4"/>
  <c r="CD32" i="4"/>
  <c r="CE32" i="4"/>
  <c r="CF32" i="4"/>
  <c r="CG32" i="4"/>
  <c r="CH32" i="4"/>
  <c r="CI32" i="4"/>
  <c r="CJ32" i="4"/>
  <c r="CK32" i="4"/>
  <c r="CL32" i="4"/>
  <c r="CM32" i="4"/>
  <c r="CN32" i="4"/>
  <c r="CO32" i="4"/>
  <c r="CP32" i="4"/>
  <c r="CQ32" i="4"/>
  <c r="CR32" i="4"/>
  <c r="CS32" i="4"/>
  <c r="CT32" i="4"/>
  <c r="CU32" i="4"/>
  <c r="CV32" i="4"/>
  <c r="CW32" i="4"/>
  <c r="CX32" i="4"/>
  <c r="CY32" i="4"/>
  <c r="CZ32" i="4"/>
  <c r="DA32" i="4"/>
  <c r="DB32" i="4"/>
  <c r="DC32" i="4"/>
  <c r="DD32" i="4"/>
  <c r="DE32" i="4"/>
  <c r="DF32" i="4"/>
  <c r="DG32" i="4"/>
  <c r="DH32" i="4"/>
  <c r="DI32" i="4"/>
  <c r="DJ32" i="4"/>
  <c r="DK32" i="4"/>
  <c r="DL32" i="4"/>
  <c r="DM32" i="4"/>
  <c r="DN32" i="4"/>
  <c r="DO32" i="4"/>
  <c r="DP32" i="4"/>
  <c r="DQ32" i="4"/>
  <c r="DR32" i="4"/>
  <c r="DS32" i="4"/>
  <c r="DT32" i="4"/>
  <c r="DU32" i="4"/>
  <c r="DV32" i="4"/>
  <c r="DW32" i="4"/>
  <c r="DX32" i="4"/>
  <c r="DY32" i="4"/>
  <c r="DZ32" i="4"/>
  <c r="EA32" i="4"/>
  <c r="EB32" i="4"/>
  <c r="EC32" i="4"/>
  <c r="ED32" i="4"/>
  <c r="EE32" i="4"/>
  <c r="EF32" i="4"/>
  <c r="EG32" i="4"/>
  <c r="EH32" i="4"/>
  <c r="EI32" i="4"/>
  <c r="EJ32" i="4"/>
  <c r="EK32" i="4"/>
  <c r="EL32" i="4"/>
  <c r="EM32" i="4"/>
  <c r="EN32" i="4"/>
  <c r="EO32" i="4"/>
  <c r="EP32" i="4"/>
  <c r="EQ32" i="4"/>
  <c r="ER32" i="4"/>
  <c r="ES32" i="4"/>
  <c r="ET32" i="4"/>
  <c r="EU32" i="4"/>
  <c r="EV32" i="4"/>
  <c r="EW32" i="4"/>
  <c r="EX32" i="4"/>
  <c r="EY32" i="4"/>
  <c r="EZ32" i="4"/>
  <c r="FA32" i="4"/>
  <c r="FB32" i="4"/>
  <c r="FC32" i="4"/>
  <c r="FD32" i="4"/>
  <c r="FE32" i="4"/>
  <c r="FF32" i="4"/>
  <c r="FG32" i="4"/>
  <c r="FH32" i="4"/>
  <c r="FI32" i="4"/>
  <c r="FJ32" i="4"/>
  <c r="FK32" i="4"/>
  <c r="FL32" i="4"/>
  <c r="FM32" i="4"/>
  <c r="FN32" i="4"/>
  <c r="FO32" i="4"/>
  <c r="FP32" i="4"/>
  <c r="FQ32" i="4"/>
  <c r="FR32" i="4"/>
  <c r="FS32" i="4"/>
  <c r="FT32" i="4"/>
  <c r="FU32" i="4"/>
  <c r="FV32" i="4"/>
  <c r="FW32" i="4"/>
  <c r="FX32" i="4"/>
  <c r="FY32" i="4"/>
  <c r="FZ32" i="4"/>
  <c r="GA32" i="4"/>
  <c r="GB32" i="4"/>
  <c r="GC32" i="4"/>
  <c r="GD32" i="4"/>
  <c r="GE32" i="4"/>
  <c r="GF32" i="4"/>
  <c r="GG32" i="4"/>
  <c r="GH32" i="4"/>
  <c r="GI32" i="4"/>
  <c r="GJ32" i="4"/>
  <c r="GK32" i="4"/>
  <c r="GL32" i="4"/>
  <c r="GM32" i="4"/>
  <c r="GN32" i="4"/>
  <c r="GO32" i="4"/>
  <c r="GP32" i="4"/>
  <c r="GQ32" i="4"/>
  <c r="GR32" i="4"/>
  <c r="GS32" i="4"/>
  <c r="GT32" i="4"/>
  <c r="GU32" i="4"/>
  <c r="GV32" i="4"/>
  <c r="GW32" i="4"/>
  <c r="GX32" i="4"/>
  <c r="GY32" i="4"/>
  <c r="GZ32" i="4"/>
  <c r="HA32" i="4"/>
  <c r="HB32" i="4"/>
  <c r="HC32" i="4"/>
  <c r="HD32" i="4"/>
  <c r="HE32" i="4"/>
  <c r="HF32" i="4"/>
  <c r="HG32" i="4"/>
  <c r="HH32" i="4"/>
  <c r="HI32" i="4"/>
  <c r="HJ32" i="4"/>
  <c r="HK32" i="4"/>
  <c r="HL32" i="4"/>
  <c r="HM32" i="4"/>
  <c r="HN32" i="4"/>
  <c r="HO32" i="4"/>
  <c r="HP32" i="4"/>
  <c r="HQ32" i="4"/>
  <c r="HR32" i="4"/>
  <c r="HS32" i="4"/>
  <c r="HT32" i="4"/>
  <c r="HU32" i="4"/>
  <c r="HV32" i="4"/>
  <c r="HW32" i="4"/>
  <c r="HX32" i="4"/>
  <c r="HY32" i="4"/>
  <c r="HZ32" i="4"/>
  <c r="IA32" i="4"/>
  <c r="IB32" i="4"/>
  <c r="IC32" i="4"/>
  <c r="ID32" i="4"/>
  <c r="IE32" i="4"/>
  <c r="IF32" i="4"/>
  <c r="IG32" i="4"/>
  <c r="IH32" i="4"/>
  <c r="II32" i="4"/>
  <c r="IJ32" i="4"/>
  <c r="IK32" i="4"/>
  <c r="IL32" i="4"/>
  <c r="IM32" i="4"/>
  <c r="IN32" i="4"/>
  <c r="IO32" i="4"/>
  <c r="IP32" i="4"/>
  <c r="IQ32" i="4"/>
  <c r="IR32" i="4"/>
  <c r="IS32" i="4"/>
  <c r="IT32" i="4"/>
  <c r="IU32" i="4"/>
  <c r="IV32" i="4"/>
  <c r="F33" i="4"/>
  <c r="G33" i="4"/>
  <c r="H33" i="4"/>
  <c r="I33" i="4"/>
  <c r="J33" i="4"/>
  <c r="K33" i="4"/>
  <c r="L33" i="4"/>
  <c r="M33" i="4"/>
  <c r="N33" i="4"/>
  <c r="O33" i="4"/>
  <c r="P33" i="4"/>
  <c r="Q33" i="4"/>
  <c r="R33" i="4"/>
  <c r="S33" i="4"/>
  <c r="T33" i="4"/>
  <c r="U33" i="4"/>
  <c r="V33" i="4"/>
  <c r="W33" i="4"/>
  <c r="X33" i="4"/>
  <c r="Y33" i="4"/>
  <c r="Z33" i="4"/>
  <c r="AA33" i="4"/>
  <c r="AB33" i="4"/>
  <c r="AC33" i="4"/>
  <c r="AD33" i="4"/>
  <c r="AE33" i="4"/>
  <c r="AF33" i="4"/>
  <c r="AG33" i="4"/>
  <c r="AH33" i="4"/>
  <c r="AI33" i="4"/>
  <c r="AJ33" i="4"/>
  <c r="AK33" i="4"/>
  <c r="AL33" i="4"/>
  <c r="AM33" i="4"/>
  <c r="AN33" i="4"/>
  <c r="AO33" i="4"/>
  <c r="AP33" i="4"/>
  <c r="AQ33" i="4"/>
  <c r="AR33" i="4"/>
  <c r="AS33" i="4"/>
  <c r="AT33" i="4"/>
  <c r="AU33" i="4"/>
  <c r="AV33" i="4"/>
  <c r="AW33" i="4"/>
  <c r="AX33" i="4"/>
  <c r="AY33" i="4"/>
  <c r="AZ33" i="4"/>
  <c r="BA33" i="4"/>
  <c r="BB33" i="4"/>
  <c r="BC33" i="4"/>
  <c r="BD33" i="4"/>
  <c r="BE33" i="4"/>
  <c r="BF33" i="4"/>
  <c r="BG33" i="4"/>
  <c r="BH33" i="4"/>
  <c r="BI33" i="4"/>
  <c r="BJ33" i="4"/>
  <c r="BK33" i="4"/>
  <c r="BL33" i="4"/>
  <c r="BM33" i="4"/>
  <c r="BN33" i="4"/>
  <c r="BO33" i="4"/>
  <c r="BP33" i="4"/>
  <c r="BQ33" i="4"/>
  <c r="BR33" i="4"/>
  <c r="BS33" i="4"/>
  <c r="BT33" i="4"/>
  <c r="BU33" i="4"/>
  <c r="BV33" i="4"/>
  <c r="BW33" i="4"/>
  <c r="BX33" i="4"/>
  <c r="BY33" i="4"/>
  <c r="BZ33" i="4"/>
  <c r="CA33" i="4"/>
  <c r="CB33" i="4"/>
  <c r="CC33" i="4"/>
  <c r="CD33" i="4"/>
  <c r="CE33" i="4"/>
  <c r="CF33" i="4"/>
  <c r="CG33" i="4"/>
  <c r="CH33" i="4"/>
  <c r="CI33" i="4"/>
  <c r="CJ33" i="4"/>
  <c r="CK33" i="4"/>
  <c r="CL33" i="4"/>
  <c r="CM33" i="4"/>
  <c r="CN33" i="4"/>
  <c r="CO33" i="4"/>
  <c r="CP33" i="4"/>
  <c r="CQ33" i="4"/>
  <c r="CR33" i="4"/>
  <c r="CS33" i="4"/>
  <c r="CT33" i="4"/>
  <c r="CU33" i="4"/>
  <c r="CV33" i="4"/>
  <c r="CW33" i="4"/>
  <c r="CX33" i="4"/>
  <c r="CY33" i="4"/>
  <c r="CZ33" i="4"/>
  <c r="DA33" i="4"/>
  <c r="DB33" i="4"/>
  <c r="DC33" i="4"/>
  <c r="DD33" i="4"/>
  <c r="DE33" i="4"/>
  <c r="DF33" i="4"/>
  <c r="DG33" i="4"/>
  <c r="DH33" i="4"/>
  <c r="DI33" i="4"/>
  <c r="DJ33" i="4"/>
  <c r="DK33" i="4"/>
  <c r="DL33" i="4"/>
  <c r="DM33" i="4"/>
  <c r="DN33" i="4"/>
  <c r="DO33" i="4"/>
  <c r="DP33" i="4"/>
  <c r="DQ33" i="4"/>
  <c r="DR33" i="4"/>
  <c r="DS33" i="4"/>
  <c r="DT33" i="4"/>
  <c r="DU33" i="4"/>
  <c r="DV33" i="4"/>
  <c r="DW33" i="4"/>
  <c r="DX33" i="4"/>
  <c r="DY33" i="4"/>
  <c r="DZ33" i="4"/>
  <c r="EA33" i="4"/>
  <c r="EB33" i="4"/>
  <c r="EC33" i="4"/>
  <c r="ED33" i="4"/>
  <c r="EE33" i="4"/>
  <c r="EF33" i="4"/>
  <c r="EG33" i="4"/>
  <c r="EH33" i="4"/>
  <c r="EI33" i="4"/>
  <c r="EJ33" i="4"/>
  <c r="EK33" i="4"/>
  <c r="EL33" i="4"/>
  <c r="EM33" i="4"/>
  <c r="EN33" i="4"/>
  <c r="EO33" i="4"/>
  <c r="EP33" i="4"/>
  <c r="EQ33" i="4"/>
  <c r="ER33" i="4"/>
  <c r="ES33" i="4"/>
  <c r="ET33" i="4"/>
  <c r="EU33" i="4"/>
  <c r="EV33" i="4"/>
  <c r="EW33" i="4"/>
  <c r="EX33" i="4"/>
  <c r="EY33" i="4"/>
  <c r="EZ33" i="4"/>
  <c r="FA33" i="4"/>
  <c r="FB33" i="4"/>
  <c r="FC33" i="4"/>
  <c r="FD33" i="4"/>
  <c r="FE33" i="4"/>
  <c r="FF33" i="4"/>
  <c r="FG33" i="4"/>
  <c r="FH33" i="4"/>
  <c r="FI33" i="4"/>
  <c r="FJ33" i="4"/>
  <c r="FK33" i="4"/>
  <c r="FL33" i="4"/>
  <c r="FM33" i="4"/>
  <c r="FN33" i="4"/>
  <c r="FO33" i="4"/>
  <c r="FP33" i="4"/>
  <c r="FQ33" i="4"/>
  <c r="FR33" i="4"/>
  <c r="FS33" i="4"/>
  <c r="FT33" i="4"/>
  <c r="FU33" i="4"/>
  <c r="FV33" i="4"/>
  <c r="FW33" i="4"/>
  <c r="FX33" i="4"/>
  <c r="FY33" i="4"/>
  <c r="FZ33" i="4"/>
  <c r="GA33" i="4"/>
  <c r="GB33" i="4"/>
  <c r="GC33" i="4"/>
  <c r="GD33" i="4"/>
  <c r="GE33" i="4"/>
  <c r="GF33" i="4"/>
  <c r="GG33" i="4"/>
  <c r="GH33" i="4"/>
  <c r="GI33" i="4"/>
  <c r="GJ33" i="4"/>
  <c r="GK33" i="4"/>
  <c r="GL33" i="4"/>
  <c r="GM33" i="4"/>
  <c r="GN33" i="4"/>
  <c r="GO33" i="4"/>
  <c r="GP33" i="4"/>
  <c r="GQ33" i="4"/>
  <c r="GR33" i="4"/>
  <c r="GS33" i="4"/>
  <c r="GT33" i="4"/>
  <c r="GU33" i="4"/>
  <c r="GV33" i="4"/>
  <c r="GW33" i="4"/>
  <c r="GX33" i="4"/>
  <c r="GY33" i="4"/>
  <c r="GZ33" i="4"/>
  <c r="HA33" i="4"/>
  <c r="HB33" i="4"/>
  <c r="HC33" i="4"/>
  <c r="HD33" i="4"/>
  <c r="HE33" i="4"/>
  <c r="HF33" i="4"/>
  <c r="HG33" i="4"/>
  <c r="HH33" i="4"/>
  <c r="HI33" i="4"/>
  <c r="HJ33" i="4"/>
  <c r="HK33" i="4"/>
  <c r="HL33" i="4"/>
  <c r="HM33" i="4"/>
  <c r="HN33" i="4"/>
  <c r="HO33" i="4"/>
  <c r="HP33" i="4"/>
  <c r="HQ33" i="4"/>
  <c r="HR33" i="4"/>
  <c r="HS33" i="4"/>
  <c r="HT33" i="4"/>
  <c r="HU33" i="4"/>
  <c r="HV33" i="4"/>
  <c r="HW33" i="4"/>
  <c r="HX33" i="4"/>
  <c r="HY33" i="4"/>
  <c r="HZ33" i="4"/>
  <c r="IA33" i="4"/>
  <c r="IB33" i="4"/>
  <c r="IC33" i="4"/>
  <c r="ID33" i="4"/>
  <c r="IE33" i="4"/>
  <c r="IF33" i="4"/>
  <c r="IG33" i="4"/>
  <c r="IH33" i="4"/>
  <c r="II33" i="4"/>
  <c r="IJ33" i="4"/>
  <c r="IK33" i="4"/>
  <c r="IL33" i="4"/>
  <c r="IM33" i="4"/>
  <c r="IN33" i="4"/>
  <c r="IO33" i="4"/>
  <c r="IP33" i="4"/>
  <c r="IQ33" i="4"/>
  <c r="IR33" i="4"/>
  <c r="IS33" i="4"/>
  <c r="IT33" i="4"/>
  <c r="IU33" i="4"/>
  <c r="IV33" i="4"/>
  <c r="F34" i="4"/>
  <c r="G34" i="4"/>
  <c r="H34" i="4"/>
  <c r="I34" i="4"/>
  <c r="J34" i="4"/>
  <c r="K34" i="4"/>
  <c r="L34" i="4"/>
  <c r="M34" i="4"/>
  <c r="N34" i="4"/>
  <c r="O34" i="4"/>
  <c r="P34" i="4"/>
  <c r="Q34" i="4"/>
  <c r="R34" i="4"/>
  <c r="S34" i="4"/>
  <c r="T34" i="4"/>
  <c r="U34" i="4"/>
  <c r="V34" i="4"/>
  <c r="W34" i="4"/>
  <c r="X34" i="4"/>
  <c r="Y34" i="4"/>
  <c r="Z34" i="4"/>
  <c r="AA34" i="4"/>
  <c r="AB34" i="4"/>
  <c r="AC34" i="4"/>
  <c r="AD34" i="4"/>
  <c r="AE34" i="4"/>
  <c r="AF34" i="4"/>
  <c r="AG34" i="4"/>
  <c r="AH34" i="4"/>
  <c r="AI34" i="4"/>
  <c r="AJ34" i="4"/>
  <c r="AK34" i="4"/>
  <c r="AL34" i="4"/>
  <c r="AM34" i="4"/>
  <c r="AN34" i="4"/>
  <c r="AO34" i="4"/>
  <c r="AP34" i="4"/>
  <c r="AQ34" i="4"/>
  <c r="AR34" i="4"/>
  <c r="AS34" i="4"/>
  <c r="AT34" i="4"/>
  <c r="AU34" i="4"/>
  <c r="AV34" i="4"/>
  <c r="AW34" i="4"/>
  <c r="AX34" i="4"/>
  <c r="AY34" i="4"/>
  <c r="AZ34" i="4"/>
  <c r="BA34" i="4"/>
  <c r="BB34" i="4"/>
  <c r="BC34" i="4"/>
  <c r="BD34" i="4"/>
  <c r="BE34" i="4"/>
  <c r="BF34" i="4"/>
  <c r="BG34" i="4"/>
  <c r="BH34" i="4"/>
  <c r="BI34" i="4"/>
  <c r="BJ34" i="4"/>
  <c r="BK34" i="4"/>
  <c r="BL34" i="4"/>
  <c r="BM34" i="4"/>
  <c r="BN34" i="4"/>
  <c r="BO34" i="4"/>
  <c r="BP34" i="4"/>
  <c r="BQ34" i="4"/>
  <c r="BR34" i="4"/>
  <c r="BS34" i="4"/>
  <c r="BT34" i="4"/>
  <c r="BU34" i="4"/>
  <c r="BV34" i="4"/>
  <c r="BW34" i="4"/>
  <c r="BX34" i="4"/>
  <c r="BY34" i="4"/>
  <c r="BZ34" i="4"/>
  <c r="CA34" i="4"/>
  <c r="CB34" i="4"/>
  <c r="CC34" i="4"/>
  <c r="CD34" i="4"/>
  <c r="CE34" i="4"/>
  <c r="CF34" i="4"/>
  <c r="CG34" i="4"/>
  <c r="CH34" i="4"/>
  <c r="CI34" i="4"/>
  <c r="CJ34" i="4"/>
  <c r="CK34" i="4"/>
  <c r="CL34" i="4"/>
  <c r="CM34" i="4"/>
  <c r="CN34" i="4"/>
  <c r="CO34" i="4"/>
  <c r="CP34" i="4"/>
  <c r="CQ34" i="4"/>
  <c r="CR34" i="4"/>
  <c r="CS34" i="4"/>
  <c r="CT34" i="4"/>
  <c r="CU34" i="4"/>
  <c r="CV34" i="4"/>
  <c r="CW34" i="4"/>
  <c r="CX34" i="4"/>
  <c r="CY34" i="4"/>
  <c r="CZ34" i="4"/>
  <c r="DA34" i="4"/>
  <c r="DB34" i="4"/>
  <c r="DC34" i="4"/>
  <c r="DD34" i="4"/>
  <c r="DE34" i="4"/>
  <c r="DF34" i="4"/>
  <c r="DG34" i="4"/>
  <c r="DH34" i="4"/>
  <c r="DI34" i="4"/>
  <c r="DJ34" i="4"/>
  <c r="DK34" i="4"/>
  <c r="DL34" i="4"/>
  <c r="DM34" i="4"/>
  <c r="DN34" i="4"/>
  <c r="DO34" i="4"/>
  <c r="DP34" i="4"/>
  <c r="DQ34" i="4"/>
  <c r="DR34" i="4"/>
  <c r="DS34" i="4"/>
  <c r="DT34" i="4"/>
  <c r="DU34" i="4"/>
  <c r="DV34" i="4"/>
  <c r="DW34" i="4"/>
  <c r="DX34" i="4"/>
  <c r="DY34" i="4"/>
  <c r="DZ34" i="4"/>
  <c r="EA34" i="4"/>
  <c r="EB34" i="4"/>
  <c r="EC34" i="4"/>
  <c r="ED34" i="4"/>
  <c r="EE34" i="4"/>
  <c r="EF34" i="4"/>
  <c r="EG34" i="4"/>
  <c r="EH34" i="4"/>
  <c r="EI34" i="4"/>
  <c r="EJ34" i="4"/>
  <c r="EK34" i="4"/>
  <c r="EL34" i="4"/>
  <c r="EM34" i="4"/>
  <c r="EN34" i="4"/>
  <c r="EO34" i="4"/>
  <c r="EP34" i="4"/>
  <c r="EQ34" i="4"/>
  <c r="ER34" i="4"/>
  <c r="ES34" i="4"/>
  <c r="ET34" i="4"/>
  <c r="EU34" i="4"/>
  <c r="EV34" i="4"/>
  <c r="EW34" i="4"/>
  <c r="EX34" i="4"/>
  <c r="EY34" i="4"/>
  <c r="EZ34" i="4"/>
  <c r="FA34" i="4"/>
  <c r="FB34" i="4"/>
  <c r="FC34" i="4"/>
  <c r="FD34" i="4"/>
  <c r="FE34" i="4"/>
  <c r="FF34" i="4"/>
  <c r="FG34" i="4"/>
  <c r="FH34" i="4"/>
  <c r="FI34" i="4"/>
  <c r="FJ34" i="4"/>
  <c r="FK34" i="4"/>
  <c r="FL34" i="4"/>
  <c r="FM34" i="4"/>
  <c r="FN34" i="4"/>
  <c r="FO34" i="4"/>
  <c r="FP34" i="4"/>
  <c r="FQ34" i="4"/>
  <c r="FR34" i="4"/>
  <c r="FS34" i="4"/>
  <c r="FT34" i="4"/>
  <c r="FU34" i="4"/>
  <c r="FV34" i="4"/>
  <c r="FW34" i="4"/>
  <c r="FX34" i="4"/>
  <c r="FY34" i="4"/>
  <c r="FZ34" i="4"/>
  <c r="GA34" i="4"/>
  <c r="GB34" i="4"/>
  <c r="GC34" i="4"/>
  <c r="GD34" i="4"/>
  <c r="GE34" i="4"/>
  <c r="GF34" i="4"/>
  <c r="GG34" i="4"/>
  <c r="GH34" i="4"/>
  <c r="GI34" i="4"/>
  <c r="GJ34" i="4"/>
  <c r="GK34" i="4"/>
  <c r="GL34" i="4"/>
  <c r="GM34" i="4"/>
  <c r="GN34" i="4"/>
  <c r="GO34" i="4"/>
  <c r="GP34" i="4"/>
  <c r="GQ34" i="4"/>
  <c r="GR34" i="4"/>
  <c r="GS34" i="4"/>
  <c r="GT34" i="4"/>
  <c r="GU34" i="4"/>
  <c r="GV34" i="4"/>
  <c r="GW34" i="4"/>
  <c r="GX34" i="4"/>
  <c r="GY34" i="4"/>
  <c r="GZ34" i="4"/>
  <c r="HA34" i="4"/>
  <c r="HB34" i="4"/>
  <c r="HC34" i="4"/>
  <c r="HD34" i="4"/>
  <c r="HE34" i="4"/>
  <c r="HF34" i="4"/>
  <c r="HG34" i="4"/>
  <c r="HH34" i="4"/>
  <c r="HI34" i="4"/>
  <c r="HJ34" i="4"/>
  <c r="HK34" i="4"/>
  <c r="HL34" i="4"/>
  <c r="HM34" i="4"/>
  <c r="HN34" i="4"/>
  <c r="HO34" i="4"/>
  <c r="HP34" i="4"/>
  <c r="HQ34" i="4"/>
  <c r="HR34" i="4"/>
  <c r="HS34" i="4"/>
  <c r="HT34" i="4"/>
  <c r="HU34" i="4"/>
  <c r="HV34" i="4"/>
  <c r="HW34" i="4"/>
  <c r="HX34" i="4"/>
  <c r="HY34" i="4"/>
  <c r="HZ34" i="4"/>
  <c r="IA34" i="4"/>
  <c r="IB34" i="4"/>
  <c r="IC34" i="4"/>
  <c r="ID34" i="4"/>
  <c r="IE34" i="4"/>
  <c r="IF34" i="4"/>
  <c r="IG34" i="4"/>
  <c r="IH34" i="4"/>
  <c r="II34" i="4"/>
  <c r="IJ34" i="4"/>
  <c r="IK34" i="4"/>
  <c r="IL34" i="4"/>
  <c r="IM34" i="4"/>
  <c r="IN34" i="4"/>
  <c r="IO34" i="4"/>
  <c r="IP34" i="4"/>
  <c r="IQ34" i="4"/>
  <c r="IR34" i="4"/>
  <c r="IS34" i="4"/>
  <c r="IT34" i="4"/>
  <c r="IU34" i="4"/>
  <c r="IV34" i="4"/>
  <c r="F35" i="4"/>
  <c r="G35" i="4"/>
  <c r="H35" i="4"/>
  <c r="I35" i="4"/>
  <c r="J35" i="4"/>
  <c r="K35" i="4"/>
  <c r="L35" i="4"/>
  <c r="M35" i="4"/>
  <c r="N35" i="4"/>
  <c r="O35" i="4"/>
  <c r="P35" i="4"/>
  <c r="Q35" i="4"/>
  <c r="R35" i="4"/>
  <c r="S35" i="4"/>
  <c r="T35" i="4"/>
  <c r="U35" i="4"/>
  <c r="V35" i="4"/>
  <c r="W35" i="4"/>
  <c r="X35" i="4"/>
  <c r="Y35" i="4"/>
  <c r="Z35" i="4"/>
  <c r="AA35" i="4"/>
  <c r="AB35" i="4"/>
  <c r="AC35" i="4"/>
  <c r="AD35" i="4"/>
  <c r="AE35" i="4"/>
  <c r="AF35" i="4"/>
  <c r="AG35" i="4"/>
  <c r="AH35" i="4"/>
  <c r="AI35" i="4"/>
  <c r="AJ35" i="4"/>
  <c r="AK35" i="4"/>
  <c r="AL35" i="4"/>
  <c r="AM35" i="4"/>
  <c r="AN35" i="4"/>
  <c r="AO35" i="4"/>
  <c r="AP35" i="4"/>
  <c r="AQ35" i="4"/>
  <c r="AR35" i="4"/>
  <c r="AS35" i="4"/>
  <c r="AT35" i="4"/>
  <c r="AU35" i="4"/>
  <c r="AV35" i="4"/>
  <c r="AW35" i="4"/>
  <c r="AX35" i="4"/>
  <c r="AY35" i="4"/>
  <c r="AZ35" i="4"/>
  <c r="BA35" i="4"/>
  <c r="BB35" i="4"/>
  <c r="BC35" i="4"/>
  <c r="BD35" i="4"/>
  <c r="BE35" i="4"/>
  <c r="BF35" i="4"/>
  <c r="BG35" i="4"/>
  <c r="BH35" i="4"/>
  <c r="BI35" i="4"/>
  <c r="BJ35" i="4"/>
  <c r="BK35" i="4"/>
  <c r="BL35" i="4"/>
  <c r="BM35" i="4"/>
  <c r="BN35" i="4"/>
  <c r="BO35" i="4"/>
  <c r="BP35" i="4"/>
  <c r="BQ35" i="4"/>
  <c r="BR35" i="4"/>
  <c r="BS35" i="4"/>
  <c r="BT35" i="4"/>
  <c r="BU35" i="4"/>
  <c r="BV35" i="4"/>
  <c r="BW35" i="4"/>
  <c r="BX35" i="4"/>
  <c r="BY35" i="4"/>
  <c r="BZ35" i="4"/>
  <c r="CA35" i="4"/>
  <c r="CB35" i="4"/>
  <c r="CC35" i="4"/>
  <c r="CD35" i="4"/>
  <c r="CE35" i="4"/>
  <c r="CF35" i="4"/>
  <c r="CG35" i="4"/>
  <c r="CH35" i="4"/>
  <c r="CI35" i="4"/>
  <c r="CJ35" i="4"/>
  <c r="CK35" i="4"/>
  <c r="CL35" i="4"/>
  <c r="CM35" i="4"/>
  <c r="CN35" i="4"/>
  <c r="CO35" i="4"/>
  <c r="CP35" i="4"/>
  <c r="CQ35" i="4"/>
  <c r="CR35" i="4"/>
  <c r="CS35" i="4"/>
  <c r="CT35" i="4"/>
  <c r="CU35" i="4"/>
  <c r="CV35" i="4"/>
  <c r="CW35" i="4"/>
  <c r="CX35" i="4"/>
  <c r="CY35" i="4"/>
  <c r="CZ35" i="4"/>
  <c r="DA35" i="4"/>
  <c r="DB35" i="4"/>
  <c r="DC35" i="4"/>
  <c r="DD35" i="4"/>
  <c r="DE35" i="4"/>
  <c r="DF35" i="4"/>
  <c r="DG35" i="4"/>
  <c r="DH35" i="4"/>
  <c r="DI35" i="4"/>
  <c r="DJ35" i="4"/>
  <c r="DK35" i="4"/>
  <c r="DL35" i="4"/>
  <c r="DM35" i="4"/>
  <c r="DN35" i="4"/>
  <c r="DO35" i="4"/>
  <c r="DP35" i="4"/>
  <c r="DQ35" i="4"/>
  <c r="DR35" i="4"/>
  <c r="DS35" i="4"/>
  <c r="DT35" i="4"/>
  <c r="DU35" i="4"/>
  <c r="DV35" i="4"/>
  <c r="DW35" i="4"/>
  <c r="DX35" i="4"/>
  <c r="DY35" i="4"/>
  <c r="DZ35" i="4"/>
  <c r="EA35" i="4"/>
  <c r="EB35" i="4"/>
  <c r="EC35" i="4"/>
  <c r="ED35" i="4"/>
  <c r="EE35" i="4"/>
  <c r="EF35" i="4"/>
  <c r="EG35" i="4"/>
  <c r="EH35" i="4"/>
  <c r="EI35" i="4"/>
  <c r="EJ35" i="4"/>
  <c r="EK35" i="4"/>
  <c r="EL35" i="4"/>
  <c r="EM35" i="4"/>
  <c r="EN35" i="4"/>
  <c r="EO35" i="4"/>
  <c r="EP35" i="4"/>
  <c r="EQ35" i="4"/>
  <c r="ER35" i="4"/>
  <c r="ES35" i="4"/>
  <c r="ET35" i="4"/>
  <c r="EU35" i="4"/>
  <c r="EV35" i="4"/>
  <c r="EW35" i="4"/>
  <c r="EX35" i="4"/>
  <c r="EY35" i="4"/>
  <c r="EZ35" i="4"/>
  <c r="FA35" i="4"/>
  <c r="FB35" i="4"/>
  <c r="FC35" i="4"/>
  <c r="FD35" i="4"/>
  <c r="FE35" i="4"/>
  <c r="FF35" i="4"/>
  <c r="FG35" i="4"/>
  <c r="FH35" i="4"/>
  <c r="FI35" i="4"/>
  <c r="FJ35" i="4"/>
  <c r="FK35" i="4"/>
  <c r="FL35" i="4"/>
  <c r="FM35" i="4"/>
  <c r="FN35" i="4"/>
  <c r="FO35" i="4"/>
  <c r="FP35" i="4"/>
  <c r="FQ35" i="4"/>
  <c r="FR35" i="4"/>
  <c r="FS35" i="4"/>
  <c r="FT35" i="4"/>
  <c r="FU35" i="4"/>
  <c r="FV35" i="4"/>
  <c r="FW35" i="4"/>
  <c r="FX35" i="4"/>
  <c r="FY35" i="4"/>
  <c r="FZ35" i="4"/>
  <c r="GA35" i="4"/>
  <c r="GB35" i="4"/>
  <c r="GC35" i="4"/>
  <c r="GD35" i="4"/>
  <c r="GE35" i="4"/>
  <c r="GF35" i="4"/>
  <c r="GG35" i="4"/>
  <c r="GH35" i="4"/>
  <c r="GI35" i="4"/>
  <c r="GJ35" i="4"/>
  <c r="GK35" i="4"/>
  <c r="GL35" i="4"/>
  <c r="GM35" i="4"/>
  <c r="GN35" i="4"/>
  <c r="GO35" i="4"/>
  <c r="GP35" i="4"/>
  <c r="GQ35" i="4"/>
  <c r="GR35" i="4"/>
  <c r="GS35" i="4"/>
  <c r="GT35" i="4"/>
  <c r="GU35" i="4"/>
  <c r="GV35" i="4"/>
  <c r="GW35" i="4"/>
  <c r="GX35" i="4"/>
  <c r="GY35" i="4"/>
  <c r="GZ35" i="4"/>
  <c r="HA35" i="4"/>
  <c r="HB35" i="4"/>
  <c r="HC35" i="4"/>
  <c r="HD35" i="4"/>
  <c r="HE35" i="4"/>
  <c r="HF35" i="4"/>
  <c r="HG35" i="4"/>
  <c r="HH35" i="4"/>
  <c r="HI35" i="4"/>
  <c r="HJ35" i="4"/>
  <c r="HK35" i="4"/>
  <c r="HL35" i="4"/>
  <c r="HM35" i="4"/>
  <c r="HN35" i="4"/>
  <c r="HO35" i="4"/>
  <c r="HP35" i="4"/>
  <c r="HQ35" i="4"/>
  <c r="HR35" i="4"/>
  <c r="HS35" i="4"/>
  <c r="HT35" i="4"/>
  <c r="HU35" i="4"/>
  <c r="HV35" i="4"/>
  <c r="HW35" i="4"/>
  <c r="HX35" i="4"/>
  <c r="HY35" i="4"/>
  <c r="HZ35" i="4"/>
  <c r="IA35" i="4"/>
  <c r="IB35" i="4"/>
  <c r="IC35" i="4"/>
  <c r="ID35" i="4"/>
  <c r="IE35" i="4"/>
  <c r="IF35" i="4"/>
  <c r="IG35" i="4"/>
  <c r="IH35" i="4"/>
  <c r="II35" i="4"/>
  <c r="IJ35" i="4"/>
  <c r="IK35" i="4"/>
  <c r="IL35" i="4"/>
  <c r="IM35" i="4"/>
  <c r="IN35" i="4"/>
  <c r="IO35" i="4"/>
  <c r="IP35" i="4"/>
  <c r="IQ35" i="4"/>
  <c r="IR35" i="4"/>
  <c r="IS35" i="4"/>
  <c r="IT35" i="4"/>
  <c r="IU35" i="4"/>
  <c r="IV35" i="4"/>
  <c r="F36" i="4"/>
  <c r="G36" i="4"/>
  <c r="H36" i="4"/>
  <c r="I36" i="4"/>
  <c r="J36" i="4"/>
  <c r="K36" i="4"/>
  <c r="L36" i="4"/>
  <c r="M36" i="4"/>
  <c r="N36" i="4"/>
  <c r="O36" i="4"/>
  <c r="P36" i="4"/>
  <c r="Q36" i="4"/>
  <c r="R36" i="4"/>
  <c r="S36" i="4"/>
  <c r="T36" i="4"/>
  <c r="U36" i="4"/>
  <c r="V36" i="4"/>
  <c r="W36" i="4"/>
  <c r="X36" i="4"/>
  <c r="Y36" i="4"/>
  <c r="Z36" i="4"/>
  <c r="AA36" i="4"/>
  <c r="AB36" i="4"/>
  <c r="AC36" i="4"/>
  <c r="AD36" i="4"/>
  <c r="AE36" i="4"/>
  <c r="AF36" i="4"/>
  <c r="AG36" i="4"/>
  <c r="AH36" i="4"/>
  <c r="AI36" i="4"/>
  <c r="AJ36" i="4"/>
  <c r="AK36" i="4"/>
  <c r="AL36" i="4"/>
  <c r="AM36" i="4"/>
  <c r="AN36" i="4"/>
  <c r="AO36" i="4"/>
  <c r="AP36" i="4"/>
  <c r="AQ36" i="4"/>
  <c r="AR36" i="4"/>
  <c r="AS36" i="4"/>
  <c r="AT36" i="4"/>
  <c r="AU36" i="4"/>
  <c r="AV36" i="4"/>
  <c r="AW36" i="4"/>
  <c r="AX36" i="4"/>
  <c r="AY36" i="4"/>
  <c r="AZ36" i="4"/>
  <c r="BA36" i="4"/>
  <c r="BB36" i="4"/>
  <c r="BC36" i="4"/>
  <c r="BD36" i="4"/>
  <c r="BE36" i="4"/>
  <c r="BF36" i="4"/>
  <c r="BG36" i="4"/>
  <c r="BH36" i="4"/>
  <c r="BI36" i="4"/>
  <c r="BJ36" i="4"/>
  <c r="BK36" i="4"/>
  <c r="BL36" i="4"/>
  <c r="BM36" i="4"/>
  <c r="BN36" i="4"/>
  <c r="BO36" i="4"/>
  <c r="BP36" i="4"/>
  <c r="BQ36" i="4"/>
  <c r="BR36" i="4"/>
  <c r="BS36" i="4"/>
  <c r="BT36" i="4"/>
  <c r="BU36" i="4"/>
  <c r="BV36" i="4"/>
  <c r="BW36" i="4"/>
  <c r="BX36" i="4"/>
  <c r="BY36" i="4"/>
  <c r="BZ36" i="4"/>
  <c r="CA36" i="4"/>
  <c r="CB36" i="4"/>
  <c r="CC36" i="4"/>
  <c r="CD36" i="4"/>
  <c r="CE36" i="4"/>
  <c r="CF36" i="4"/>
  <c r="CG36" i="4"/>
  <c r="CH36" i="4"/>
  <c r="CI36" i="4"/>
  <c r="CJ36" i="4"/>
  <c r="CK36" i="4"/>
  <c r="CL36" i="4"/>
  <c r="CM36" i="4"/>
  <c r="CN36" i="4"/>
  <c r="CO36" i="4"/>
  <c r="CP36" i="4"/>
  <c r="CQ36" i="4"/>
  <c r="CR36" i="4"/>
  <c r="CS36" i="4"/>
  <c r="CT36" i="4"/>
  <c r="CU36" i="4"/>
  <c r="CV36" i="4"/>
  <c r="CW36" i="4"/>
  <c r="CX36" i="4"/>
  <c r="CY36" i="4"/>
  <c r="CZ36" i="4"/>
  <c r="DA36" i="4"/>
  <c r="DB36" i="4"/>
  <c r="DC36" i="4"/>
  <c r="DD36" i="4"/>
  <c r="DE36" i="4"/>
  <c r="DF36" i="4"/>
  <c r="DG36" i="4"/>
  <c r="DH36" i="4"/>
  <c r="DI36" i="4"/>
  <c r="DJ36" i="4"/>
  <c r="DK36" i="4"/>
  <c r="DL36" i="4"/>
  <c r="DM36" i="4"/>
  <c r="DN36" i="4"/>
  <c r="DO36" i="4"/>
  <c r="DP36" i="4"/>
  <c r="DQ36" i="4"/>
  <c r="DR36" i="4"/>
  <c r="DS36" i="4"/>
  <c r="DT36" i="4"/>
  <c r="DU36" i="4"/>
  <c r="DV36" i="4"/>
  <c r="DW36" i="4"/>
  <c r="DX36" i="4"/>
  <c r="DY36" i="4"/>
  <c r="DZ36" i="4"/>
  <c r="EA36" i="4"/>
  <c r="EB36" i="4"/>
  <c r="EC36" i="4"/>
  <c r="ED36" i="4"/>
  <c r="EE36" i="4"/>
  <c r="EF36" i="4"/>
  <c r="EG36" i="4"/>
  <c r="EH36" i="4"/>
  <c r="EI36" i="4"/>
  <c r="EJ36" i="4"/>
  <c r="EK36" i="4"/>
  <c r="EL36" i="4"/>
  <c r="EM36" i="4"/>
  <c r="EN36" i="4"/>
  <c r="EO36" i="4"/>
  <c r="EP36" i="4"/>
  <c r="EQ36" i="4"/>
  <c r="ER36" i="4"/>
  <c r="ES36" i="4"/>
  <c r="ET36" i="4"/>
  <c r="EU36" i="4"/>
  <c r="EV36" i="4"/>
  <c r="EW36" i="4"/>
  <c r="EX36" i="4"/>
  <c r="EY36" i="4"/>
  <c r="EZ36" i="4"/>
  <c r="FA36" i="4"/>
  <c r="FB36" i="4"/>
  <c r="FC36" i="4"/>
  <c r="FD36" i="4"/>
  <c r="FE36" i="4"/>
  <c r="FF36" i="4"/>
  <c r="FG36" i="4"/>
  <c r="FH36" i="4"/>
  <c r="FI36" i="4"/>
  <c r="FJ36" i="4"/>
  <c r="FK36" i="4"/>
  <c r="FL36" i="4"/>
  <c r="FM36" i="4"/>
  <c r="FN36" i="4"/>
  <c r="FO36" i="4"/>
  <c r="FP36" i="4"/>
  <c r="FQ36" i="4"/>
  <c r="FR36" i="4"/>
  <c r="FS36" i="4"/>
  <c r="FT36" i="4"/>
  <c r="FU36" i="4"/>
  <c r="FV36" i="4"/>
  <c r="FW36" i="4"/>
  <c r="FX36" i="4"/>
  <c r="FY36" i="4"/>
  <c r="FZ36" i="4"/>
  <c r="GA36" i="4"/>
  <c r="GB36" i="4"/>
  <c r="GC36" i="4"/>
  <c r="GD36" i="4"/>
  <c r="GE36" i="4"/>
  <c r="GF36" i="4"/>
  <c r="GG36" i="4"/>
  <c r="GH36" i="4"/>
  <c r="GI36" i="4"/>
  <c r="GJ36" i="4"/>
  <c r="GK36" i="4"/>
  <c r="GL36" i="4"/>
  <c r="GM36" i="4"/>
  <c r="GN36" i="4"/>
  <c r="GO36" i="4"/>
  <c r="GP36" i="4"/>
  <c r="GQ36" i="4"/>
  <c r="GR36" i="4"/>
  <c r="GS36" i="4"/>
  <c r="GT36" i="4"/>
  <c r="GU36" i="4"/>
  <c r="GV36" i="4"/>
  <c r="GW36" i="4"/>
  <c r="GX36" i="4"/>
  <c r="GY36" i="4"/>
  <c r="GZ36" i="4"/>
  <c r="HA36" i="4"/>
  <c r="HB36" i="4"/>
  <c r="HC36" i="4"/>
  <c r="HD36" i="4"/>
  <c r="HE36" i="4"/>
  <c r="HF36" i="4"/>
  <c r="HG36" i="4"/>
  <c r="HH36" i="4"/>
  <c r="HI36" i="4"/>
  <c r="HJ36" i="4"/>
  <c r="HK36" i="4"/>
  <c r="HL36" i="4"/>
  <c r="HM36" i="4"/>
  <c r="HN36" i="4"/>
  <c r="HO36" i="4"/>
  <c r="HP36" i="4"/>
  <c r="HQ36" i="4"/>
  <c r="HR36" i="4"/>
  <c r="HS36" i="4"/>
  <c r="HT36" i="4"/>
  <c r="HU36" i="4"/>
  <c r="HV36" i="4"/>
  <c r="HW36" i="4"/>
  <c r="HX36" i="4"/>
  <c r="HY36" i="4"/>
  <c r="HZ36" i="4"/>
  <c r="IA36" i="4"/>
  <c r="IB36" i="4"/>
  <c r="IC36" i="4"/>
  <c r="ID36" i="4"/>
  <c r="IE36" i="4"/>
  <c r="IF36" i="4"/>
  <c r="IG36" i="4"/>
  <c r="IH36" i="4"/>
  <c r="II36" i="4"/>
  <c r="IJ36" i="4"/>
  <c r="IK36" i="4"/>
  <c r="IL36" i="4"/>
  <c r="IM36" i="4"/>
  <c r="IN36" i="4"/>
  <c r="IO36" i="4"/>
  <c r="IP36" i="4"/>
  <c r="IQ36" i="4"/>
  <c r="IR36" i="4"/>
  <c r="IS36" i="4"/>
  <c r="IT36" i="4"/>
  <c r="IU36" i="4"/>
  <c r="IV36" i="4"/>
  <c r="F37" i="4"/>
  <c r="G37" i="4"/>
  <c r="H37" i="4"/>
  <c r="I37" i="4"/>
  <c r="J37" i="4"/>
  <c r="K37" i="4"/>
  <c r="L37" i="4"/>
  <c r="M37" i="4"/>
  <c r="N37" i="4"/>
  <c r="O37" i="4"/>
  <c r="P37" i="4"/>
  <c r="Q37" i="4"/>
  <c r="R37" i="4"/>
  <c r="S37" i="4"/>
  <c r="T37" i="4"/>
  <c r="U37" i="4"/>
  <c r="V37" i="4"/>
  <c r="W37" i="4"/>
  <c r="X37" i="4"/>
  <c r="Y37" i="4"/>
  <c r="Z37" i="4"/>
  <c r="AA37" i="4"/>
  <c r="AB37" i="4"/>
  <c r="AC37" i="4"/>
  <c r="AD37" i="4"/>
  <c r="AE37" i="4"/>
  <c r="AF37" i="4"/>
  <c r="AG37" i="4"/>
  <c r="AH37" i="4"/>
  <c r="AI37" i="4"/>
  <c r="AJ37" i="4"/>
  <c r="AK37" i="4"/>
  <c r="AL37" i="4"/>
  <c r="AM37" i="4"/>
  <c r="AN37" i="4"/>
  <c r="AO37" i="4"/>
  <c r="AP37" i="4"/>
  <c r="AQ37" i="4"/>
  <c r="AR37" i="4"/>
  <c r="AS37" i="4"/>
  <c r="AT37" i="4"/>
  <c r="AU37" i="4"/>
  <c r="AV37" i="4"/>
  <c r="AW37" i="4"/>
  <c r="AX37" i="4"/>
  <c r="AY37" i="4"/>
  <c r="AZ37" i="4"/>
  <c r="BA37" i="4"/>
  <c r="BB37" i="4"/>
  <c r="BC37" i="4"/>
  <c r="BD37" i="4"/>
  <c r="BE37" i="4"/>
  <c r="BF37" i="4"/>
  <c r="BG37" i="4"/>
  <c r="BH37" i="4"/>
  <c r="BI37" i="4"/>
  <c r="BJ37" i="4"/>
  <c r="BK37" i="4"/>
  <c r="BL37" i="4"/>
  <c r="BM37" i="4"/>
  <c r="BN37" i="4"/>
  <c r="BO37" i="4"/>
  <c r="BP37" i="4"/>
  <c r="BQ37" i="4"/>
  <c r="BR37" i="4"/>
  <c r="BS37" i="4"/>
  <c r="BT37" i="4"/>
  <c r="BU37" i="4"/>
  <c r="BV37" i="4"/>
  <c r="BW37" i="4"/>
  <c r="BX37" i="4"/>
  <c r="BY37" i="4"/>
  <c r="BZ37" i="4"/>
  <c r="CA37" i="4"/>
  <c r="CB37" i="4"/>
  <c r="CC37" i="4"/>
  <c r="CD37" i="4"/>
  <c r="CE37" i="4"/>
  <c r="CF37" i="4"/>
  <c r="CG37" i="4"/>
  <c r="CH37" i="4"/>
  <c r="CI37" i="4"/>
  <c r="CJ37" i="4"/>
  <c r="CK37" i="4"/>
  <c r="CL37" i="4"/>
  <c r="CM37" i="4"/>
  <c r="CN37" i="4"/>
  <c r="CO37" i="4"/>
  <c r="CP37" i="4"/>
  <c r="CQ37" i="4"/>
  <c r="CR37" i="4"/>
  <c r="CS37" i="4"/>
  <c r="CT37" i="4"/>
  <c r="CU37" i="4"/>
  <c r="CV37" i="4"/>
  <c r="CW37" i="4"/>
  <c r="CX37" i="4"/>
  <c r="CY37" i="4"/>
  <c r="CZ37" i="4"/>
  <c r="DA37" i="4"/>
  <c r="DB37" i="4"/>
  <c r="DC37" i="4"/>
  <c r="DD37" i="4"/>
  <c r="DE37" i="4"/>
  <c r="DF37" i="4"/>
  <c r="DG37" i="4"/>
  <c r="DH37" i="4"/>
  <c r="DI37" i="4"/>
  <c r="DJ37" i="4"/>
  <c r="DK37" i="4"/>
  <c r="DL37" i="4"/>
  <c r="DM37" i="4"/>
  <c r="DN37" i="4"/>
  <c r="DO37" i="4"/>
  <c r="DP37" i="4"/>
  <c r="DQ37" i="4"/>
  <c r="DR37" i="4"/>
  <c r="DS37" i="4"/>
  <c r="DT37" i="4"/>
  <c r="DU37" i="4"/>
  <c r="DV37" i="4"/>
  <c r="DW37" i="4"/>
  <c r="DX37" i="4"/>
  <c r="DY37" i="4"/>
  <c r="DZ37" i="4"/>
  <c r="EA37" i="4"/>
  <c r="EB37" i="4"/>
  <c r="EC37" i="4"/>
  <c r="ED37" i="4"/>
  <c r="EE37" i="4"/>
  <c r="EF37" i="4"/>
  <c r="EG37" i="4"/>
  <c r="EH37" i="4"/>
  <c r="EI37" i="4"/>
  <c r="EJ37" i="4"/>
  <c r="EK37" i="4"/>
  <c r="EL37" i="4"/>
  <c r="EM37" i="4"/>
  <c r="EN37" i="4"/>
  <c r="EO37" i="4"/>
  <c r="EP37" i="4"/>
  <c r="EQ37" i="4"/>
  <c r="ER37" i="4"/>
  <c r="ES37" i="4"/>
  <c r="ET37" i="4"/>
  <c r="EU37" i="4"/>
  <c r="EV37" i="4"/>
  <c r="EW37" i="4"/>
  <c r="EX37" i="4"/>
  <c r="EY37" i="4"/>
  <c r="EZ37" i="4"/>
  <c r="FA37" i="4"/>
  <c r="FB37" i="4"/>
  <c r="FC37" i="4"/>
  <c r="FD37" i="4"/>
  <c r="FE37" i="4"/>
  <c r="FF37" i="4"/>
  <c r="FG37" i="4"/>
  <c r="FH37" i="4"/>
  <c r="FI37" i="4"/>
  <c r="FJ37" i="4"/>
  <c r="FK37" i="4"/>
  <c r="FL37" i="4"/>
  <c r="FM37" i="4"/>
  <c r="FN37" i="4"/>
  <c r="FO37" i="4"/>
  <c r="FP37" i="4"/>
  <c r="FQ37" i="4"/>
  <c r="FR37" i="4"/>
  <c r="FS37" i="4"/>
  <c r="FT37" i="4"/>
  <c r="FU37" i="4"/>
  <c r="FV37" i="4"/>
  <c r="FW37" i="4"/>
  <c r="FX37" i="4"/>
  <c r="FY37" i="4"/>
  <c r="FZ37" i="4"/>
  <c r="GA37" i="4"/>
  <c r="GB37" i="4"/>
  <c r="GC37" i="4"/>
  <c r="GD37" i="4"/>
  <c r="GE37" i="4"/>
  <c r="GF37" i="4"/>
  <c r="GG37" i="4"/>
  <c r="GH37" i="4"/>
  <c r="GI37" i="4"/>
  <c r="GJ37" i="4"/>
  <c r="GK37" i="4"/>
  <c r="GL37" i="4"/>
  <c r="GM37" i="4"/>
  <c r="GN37" i="4"/>
  <c r="GO37" i="4"/>
  <c r="GP37" i="4"/>
  <c r="GQ37" i="4"/>
  <c r="GR37" i="4"/>
  <c r="GS37" i="4"/>
  <c r="GT37" i="4"/>
  <c r="GU37" i="4"/>
  <c r="GV37" i="4"/>
  <c r="GW37" i="4"/>
  <c r="GX37" i="4"/>
  <c r="GY37" i="4"/>
  <c r="GZ37" i="4"/>
  <c r="HA37" i="4"/>
  <c r="HB37" i="4"/>
  <c r="HC37" i="4"/>
  <c r="HD37" i="4"/>
  <c r="HE37" i="4"/>
  <c r="HF37" i="4"/>
  <c r="HG37" i="4"/>
  <c r="HH37" i="4"/>
  <c r="HI37" i="4"/>
  <c r="HJ37" i="4"/>
  <c r="HK37" i="4"/>
  <c r="HL37" i="4"/>
  <c r="HM37" i="4"/>
  <c r="HN37" i="4"/>
  <c r="HO37" i="4"/>
  <c r="HP37" i="4"/>
  <c r="HQ37" i="4"/>
  <c r="HR37" i="4"/>
  <c r="HS37" i="4"/>
  <c r="HT37" i="4"/>
  <c r="HU37" i="4"/>
  <c r="HV37" i="4"/>
  <c r="HW37" i="4"/>
  <c r="HX37" i="4"/>
  <c r="HY37" i="4"/>
  <c r="HZ37" i="4"/>
  <c r="IA37" i="4"/>
  <c r="IB37" i="4"/>
  <c r="IC37" i="4"/>
  <c r="ID37" i="4"/>
  <c r="IE37" i="4"/>
  <c r="IF37" i="4"/>
  <c r="IG37" i="4"/>
  <c r="IH37" i="4"/>
  <c r="II37" i="4"/>
  <c r="IJ37" i="4"/>
  <c r="IK37" i="4"/>
  <c r="IL37" i="4"/>
  <c r="IM37" i="4"/>
  <c r="IN37" i="4"/>
  <c r="IO37" i="4"/>
  <c r="IP37" i="4"/>
  <c r="IQ37" i="4"/>
  <c r="IR37" i="4"/>
  <c r="IS37" i="4"/>
  <c r="IT37" i="4"/>
  <c r="IU37" i="4"/>
  <c r="IV37" i="4"/>
  <c r="F38" i="4"/>
  <c r="G38" i="4"/>
  <c r="H38" i="4"/>
  <c r="I38" i="4"/>
  <c r="J38" i="4"/>
  <c r="K38" i="4"/>
  <c r="L38" i="4"/>
  <c r="M38" i="4"/>
  <c r="N38" i="4"/>
  <c r="O38" i="4"/>
  <c r="P38" i="4"/>
  <c r="Q38" i="4"/>
  <c r="R38" i="4"/>
  <c r="S38" i="4"/>
  <c r="T38" i="4"/>
  <c r="U38" i="4"/>
  <c r="V38" i="4"/>
  <c r="W38" i="4"/>
  <c r="X38" i="4"/>
  <c r="Y38" i="4"/>
  <c r="Z38" i="4"/>
  <c r="AA38" i="4"/>
  <c r="AB38" i="4"/>
  <c r="AC38" i="4"/>
  <c r="AD38" i="4"/>
  <c r="AE38" i="4"/>
  <c r="AF38" i="4"/>
  <c r="AG38" i="4"/>
  <c r="AH38" i="4"/>
  <c r="AI38" i="4"/>
  <c r="AJ38" i="4"/>
  <c r="AK38" i="4"/>
  <c r="AL38" i="4"/>
  <c r="AM38" i="4"/>
  <c r="AN38" i="4"/>
  <c r="AO38" i="4"/>
  <c r="AP38" i="4"/>
  <c r="AQ38" i="4"/>
  <c r="AR38" i="4"/>
  <c r="AS38" i="4"/>
  <c r="AT38" i="4"/>
  <c r="AU38" i="4"/>
  <c r="AV38" i="4"/>
  <c r="AW38" i="4"/>
  <c r="AX38" i="4"/>
  <c r="AY38" i="4"/>
  <c r="AZ38" i="4"/>
  <c r="BA38" i="4"/>
  <c r="BB38" i="4"/>
  <c r="BC38" i="4"/>
  <c r="BD38" i="4"/>
  <c r="BE38" i="4"/>
  <c r="BF38" i="4"/>
  <c r="BG38" i="4"/>
  <c r="BH38" i="4"/>
  <c r="BI38" i="4"/>
  <c r="BJ38" i="4"/>
  <c r="BK38" i="4"/>
  <c r="BL38" i="4"/>
  <c r="BM38" i="4"/>
  <c r="BN38" i="4"/>
  <c r="BO38" i="4"/>
  <c r="BP38" i="4"/>
  <c r="BQ38" i="4"/>
  <c r="BR38" i="4"/>
  <c r="BS38" i="4"/>
  <c r="BT38" i="4"/>
  <c r="BU38" i="4"/>
  <c r="BV38" i="4"/>
  <c r="BW38" i="4"/>
  <c r="BX38" i="4"/>
  <c r="BY38" i="4"/>
  <c r="BZ38" i="4"/>
  <c r="CA38" i="4"/>
  <c r="CB38" i="4"/>
  <c r="CC38" i="4"/>
  <c r="CD38" i="4"/>
  <c r="CE38" i="4"/>
  <c r="CF38" i="4"/>
  <c r="CG38" i="4"/>
  <c r="CH38" i="4"/>
  <c r="CI38" i="4"/>
  <c r="CJ38" i="4"/>
  <c r="CK38" i="4"/>
  <c r="CL38" i="4"/>
  <c r="CM38" i="4"/>
  <c r="CN38" i="4"/>
  <c r="CO38" i="4"/>
  <c r="CP38" i="4"/>
  <c r="CQ38" i="4"/>
  <c r="CR38" i="4"/>
  <c r="CS38" i="4"/>
  <c r="CT38" i="4"/>
  <c r="CU38" i="4"/>
  <c r="CV38" i="4"/>
  <c r="CW38" i="4"/>
  <c r="CX38" i="4"/>
  <c r="CY38" i="4"/>
  <c r="CZ38" i="4"/>
  <c r="DA38" i="4"/>
  <c r="DB38" i="4"/>
  <c r="DC38" i="4"/>
  <c r="DD38" i="4"/>
  <c r="DE38" i="4"/>
  <c r="DF38" i="4"/>
  <c r="DG38" i="4"/>
  <c r="DH38" i="4"/>
  <c r="DI38" i="4"/>
  <c r="DJ38" i="4"/>
  <c r="DK38" i="4"/>
  <c r="DL38" i="4"/>
  <c r="DM38" i="4"/>
  <c r="DN38" i="4"/>
  <c r="DO38" i="4"/>
  <c r="DP38" i="4"/>
  <c r="DQ38" i="4"/>
  <c r="DR38" i="4"/>
  <c r="DS38" i="4"/>
  <c r="DT38" i="4"/>
  <c r="DU38" i="4"/>
  <c r="DV38" i="4"/>
  <c r="DW38" i="4"/>
  <c r="DX38" i="4"/>
  <c r="DY38" i="4"/>
  <c r="DZ38" i="4"/>
  <c r="EA38" i="4"/>
  <c r="EB38" i="4"/>
  <c r="EC38" i="4"/>
  <c r="ED38" i="4"/>
  <c r="EE38" i="4"/>
  <c r="EF38" i="4"/>
  <c r="EG38" i="4"/>
  <c r="EH38" i="4"/>
  <c r="EI38" i="4"/>
  <c r="EJ38" i="4"/>
  <c r="EK38" i="4"/>
  <c r="EL38" i="4"/>
  <c r="EM38" i="4"/>
  <c r="EN38" i="4"/>
  <c r="EO38" i="4"/>
  <c r="EP38" i="4"/>
  <c r="EQ38" i="4"/>
  <c r="ER38" i="4"/>
  <c r="ES38" i="4"/>
  <c r="ET38" i="4"/>
  <c r="EU38" i="4"/>
  <c r="EV38" i="4"/>
  <c r="EW38" i="4"/>
  <c r="EX38" i="4"/>
  <c r="EY38" i="4"/>
  <c r="EZ38" i="4"/>
  <c r="FA38" i="4"/>
  <c r="FB38" i="4"/>
  <c r="FC38" i="4"/>
  <c r="FD38" i="4"/>
  <c r="FE38" i="4"/>
  <c r="FF38" i="4"/>
  <c r="FG38" i="4"/>
  <c r="FH38" i="4"/>
  <c r="FI38" i="4"/>
  <c r="FJ38" i="4"/>
  <c r="FK38" i="4"/>
  <c r="FL38" i="4"/>
  <c r="FM38" i="4"/>
  <c r="FN38" i="4"/>
  <c r="FO38" i="4"/>
  <c r="FP38" i="4"/>
  <c r="FQ38" i="4"/>
  <c r="FR38" i="4"/>
  <c r="FS38" i="4"/>
  <c r="FT38" i="4"/>
  <c r="FU38" i="4"/>
  <c r="FV38" i="4"/>
  <c r="FW38" i="4"/>
  <c r="FX38" i="4"/>
  <c r="FY38" i="4"/>
  <c r="FZ38" i="4"/>
  <c r="GA38" i="4"/>
  <c r="GB38" i="4"/>
  <c r="GC38" i="4"/>
  <c r="GD38" i="4"/>
  <c r="GE38" i="4"/>
  <c r="GF38" i="4"/>
  <c r="GG38" i="4"/>
  <c r="GH38" i="4"/>
  <c r="GI38" i="4"/>
  <c r="GJ38" i="4"/>
  <c r="GK38" i="4"/>
  <c r="GL38" i="4"/>
  <c r="GM38" i="4"/>
  <c r="GN38" i="4"/>
  <c r="GO38" i="4"/>
  <c r="GP38" i="4"/>
  <c r="GQ38" i="4"/>
  <c r="GR38" i="4"/>
  <c r="GS38" i="4"/>
  <c r="GT38" i="4"/>
  <c r="GU38" i="4"/>
  <c r="GV38" i="4"/>
  <c r="GW38" i="4"/>
  <c r="GX38" i="4"/>
  <c r="GY38" i="4"/>
  <c r="GZ38" i="4"/>
  <c r="HA38" i="4"/>
  <c r="HB38" i="4"/>
  <c r="HC38" i="4"/>
  <c r="HD38" i="4"/>
  <c r="HE38" i="4"/>
  <c r="HF38" i="4"/>
  <c r="HG38" i="4"/>
  <c r="HH38" i="4"/>
  <c r="HI38" i="4"/>
  <c r="HJ38" i="4"/>
  <c r="HK38" i="4"/>
  <c r="HL38" i="4"/>
  <c r="HM38" i="4"/>
  <c r="HN38" i="4"/>
  <c r="HO38" i="4"/>
  <c r="HP38" i="4"/>
  <c r="HQ38" i="4"/>
  <c r="HR38" i="4"/>
  <c r="HS38" i="4"/>
  <c r="HT38" i="4"/>
  <c r="HU38" i="4"/>
  <c r="HV38" i="4"/>
  <c r="HW38" i="4"/>
  <c r="HX38" i="4"/>
  <c r="HY38" i="4"/>
  <c r="HZ38" i="4"/>
  <c r="IA38" i="4"/>
  <c r="IB38" i="4"/>
  <c r="IC38" i="4"/>
  <c r="ID38" i="4"/>
  <c r="IE38" i="4"/>
  <c r="IF38" i="4"/>
  <c r="IG38" i="4"/>
  <c r="IH38" i="4"/>
  <c r="II38" i="4"/>
  <c r="IJ38" i="4"/>
  <c r="IK38" i="4"/>
  <c r="IL38" i="4"/>
  <c r="IM38" i="4"/>
  <c r="IN38" i="4"/>
  <c r="IO38" i="4"/>
  <c r="IP38" i="4"/>
  <c r="IQ38" i="4"/>
  <c r="IR38" i="4"/>
  <c r="IS38" i="4"/>
  <c r="IT38" i="4"/>
  <c r="IU38" i="4"/>
  <c r="IV38" i="4"/>
  <c r="F39" i="4"/>
  <c r="G39" i="4"/>
  <c r="H39" i="4"/>
  <c r="I39" i="4"/>
  <c r="J39" i="4"/>
  <c r="K39" i="4"/>
  <c r="L39" i="4"/>
  <c r="M39" i="4"/>
  <c r="N39" i="4"/>
  <c r="O39" i="4"/>
  <c r="P39" i="4"/>
  <c r="Q39" i="4"/>
  <c r="R39" i="4"/>
  <c r="S39" i="4"/>
  <c r="T39" i="4"/>
  <c r="U39" i="4"/>
  <c r="V39" i="4"/>
  <c r="W39" i="4"/>
  <c r="X39" i="4"/>
  <c r="Y39" i="4"/>
  <c r="Z39" i="4"/>
  <c r="AA39" i="4"/>
  <c r="AB39" i="4"/>
  <c r="AC39" i="4"/>
  <c r="AD39" i="4"/>
  <c r="AE39" i="4"/>
  <c r="AF39" i="4"/>
  <c r="AG39" i="4"/>
  <c r="AH39" i="4"/>
  <c r="AI39" i="4"/>
  <c r="AJ39" i="4"/>
  <c r="AK39" i="4"/>
  <c r="AL39" i="4"/>
  <c r="AM39" i="4"/>
  <c r="AN39" i="4"/>
  <c r="AO39" i="4"/>
  <c r="AP39" i="4"/>
  <c r="AQ39" i="4"/>
  <c r="AR39" i="4"/>
  <c r="AS39" i="4"/>
  <c r="AT39" i="4"/>
  <c r="AU39" i="4"/>
  <c r="AV39" i="4"/>
  <c r="AW39" i="4"/>
  <c r="AX39" i="4"/>
  <c r="AY39" i="4"/>
  <c r="AZ39" i="4"/>
  <c r="BA39" i="4"/>
  <c r="BB39" i="4"/>
  <c r="BC39" i="4"/>
  <c r="BD39" i="4"/>
  <c r="BE39" i="4"/>
  <c r="BF39" i="4"/>
  <c r="BG39" i="4"/>
  <c r="BH39" i="4"/>
  <c r="BI39" i="4"/>
  <c r="BJ39" i="4"/>
  <c r="BK39" i="4"/>
  <c r="BL39" i="4"/>
  <c r="BM39" i="4"/>
  <c r="BN39" i="4"/>
  <c r="BO39" i="4"/>
  <c r="BP39" i="4"/>
  <c r="BQ39" i="4"/>
  <c r="BR39" i="4"/>
  <c r="BS39" i="4"/>
  <c r="BT39" i="4"/>
  <c r="BU39" i="4"/>
  <c r="BV39" i="4"/>
  <c r="BW39" i="4"/>
  <c r="BX39" i="4"/>
  <c r="BY39" i="4"/>
  <c r="BZ39" i="4"/>
  <c r="CA39" i="4"/>
  <c r="CB39" i="4"/>
  <c r="CC39" i="4"/>
  <c r="CD39" i="4"/>
  <c r="CE39" i="4"/>
  <c r="CF39" i="4"/>
  <c r="CG39" i="4"/>
  <c r="CH39" i="4"/>
  <c r="CI39" i="4"/>
  <c r="CJ39" i="4"/>
  <c r="CK39" i="4"/>
  <c r="CL39" i="4"/>
  <c r="CM39" i="4"/>
  <c r="CN39" i="4"/>
  <c r="CO39" i="4"/>
  <c r="CP39" i="4"/>
  <c r="CQ39" i="4"/>
  <c r="CR39" i="4"/>
  <c r="CS39" i="4"/>
  <c r="CT39" i="4"/>
  <c r="CU39" i="4"/>
  <c r="CV39" i="4"/>
  <c r="CW39" i="4"/>
  <c r="CX39" i="4"/>
  <c r="CY39" i="4"/>
  <c r="CZ39" i="4"/>
  <c r="DA39" i="4"/>
  <c r="DB39" i="4"/>
  <c r="DC39" i="4"/>
  <c r="DD39" i="4"/>
  <c r="DE39" i="4"/>
  <c r="DF39" i="4"/>
  <c r="DG39" i="4"/>
  <c r="DH39" i="4"/>
  <c r="DI39" i="4"/>
  <c r="DJ39" i="4"/>
  <c r="DK39" i="4"/>
  <c r="DL39" i="4"/>
  <c r="DM39" i="4"/>
  <c r="DN39" i="4"/>
  <c r="DO39" i="4"/>
  <c r="DP39" i="4"/>
  <c r="DQ39" i="4"/>
  <c r="DR39" i="4"/>
  <c r="DS39" i="4"/>
  <c r="DT39" i="4"/>
  <c r="DU39" i="4"/>
  <c r="DV39" i="4"/>
  <c r="DW39" i="4"/>
  <c r="DX39" i="4"/>
  <c r="DY39" i="4"/>
  <c r="DZ39" i="4"/>
  <c r="EA39" i="4"/>
  <c r="EB39" i="4"/>
  <c r="EC39" i="4"/>
  <c r="ED39" i="4"/>
  <c r="EE39" i="4"/>
  <c r="EF39" i="4"/>
  <c r="EG39" i="4"/>
  <c r="EH39" i="4"/>
  <c r="EI39" i="4"/>
  <c r="EJ39" i="4"/>
  <c r="EK39" i="4"/>
  <c r="EL39" i="4"/>
  <c r="EM39" i="4"/>
  <c r="EN39" i="4"/>
  <c r="EO39" i="4"/>
  <c r="EP39" i="4"/>
  <c r="EQ39" i="4"/>
  <c r="ER39" i="4"/>
  <c r="ES39" i="4"/>
  <c r="ET39" i="4"/>
  <c r="EU39" i="4"/>
  <c r="EV39" i="4"/>
  <c r="EW39" i="4"/>
  <c r="EX39" i="4"/>
  <c r="EY39" i="4"/>
  <c r="EZ39" i="4"/>
  <c r="FA39" i="4"/>
  <c r="FB39" i="4"/>
  <c r="FC39" i="4"/>
  <c r="FD39" i="4"/>
  <c r="FE39" i="4"/>
  <c r="FF39" i="4"/>
  <c r="FG39" i="4"/>
  <c r="FH39" i="4"/>
  <c r="FI39" i="4"/>
  <c r="FJ39" i="4"/>
  <c r="FK39" i="4"/>
  <c r="FL39" i="4"/>
  <c r="FM39" i="4"/>
  <c r="FN39" i="4"/>
  <c r="FO39" i="4"/>
  <c r="FP39" i="4"/>
  <c r="FQ39" i="4"/>
  <c r="FR39" i="4"/>
  <c r="FS39" i="4"/>
  <c r="FT39" i="4"/>
  <c r="FU39" i="4"/>
  <c r="FV39" i="4"/>
  <c r="FW39" i="4"/>
  <c r="FX39" i="4"/>
  <c r="FY39" i="4"/>
  <c r="FZ39" i="4"/>
  <c r="GA39" i="4"/>
  <c r="GB39" i="4"/>
  <c r="GC39" i="4"/>
  <c r="GD39" i="4"/>
  <c r="GE39" i="4"/>
  <c r="GF39" i="4"/>
  <c r="GG39" i="4"/>
  <c r="GH39" i="4"/>
  <c r="GI39" i="4"/>
  <c r="GJ39" i="4"/>
  <c r="GK39" i="4"/>
  <c r="GL39" i="4"/>
  <c r="GM39" i="4"/>
  <c r="GN39" i="4"/>
  <c r="GO39" i="4"/>
  <c r="GP39" i="4"/>
  <c r="GQ39" i="4"/>
  <c r="GR39" i="4"/>
  <c r="GS39" i="4"/>
  <c r="GT39" i="4"/>
  <c r="GU39" i="4"/>
  <c r="GV39" i="4"/>
  <c r="GW39" i="4"/>
  <c r="GX39" i="4"/>
  <c r="GY39" i="4"/>
  <c r="GZ39" i="4"/>
  <c r="HA39" i="4"/>
  <c r="HB39" i="4"/>
  <c r="HC39" i="4"/>
  <c r="HD39" i="4"/>
  <c r="HE39" i="4"/>
  <c r="HF39" i="4"/>
  <c r="HG39" i="4"/>
  <c r="HH39" i="4"/>
  <c r="HI39" i="4"/>
  <c r="HJ39" i="4"/>
  <c r="HK39" i="4"/>
  <c r="HL39" i="4"/>
  <c r="HM39" i="4"/>
  <c r="HN39" i="4"/>
  <c r="HO39" i="4"/>
  <c r="HP39" i="4"/>
  <c r="HQ39" i="4"/>
  <c r="HR39" i="4"/>
  <c r="HS39" i="4"/>
  <c r="HT39" i="4"/>
  <c r="HU39" i="4"/>
  <c r="HV39" i="4"/>
  <c r="HW39" i="4"/>
  <c r="HX39" i="4"/>
  <c r="HY39" i="4"/>
  <c r="HZ39" i="4"/>
  <c r="IA39" i="4"/>
  <c r="IB39" i="4"/>
  <c r="IC39" i="4"/>
  <c r="ID39" i="4"/>
  <c r="IE39" i="4"/>
  <c r="IF39" i="4"/>
  <c r="IG39" i="4"/>
  <c r="IH39" i="4"/>
  <c r="II39" i="4"/>
  <c r="IJ39" i="4"/>
  <c r="IK39" i="4"/>
  <c r="IL39" i="4"/>
  <c r="IM39" i="4"/>
  <c r="IN39" i="4"/>
  <c r="IO39" i="4"/>
  <c r="IP39" i="4"/>
  <c r="IQ39" i="4"/>
  <c r="IR39" i="4"/>
  <c r="IS39" i="4"/>
  <c r="IT39" i="4"/>
  <c r="IU39" i="4"/>
  <c r="IV39" i="4"/>
  <c r="F40" i="4"/>
  <c r="G40" i="4"/>
  <c r="H40" i="4"/>
  <c r="I40" i="4"/>
  <c r="J40" i="4"/>
  <c r="K40" i="4"/>
  <c r="L40" i="4"/>
  <c r="M40" i="4"/>
  <c r="N40" i="4"/>
  <c r="O40" i="4"/>
  <c r="P40" i="4"/>
  <c r="Q40" i="4"/>
  <c r="R40" i="4"/>
  <c r="S40" i="4"/>
  <c r="T40" i="4"/>
  <c r="U40" i="4"/>
  <c r="V40" i="4"/>
  <c r="W40" i="4"/>
  <c r="X40" i="4"/>
  <c r="Y40" i="4"/>
  <c r="Z40" i="4"/>
  <c r="AA40" i="4"/>
  <c r="AB40" i="4"/>
  <c r="AC40" i="4"/>
  <c r="AD40" i="4"/>
  <c r="AE40" i="4"/>
  <c r="AF40" i="4"/>
  <c r="AG40" i="4"/>
  <c r="AH40" i="4"/>
  <c r="AI40" i="4"/>
  <c r="AJ40" i="4"/>
  <c r="AK40" i="4"/>
  <c r="AL40" i="4"/>
  <c r="AM40" i="4"/>
  <c r="AN40" i="4"/>
  <c r="AO40" i="4"/>
  <c r="AP40" i="4"/>
  <c r="AQ40" i="4"/>
  <c r="AR40" i="4"/>
  <c r="AS40" i="4"/>
  <c r="AT40" i="4"/>
  <c r="AU40" i="4"/>
  <c r="AV40" i="4"/>
  <c r="AW40" i="4"/>
  <c r="AX40" i="4"/>
  <c r="AY40" i="4"/>
  <c r="AZ40" i="4"/>
  <c r="BA40" i="4"/>
  <c r="BB40" i="4"/>
  <c r="BC40" i="4"/>
  <c r="BD40" i="4"/>
  <c r="BE40" i="4"/>
  <c r="BF40" i="4"/>
  <c r="BG40" i="4"/>
  <c r="BH40" i="4"/>
  <c r="BI40" i="4"/>
  <c r="BJ40" i="4"/>
  <c r="BK40" i="4"/>
  <c r="BL40" i="4"/>
  <c r="BM40" i="4"/>
  <c r="BN40" i="4"/>
  <c r="BO40" i="4"/>
  <c r="BP40" i="4"/>
  <c r="BQ40" i="4"/>
  <c r="BR40" i="4"/>
  <c r="BS40" i="4"/>
  <c r="BT40" i="4"/>
  <c r="BU40" i="4"/>
  <c r="BV40" i="4"/>
  <c r="BW40" i="4"/>
  <c r="BX40" i="4"/>
  <c r="BY40" i="4"/>
  <c r="BZ40" i="4"/>
  <c r="CA40" i="4"/>
  <c r="CB40" i="4"/>
  <c r="CC40" i="4"/>
  <c r="CD40" i="4"/>
  <c r="CE40" i="4"/>
  <c r="CF40" i="4"/>
  <c r="CG40" i="4"/>
  <c r="CH40" i="4"/>
  <c r="CI40" i="4"/>
  <c r="CJ40" i="4"/>
  <c r="CK40" i="4"/>
  <c r="CL40" i="4"/>
  <c r="CM40" i="4"/>
  <c r="CN40" i="4"/>
  <c r="CO40" i="4"/>
  <c r="CP40" i="4"/>
  <c r="CQ40" i="4"/>
  <c r="CR40" i="4"/>
  <c r="CS40" i="4"/>
  <c r="CT40" i="4"/>
  <c r="CU40" i="4"/>
  <c r="CV40" i="4"/>
  <c r="CW40" i="4"/>
  <c r="CX40" i="4"/>
  <c r="CY40" i="4"/>
  <c r="CZ40" i="4"/>
  <c r="DA40" i="4"/>
  <c r="DB40" i="4"/>
  <c r="DC40" i="4"/>
  <c r="DD40" i="4"/>
  <c r="DE40" i="4"/>
  <c r="DF40" i="4"/>
  <c r="DG40" i="4"/>
  <c r="DH40" i="4"/>
  <c r="DI40" i="4"/>
  <c r="DJ40" i="4"/>
  <c r="DK40" i="4"/>
  <c r="DL40" i="4"/>
  <c r="DM40" i="4"/>
  <c r="DN40" i="4"/>
  <c r="DO40" i="4"/>
  <c r="DP40" i="4"/>
  <c r="DQ40" i="4"/>
  <c r="DR40" i="4"/>
  <c r="DS40" i="4"/>
  <c r="DT40" i="4"/>
  <c r="DU40" i="4"/>
  <c r="DV40" i="4"/>
  <c r="DW40" i="4"/>
  <c r="DX40" i="4"/>
  <c r="DY40" i="4"/>
  <c r="DZ40" i="4"/>
  <c r="EA40" i="4"/>
  <c r="EB40" i="4"/>
  <c r="EC40" i="4"/>
  <c r="ED40" i="4"/>
  <c r="EE40" i="4"/>
  <c r="EF40" i="4"/>
  <c r="EG40" i="4"/>
  <c r="EH40" i="4"/>
  <c r="EI40" i="4"/>
  <c r="EJ40" i="4"/>
  <c r="EK40" i="4"/>
  <c r="EL40" i="4"/>
  <c r="EM40" i="4"/>
  <c r="EN40" i="4"/>
  <c r="EO40" i="4"/>
  <c r="EP40" i="4"/>
  <c r="EQ40" i="4"/>
  <c r="ER40" i="4"/>
  <c r="ES40" i="4"/>
  <c r="ET40" i="4"/>
  <c r="EU40" i="4"/>
  <c r="EV40" i="4"/>
  <c r="EW40" i="4"/>
  <c r="EX40" i="4"/>
  <c r="EY40" i="4"/>
  <c r="EZ40" i="4"/>
  <c r="FA40" i="4"/>
  <c r="FB40" i="4"/>
  <c r="FC40" i="4"/>
  <c r="FD40" i="4"/>
  <c r="FE40" i="4"/>
  <c r="FF40" i="4"/>
  <c r="FG40" i="4"/>
  <c r="FH40" i="4"/>
  <c r="FI40" i="4"/>
  <c r="FJ40" i="4"/>
  <c r="FK40" i="4"/>
  <c r="FL40" i="4"/>
  <c r="FM40" i="4"/>
  <c r="FN40" i="4"/>
  <c r="FO40" i="4"/>
  <c r="FP40" i="4"/>
  <c r="FQ40" i="4"/>
  <c r="FR40" i="4"/>
  <c r="FS40" i="4"/>
  <c r="FT40" i="4"/>
  <c r="FU40" i="4"/>
  <c r="FV40" i="4"/>
  <c r="FW40" i="4"/>
  <c r="FX40" i="4"/>
  <c r="FY40" i="4"/>
  <c r="FZ40" i="4"/>
  <c r="GA40" i="4"/>
  <c r="GB40" i="4"/>
  <c r="GC40" i="4"/>
  <c r="GD40" i="4"/>
  <c r="GE40" i="4"/>
  <c r="GF40" i="4"/>
  <c r="GG40" i="4"/>
  <c r="GH40" i="4"/>
  <c r="GI40" i="4"/>
  <c r="GJ40" i="4"/>
  <c r="GK40" i="4"/>
  <c r="GL40" i="4"/>
  <c r="GM40" i="4"/>
  <c r="GN40" i="4"/>
  <c r="GO40" i="4"/>
  <c r="GP40" i="4"/>
  <c r="GQ40" i="4"/>
  <c r="GR40" i="4"/>
  <c r="GS40" i="4"/>
  <c r="GT40" i="4"/>
  <c r="GU40" i="4"/>
  <c r="GV40" i="4"/>
  <c r="GW40" i="4"/>
  <c r="GX40" i="4"/>
  <c r="GY40" i="4"/>
  <c r="GZ40" i="4"/>
  <c r="HA40" i="4"/>
  <c r="HB40" i="4"/>
  <c r="HC40" i="4"/>
  <c r="HD40" i="4"/>
  <c r="HE40" i="4"/>
  <c r="HF40" i="4"/>
  <c r="HG40" i="4"/>
  <c r="HH40" i="4"/>
  <c r="HI40" i="4"/>
  <c r="HJ40" i="4"/>
  <c r="HK40" i="4"/>
  <c r="HL40" i="4"/>
  <c r="HM40" i="4"/>
  <c r="HN40" i="4"/>
  <c r="HO40" i="4"/>
  <c r="HP40" i="4"/>
  <c r="HQ40" i="4"/>
  <c r="HR40" i="4"/>
  <c r="HS40" i="4"/>
  <c r="HT40" i="4"/>
  <c r="IK4" i="4"/>
  <c r="IL4" i="4"/>
  <c r="IM4" i="4"/>
  <c r="IN4" i="4"/>
  <c r="IO4" i="4"/>
  <c r="IP4" i="4"/>
  <c r="IQ4" i="4"/>
  <c r="IR4" i="4"/>
  <c r="IS4" i="4"/>
  <c r="IT4" i="4"/>
  <c r="IU4" i="4"/>
  <c r="IV4" i="4"/>
  <c r="FV5" i="4" l="1"/>
  <c r="FG5" i="4"/>
  <c r="ER5" i="4"/>
  <c r="L7" i="4"/>
  <c r="IS6" i="4"/>
  <c r="II6" i="4"/>
  <c r="HY6" i="4"/>
  <c r="HO6" i="4"/>
  <c r="GU6" i="4"/>
  <c r="GK6" i="4"/>
  <c r="GA6" i="4"/>
  <c r="FQ6" i="4"/>
  <c r="FG6" i="4"/>
  <c r="EW6" i="4"/>
  <c r="EM6" i="4"/>
  <c r="EC6" i="4"/>
  <c r="DS6" i="4"/>
  <c r="DI6" i="4"/>
  <c r="CJ6" i="4"/>
  <c r="BV6" i="4"/>
  <c r="BH6" i="4"/>
  <c r="AT6" i="4"/>
  <c r="J109" i="1"/>
  <c r="IV50" i="4" l="1"/>
  <c r="CX6" i="4"/>
  <c r="R5" i="4"/>
  <c r="HE6"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CQ2" i="4"/>
  <c r="CR2" i="4"/>
  <c r="CS2" i="4"/>
  <c r="CT2" i="4"/>
  <c r="CU2" i="4"/>
  <c r="CV2" i="4"/>
  <c r="CW2" i="4"/>
  <c r="CX2" i="4"/>
  <c r="CY2" i="4"/>
  <c r="CZ2" i="4"/>
  <c r="DA2" i="4"/>
  <c r="DB2" i="4"/>
  <c r="DC2" i="4"/>
  <c r="DD2" i="4"/>
  <c r="DE2" i="4"/>
  <c r="DF2" i="4"/>
  <c r="DG2" i="4"/>
  <c r="DH2" i="4"/>
  <c r="DI2" i="4"/>
  <c r="DJ2" i="4"/>
  <c r="DK2" i="4"/>
  <c r="DL2" i="4"/>
  <c r="DM2" i="4"/>
  <c r="DN2" i="4"/>
  <c r="DP2" i="4"/>
  <c r="DQ2" i="4"/>
  <c r="DR2" i="4"/>
  <c r="DS2" i="4"/>
  <c r="DT2" i="4"/>
  <c r="DU2" i="4"/>
  <c r="DV2" i="4"/>
  <c r="DW2" i="4"/>
  <c r="DY2" i="4"/>
  <c r="DZ2" i="4"/>
  <c r="EA2" i="4"/>
  <c r="EB2" i="4"/>
  <c r="EC2" i="4"/>
  <c r="ED2" i="4"/>
  <c r="EE2" i="4"/>
  <c r="EF2" i="4"/>
  <c r="EH2" i="4"/>
  <c r="EI2" i="4"/>
  <c r="EJ2" i="4"/>
  <c r="EK2" i="4"/>
  <c r="EL2" i="4"/>
  <c r="EM2" i="4"/>
  <c r="EO2" i="4"/>
  <c r="EP2" i="4"/>
  <c r="EQ2" i="4"/>
  <c r="ER2" i="4"/>
  <c r="ES2" i="4"/>
  <c r="ET2" i="4"/>
  <c r="EU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GY2" i="4"/>
  <c r="GZ2" i="4"/>
  <c r="HA2" i="4"/>
  <c r="HB2" i="4"/>
  <c r="HC2" i="4"/>
  <c r="HD2" i="4"/>
  <c r="HE2" i="4"/>
  <c r="HF2" i="4"/>
  <c r="HG2" i="4"/>
  <c r="HH2" i="4"/>
  <c r="HI2" i="4"/>
  <c r="HJ2" i="4"/>
  <c r="HK2" i="4"/>
  <c r="HL2" i="4"/>
  <c r="HM2" i="4"/>
  <c r="HN2" i="4"/>
  <c r="HO2" i="4"/>
  <c r="HP2" i="4"/>
  <c r="HQ2" i="4"/>
  <c r="HR2" i="4"/>
  <c r="HS2" i="4"/>
  <c r="HT2" i="4"/>
  <c r="HU2" i="4"/>
  <c r="HV2" i="4"/>
  <c r="HW2" i="4"/>
  <c r="HX2" i="4"/>
  <c r="HY2" i="4"/>
  <c r="HZ2" i="4"/>
  <c r="IA2" i="4"/>
  <c r="IB2" i="4"/>
  <c r="IC2" i="4"/>
  <c r="ID2" i="4"/>
  <c r="IE2" i="4"/>
  <c r="IF2" i="4"/>
  <c r="IG2" i="4"/>
  <c r="IH2" i="4"/>
  <c r="II2" i="4"/>
  <c r="IJ2" i="4"/>
  <c r="IK2" i="4"/>
  <c r="IL2" i="4"/>
  <c r="IM2" i="4"/>
  <c r="IN2" i="4"/>
  <c r="IO2" i="4"/>
  <c r="IP2" i="4"/>
  <c r="IQ2" i="4"/>
  <c r="IR2" i="4"/>
  <c r="IS2" i="4"/>
  <c r="IT2" i="4"/>
  <c r="IU2" i="4"/>
  <c r="IV2"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U3" i="4"/>
  <c r="AV3" i="4"/>
  <c r="AW3" i="4"/>
  <c r="AX3" i="4"/>
  <c r="AY3" i="4"/>
  <c r="AZ3" i="4"/>
  <c r="BA3" i="4"/>
  <c r="BB3" i="4"/>
  <c r="BC3" i="4"/>
  <c r="BD3" i="4"/>
  <c r="BE3" i="4"/>
  <c r="BF3" i="4"/>
  <c r="BG3" i="4"/>
  <c r="BH3" i="4"/>
  <c r="BI3" i="4"/>
  <c r="BJ3" i="4"/>
  <c r="BK3" i="4"/>
  <c r="BL3" i="4"/>
  <c r="BM3" i="4"/>
  <c r="BN3" i="4"/>
  <c r="BO3" i="4"/>
  <c r="BP3" i="4"/>
  <c r="BQ3" i="4"/>
  <c r="BR3" i="4"/>
  <c r="BS3" i="4"/>
  <c r="BT3" i="4"/>
  <c r="BU3" i="4"/>
  <c r="BV3" i="4"/>
  <c r="BW3" i="4"/>
  <c r="BX3" i="4"/>
  <c r="BY3" i="4"/>
  <c r="BZ3" i="4"/>
  <c r="CA3" i="4"/>
  <c r="CB3" i="4"/>
  <c r="CC3" i="4"/>
  <c r="CD3" i="4"/>
  <c r="CE3" i="4"/>
  <c r="CF3" i="4"/>
  <c r="CG3" i="4"/>
  <c r="CH3" i="4"/>
  <c r="CI3" i="4"/>
  <c r="CJ3" i="4"/>
  <c r="CK3" i="4"/>
  <c r="CL3" i="4"/>
  <c r="CM3" i="4"/>
  <c r="CN3" i="4"/>
  <c r="CO3" i="4"/>
  <c r="CP3" i="4"/>
  <c r="CQ3" i="4"/>
  <c r="CR3" i="4"/>
  <c r="CS3" i="4"/>
  <c r="CT3" i="4"/>
  <c r="CU3" i="4"/>
  <c r="CV3" i="4"/>
  <c r="CW3" i="4"/>
  <c r="CX3" i="4"/>
  <c r="CY3" i="4"/>
  <c r="CZ3" i="4"/>
  <c r="DA3" i="4"/>
  <c r="DB3" i="4"/>
  <c r="DC3" i="4"/>
  <c r="DD3" i="4"/>
  <c r="DE3" i="4"/>
  <c r="DF3" i="4"/>
  <c r="DG3" i="4"/>
  <c r="DH3" i="4"/>
  <c r="DI3" i="4"/>
  <c r="DJ3" i="4"/>
  <c r="DK3" i="4"/>
  <c r="DL3" i="4"/>
  <c r="DM3" i="4"/>
  <c r="DN3" i="4"/>
  <c r="DO3" i="4"/>
  <c r="DP3" i="4"/>
  <c r="DQ3" i="4"/>
  <c r="DR3" i="4"/>
  <c r="DS3" i="4"/>
  <c r="DT3" i="4"/>
  <c r="DU3" i="4"/>
  <c r="DV3" i="4"/>
  <c r="DW3" i="4"/>
  <c r="DX3" i="4"/>
  <c r="DY3" i="4"/>
  <c r="DZ3" i="4"/>
  <c r="EA3" i="4"/>
  <c r="EB3" i="4"/>
  <c r="EC3" i="4"/>
  <c r="ED3" i="4"/>
  <c r="EE3" i="4"/>
  <c r="EF3" i="4"/>
  <c r="EG3" i="4"/>
  <c r="EH3" i="4"/>
  <c r="EI3" i="4"/>
  <c r="EJ3" i="4"/>
  <c r="EK3" i="4"/>
  <c r="EL3" i="4"/>
  <c r="EM3" i="4"/>
  <c r="EN3" i="4"/>
  <c r="EO3" i="4"/>
  <c r="EP3" i="4"/>
  <c r="EQ3" i="4"/>
  <c r="ER3" i="4"/>
  <c r="ES3" i="4"/>
  <c r="ET3" i="4"/>
  <c r="EU3" i="4"/>
  <c r="EV3" i="4"/>
  <c r="EW3" i="4"/>
  <c r="EX3" i="4"/>
  <c r="EY3" i="4"/>
  <c r="EZ3" i="4"/>
  <c r="FA3" i="4"/>
  <c r="FB3" i="4"/>
  <c r="FC3" i="4"/>
  <c r="FD3" i="4"/>
  <c r="FE3" i="4"/>
  <c r="FF3" i="4"/>
  <c r="FG3" i="4"/>
  <c r="FH3" i="4"/>
  <c r="FI3" i="4"/>
  <c r="FJ3" i="4"/>
  <c r="FK3" i="4"/>
  <c r="FL3" i="4"/>
  <c r="FM3" i="4"/>
  <c r="FN3" i="4"/>
  <c r="FO3" i="4"/>
  <c r="FP3" i="4"/>
  <c r="FQ3" i="4"/>
  <c r="FR3" i="4"/>
  <c r="FS3" i="4"/>
  <c r="FT3" i="4"/>
  <c r="FU3" i="4"/>
  <c r="FV3" i="4"/>
  <c r="FW3" i="4"/>
  <c r="FX3" i="4"/>
  <c r="FY3" i="4"/>
  <c r="FZ3" i="4"/>
  <c r="GA3" i="4"/>
  <c r="GB3" i="4"/>
  <c r="GC3" i="4"/>
  <c r="GD3" i="4"/>
  <c r="GE3" i="4"/>
  <c r="GF3" i="4"/>
  <c r="GG3" i="4"/>
  <c r="GH3" i="4"/>
  <c r="GI3" i="4"/>
  <c r="GJ3" i="4"/>
  <c r="GK3" i="4"/>
  <c r="GL3" i="4"/>
  <c r="GM3" i="4"/>
  <c r="GN3" i="4"/>
  <c r="GO3" i="4"/>
  <c r="GP3" i="4"/>
  <c r="GQ3" i="4"/>
  <c r="GR3" i="4"/>
  <c r="GS3" i="4"/>
  <c r="GT3" i="4"/>
  <c r="GU3" i="4"/>
  <c r="GV3" i="4"/>
  <c r="GW3" i="4"/>
  <c r="GX3" i="4"/>
  <c r="GY3" i="4"/>
  <c r="GZ3" i="4"/>
  <c r="HA3" i="4"/>
  <c r="HB3" i="4"/>
  <c r="HC3" i="4"/>
  <c r="HD3" i="4"/>
  <c r="HE3" i="4"/>
  <c r="HF3" i="4"/>
  <c r="HG3" i="4"/>
  <c r="HH3" i="4"/>
  <c r="HI3" i="4"/>
  <c r="HJ3" i="4"/>
  <c r="HK3" i="4"/>
  <c r="HL3" i="4"/>
  <c r="HM3" i="4"/>
  <c r="HN3" i="4"/>
  <c r="HO3" i="4"/>
  <c r="HP3" i="4"/>
  <c r="HQ3" i="4"/>
  <c r="HR3" i="4"/>
  <c r="HS3" i="4"/>
  <c r="HT3" i="4"/>
  <c r="HU3" i="4"/>
  <c r="HV3" i="4"/>
  <c r="HW3" i="4"/>
  <c r="HX3" i="4"/>
  <c r="HY3" i="4"/>
  <c r="HZ3" i="4"/>
  <c r="IA3" i="4"/>
  <c r="IB3" i="4"/>
  <c r="IC3" i="4"/>
  <c r="ID3" i="4"/>
  <c r="IE3" i="4"/>
  <c r="IF3" i="4"/>
  <c r="IG3" i="4"/>
  <c r="IH3" i="4"/>
  <c r="II3" i="4"/>
  <c r="IJ3" i="4"/>
  <c r="IK3" i="4"/>
  <c r="IL3" i="4"/>
  <c r="IM3" i="4"/>
  <c r="IN3" i="4"/>
  <c r="IO3" i="4"/>
  <c r="IP3" i="4"/>
  <c r="IQ3" i="4"/>
  <c r="IR3" i="4"/>
  <c r="IS3" i="4"/>
  <c r="IT3" i="4"/>
  <c r="IU3" i="4"/>
  <c r="IV3"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Q4" i="4"/>
  <c r="CR4" i="4"/>
  <c r="CS4" i="4"/>
  <c r="CT4" i="4"/>
  <c r="CU4" i="4"/>
  <c r="CV4" i="4"/>
  <c r="CW4" i="4"/>
  <c r="CX4" i="4"/>
  <c r="CY4" i="4"/>
  <c r="CZ4" i="4"/>
  <c r="DA4" i="4"/>
  <c r="DB4" i="4"/>
  <c r="DC4" i="4"/>
  <c r="DD4" i="4"/>
  <c r="DE4" i="4"/>
  <c r="DF4" i="4"/>
  <c r="DG4" i="4"/>
  <c r="DH4" i="4"/>
  <c r="DI4" i="4"/>
  <c r="DJ4" i="4"/>
  <c r="DK4" i="4"/>
  <c r="DL4" i="4"/>
  <c r="DM4" i="4"/>
  <c r="DN4" i="4"/>
  <c r="DO4" i="4"/>
  <c r="DP4" i="4"/>
  <c r="DQ4" i="4"/>
  <c r="DR4" i="4"/>
  <c r="DS4" i="4"/>
  <c r="DT4" i="4"/>
  <c r="DU4" i="4"/>
  <c r="DV4" i="4"/>
  <c r="DW4" i="4"/>
  <c r="DX4" i="4"/>
  <c r="DY4" i="4"/>
  <c r="DZ4" i="4"/>
  <c r="EA4" i="4"/>
  <c r="EB4" i="4"/>
  <c r="EC4" i="4"/>
  <c r="ED4" i="4"/>
  <c r="EE4" i="4"/>
  <c r="EF4" i="4"/>
  <c r="EG4" i="4"/>
  <c r="EH4" i="4"/>
  <c r="EI4" i="4"/>
  <c r="EJ4" i="4"/>
  <c r="EK4" i="4"/>
  <c r="EL4" i="4"/>
  <c r="EM4" i="4"/>
  <c r="EN4" i="4"/>
  <c r="EO4" i="4"/>
  <c r="EP4" i="4"/>
  <c r="EQ4" i="4"/>
  <c r="ER4" i="4"/>
  <c r="ES4" i="4"/>
  <c r="ET4" i="4"/>
  <c r="EU4" i="4"/>
  <c r="EV4" i="4"/>
  <c r="EW4" i="4"/>
  <c r="EX4" i="4"/>
  <c r="EY4" i="4"/>
  <c r="EZ4" i="4"/>
  <c r="FA4" i="4"/>
  <c r="FB4" i="4"/>
  <c r="FC4" i="4"/>
  <c r="FD4" i="4"/>
  <c r="FE4" i="4"/>
  <c r="FF4" i="4"/>
  <c r="FG4" i="4"/>
  <c r="FH4" i="4"/>
  <c r="FI4" i="4"/>
  <c r="FJ4" i="4"/>
  <c r="FK4" i="4"/>
  <c r="FL4" i="4"/>
  <c r="FM4" i="4"/>
  <c r="FN4" i="4"/>
  <c r="FO4" i="4"/>
  <c r="FP4" i="4"/>
  <c r="FQ4" i="4"/>
  <c r="FR4" i="4"/>
  <c r="FS4" i="4"/>
  <c r="FT4" i="4"/>
  <c r="FU4" i="4"/>
  <c r="FV4" i="4"/>
  <c r="FW4" i="4"/>
  <c r="FX4" i="4"/>
  <c r="FY4" i="4"/>
  <c r="FZ4" i="4"/>
  <c r="GA4" i="4"/>
  <c r="GB4" i="4"/>
  <c r="GC4" i="4"/>
  <c r="GD4" i="4"/>
  <c r="GE4" i="4"/>
  <c r="GF4" i="4"/>
  <c r="GG4" i="4"/>
  <c r="GH4" i="4"/>
  <c r="GI4" i="4"/>
  <c r="GJ4" i="4"/>
  <c r="GK4" i="4"/>
  <c r="GL4" i="4"/>
  <c r="GM4" i="4"/>
  <c r="GN4" i="4"/>
  <c r="GO4" i="4"/>
  <c r="GP4" i="4"/>
  <c r="GQ4" i="4"/>
  <c r="GR4" i="4"/>
  <c r="GS4" i="4"/>
  <c r="GT4" i="4"/>
  <c r="GU4" i="4"/>
  <c r="GV4" i="4"/>
  <c r="GW4" i="4"/>
  <c r="GX4" i="4"/>
  <c r="GY4" i="4"/>
  <c r="GZ4" i="4"/>
  <c r="HA4" i="4"/>
  <c r="HB4" i="4"/>
  <c r="HC4" i="4"/>
  <c r="HD4" i="4"/>
  <c r="HE4" i="4"/>
  <c r="HF4" i="4"/>
  <c r="HG4" i="4"/>
  <c r="HH4" i="4"/>
  <c r="HI4" i="4"/>
  <c r="HJ4" i="4"/>
  <c r="HK4" i="4"/>
  <c r="HL4" i="4"/>
  <c r="HM4" i="4"/>
  <c r="HN4" i="4"/>
  <c r="HO4" i="4"/>
  <c r="HP4" i="4"/>
  <c r="HQ4" i="4"/>
  <c r="HR4" i="4"/>
  <c r="HS4" i="4"/>
  <c r="HT4" i="4"/>
  <c r="HU4" i="4"/>
  <c r="HV4" i="4"/>
  <c r="HW4" i="4"/>
  <c r="HX4" i="4"/>
  <c r="HY4" i="4"/>
  <c r="HZ4" i="4"/>
  <c r="IA4" i="4"/>
  <c r="IB4" i="4"/>
  <c r="IC4" i="4"/>
  <c r="ID4" i="4"/>
  <c r="IE4" i="4"/>
  <c r="IF4" i="4"/>
  <c r="IG4" i="4"/>
  <c r="IH4" i="4"/>
  <c r="II4" i="4"/>
  <c r="IJ4" i="4"/>
  <c r="F1" i="4"/>
  <c r="G1" i="4"/>
  <c r="H1" i="4"/>
  <c r="I1" i="4"/>
  <c r="J1" i="4"/>
  <c r="K1" i="4"/>
  <c r="L1" i="4"/>
  <c r="M1" i="4"/>
  <c r="N1" i="4"/>
  <c r="O1" i="4"/>
  <c r="P1" i="4"/>
  <c r="Q1" i="4"/>
  <c r="R1" i="4"/>
  <c r="S1" i="4"/>
  <c r="T1" i="4"/>
  <c r="U1" i="4"/>
  <c r="V1" i="4"/>
  <c r="W1" i="4"/>
  <c r="X1" i="4"/>
  <c r="Y1" i="4"/>
  <c r="Z1" i="4"/>
  <c r="AA1" i="4"/>
  <c r="AB1" i="4"/>
  <c r="AC1" i="4"/>
  <c r="AD1" i="4"/>
  <c r="AE1" i="4"/>
  <c r="AF1" i="4"/>
  <c r="AG1" i="4"/>
  <c r="AH1" i="4"/>
  <c r="AI1" i="4"/>
  <c r="AJ1" i="4"/>
  <c r="AK1" i="4"/>
  <c r="AL1" i="4"/>
  <c r="AM1" i="4"/>
  <c r="AN1" i="4"/>
  <c r="AO1" i="4"/>
  <c r="AP1" i="4"/>
  <c r="AQ1" i="4"/>
  <c r="AR1" i="4"/>
  <c r="AS1" i="4"/>
  <c r="AT1" i="4"/>
  <c r="AU1" i="4"/>
  <c r="AV1" i="4"/>
  <c r="AW1" i="4"/>
  <c r="AX1" i="4"/>
  <c r="AY1" i="4"/>
  <c r="AZ1" i="4"/>
  <c r="BA1" i="4"/>
  <c r="BB1" i="4"/>
  <c r="BC1" i="4"/>
  <c r="BD1" i="4"/>
  <c r="BE1" i="4"/>
  <c r="BF1" i="4"/>
  <c r="BG1" i="4"/>
  <c r="BH1" i="4"/>
  <c r="BI1" i="4"/>
  <c r="BJ1" i="4"/>
  <c r="BK1" i="4"/>
  <c r="BL1" i="4"/>
  <c r="BM1" i="4"/>
  <c r="BN1" i="4"/>
  <c r="BO1" i="4"/>
  <c r="BP1" i="4"/>
  <c r="BQ1" i="4"/>
  <c r="BR1" i="4"/>
  <c r="BS1" i="4"/>
  <c r="BT1" i="4"/>
  <c r="BU1" i="4"/>
  <c r="BV1" i="4"/>
  <c r="BW1" i="4"/>
  <c r="BX1" i="4"/>
  <c r="BY1" i="4"/>
  <c r="BZ1" i="4"/>
  <c r="CA1" i="4"/>
  <c r="CB1" i="4"/>
  <c r="CC1" i="4"/>
  <c r="CD1" i="4"/>
  <c r="CE1" i="4"/>
  <c r="CF1" i="4"/>
  <c r="CG1" i="4"/>
  <c r="CH1" i="4"/>
  <c r="CI1" i="4"/>
  <c r="CJ1" i="4"/>
  <c r="CK1" i="4"/>
  <c r="CL1" i="4"/>
  <c r="CM1" i="4"/>
  <c r="CN1" i="4"/>
  <c r="CO1" i="4"/>
  <c r="CP1" i="4"/>
  <c r="CQ1" i="4"/>
  <c r="CR1" i="4"/>
  <c r="CS1" i="4"/>
  <c r="CT1" i="4"/>
  <c r="CU1" i="4"/>
  <c r="CV1" i="4"/>
  <c r="CW1" i="4"/>
  <c r="CX1" i="4"/>
  <c r="CY1" i="4"/>
  <c r="CZ1" i="4"/>
  <c r="DA1" i="4"/>
  <c r="DB1" i="4"/>
  <c r="DC1" i="4"/>
  <c r="DD1" i="4"/>
  <c r="DE1" i="4"/>
  <c r="DF1" i="4"/>
  <c r="DG1" i="4"/>
  <c r="DH1" i="4"/>
  <c r="DI1" i="4"/>
  <c r="DJ1" i="4"/>
  <c r="DK1" i="4"/>
  <c r="DL1" i="4"/>
  <c r="DM1" i="4"/>
  <c r="DN1" i="4"/>
  <c r="DO1" i="4"/>
  <c r="DP1" i="4"/>
  <c r="DQ1" i="4"/>
  <c r="DR1" i="4"/>
  <c r="DS1" i="4"/>
  <c r="DT1" i="4"/>
  <c r="DU1" i="4"/>
  <c r="DV1" i="4"/>
  <c r="DW1" i="4"/>
  <c r="DX1" i="4"/>
  <c r="DY1" i="4"/>
  <c r="DZ1" i="4"/>
  <c r="EA1" i="4"/>
  <c r="EB1" i="4"/>
  <c r="EC1" i="4"/>
  <c r="ED1" i="4"/>
  <c r="EE1" i="4"/>
  <c r="EF1" i="4"/>
  <c r="EG1" i="4"/>
  <c r="EH1" i="4"/>
  <c r="EI1" i="4"/>
  <c r="EJ1" i="4"/>
  <c r="EK1" i="4"/>
  <c r="EL1" i="4"/>
  <c r="EM1" i="4"/>
  <c r="EN1" i="4"/>
  <c r="EO1" i="4"/>
  <c r="EP1" i="4"/>
  <c r="EQ1" i="4"/>
  <c r="ER1" i="4"/>
  <c r="ES1" i="4"/>
  <c r="ET1" i="4"/>
  <c r="EU1" i="4"/>
  <c r="EV1" i="4"/>
  <c r="EW1" i="4"/>
  <c r="EX1" i="4"/>
  <c r="EY1" i="4"/>
  <c r="EZ1" i="4"/>
  <c r="FA1" i="4"/>
  <c r="FB1" i="4"/>
  <c r="FC1" i="4"/>
  <c r="FD1" i="4"/>
  <c r="FE1" i="4"/>
  <c r="FF1" i="4"/>
  <c r="FG1" i="4"/>
  <c r="FH1" i="4"/>
  <c r="FI1" i="4"/>
  <c r="FJ1" i="4"/>
  <c r="FK1" i="4"/>
  <c r="FL1" i="4"/>
  <c r="FM1" i="4"/>
  <c r="FN1" i="4"/>
  <c r="FO1" i="4"/>
  <c r="FP1" i="4"/>
  <c r="FQ1" i="4"/>
  <c r="FR1" i="4"/>
  <c r="FS1" i="4"/>
  <c r="FT1" i="4"/>
  <c r="FU1" i="4"/>
  <c r="FV1" i="4"/>
  <c r="FW1" i="4"/>
  <c r="FX1" i="4"/>
  <c r="FY1" i="4"/>
  <c r="FZ1" i="4"/>
  <c r="GA1" i="4"/>
  <c r="GB1" i="4"/>
  <c r="GC1" i="4"/>
  <c r="GD1" i="4"/>
  <c r="GE1" i="4"/>
  <c r="GF1" i="4"/>
  <c r="GG1" i="4"/>
  <c r="GH1" i="4"/>
  <c r="GI1" i="4"/>
  <c r="GJ1" i="4"/>
  <c r="GK1" i="4"/>
  <c r="GL1" i="4"/>
  <c r="GM1" i="4"/>
  <c r="GN1" i="4"/>
  <c r="GO1" i="4"/>
  <c r="GP1" i="4"/>
  <c r="GQ1" i="4"/>
  <c r="GR1" i="4"/>
  <c r="GS1" i="4"/>
  <c r="GT1" i="4"/>
  <c r="GU1" i="4"/>
  <c r="GV1" i="4"/>
  <c r="GW1" i="4"/>
  <c r="GX1" i="4"/>
  <c r="GY1" i="4"/>
  <c r="GZ1" i="4"/>
  <c r="HA1" i="4"/>
  <c r="HB1" i="4"/>
  <c r="HC1" i="4"/>
  <c r="HD1" i="4"/>
  <c r="HE1" i="4"/>
  <c r="HF1" i="4"/>
  <c r="HG1" i="4"/>
  <c r="HH1" i="4"/>
  <c r="HI1" i="4"/>
  <c r="HJ1" i="4"/>
  <c r="HK1" i="4"/>
  <c r="HL1" i="4"/>
  <c r="HM1" i="4"/>
  <c r="HN1" i="4"/>
  <c r="HO1" i="4"/>
  <c r="HP1" i="4"/>
  <c r="HQ1" i="4"/>
  <c r="HR1" i="4"/>
  <c r="HS1" i="4"/>
  <c r="HT1" i="4"/>
  <c r="HU1" i="4"/>
  <c r="HV1" i="4"/>
  <c r="HW1" i="4"/>
  <c r="HX1" i="4"/>
  <c r="HY1" i="4"/>
  <c r="HZ1" i="4"/>
  <c r="IA1" i="4"/>
  <c r="IB1" i="4"/>
  <c r="IC1" i="4"/>
  <c r="ID1" i="4"/>
  <c r="IE1" i="4"/>
  <c r="IF1" i="4"/>
  <c r="IG1" i="4"/>
  <c r="IH1" i="4"/>
  <c r="II1" i="4"/>
  <c r="IJ1" i="4"/>
  <c r="IK1" i="4"/>
  <c r="IL1" i="4"/>
  <c r="IM1" i="4"/>
  <c r="IN1" i="4"/>
  <c r="IO1" i="4"/>
  <c r="IP1" i="4"/>
  <c r="IQ1" i="4"/>
  <c r="IR1" i="4"/>
  <c r="IS1" i="4"/>
  <c r="IT1" i="4"/>
  <c r="IU1" i="4"/>
  <c r="IV1" i="4"/>
  <c r="DO2" i="4"/>
  <c r="FH2" i="4"/>
  <c r="FG2" i="4"/>
  <c r="FF2" i="4"/>
  <c r="FE2" i="4"/>
  <c r="FD2" i="4"/>
  <c r="FC2" i="4"/>
  <c r="FB2" i="4"/>
  <c r="FA2" i="4"/>
  <c r="EZ2" i="4"/>
  <c r="EY2" i="4"/>
  <c r="EX2" i="4"/>
  <c r="EW2" i="4"/>
  <c r="EV2" i="4"/>
  <c r="EN2" i="4"/>
  <c r="EG2" i="4"/>
  <c r="DX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7" authorId="0" shapeId="0" xr:uid="{00000000-0006-0000-0200-000001000000}">
      <text>
        <r>
          <rPr>
            <b/>
            <sz val="9"/>
            <color indexed="81"/>
            <rFont val="Tahoma"/>
            <family val="2"/>
          </rPr>
          <t>Author:</t>
        </r>
        <r>
          <rPr>
            <sz val="9"/>
            <color indexed="81"/>
            <rFont val="Tahoma"/>
            <family val="2"/>
          </rPr>
          <t xml:space="preserve">
[Multiple] text [vulnerabilities]
or
text [vulnerability]</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4" refreshedVersion="4" deleted="1" background="1" saveData="1">
    <webPr sourceData="1" parsePre="1" consecutive="1" xl2000="1" htmlTables="1" htmlFormat="all"/>
  </connection>
</connections>
</file>

<file path=xl/sharedStrings.xml><?xml version="1.0" encoding="utf-8"?>
<sst xmlns="http://schemas.openxmlformats.org/spreadsheetml/2006/main" count="5598" uniqueCount="3374">
  <si>
    <t>CVE Drop Down Data</t>
  </si>
  <si>
    <t>[VULNTYPE]</t>
  </si>
  <si>
    <t>[COMPONENT]</t>
  </si>
  <si>
    <t>[VENDOR]</t>
  </si>
  <si>
    <t>[PRODUCT]</t>
  </si>
  <si>
    <t>[VERSION]</t>
  </si>
  <si>
    <t>[ATTACKER]</t>
  </si>
  <si>
    <t>[IMPACT]</t>
  </si>
  <si>
    <t>[VECTOR]</t>
  </si>
  <si>
    <t>[ROOT CAUSE]</t>
  </si>
  <si>
    <t>Intel</t>
  </si>
  <si>
    <t>Intel Security</t>
  </si>
  <si>
    <t>SBC ID</t>
  </si>
  <si>
    <t>Key Details Phrasing</t>
  </si>
  <si>
    <t>Pick One (1) Yellow</t>
  </si>
  <si>
    <t>Key:</t>
  </si>
  <si>
    <t>Grey is Formula</t>
  </si>
  <si>
    <t>Author</t>
  </si>
  <si>
    <t>Green is Optional</t>
  </si>
  <si>
    <t>Red is Required</t>
  </si>
  <si>
    <t>Generic Templates</t>
  </si>
  <si>
    <t>Default Detail Phrasing</t>
  </si>
  <si>
    <t>Naming Rules</t>
  </si>
  <si>
    <t>SB ID</t>
  </si>
  <si>
    <t>remote attackers</t>
  </si>
  <si>
    <t>remote authenticated users</t>
  </si>
  <si>
    <t>local users</t>
  </si>
  <si>
    <t>physically proximate attackers</t>
  </si>
  <si>
    <t>remote [TYPE] servers</t>
  </si>
  <si>
    <t>guest OS users</t>
  </si>
  <si>
    <t>guest OS administrators</t>
  </si>
  <si>
    <t>context-dependent attackers</t>
  </si>
  <si>
    <t>attackers</t>
  </si>
  <si>
    <t>[EXTENT] user-assisted [ATTACKER]</t>
  </si>
  <si>
    <t>man-in-the-middle attackers</t>
  </si>
  <si>
    <t>DD = Drop-Down</t>
  </si>
  <si>
    <t>FIB = Fill in the Blank</t>
  </si>
  <si>
    <t>FIB</t>
  </si>
  <si>
    <t>DD</t>
  </si>
  <si>
    <t>PSIRT</t>
  </si>
  <si>
    <t>Stephen Jordan</t>
  </si>
  <si>
    <t>Harold Toomey</t>
  </si>
  <si>
    <t>PSC</t>
  </si>
  <si>
    <t>SQL injection vulnerability</t>
  </si>
  <si>
    <t>Multiple SQL injection vulnerabilities</t>
  </si>
  <si>
    <t>Cross-site scripting (XSS) vulnerability</t>
  </si>
  <si>
    <t>Multiple cross-site scripting (XSS) vulnerabilities</t>
  </si>
  <si>
    <t>CLI</t>
  </si>
  <si>
    <t>Trigger point, Interaction point, or blank</t>
  </si>
  <si>
    <t>D%$&amp;01_ad01045cc35e424f9c71295e1a53f3b6</t>
  </si>
  <si>
    <t>Manual</t>
  </si>
  <si>
    <t>[VULNTYPE] in [COMPONENT] in [VENDOR] [PRODUCT] [VERSION] allows [ATTACKER] to [IMPACT] via [VECTOR].</t>
  </si>
  <si>
    <t>[COMPONENT] in [VENDOR] [PRODUCT] [VERSION] [ROOT CAUSE], which allows [ATTACKER] to [IMPACT] via [VECTOR].</t>
  </si>
  <si>
    <t>the id parameter</t>
  </si>
  <si>
    <t>in</t>
  </si>
  <si>
    <t>allows</t>
  </si>
  <si>
    <t>to</t>
  </si>
  <si>
    <t>via</t>
  </si>
  <si>
    <t>execute arbitrary code</t>
  </si>
  <si>
    <t>a crafted Graphics State dictionary</t>
  </si>
  <si>
    <t>inject arbitrary web script or HTML</t>
  </si>
  <si>
    <t>Common Attack Pattern Enumeration and Classification (CAPEC)</t>
  </si>
  <si>
    <r>
      <t>Page Last Updated:</t>
    </r>
    <r>
      <rPr>
        <sz val="8"/>
        <color rgb="FF32498D"/>
        <rFont val="Verdana"/>
        <family val="2"/>
      </rPr>
      <t> May 04, 2012</t>
    </r>
  </si>
  <si>
    <t>http://capec.mitre.org/data/lists/2000.html</t>
  </si>
  <si>
    <t>CAPEC Description and #</t>
  </si>
  <si>
    <t>CAPEC Link</t>
  </si>
  <si>
    <t>Type</t>
  </si>
  <si>
    <t>Abuse of Communication Channels - (216)</t>
  </si>
  <si>
    <t>Category</t>
  </si>
  <si>
    <t>Abuse of Functionality - (210)</t>
  </si>
  <si>
    <t>Abuse of transaction data strutcture - (257)</t>
  </si>
  <si>
    <t>Attack Pattern</t>
  </si>
  <si>
    <t>Accessing Functionality Not Properly Constrained by ACLs - (1)</t>
  </si>
  <si>
    <t>Accessing, Modifying or Executing Executable Files - (17)</t>
  </si>
  <si>
    <t>Accessing/Intercepting/Modifying HTTP Cookies - (31)</t>
  </si>
  <si>
    <t>Action Spoofing - (173)</t>
  </si>
  <si>
    <t>Active OS Fingerprinting - (312)</t>
  </si>
  <si>
    <t>Analog In-band Switching Signals (aka Blue Boxing) - (5)</t>
  </si>
  <si>
    <t>Analytic Attacks - (281)</t>
  </si>
  <si>
    <t>API Abuse/Misuse - (113)</t>
  </si>
  <si>
    <t>Application API Button Hijacking - (388)</t>
  </si>
  <si>
    <t>Application API Message Manipulation via Man-in-the-Middle - (384)</t>
  </si>
  <si>
    <t>Application API Navigation Remapping - (386)</t>
  </si>
  <si>
    <t>Argument Injection - (6)</t>
  </si>
  <si>
    <t>Attack through Shared Data - (124)</t>
  </si>
  <si>
    <t>Audit Log Manipulation - (268)</t>
  </si>
  <si>
    <t>Authentication Abuse - (114)</t>
  </si>
  <si>
    <t>Authentication Bypass - (115)</t>
  </si>
  <si>
    <t>Blind SQL Injection - (7)</t>
  </si>
  <si>
    <t>Block Access to Libraries - (96)</t>
  </si>
  <si>
    <t>Browser Fingerprinting - (472)</t>
  </si>
  <si>
    <t>Brute Force - (112)</t>
  </si>
  <si>
    <t>Buffer Attacks - (123)</t>
  </si>
  <si>
    <t>Buffer Overflow in an API Call - (8)</t>
  </si>
  <si>
    <t>Buffer Overflow in Local Command-Line Utilities - (9)</t>
  </si>
  <si>
    <t>Buffer Overflow via Environment Variables - (10)</t>
  </si>
  <si>
    <t>Buffer Overflow via Parameter Expansion - (47)</t>
  </si>
  <si>
    <t>Buffer Overflow via Symbolic Links - (45)</t>
  </si>
  <si>
    <t>Bypassing ATA Password Security - (402)</t>
  </si>
  <si>
    <t>Bypassing Card or Badge-Based Systems - (396)</t>
  </si>
  <si>
    <t>Bypassing Electronic Locks and Access Controls - (395)</t>
  </si>
  <si>
    <t>Bypassing of Intermediate Forms in Multiple-Form Sets - (140)</t>
  </si>
  <si>
    <t>Bypassing Physical Locks - (391)</t>
  </si>
  <si>
    <t>Bypassing Physical Security of Systems or Facilities - (390)</t>
  </si>
  <si>
    <t>Cache Poisoning - (141)</t>
  </si>
  <si>
    <t>Calling Signed Code From Another Language Within A Sandbox Allow This - (237)</t>
  </si>
  <si>
    <t>Catching exception throw/signal from privileged block - (236)</t>
  </si>
  <si>
    <t>Cause Web Server Misclassification - (11)</t>
  </si>
  <si>
    <t>Character Injection - (249)</t>
  </si>
  <si>
    <t>Checksum Spoofing - (145)</t>
  </si>
  <si>
    <t>Choosing a Message/Channel Identifier on a Public/Multicast Channel - (12)</t>
  </si>
  <si>
    <t>Clickjacking - (103)</t>
  </si>
  <si>
    <t>Client Network Footprinting (using AJAX/XSS) - (85)</t>
  </si>
  <si>
    <t>Client-Server Protocol Manipulation - (220)</t>
  </si>
  <si>
    <t>Client-side Injection-induced Buffer Overflow - (14)</t>
  </si>
  <si>
    <t>Cloning Magnetic Strip Cards - (397)</t>
  </si>
  <si>
    <t>Cloning RFID Cards or Chips - (399)</t>
  </si>
  <si>
    <t>Code Inclusion - (175)</t>
  </si>
  <si>
    <t>Code Injection - (241)</t>
  </si>
  <si>
    <t>Command Delimiters - (15)</t>
  </si>
  <si>
    <t>Command Injection - (248)</t>
  </si>
  <si>
    <t>Command Line Execution through SQL Injection - (108)</t>
  </si>
  <si>
    <t>Common resource location exploration - (150)</t>
  </si>
  <si>
    <t>Comprehensive CAPEC Dictionary - (2000)</t>
  </si>
  <si>
    <t>View</t>
  </si>
  <si>
    <t>Configuration/Environment manipulation - (176)</t>
  </si>
  <si>
    <t>Content Spoofing - (148)</t>
  </si>
  <si>
    <t>Content Spoofing Via Application API Manipulation - (389)</t>
  </si>
  <si>
    <t>Craft a Maliciously Misconfigured Registry - (270)</t>
  </si>
  <si>
    <t>Create files with the same name as files protected with a higher classification - (177)</t>
  </si>
  <si>
    <t>Create Malicious Client - (202)</t>
  </si>
  <si>
    <t>Creating a Rogue Certificate Authority Certificate - (459)</t>
  </si>
  <si>
    <t>Cross Site Identification - (467)</t>
  </si>
  <si>
    <t>Cross Site Request Forgery (aka Session Riding) - (62)</t>
  </si>
  <si>
    <t>Cross Site Scripting through Log Files - (106)</t>
  </si>
  <si>
    <t>Cross Site Tracing - (107)</t>
  </si>
  <si>
    <t>Cross Zone Scripting - (104)</t>
  </si>
  <si>
    <t>Cross-Domain Search Timing - (462)</t>
  </si>
  <si>
    <t>Cross-Site Flashing - (178)</t>
  </si>
  <si>
    <t>Cross-Site Scripting in Attributes - (243)</t>
  </si>
  <si>
    <t>Cross-Site Scripting in Error Pages - (198)</t>
  </si>
  <si>
    <t>Cross-Site Scripting Using Alternate Syntax - (199)</t>
  </si>
  <si>
    <t>Cross-Site Scripting Using Doubled Characters, e.g. %3C%3Cscript - (245)</t>
  </si>
  <si>
    <t>Cross-Site Scripting Using Flash - (246)</t>
  </si>
  <si>
    <t>Cross-Site Scripting Using MIME Type Mismatch - (209)</t>
  </si>
  <si>
    <t>Cross-Site Scripting via Encoded URI Schemes - (244)</t>
  </si>
  <si>
    <t>Cross-Site Scripting with Masking through Invalid Characters in Identifiers - (247)</t>
  </si>
  <si>
    <t>Cryptanalysis - (97)</t>
  </si>
  <si>
    <t>Data Excavation Attacks - (116)</t>
  </si>
  <si>
    <t>Data Interception Attacks - (117)</t>
  </si>
  <si>
    <t>Data Interchange Protocol Manipulation - (277)</t>
  </si>
  <si>
    <t>Data Leakage Attacks - (118)</t>
  </si>
  <si>
    <t>Data Structure Attacks - (255)</t>
  </si>
  <si>
    <t>Denial of Service through Resource Depletion - (227)</t>
  </si>
  <si>
    <t>Detailed Abstractions - (284)</t>
  </si>
  <si>
    <t>Detect Unpublicised Web Pages - (143)</t>
  </si>
  <si>
    <t>Detect Unpublicised Web Services - (144)</t>
  </si>
  <si>
    <t>Dictionary-based Password Attack - (16)</t>
  </si>
  <si>
    <t>Directory Indexing - (127)</t>
  </si>
  <si>
    <t>Directory Traversal - (213)</t>
  </si>
  <si>
    <t>Discovering, querying, and finally calling micro-services, such as w/ AJAX - (179)</t>
  </si>
  <si>
    <t>DLL Search Order Hijacking - (471)</t>
  </si>
  <si>
    <t>DNS Cache Poisoning - (142)</t>
  </si>
  <si>
    <t>DNS Rebinding - (275)</t>
  </si>
  <si>
    <t>DNS Zone Transfers - (291)</t>
  </si>
  <si>
    <t>Double Encoding - (120)</t>
  </si>
  <si>
    <t>DTD Injection in a SOAP Message - (254)</t>
  </si>
  <si>
    <t>Email Injection - (134)</t>
  </si>
  <si>
    <t>Embedding NULL Bytes - (52)</t>
  </si>
  <si>
    <t>Embedding Script (XSS ) in HTTP Headers - (86)</t>
  </si>
  <si>
    <t>Embedding Scripts in HTTP Query Strings - (32)</t>
  </si>
  <si>
    <t>Embedding Scripts in Nonscript Elements - (18)</t>
  </si>
  <si>
    <t>Embedding Scripts within Scripts - (19)</t>
  </si>
  <si>
    <t>Encryption Brute Forcing - (20)</t>
  </si>
  <si>
    <t>Enumerate Mail Exchange (MX) Records - (290)</t>
  </si>
  <si>
    <t>Environment variable manipulation - (264)</t>
  </si>
  <si>
    <t>Evercookie - (464)</t>
  </si>
  <si>
    <t>Expanding Control over the Operating System from the Database - (470)</t>
  </si>
  <si>
    <t>Exploitation of Authentication - (225)</t>
  </si>
  <si>
    <t>Exploitation of Authorization - (122)</t>
  </si>
  <si>
    <t>Exploitation of Privilege/Trust - (232)</t>
  </si>
  <si>
    <t>Exploitation of Session Variables, Resource IDs and other Trusted Credentials - (21)</t>
  </si>
  <si>
    <t>Exploiting Incorrectly Configured Access Control Security Levels - (180)</t>
  </si>
  <si>
    <t>Exploiting Incorrectly Configured SSL Security Levels - (217)</t>
  </si>
  <si>
    <t>Exploiting Multiple Input Interpretation Layers - (43)</t>
  </si>
  <si>
    <t>Exploiting Trust in Client (aka Make the Client Invisible) - (22)</t>
  </si>
  <si>
    <t>Explore for predictable temporary file names - (149)</t>
  </si>
  <si>
    <t>External Entity Attack - (201)</t>
  </si>
  <si>
    <t>External Entity Attack - (221)</t>
  </si>
  <si>
    <t>Fake the Source of Data - (194)</t>
  </si>
  <si>
    <t>File Manipulation - (165)</t>
  </si>
  <si>
    <t>File System Function Injection, Content Based - (23)</t>
  </si>
  <si>
    <t>Filter Failure through Buffer Overflow - (24)</t>
  </si>
  <si>
    <t>Fingerprinting - (224)</t>
  </si>
  <si>
    <t>Fingerprinting Remote Operating Systems - (311)</t>
  </si>
  <si>
    <t>Flash Injection - (182)</t>
  </si>
  <si>
    <t>Flash File Overlay - (181)</t>
  </si>
  <si>
    <t>Flash Memory Attacks - (458)</t>
  </si>
  <si>
    <t>Flash Parameter Injection - (174)</t>
  </si>
  <si>
    <t>Footprinting - (169)</t>
  </si>
  <si>
    <t>Force the System to Reset Values - (166)</t>
  </si>
  <si>
    <t>Force Use of Corrupted Files - (263)</t>
  </si>
  <si>
    <t>Forced Deadlock - (25)</t>
  </si>
  <si>
    <t>Forced Integer Overflow - (92)</t>
  </si>
  <si>
    <t>Forceful Browsing - (87)</t>
  </si>
  <si>
    <t>Format String Injection - (135)</t>
  </si>
  <si>
    <t>Functionality Misuse - (212)</t>
  </si>
  <si>
    <t>Fuzzing - (28)</t>
  </si>
  <si>
    <t>Fuzzing and observing application log data/errors for application mapping - (215)</t>
  </si>
  <si>
    <t>Fuzzing for garnering (through web or log) other adjacent user/sensitive data as an authorized system user (overly broad but valid SQL queries) - (261)</t>
  </si>
  <si>
    <t>Fuzzing for garnering J2EE/.NET-based stack traces, for application mapping - (214)</t>
  </si>
  <si>
    <t>Generic Cross-Browser Cross-Domain Theft - (468)</t>
  </si>
  <si>
    <t>Global variable manipulation - (265)</t>
  </si>
  <si>
    <t>Hacking Hardware Devices or Components - (401)</t>
  </si>
  <si>
    <t>Harvesting Usernames or UserIDs via Application API Event Monitoring - (383)</t>
  </si>
  <si>
    <t>Hijacking a privileged process - (234)</t>
  </si>
  <si>
    <t>Hijacking a Privileged Thread of Execution - (30)</t>
  </si>
  <si>
    <t>Host Discovery - (292)</t>
  </si>
  <si>
    <t>HTTP DoS - (469)</t>
  </si>
  <si>
    <t>HTTP Parameter Pollution (HPP) - (460)</t>
  </si>
  <si>
    <t>HTTP Request Smuggling - (33)</t>
  </si>
  <si>
    <t>HTTP Request Splitting - (105)</t>
  </si>
  <si>
    <t>HTTP Response Smuggling - (273)</t>
  </si>
  <si>
    <t>HTTP Response Splitting - (34)</t>
  </si>
  <si>
    <t>HTTP Verb Tampering - (274)</t>
  </si>
  <si>
    <t>ICMP Address Mask Request - (294)</t>
  </si>
  <si>
    <t>ICMP Echo Request Ping - (285)</t>
  </si>
  <si>
    <t>ICMP Echo Request Ping - (288)</t>
  </si>
  <si>
    <t>Deprecated</t>
  </si>
  <si>
    <t>ICMP Error Message Echoing Integrity Probe - (330)</t>
  </si>
  <si>
    <t>ICMP Error Message Quoting Probe - (329)</t>
  </si>
  <si>
    <t>ICMP Fingerprinting Probes - (316)</t>
  </si>
  <si>
    <t>ICMP Information Request - (296)</t>
  </si>
  <si>
    <t>ICMP IP 'ID' Field Error Message Probe - (332)</t>
  </si>
  <si>
    <t>ICMP IP Total Length Field Probe - (331)</t>
  </si>
  <si>
    <t>ICMP Timestamp Request - (295)</t>
  </si>
  <si>
    <t>Identity Spoofing (Impersonation) - (151)</t>
  </si>
  <si>
    <t>iFrame Overlay - (222)</t>
  </si>
  <si>
    <t>IMAP/SMTP Command Injection - (183)</t>
  </si>
  <si>
    <t>Implementing a callback to system routine (old AWT Queue) - (235)</t>
  </si>
  <si>
    <t>Inducing Account Lockout - (2)</t>
  </si>
  <si>
    <t>Information Elicitation via Social Engineering - (410)</t>
  </si>
  <si>
    <t>Information Gathering from Non-Traditional Sources - (409)</t>
  </si>
  <si>
    <t>Information Gathering from Traditional Sources - (408)</t>
  </si>
  <si>
    <t>Infrastructure Manipulation - (161)</t>
  </si>
  <si>
    <t>Infrastructure-based footprinting - (289)</t>
  </si>
  <si>
    <t>Injection (Injecting Control Plane content through the Data Plane) - (152)</t>
  </si>
  <si>
    <t>Input Data Manipulation - (153)</t>
  </si>
  <si>
    <t>Integer Attacks - (128)</t>
  </si>
  <si>
    <t>Integrity Modification During Deployed Use - (440)</t>
  </si>
  <si>
    <t>Integrity Modification during Distribution - (439)</t>
  </si>
  <si>
    <t>Integrity Modification/Manipulation During Manufacture - (438)</t>
  </si>
  <si>
    <t>Inter-component Protocol Manipulation - (276)</t>
  </si>
  <si>
    <t>IP 'ID' Echoed Byte-Order Probe - (318)</t>
  </si>
  <si>
    <t>IP (DF) 'Don't Fragment Bit' Echoing Probe - (319)</t>
  </si>
  <si>
    <t>IP Fingerprinting Probes - (314)</t>
  </si>
  <si>
    <t>IP ID Sequencing Probe - (317)</t>
  </si>
  <si>
    <t>JSON Hijacking (aka JavaScript Hijacking) - (111)</t>
  </si>
  <si>
    <t>LDAP Injection - (136)</t>
  </si>
  <si>
    <t>Leverage Alternate Encoding - (267)</t>
  </si>
  <si>
    <t>Leverage Executable Code in Nonexecutable Files - (35)</t>
  </si>
  <si>
    <t>Leveraging Active Man in the Middle Attacks to Bypass Single Origin Policy - (466)</t>
  </si>
  <si>
    <t>Leveraging Race Conditions - (26)</t>
  </si>
  <si>
    <t>Leveraging Race Conditions via Symbolic Links - (27)</t>
  </si>
  <si>
    <t>Leveraging Time-of-Check and Time-of-Use (TOCTOU) Race Conditions - (29)</t>
  </si>
  <si>
    <t>Leveraging web tools (e.g. Mozilla's GreaseMonkey, Firebug) to change application behavior - (211)</t>
  </si>
  <si>
    <t>Leveraging/Manipulating Configuration File Search Paths - (38)</t>
  </si>
  <si>
    <t>Lifting cached, sensitive data embedded in client distributions (thick or thin) - (204)</t>
  </si>
  <si>
    <t>Lifting credential(s)/key material embedded in client distributions (thick or thin) - (205)</t>
  </si>
  <si>
    <t>Lifting Data Embedded in Client Distributions - (37)</t>
  </si>
  <si>
    <t>Lifting Sensitive Data from the Client - (167)</t>
  </si>
  <si>
    <t>Lifting signing key and signing malicious code from a production environment - (206)</t>
  </si>
  <si>
    <t>Local Code Inclusion - (251)</t>
  </si>
  <si>
    <t>Locate and Exploit Test APIs - (121)</t>
  </si>
  <si>
    <t>Lock Bumping - (392)</t>
  </si>
  <si>
    <t>Lock Picking - (393)</t>
  </si>
  <si>
    <t>Log Injection-Tampering-Forging - (93)</t>
  </si>
  <si>
    <t>Magnetic Strip Card Brute Force Attacks - (398)</t>
  </si>
  <si>
    <t>Malicious Automated Software Update - (187)</t>
  </si>
  <si>
    <t>Malicious Logic Inserted Into Product - (441)</t>
  </si>
  <si>
    <t>Malicious Logic Inserted Into Product Software - (442)</t>
  </si>
  <si>
    <t>Malicious Logic Inserted Into Product Software by Authorized Developer - (443)</t>
  </si>
  <si>
    <t>Malicious Logic Insertion into Product Hardware - (452)</t>
  </si>
  <si>
    <t>Malicious Logic Insertion into Product Memory - (456)</t>
  </si>
  <si>
    <t>Malicious Logic Insertion into Product Software during Update - (447)</t>
  </si>
  <si>
    <t>Malicious Logic Insertion into Product Software via Configuration Management Manipulation - (445)</t>
  </si>
  <si>
    <t>Malicious Logic Insertion into Product Software via Externally Manipulated Component - (444)</t>
  </si>
  <si>
    <t>Malicious Logic Insertion into Product Software via Inclusion of 3rd Party Component Dependency - (446)</t>
  </si>
  <si>
    <t>Malicious Logic Insertion via Counterfeit Hardware - (453)</t>
  </si>
  <si>
    <t>Malicious Logic Insertion via Inclusion of Counterfeit Hardware Components - (455)</t>
  </si>
  <si>
    <t>Malicious Software Download - (185)</t>
  </si>
  <si>
    <t>Malicious Software Update - (186)</t>
  </si>
  <si>
    <t>Malware Infection into Product Software - (448)</t>
  </si>
  <si>
    <t>Malware Propagation via Infected Peripheral Device - (451)</t>
  </si>
  <si>
    <t>Malware Propagation via USB Stick - (449)</t>
  </si>
  <si>
    <t>Malware Propagation via USB U3 Autorun - (450)</t>
  </si>
  <si>
    <t>Man in the Middle Attack - (94)</t>
  </si>
  <si>
    <t>Manipulate Application Registry Values - (203)</t>
  </si>
  <si>
    <t>Manipulate Canonicalization - (266)</t>
  </si>
  <si>
    <t>Manipulating hidden fields to change the normal flow of transactions (eShoplifting) - (162)</t>
  </si>
  <si>
    <t>Manipulating Input to File System Calls - (76)</t>
  </si>
  <si>
    <t>Manipulating Opaque Client-based Data Tokens - (39)</t>
  </si>
  <si>
    <t>Manipulating User State - (74)</t>
  </si>
  <si>
    <t>Manipulating User-Controlled Variables - (77)</t>
  </si>
  <si>
    <t>Manipulating Writeable Configuration Files - (75)</t>
  </si>
  <si>
    <t>Manipulating Writeable Terminal Devices - (40)</t>
  </si>
  <si>
    <t>Mechanism of Attack - (1000)</t>
  </si>
  <si>
    <t>Meta Abstractions - (282)</t>
  </si>
  <si>
    <t>MIME Conversion - (42)</t>
  </si>
  <si>
    <t>Mobile Phishing (aka MobPhishing) - (164)</t>
  </si>
  <si>
    <t>Modification of Existing Components with Counterfeit Hardware - (454)</t>
  </si>
  <si>
    <t>Navigation Remapping To Propagate Malicoius Content - (387)</t>
  </si>
  <si>
    <t>Network Reconnaissance - (286)</t>
  </si>
  <si>
    <t>Object Relational Mapping Injection - (109)</t>
  </si>
  <si>
    <t>OS Command Injection - (88)</t>
  </si>
  <si>
    <t>Overflow Binary Resource File - (44)</t>
  </si>
  <si>
    <t>Overflow Buffers - (100)</t>
  </si>
  <si>
    <t>Overflow Variables and Tags - (46)</t>
  </si>
  <si>
    <t>Oversized Payloads Sent to XML Parsers - (231)</t>
  </si>
  <si>
    <t>Padding Oracle Crypto Attack - (463)</t>
  </si>
  <si>
    <t>Parameter Injection - (137)</t>
  </si>
  <si>
    <t>Passing Local Filenames to Functions That Expect a URL - (48)</t>
  </si>
  <si>
    <t>Passive OS Fingerprinting - (313)</t>
  </si>
  <si>
    <t>Passively Sniff and Capture Application Code Bound for Authorized Client - (65)</t>
  </si>
  <si>
    <t>Passively Sniffing and Capturing Application Code Bound for an Authorized Client During Dynamic Update - (258)</t>
  </si>
  <si>
    <t>Passively Sniffing and Capturing Application Code Bound for an Authorized Client During Initial Distribution - (260)</t>
  </si>
  <si>
    <t>Passively Sniffing and Capturing Application Code Bound for an Authorized Client During Patching - (259)</t>
  </si>
  <si>
    <t>Password Brute Forcing - (49)</t>
  </si>
  <si>
    <t>Password Recovery Exploitation - (50)</t>
  </si>
  <si>
    <t>Path Traversal - (126)</t>
  </si>
  <si>
    <t>Pharming - (89)</t>
  </si>
  <si>
    <t>Phishing - (98)</t>
  </si>
  <si>
    <t>PHP Local File Inclusion - (252)</t>
  </si>
  <si>
    <t>PHP Remote File Inclusion - (193)</t>
  </si>
  <si>
    <t>Physical Security Attacks - (436)</t>
  </si>
  <si>
    <t>Pointer Attack - (129)</t>
  </si>
  <si>
    <t>Poison Web Service Registry - (51)</t>
  </si>
  <si>
    <t>Port Scanning - (300)</t>
  </si>
  <si>
    <t>Postfix, Null Terminate, and Backslash - (53)</t>
  </si>
  <si>
    <t>Pretexting - (411)</t>
  </si>
  <si>
    <t>Pretexting via Customer Service - (412)</t>
  </si>
  <si>
    <t>Pretexting via Delivery Person - (414)</t>
  </si>
  <si>
    <t>Pretexting via Phone - (415)</t>
  </si>
  <si>
    <t>Pretexting via Tech Support - (413)</t>
  </si>
  <si>
    <t>Principal Spoofing - (195)</t>
  </si>
  <si>
    <t>Privilege Escalation - (233)</t>
  </si>
  <si>
    <t>Probabilistic Techniques - (223)</t>
  </si>
  <si>
    <t>Probing an Application Through Targeting its Error Reporting - (54)</t>
  </si>
  <si>
    <t>Programming to included script-based APIs - (160)</t>
  </si>
  <si>
    <t>Protocol Manipulation - (272)</t>
  </si>
  <si>
    <t>Protocol Reverse Engineering - (192)</t>
  </si>
  <si>
    <t>Rainbow Table Password Cracking - (55)</t>
  </si>
  <si>
    <t>Read Sensitive Strings Within an Executable - (191)</t>
  </si>
  <si>
    <t>Recursive Payloads Sent to XML Parsers - (230)</t>
  </si>
  <si>
    <t>Redirect Access to Libraries - (159)</t>
  </si>
  <si>
    <t>Reflection Attack in Authentication Protocol - (90)</t>
  </si>
  <si>
    <t>Reflection Injection - (138)</t>
  </si>
  <si>
    <t>Registry Manipulation - (269)</t>
  </si>
  <si>
    <t>Relative Path Traversal - (139)</t>
  </si>
  <si>
    <t>Remote Code Inclusion - (253)</t>
  </si>
  <si>
    <t>Removal of filters: Input filters, output filters, data masking - (200)</t>
  </si>
  <si>
    <t>Removing Important Functionality from the Client - (207)</t>
  </si>
  <si>
    <t>Removing/short-circuiting 'guard logic' - (56)</t>
  </si>
  <si>
    <t>Removing/short-circuiting 'Purse' logic: removing/mutating 'cash' decrements - (208)</t>
  </si>
  <si>
    <t>Resource Depletion - (119)</t>
  </si>
  <si>
    <t>Resource Depletion through Allocation - (130)</t>
  </si>
  <si>
    <t>Resource Depletion through DTD Injection in a SOAP Message - (228)</t>
  </si>
  <si>
    <t>Resource Depletion through Flooding - (125)</t>
  </si>
  <si>
    <t>Resource Depletion through Leak - (131)</t>
  </si>
  <si>
    <t>Resource Injection - (240)</t>
  </si>
  <si>
    <t>Resource Location Attacks - (154)</t>
  </si>
  <si>
    <t>Resource Manipulation - (262)</t>
  </si>
  <si>
    <t>Restful Privilege Elevation - (58)</t>
  </si>
  <si>
    <t>Reusing Session IDs (aka Session Replay) - (60)</t>
  </si>
  <si>
    <t>Reverse Engineer an Executable to Expose Assumed Hidden Functionality or Content - (190)</t>
  </si>
  <si>
    <t>Reverse Engineering - (188)</t>
  </si>
  <si>
    <t>RFID Chip Deactivation or Destruction - (400)</t>
  </si>
  <si>
    <t>Scanning for Devices, Systems, or Routes - (309)</t>
  </si>
  <si>
    <t>Scanning for Vulnerable Software - (310)</t>
  </si>
  <si>
    <t>Schema Poisoning - (271)</t>
  </si>
  <si>
    <t>Screen Temporary Files for Sensitive Information - (155)</t>
  </si>
  <si>
    <t>Script Injection - (242)</t>
  </si>
  <si>
    <t>Server Side Include (SSI) Injection - (101)</t>
  </si>
  <si>
    <t>Session Credential Falsification through Forging - (196)</t>
  </si>
  <si>
    <t>Session Credential Falsification through Manipulation - (226)</t>
  </si>
  <si>
    <t>Session Credential Falsification through Prediction - (59)</t>
  </si>
  <si>
    <t>Session Fixation - (61)</t>
  </si>
  <si>
    <t>Session Sidejacking - (102)</t>
  </si>
  <si>
    <t>Simple Script Injection - (63)</t>
  </si>
  <si>
    <t>Sniffing Attacks - (157)</t>
  </si>
  <si>
    <t>Sniffing Information Sent Over Public/multicast Networks - (158)</t>
  </si>
  <si>
    <t>SOAP Array Overflow - (256)</t>
  </si>
  <si>
    <t>Soap Manipulation - (279)</t>
  </si>
  <si>
    <t>SOAP Parameter Tampering - (280)</t>
  </si>
  <si>
    <t>Social Engineering Attacks - (403)</t>
  </si>
  <si>
    <t>Social Information Gathering Attacks - (404)</t>
  </si>
  <si>
    <t>Social Information Gathering via Dumpster Diving - (406)</t>
  </si>
  <si>
    <t>Social Information Gathering via Pretexting - (407)</t>
  </si>
  <si>
    <t>Social Information Gathering via Research - (405)</t>
  </si>
  <si>
    <t>Socket Capable Browser Plugins Result In Transparent Proxy Abuse - (465)</t>
  </si>
  <si>
    <t>Software Integrity Attacks - (184)</t>
  </si>
  <si>
    <t>Software Reverse Engineering - (189)</t>
  </si>
  <si>
    <t>Spear Phishing - (163)</t>
  </si>
  <si>
    <t>Spoofing - (156)</t>
  </si>
  <si>
    <t>Spoofing of UDDI/ebXML Messages - (218)</t>
  </si>
  <si>
    <t>SQL Injection - (66)</t>
  </si>
  <si>
    <t>SQL Injection through SOAP Parameter Tampering - (110)</t>
  </si>
  <si>
    <t>Standard Abstractions - (283)</t>
  </si>
  <si>
    <t>String Format Overflow in syslog() - (67)</t>
  </si>
  <si>
    <t>Subversion of authorization checks: cache filtering, programmatic security, etc. - (239)</t>
  </si>
  <si>
    <t>Subvert Code-signing Facilities - (68)</t>
  </si>
  <si>
    <t>Subverting Environment Variable Values - (13)</t>
  </si>
  <si>
    <t>Supply Chain Attacks - (437)</t>
  </si>
  <si>
    <t>Symlink Attack - (132)</t>
  </si>
  <si>
    <t>Target Influence via Eye Cues - (429)</t>
  </si>
  <si>
    <t>Target Influence via Framing - (425)</t>
  </si>
  <si>
    <t>Target Influence via Instant Rapport - (435)</t>
  </si>
  <si>
    <t>Target Influence via Interview and Interrogation - (434)</t>
  </si>
  <si>
    <t>Target Influence via Manipulation of Incentives - (426)</t>
  </si>
  <si>
    <t>Target Influence via Micro-Expressions - (430)</t>
  </si>
  <si>
    <t>Target Influence via Modes of Thinking - (428)</t>
  </si>
  <si>
    <t>Target Influence via Neuro-Linguistic Programming (NLP) - (431)</t>
  </si>
  <si>
    <t>Target Influence via Perception of Authority - (421)</t>
  </si>
  <si>
    <t>Target Influence via Perception of Commitment and Consistency - (422)</t>
  </si>
  <si>
    <t>Target Influence via Perception of Concession - (419)</t>
  </si>
  <si>
    <t>Target Influence via Perception of Consensus or Social Proof - (424)</t>
  </si>
  <si>
    <t>Target Influence via Perception of Liking - (423)</t>
  </si>
  <si>
    <t>Target Influence via Perception of Obligation - (418)</t>
  </si>
  <si>
    <t>Target Influence via Perception of Reciprocation - (417)</t>
  </si>
  <si>
    <t>Target Influence via Perception of Scarcity - (420)</t>
  </si>
  <si>
    <t>Target Influence via Psychological Principles - (427)</t>
  </si>
  <si>
    <t>Target Influence via Social Engineering - (416)</t>
  </si>
  <si>
    <t>Target Influence via The Human Buffer Overflow - (433)</t>
  </si>
  <si>
    <t>Target Influence via Voice in NLP - (432)</t>
  </si>
  <si>
    <t>Target Programs with Elevated Privileges - (69)</t>
  </si>
  <si>
    <t>TCP 'RST' Flag Checksum Probe - (328)</t>
  </si>
  <si>
    <t>TCP (ISN) Counter Rate Probe - (323)</t>
  </si>
  <si>
    <t>TCP (ISN) Greatest Common Divisor Probe - (322)</t>
  </si>
  <si>
    <t>TCP (ISN) Sequence Predictability Probe - (324)</t>
  </si>
  <si>
    <t>TCP ACK Ping - (297)</t>
  </si>
  <si>
    <t>TCP ACK Scan - (305)</t>
  </si>
  <si>
    <t>TCP Congestion Control Flag (ECN) Probe - (325)</t>
  </si>
  <si>
    <t>TCP Connect Scan - (301)</t>
  </si>
  <si>
    <t>TCP FIN scan - (302)</t>
  </si>
  <si>
    <t>TCP Initial Window Size Probe - (326)</t>
  </si>
  <si>
    <t>TCP Null Scan - (304)</t>
  </si>
  <si>
    <t>TCP Options Probe - (327)</t>
  </si>
  <si>
    <t>TCP RPC Scan - (307)</t>
  </si>
  <si>
    <t>TCP Sequence Number Probe - (321)</t>
  </si>
  <si>
    <t>TCP SYN Ping - (299)</t>
  </si>
  <si>
    <t>TCP SYN Scan - (287)</t>
  </si>
  <si>
    <t>TCP Timestamp Probe - (320)</t>
  </si>
  <si>
    <t>TCP Window Scan - (306)</t>
  </si>
  <si>
    <t>TCP Xmas Scan - (303)</t>
  </si>
  <si>
    <t>TCP/IP Fingerprinting Probes - (315)</t>
  </si>
  <si>
    <t>Time and State Attacks - (172)</t>
  </si>
  <si>
    <t>Traceroute Route Enumeration - (293)</t>
  </si>
  <si>
    <t>Transaction or Event Tampering via Application API Manipulation - (385)</t>
  </si>
  <si>
    <t>Try All Common Application Switches and Options - (133)</t>
  </si>
  <si>
    <t>Try Common(default) Usernames and Passwords - (70)</t>
  </si>
  <si>
    <t>UDP Ping - (298)</t>
  </si>
  <si>
    <t>UDP Scan - (308)</t>
  </si>
  <si>
    <t>URL Encoding - (72)</t>
  </si>
  <si>
    <t>USB Memory Attacks - (457)</t>
  </si>
  <si>
    <t>User-Controlled Filename - (73)</t>
  </si>
  <si>
    <t>Using a Snap Gun Lock to Force a Lock - (394)</t>
  </si>
  <si>
    <t>Using Alternative IP Address Encodings - (4)</t>
  </si>
  <si>
    <t>Using Escaped Slashes in Alternate Encoding - (78)</t>
  </si>
  <si>
    <t>Using Leading 'Ghost' Character Sequences to Bypass Input Filters - (3)</t>
  </si>
  <si>
    <t>Using Meta-characters in E-mail Headers to Inject Malicious Payloads - (41)</t>
  </si>
  <si>
    <t>Using Slashes and URL Encoding Combined to Bypass Validation Logic - (64)</t>
  </si>
  <si>
    <t>Using Slashes in Alternate Encoding - (79)</t>
  </si>
  <si>
    <t>Using Unicode Encoding to Bypass Validation Logic - (71)</t>
  </si>
  <si>
    <t>Using Unpublished Web Service APIs - (36)</t>
  </si>
  <si>
    <t>Using URL/codebase / G.A.C. (code source) to convince sandbox of privilege - (238)</t>
  </si>
  <si>
    <t>Using UTF-8 Encoding to Bypass Validation Logic - (80)</t>
  </si>
  <si>
    <t>Utilizing REST's Trust in the System Resource to Register Man in the Middle - (57)</t>
  </si>
  <si>
    <t>Variable Manipulation - (171)</t>
  </si>
  <si>
    <t>Violating Implicit Assumptions Regarding XML Content (aka XML Denial of Service (XDoS)) - (82)</t>
  </si>
  <si>
    <t>WASC Threat Classification 2.0 - (333)</t>
  </si>
  <si>
    <t>WASC Threat Classification 2.0 - WASC-01 - Insufficient Authentication - (334)</t>
  </si>
  <si>
    <t>WASC Threat Classification 2.0 - WASC-02 - Insufficient Authorization - (335)</t>
  </si>
  <si>
    <t>WASC Threat Classification 2.0 - WASC-03 - Integer Overflows - (336)</t>
  </si>
  <si>
    <t>WASC Threat Classification 2.0 - WASC-04 - Insufficient Transport Layer Protection - (337)</t>
  </si>
  <si>
    <t>WASC Threat Classification 2.0 - WASC-05 - Remote File Inclusion - (338)</t>
  </si>
  <si>
    <t>WASC Threat Classification 2.0 - WASC-06 - Format String - (339)</t>
  </si>
  <si>
    <t>WASC Threat Classification 2.0 - WASC-07 - Buffer Overflow - (340)</t>
  </si>
  <si>
    <t>WASC Threat Classification 2.0 - WASC-08 - Cross-Site Scripting - (341)</t>
  </si>
  <si>
    <t>WASC Threat Classification 2.0 - WASC-09 - Cross-Site Request Forgery - (342)</t>
  </si>
  <si>
    <t>WASC Threat Classification 2.0 - WASC-10 - Denial of Service - (343)</t>
  </si>
  <si>
    <t>WASC Threat Classification 2.0 - WASC-11 - Brute Force - (344)</t>
  </si>
  <si>
    <t>WASC Threat Classification 2.0 - WASC-12 - Content Spoofing - (345)</t>
  </si>
  <si>
    <t>WASC Threat Classification 2.0 - WASC-13 - Information Leakage - (346)</t>
  </si>
  <si>
    <t>WASC Threat Classification 2.0 - WASC-14 - Server Misconfiguration - (347)</t>
  </si>
  <si>
    <t>WASC Threat Classification 2.0 - WASC-15 - Application Misconfiguration - (348)</t>
  </si>
  <si>
    <t>WASC Threat Classification 2.0 - WASC-16 - Directory Indexing - (349)</t>
  </si>
  <si>
    <t>WASC Threat Classification 2.0 - WASC-17 - Improper Filesystem Permissions - (350)</t>
  </si>
  <si>
    <t>WASC Threat Classification 2.0 - WASC-18 - Credential/Session Prediction - (351)</t>
  </si>
  <si>
    <t>WASC Threat Classification 2.0 - WASC-19 - SQL Injection - (352)</t>
  </si>
  <si>
    <t>WASC Threat Classification 2.0 - WASC-20 - Improper Input Handling - (353)</t>
  </si>
  <si>
    <t>WASC Threat Classification 2.0 - WASC-21 - Insufficient Anti-automation - (354)</t>
  </si>
  <si>
    <t>WASC Threat Classification 2.0 - WASC-22 - Improper Output Handling - (355)</t>
  </si>
  <si>
    <t>WASC Threat Classification 2.0 - WASC-23 - XML Injection - (356)</t>
  </si>
  <si>
    <t>WASC Threat Classification 2.0 - WASC-24 - HTTP Request Splitting - (357)</t>
  </si>
  <si>
    <t>WASC Threat Classification 2.0 - WASC-25 - HTTP Response Splitting - (358)</t>
  </si>
  <si>
    <t>WASC Threat Classification 2.0 - WASC-26 - HTTP Request Smuggling - (359)</t>
  </si>
  <si>
    <t>WASC Threat Classification 2.0 - WASC-27 - HTTP Response Smuggling - (360)</t>
  </si>
  <si>
    <t>WASC Threat Classification 2.0 - WASC-28 - Null Byte Injection - (361)</t>
  </si>
  <si>
    <t>WASC Threat Classification 2.0 - WASC-29 - LDAP Injection - (362)</t>
  </si>
  <si>
    <t>WASC Threat Classification 2.0 - WASC-30 - Mail Command Injection - (363)</t>
  </si>
  <si>
    <t>WASC Threat Classification 2.0 - WASC-31 - OS Commanding - (364)</t>
  </si>
  <si>
    <t>WASC Threat Classification 2.0 - WASC-32 - Routing Detour - (365)</t>
  </si>
  <si>
    <t>WASC Threat Classification 2.0 - WASC-33 - Path Traversal - (366)</t>
  </si>
  <si>
    <t>WASC Threat Classification 2.0 - WASC-34 - Predictable Resource Location - (367)</t>
  </si>
  <si>
    <t>WASC Threat Classification 2.0 - WASC-35 - SOAP Array Abuse - (368)</t>
  </si>
  <si>
    <t>WASC Threat Classification 2.0 - WASC-36 - SSI Injection - (369)</t>
  </si>
  <si>
    <t>WASC Threat Classification 2.0 - WASC-37 - Session Fixation - (370)</t>
  </si>
  <si>
    <t>WASC Threat Classification 2.0 - WASC-38 - URL Redirector Abuse - (371)</t>
  </si>
  <si>
    <t>WASC Threat Classification 2.0 - WASC-39 - XPath Injection - (372)</t>
  </si>
  <si>
    <t>WASC Threat Classification 2.0 - WASC-40 - Insufficient Process Validation - (373)</t>
  </si>
  <si>
    <t>WASC Threat Classification 2.0 - WASC-41 - XML Attribute Blowup - (374)</t>
  </si>
  <si>
    <t>WASC Threat Classification 2.0 - WASC-42 - Abuse of Functionality - (375)</t>
  </si>
  <si>
    <t>WASC Threat Classification 2.0 - WASC-43 - XML External Entities - (376)</t>
  </si>
  <si>
    <t>WASC Threat Classification 2.0 - WASC-44 - XML Entity Expansion - (377)</t>
  </si>
  <si>
    <t>WASC Threat Classification 2.0 - WASC-45 - Fingerprinting - (378)</t>
  </si>
  <si>
    <t>WASC Threat Classification 2.0 - WASC-46 - XQuery Injection - (379)</t>
  </si>
  <si>
    <t>WASC Threat Classification 2.0 - WASC-47 - Insufficient Session Expiration - (380)</t>
  </si>
  <si>
    <t>WASC Threat Classification 2.0 - WASC-48 - Insecure Indexing - (381)</t>
  </si>
  <si>
    <t>WASC Threat Classification 2.0 - WASC-49 - Insufficient Password Recovery - (382)</t>
  </si>
  <si>
    <t>Web Logs Tampering - (81)</t>
  </si>
  <si>
    <t>Web Server/Application Fingerprinting - (170)</t>
  </si>
  <si>
    <t>Web Services API Signature Forgery Leveraging Hash Function Extension Weakness - (461)</t>
  </si>
  <si>
    <t>Web Services Protocol Manipulation - (278)</t>
  </si>
  <si>
    <t>Windows ::DATA Alternate Data Stream - (168)</t>
  </si>
  <si>
    <t>WSDL Scanning - (95)</t>
  </si>
  <si>
    <t>XEE (XML Entity Expansion) - (197)</t>
  </si>
  <si>
    <t>XML Routing Detour Attacks - (219)</t>
  </si>
  <si>
    <t>XML Attribute Blowup - (229)</t>
  </si>
  <si>
    <t>XML Injection - (250)</t>
  </si>
  <si>
    <t>XML Parser Attack - (99)</t>
  </si>
  <si>
    <t>XML Ping of the Death - (147)</t>
  </si>
  <si>
    <t>XML Schema Poisoning - (146)</t>
  </si>
  <si>
    <t>XPath Injection - (83)</t>
  </si>
  <si>
    <t>XQuery Injection - (84)</t>
  </si>
  <si>
    <t>XSS in IMG Tags - (91)</t>
  </si>
  <si>
    <t>(See CAPEC Tab)</t>
  </si>
  <si>
    <t>Product Name</t>
  </si>
  <si>
    <t>-</t>
  </si>
  <si>
    <t>ePO Deep Command</t>
  </si>
  <si>
    <t>McAfee</t>
  </si>
  <si>
    <t>NA</t>
  </si>
  <si>
    <t>VirusScan Enterprise Linux</t>
  </si>
  <si>
    <t>Verb</t>
  </si>
  <si>
    <t>Noun</t>
  </si>
  <si>
    <t>Hints:</t>
  </si>
  <si>
    <t>obtain sensitive information</t>
  </si>
  <si>
    <t>execute arbitrary commands</t>
  </si>
  <si>
    <t>a crafted certificate</t>
  </si>
  <si>
    <t>spoof servers</t>
  </si>
  <si>
    <t>execute arbitrary code or cause a denial of service (memory corruption)</t>
  </si>
  <si>
    <t>bypass JavaScript API execution restrictions</t>
  </si>
  <si>
    <t>a crafted web site</t>
  </si>
  <si>
    <t>bypass the Same Origin Policy</t>
  </si>
  <si>
    <t>cause a denial of service (use-after-free) or possibly have unspecified other impact</t>
  </si>
  <si>
    <t>Guidance:</t>
  </si>
  <si>
    <t>SB10054</t>
  </si>
  <si>
    <t>A write protection and execution bypass vulnerability</t>
  </si>
  <si>
    <t>How to Enter Data:</t>
  </si>
  <si>
    <t>authenticated users</t>
  </si>
  <si>
    <t>specific conditions</t>
  </si>
  <si>
    <t>change binaries that are part of the Application Control whitelist and allows execution of binaries</t>
  </si>
  <si>
    <t>change files that are part of write protection rules</t>
  </si>
  <si>
    <t>CVE-2014-nnnn</t>
  </si>
  <si>
    <t>Year</t>
  </si>
  <si>
    <t>Author(s)</t>
  </si>
  <si>
    <t>Stephen Jordan &amp; Harold Toomey</t>
  </si>
  <si>
    <t>N</t>
  </si>
  <si>
    <t>SB10056</t>
  </si>
  <si>
    <t>SB10061</t>
  </si>
  <si>
    <t>SB10065</t>
  </si>
  <si>
    <t>SB10067</t>
  </si>
  <si>
    <t>SB10077</t>
  </si>
  <si>
    <t>SB10080</t>
  </si>
  <si>
    <t>SB10087</t>
  </si>
  <si>
    <t>SB10089</t>
  </si>
  <si>
    <t>SB10095</t>
  </si>
  <si>
    <t>SB10096</t>
  </si>
  <si>
    <t>SB10097</t>
  </si>
  <si>
    <t>SB10099</t>
  </si>
  <si>
    <t>SB10101</t>
  </si>
  <si>
    <t>SB10111</t>
  </si>
  <si>
    <t>SB10112</t>
  </si>
  <si>
    <t>CVE-2013-nnnn</t>
  </si>
  <si>
    <t>CVE-2015-nnnn</t>
  </si>
  <si>
    <t>A directory traversal vulnerability</t>
  </si>
  <si>
    <t>XML entity injection vulnerability</t>
  </si>
  <si>
    <t>Vulnerability Manager for Databases (DVM)</t>
  </si>
  <si>
    <t>Database Activity Monitoring (DAM)</t>
  </si>
  <si>
    <t>Enterprise Policy Orchestrator (ePO)</t>
  </si>
  <si>
    <t>Network Security Management (NSM)</t>
  </si>
  <si>
    <t>GUI</t>
  </si>
  <si>
    <t>appliances</t>
  </si>
  <si>
    <t>file</t>
  </si>
  <si>
    <t>cloud</t>
  </si>
  <si>
    <t>server</t>
  </si>
  <si>
    <t>client</t>
  </si>
  <si>
    <t>4.4.5 and earlier</t>
  </si>
  <si>
    <t>http://cve.mitre.org/cgi-bin/cvename.cgi?name=CVE-2016-1111</t>
  </si>
  <si>
    <t>https://web.nvd.nist.gov/view/vuln/detail?vulnId=CVE-2016-1111</t>
  </si>
  <si>
    <t>Name Type</t>
  </si>
  <si>
    <t>Phrasing</t>
  </si>
  <si>
    <t>Example</t>
  </si>
  <si>
    <t>Notepad (formerly WordPad)</t>
  </si>
  <si>
    <t>Vendor Name</t>
  </si>
  <si>
    <t>Typo</t>
  </si>
  <si>
    <t>Capitalization</t>
  </si>
  <si>
    <t>Alternate Name</t>
  </si>
  <si>
    <t>Acronyms</t>
  </si>
  <si>
    <t>Change in Name</t>
  </si>
  <si>
    <t>[PRODUCT_NAME] (formerly [OLD_NAME])</t>
  </si>
  <si>
    <t>Shared Code-base</t>
  </si>
  <si>
    <t>Bundled</t>
  </si>
  <si>
    <t>Platforms</t>
  </si>
  <si>
    <t>Put in keywords</t>
  </si>
  <si>
    <t>N/A</t>
  </si>
  <si>
    <t>Miscrosoft Notepad</t>
  </si>
  <si>
    <t>[PRODUCT_NAME]</t>
  </si>
  <si>
    <t>Notepad</t>
  </si>
  <si>
    <t>Use the same as vendor</t>
  </si>
  <si>
    <t>NotePad</t>
  </si>
  <si>
    <t>[PRODUCT_NAME] (aka [ALT_NAME])</t>
  </si>
  <si>
    <t>Notepad (aka WordPad)</t>
  </si>
  <si>
    <t>[PRODUCT_NAME] ([ACRONYM])</t>
  </si>
  <si>
    <t>Notepad (NP)</t>
  </si>
  <si>
    <t>[PRODUCT_NAME] and [OTHER_PRODUCT_NAME]</t>
  </si>
  <si>
    <t>Notepad and WordPad</t>
  </si>
  <si>
    <t>[PRODUCT_NAME], as used in [BUNDLING_PRODUCT]</t>
  </si>
  <si>
    <t>Notepad, as used in WordPad</t>
  </si>
  <si>
    <t>[PRODUCT_NAME] [COMPONENT_TYPE] for [PLATFORM]</t>
  </si>
  <si>
    <t>Notepad component for WordPad</t>
  </si>
  <si>
    <t>[VENDOR_NAME] [PRODUCT_NAME]</t>
  </si>
  <si>
    <t>[PRODUCT] Examples</t>
  </si>
  <si>
    <t>[VERSION] Examples</t>
  </si>
  <si>
    <t>Information available</t>
  </si>
  <si>
    <t>Example Disclosure Phrasing</t>
  </si>
  <si>
    <t>CVE Phrasing</t>
  </si>
  <si>
    <t>CVE Example</t>
  </si>
  <si>
    <t>CVE Example with multiple versions</t>
  </si>
  <si>
    <t>List vulnerable version(s)</t>
  </si>
  <si>
    <t>Tested: 1.2.3</t>
  </si>
  <si>
    <t>The version</t>
  </si>
  <si>
    <t>1.2.3</t>
  </si>
  <si>
    <t>1.2.3, 2.3.1, and 3.1.2</t>
  </si>
  <si>
    <t>Vulnerable version(s) with indications earlier versions are affect</t>
  </si>
  <si>
    <t>Tested 1.2.3. Earlier versions are affected.</t>
  </si>
  <si>
    <t>use "and earlier" after the version</t>
  </si>
  <si>
    <t>1.2.3, 2.3.1, 3.1.2, and earlier</t>
  </si>
  <si>
    <t>Fixed/updated version(s)</t>
  </si>
  <si>
    <t>Fixed in 1.2.3</t>
  </si>
  <si>
    <t>use "before" before the version</t>
  </si>
  <si>
    <t>before 1.2.3</t>
  </si>
  <si>
    <t>before 1.2.3, 2.x before 2.3.1, and 3.x before 3.1.2</t>
  </si>
  <si>
    <t>Vulnerable range (e.g. listed min and max version or list of consecutive versions)</t>
  </si>
  <si>
    <t xml:space="preserve"> 1.2.3 to 2.3.1 or Tested: 2.3.1. Introduced in 1.2.3</t>
  </si>
  <si>
    <t>use "through" between min and max</t>
  </si>
  <si>
    <t>1.2.1 through 1.2.3</t>
  </si>
  <si>
    <t>1.2.1 through 1.2.3 and 2.0.1 through 2.3.1</t>
  </si>
  <si>
    <t>Vulnerable version with indications later versions are affected</t>
  </si>
  <si>
    <t>1.2.3 and later</t>
  </si>
  <si>
    <t>no official phrasing</t>
  </si>
  <si>
    <t>Starting "v"</t>
  </si>
  <si>
    <t>v1.2.3</t>
  </si>
  <si>
    <t>do not include the v</t>
  </si>
  <si>
    <t>Mixed version information</t>
  </si>
  <si>
    <t>use the version phrasing where appropriate</t>
  </si>
  <si>
    <t>1.2.3, 2.0.3 before 2.3.1, and 3.0.1 through 3.1.2</t>
  </si>
  <si>
    <t>Multiple Products</t>
  </si>
  <si>
    <t>Product A 1.2.3 and Product B 2.3.4</t>
  </si>
  <si>
    <t>versions follows product names</t>
  </si>
  <si>
    <t>Product A 1.2.3 and Product B 4.5.6</t>
  </si>
  <si>
    <t>Product A 1.2.3, 2.3.1, and 3.2.1 and Product B 4.5.6, 5.6.4, and 6.5.4</t>
  </si>
  <si>
    <t>1.2.3 and earlier</t>
  </si>
  <si>
    <t>6.1.0 for Linux and earlier</t>
  </si>
  <si>
    <t>See Rules Tab</t>
  </si>
  <si>
    <t>7.1.15, 6.1.15, and earlier</t>
  </si>
  <si>
    <t>Unauthorized execution of binary vulnerability</t>
  </si>
  <si>
    <t>a specific set of circumstances</t>
  </si>
  <si>
    <t>create a malformed Windows binary that is considered non-executable and is not protected through the whitelisting protection feature</t>
  </si>
  <si>
    <t>6.0.0 before hotfix 9726, 6.0.1 before hotfix 9068, 6.1.0 before hotfix 692, 6.1.1 before hotfix 399, 6.1.2 before hotfix 426, and 6.1.3 before hotfix 357 and earlier</t>
  </si>
  <si>
    <t>Application Control (MAC)</t>
  </si>
  <si>
    <t>Change Control (MCC)</t>
  </si>
  <si>
    <t>Pick [VULNTYPE] or [ROOT CAUSE]</t>
  </si>
  <si>
    <t>Vulnerability Manager (MVM)</t>
  </si>
  <si>
    <t>SaaS Control Console (SCC) Platform</t>
  </si>
  <si>
    <t>6.14 before patch 1070, and 6.15 before patch 1076</t>
  </si>
  <si>
    <t>unauthenticated users</t>
  </si>
  <si>
    <t>a null-byte injection exploit</t>
  </si>
  <si>
    <t>view contents of arbitrary system files that did not have file system level read access restrictions</t>
  </si>
  <si>
    <t>7.0.11 before hotfix 7.0.11.05002_EM, 7.5.4 before hotfix 7.5.4.05007_EM, and 7.5.5 before hotfix 7.5.5.05002_EM</t>
  </si>
  <si>
    <t>modification of the HTTP request</t>
  </si>
  <si>
    <t>allow arbitrary HTML code to be reflected in the response web page</t>
  </si>
  <si>
    <t>the import and export framework used for dashboards, queries, reports and server tasks</t>
  </si>
  <si>
    <t>4.6.7 before hotfix 940148 and earlier</t>
  </si>
  <si>
    <t>importation of malicious XML definitions</t>
  </si>
  <si>
    <t>read a large number of server side system files, including the database configuration properties to further other attacks</t>
  </si>
  <si>
    <t>decrypt messages</t>
  </si>
  <si>
    <t>a skeleton key</t>
  </si>
  <si>
    <t>Information disclosure vulnerability</t>
  </si>
  <si>
    <t>Web Gateway (MWG)</t>
  </si>
  <si>
    <t>7.3.2.8, 7.4.1.3, and earlier</t>
  </si>
  <si>
    <t>authenticated users on authorized accounts</t>
  </si>
  <si>
    <t>read hashed administrator passwords</t>
  </si>
  <si>
    <t>Cloud Analysis and Deconstructive Services (CADS)</t>
  </si>
  <si>
    <t>1.0.0.3x, 1.0.0.4d and earlier</t>
  </si>
  <si>
    <t>a configuration error</t>
  </si>
  <si>
    <t>remote unauthenticated users</t>
  </si>
  <si>
    <t>view, add, and remove users</t>
  </si>
  <si>
    <t>Brute-force password attack vulnerability</t>
  </si>
  <si>
    <t>Endpoint Encryption for Files and Folders (EEFF)</t>
  </si>
  <si>
    <t>4.3.0.x</t>
  </si>
  <si>
    <t>3.2.x, 4.0.x, 4.1.x, and 4.2.x</t>
  </si>
  <si>
    <t>How</t>
  </si>
  <si>
    <t>the non-certificate-based authentication mechanism</t>
  </si>
  <si>
    <t>Who</t>
  </si>
  <si>
    <t>What</t>
  </si>
  <si>
    <t>crack user passwords</t>
  </si>
  <si>
    <t xml:space="preserve">a brute-force attack </t>
  </si>
  <si>
    <t>4.6.8, 5.1.1, and earlier</t>
  </si>
  <si>
    <t>injecting malicious XML definitions</t>
  </si>
  <si>
    <t>Metasploit credential disclosure vulnerability</t>
  </si>
  <si>
    <t>read a large number of ePO server side system files, including the database configuration properties, to further other attacks</t>
  </si>
  <si>
    <t>Metasploit after a successful XML entity injection attack</t>
  </si>
  <si>
    <t>the custom filter feature</t>
  </si>
  <si>
    <t>the RSA BSafe Dual Elliptic Curve DRBG algorithm used</t>
  </si>
  <si>
    <t>viewing the top level Accounts tab</t>
  </si>
  <si>
    <t>Advanced Threat Defense (MATD)</t>
  </si>
  <si>
    <t>hardware appliances</t>
  </si>
  <si>
    <t>specially crafted malware</t>
  </si>
  <si>
    <t>3.4.2.32 and earlier</t>
  </si>
  <si>
    <t>Sandbox detection evasion vulnerability</t>
  </si>
  <si>
    <t>detect the sandbox environment, then bypass proper malware detection resulting in failure to detect a malware file (false-negative)</t>
  </si>
  <si>
    <t>Data Loss Prevention Endpoint (DLPe)</t>
  </si>
  <si>
    <t>9.3.300 and earlier</t>
  </si>
  <si>
    <t>Privilege escalation vulnerability</t>
  </si>
  <si>
    <t>File and Removable Media Protection (FRP, formerly EEFF)</t>
  </si>
  <si>
    <t>gain elevated privileges on Windows XP</t>
  </si>
  <si>
    <t>sending specifically crafted commands to a Windows kernel driver</t>
  </si>
  <si>
    <t>the agent</t>
  </si>
  <si>
    <t xml:space="preserve"> Reflected cross site scripting (XSS) vulnerability</t>
  </si>
  <si>
    <t>Email Gateway (MEG)</t>
  </si>
  <si>
    <t>5.6, 7.0.5, 7.5.5, 7.6.3.1, and earlier</t>
  </si>
  <si>
    <t>secure web mail client user interface</t>
  </si>
  <si>
    <t>certain tokens in digest messages that are not escaped</t>
  </si>
  <si>
    <t>view and compose secure emails</t>
  </si>
  <si>
    <t>Agent (MA)</t>
  </si>
  <si>
    <t>4.8.0 patch 2 and earlier</t>
  </si>
  <si>
    <t>Before March 2015: McAfee
Afterwards: Intel Security</t>
  </si>
  <si>
    <t>McAfee Agent migration to another ePO server</t>
  </si>
  <si>
    <t>make a McAfee Agent talk with another, possibly rogue, ePO server</t>
  </si>
  <si>
    <t>non-Mac OS agents</t>
  </si>
  <si>
    <t>9.3.400 and earlier</t>
  </si>
  <si>
    <t>Cross site scripting (XSS) vulnerability</t>
  </si>
  <si>
    <t>exploit or harm a user’s browser</t>
  </si>
  <si>
    <t>injecting malicious JavaScript into a user’s browsing session</t>
  </si>
  <si>
    <t>a denial of service attack</t>
  </si>
  <si>
    <t>perform unauthorized tasks such as retrieving internal system information or manipulating the database</t>
  </si>
  <si>
    <t>specially crafted URLs</t>
  </si>
  <si>
    <t>Unauthorized feature access vulnerability</t>
  </si>
  <si>
    <t>Cross site request forgery (XSRF) vulnerability</t>
  </si>
  <si>
    <t>Man-in-the-middle (MitM) attack vulnerability</t>
  </si>
  <si>
    <t>Denial of service (DoS) vulnerability</t>
  </si>
  <si>
    <t>disclose sensitive information or manipulate the database</t>
  </si>
  <si>
    <t>a cross site request forgery attack</t>
  </si>
  <si>
    <t>McAfee Advanced Threat Defense (MATD)</t>
  </si>
  <si>
    <t>3.4.4.14 and earlier</t>
  </si>
  <si>
    <t>appliance web interface</t>
  </si>
  <si>
    <t>view configuration information in plain text format</t>
  </si>
  <si>
    <t>Configuration information exposure</t>
  </si>
  <si>
    <t>Cross site request forgery (CSRF) vulnerability</t>
  </si>
  <si>
    <t>the web interface</t>
  </si>
  <si>
    <t>the ePO extension</t>
  </si>
  <si>
    <t>loose enforcement of authentication and authorization</t>
  </si>
  <si>
    <t>view confidential information</t>
  </si>
  <si>
    <t>Application protections bypass vulnerability</t>
  </si>
  <si>
    <t>expose confidential data</t>
  </si>
  <si>
    <t>change or update any configuration settings, or gain administrator functionality</t>
  </si>
  <si>
    <t>manipulation of some parameters</t>
  </si>
  <si>
    <t>Actual CVE Description Submitted (if different)</t>
  </si>
  <si>
    <t>The administrative user interface</t>
  </si>
  <si>
    <t>administrator</t>
  </si>
  <si>
    <t>Intel Security (formerly McAfee)</t>
  </si>
  <si>
    <t>a potentially compromised algorithm</t>
  </si>
  <si>
    <t>Dup</t>
  </si>
  <si>
    <t xml:space="preserve">https://kc.mcafee.com/corporate/index?page=content&amp;id=SB10054
http://www.kb.cert.org/vuls/id/274923 
https://support.emc.com/docu38558_EMC-Security-Advisories-All-EMC-Products---Current-Year.pdf </t>
  </si>
  <si>
    <t>the web application</t>
  </si>
  <si>
    <t>Ethics Rules</t>
  </si>
  <si>
    <t>Never include a person's name in the CVE</t>
  </si>
  <si>
    <t>Edward Snowden NSA leak …</t>
  </si>
  <si>
    <t>Example:</t>
  </si>
  <si>
    <t>Never put classified info into a CVE</t>
  </si>
  <si>
    <t>Justification:</t>
  </si>
  <si>
    <t>Readers must inform U.S. Government any time they believe they have seen unauthorized classified information</t>
  </si>
  <si>
    <t>Do not use the word "exposure" in [VULNTYPE]</t>
  </si>
  <si>
    <t>Describe in [IMPACT] instead</t>
  </si>
  <si>
    <t>[COMPONENT] usually starts with "the" but not always</t>
  </si>
  <si>
    <t>McAfee (now Intel Security)</t>
  </si>
  <si>
    <t>[ATTACKER] Examples</t>
  </si>
  <si>
    <t>unauthenticated users --&gt; Attackers</t>
  </si>
  <si>
    <t>remote unauthenticated users --&gt; remote attackers</t>
  </si>
  <si>
    <t>authenticated administrator users --&gt; administrator</t>
  </si>
  <si>
    <t>[VENDOR] Examples</t>
  </si>
  <si>
    <t>[IMPACT] Examples</t>
  </si>
  <si>
    <t>[VECTOR] Examples</t>
  </si>
  <si>
    <t>a crafted serialized Java object</t>
  </si>
  <si>
    <t>[COMPONENT] Examples</t>
  </si>
  <si>
    <t>the GUI</t>
  </si>
  <si>
    <t>Definitions</t>
  </si>
  <si>
    <r>
      <t xml:space="preserve">• </t>
    </r>
    <r>
      <rPr>
        <b/>
        <sz val="11"/>
        <color theme="1"/>
        <rFont val="Calibri"/>
        <family val="2"/>
        <scheme val="minor"/>
      </rPr>
      <t>Component</t>
    </r>
    <r>
      <rPr>
        <sz val="11"/>
        <color theme="1"/>
        <rFont val="Calibri"/>
        <family val="2"/>
        <scheme val="minor"/>
      </rPr>
      <t xml:space="preserve"> – Part of the product
– Trigger point – The part of the product where the
error occurs (may be multiple places)
– Interaction point – The part of the product that
accepts the vectors
– Neither are a requirement. You can skip them if there
is no information for them.</t>
    </r>
  </si>
  <si>
    <r>
      <t xml:space="preserve">• </t>
    </r>
    <r>
      <rPr>
        <b/>
        <sz val="11"/>
        <color theme="1"/>
        <rFont val="Calibri"/>
        <family val="2"/>
        <scheme val="minor"/>
      </rPr>
      <t>Vector</t>
    </r>
    <r>
      <rPr>
        <sz val="11"/>
        <color theme="1"/>
        <rFont val="Calibri"/>
        <family val="2"/>
        <scheme val="minor"/>
      </rPr>
      <t xml:space="preserve"> – The inputs and/or processes required to
exploit the vulnerability</t>
    </r>
  </si>
  <si>
    <t>Dot Notations</t>
  </si>
  <si>
    <t>• Ex: CVE-0000-0000</t>
  </si>
  <si>
    <t>• Not all lists use dot notation.</t>
  </si>
  <si>
    <t>• We don’t use dot notation for:</t>
  </si>
  <si>
    <t>– Products</t>
  </si>
  <si>
    <t>– Versions</t>
  </si>
  <si>
    <t>– Attackers</t>
  </si>
  <si>
    <r>
      <t xml:space="preserve">– </t>
    </r>
    <r>
      <rPr>
        <sz val="11"/>
        <color rgb="FFFF0000"/>
        <rFont val="Calibri"/>
        <family val="2"/>
        <scheme val="minor"/>
      </rPr>
      <t>CVE-0000-0000.1</t>
    </r>
    <r>
      <rPr>
        <sz val="11"/>
        <color theme="1"/>
        <rFont val="Calibri"/>
        <family val="2"/>
        <scheme val="minor"/>
      </rPr>
      <t xml:space="preserve"> vs </t>
    </r>
    <r>
      <rPr>
        <sz val="11"/>
        <color rgb="FFFF0000"/>
        <rFont val="Calibri"/>
        <family val="2"/>
        <scheme val="minor"/>
      </rPr>
      <t>CVE-0000-0000.2</t>
    </r>
  </si>
  <si>
    <t>• When we merge multiple vulnerabilities, we want to give them a number so that we can reference the individual vulnerabilities.</t>
  </si>
  <si>
    <t>• Impacts only receive dot notation when it is believed that they indicate multiple vulnerabilities, e.g. CSRF vulns.</t>
  </si>
  <si>
    <r>
      <t>– Multiple cross-site scripting (XSS) vulnerabilities in Product 1.0 allow remote attackers to inject arbitrary web script or HTML via the id parameter to</t>
    </r>
    <r>
      <rPr>
        <sz val="11"/>
        <color rgb="FFFF0000"/>
        <rFont val="Calibri"/>
        <family val="2"/>
        <scheme val="minor"/>
      </rPr>
      <t xml:space="preserve"> (1) comp1.html</t>
    </r>
    <r>
      <rPr>
        <sz val="11"/>
        <color theme="1"/>
        <rFont val="Calibri"/>
        <family val="2"/>
        <scheme val="minor"/>
      </rPr>
      <t xml:space="preserve"> or </t>
    </r>
    <r>
      <rPr>
        <sz val="11"/>
        <color rgb="FFFF0000"/>
        <rFont val="Calibri"/>
        <family val="2"/>
        <scheme val="minor"/>
      </rPr>
      <t>(2) comp2.html</t>
    </r>
  </si>
  <si>
    <t>SB10115</t>
  </si>
  <si>
    <t>SB10117</t>
  </si>
  <si>
    <t>SB10127</t>
  </si>
  <si>
    <t>SB10133</t>
  </si>
  <si>
    <t>SB10144</t>
  </si>
  <si>
    <t>SB10149</t>
  </si>
  <si>
    <t>SB10151</t>
  </si>
  <si>
    <t>SB10153</t>
  </si>
  <si>
    <t>SB10158</t>
  </si>
  <si>
    <t>SB10161</t>
  </si>
  <si>
    <t>CVE-2017-nnnn</t>
  </si>
  <si>
    <t>SB101xx</t>
  </si>
  <si>
    <t>Integrated Performance Primitives (IPP) Cryptography</t>
  </si>
  <si>
    <t>a potential side-channel</t>
  </si>
  <si>
    <t>9 and earlier</t>
  </si>
  <si>
    <t>A vulnerability</t>
  </si>
  <si>
    <t>A vulnerability in Intel Integrated Performance Primitives (IPP) Cryptography 9 and earlier allows local users to recover RSA private key via a potential side-channel.</t>
  </si>
  <si>
    <t>CVE-2016-8001</t>
  </si>
  <si>
    <t>CVE-2016-8002</t>
  </si>
  <si>
    <t>CVE-2016-8003</t>
  </si>
  <si>
    <t>CVE-2016-8004</t>
  </si>
  <si>
    <t>CVE-2016-8005</t>
  </si>
  <si>
    <t>CVE-2016-8006</t>
  </si>
  <si>
    <t>CVE-2016-8007</t>
  </si>
  <si>
    <t>CVE-2016-8008</t>
  </si>
  <si>
    <t>CVE-2016-8009</t>
  </si>
  <si>
    <t>CVE-2016-8010</t>
  </si>
  <si>
    <t>CVE-2016-8011</t>
  </si>
  <si>
    <t>CVE-2016-8012</t>
  </si>
  <si>
    <t>CVE-2016-8013</t>
  </si>
  <si>
    <t>CVE-2016-8014</t>
  </si>
  <si>
    <t>CVE-2016-8015</t>
  </si>
  <si>
    <t>CVE-2016-8016</t>
  </si>
  <si>
    <t>CVE-2016-8017</t>
  </si>
  <si>
    <t>CVE-2016-8018</t>
  </si>
  <si>
    <t>CVE-2016-8019</t>
  </si>
  <si>
    <t>CVE-2016-8020</t>
  </si>
  <si>
    <t>CVE-2016-8021</t>
  </si>
  <si>
    <t>CVE-2016-8022</t>
  </si>
  <si>
    <t>CVE-2016-8023</t>
  </si>
  <si>
    <t>CVE-2016-8024</t>
  </si>
  <si>
    <t>CVE-2016-8025</t>
  </si>
  <si>
    <t>CVE-2016-8026</t>
  </si>
  <si>
    <t>CVE-2016-8027</t>
  </si>
  <si>
    <t>CVE-2016-8028</t>
  </si>
  <si>
    <t>CVE-2016-8029</t>
  </si>
  <si>
    <t>CVE-2016-8030</t>
  </si>
  <si>
    <t>CVE-2016-8031</t>
  </si>
  <si>
    <t>CVE-2016-8032</t>
  </si>
  <si>
    <t>CVE-2016-8033</t>
  </si>
  <si>
    <t>CVE-2016-8034</t>
  </si>
  <si>
    <t>CVE-2016-8035</t>
  </si>
  <si>
    <t>CVE-2016-8036</t>
  </si>
  <si>
    <t>CVE-2016-8037</t>
  </si>
  <si>
    <t>CVE-2016-8038</t>
  </si>
  <si>
    <t>CVE-2016-8039</t>
  </si>
  <si>
    <t>CVE-2016-8040</t>
  </si>
  <si>
    <t>CVE-2016-8041</t>
  </si>
  <si>
    <t>CVE-2016-8042</t>
  </si>
  <si>
    <t>CVE-2016-8043</t>
  </si>
  <si>
    <t>CVE-2016-8044</t>
  </si>
  <si>
    <t>CVE-2016-8045</t>
  </si>
  <si>
    <t>CVE-2016-8046</t>
  </si>
  <si>
    <t>CVE-2016-8047</t>
  </si>
  <si>
    <t>CVE-2016-8048</t>
  </si>
  <si>
    <t>CVE-2016-8049</t>
  </si>
  <si>
    <t>CVE-2016-8050</t>
  </si>
  <si>
    <t>CVE-2016-8051</t>
  </si>
  <si>
    <t>CVE-2016-8052</t>
  </si>
  <si>
    <t>CVE-2016-8053</t>
  </si>
  <si>
    <t>CVE-2016-8054</t>
  </si>
  <si>
    <t>CVE-2016-8055</t>
  </si>
  <si>
    <t>CVE-2016-8056</t>
  </si>
  <si>
    <t>CVE-2016-8057</t>
  </si>
  <si>
    <t>CVE-2016-8058</t>
  </si>
  <si>
    <t>CVE-2016-8059</t>
  </si>
  <si>
    <t>CVE-2016-8060</t>
  </si>
  <si>
    <t>CVE-2016-8061</t>
  </si>
  <si>
    <t>CVE-2016-8062</t>
  </si>
  <si>
    <t>CVE-2016-8063</t>
  </si>
  <si>
    <t>CVE-2016-8064</t>
  </si>
  <si>
    <t>CVE-2016-8065</t>
  </si>
  <si>
    <t>CVE-2016-8066</t>
  </si>
  <si>
    <t>CVE-2016-8067</t>
  </si>
  <si>
    <t>CVE-2016-8068</t>
  </si>
  <si>
    <t>CVE-2016-8069</t>
  </si>
  <si>
    <t>CVE-2016-8070</t>
  </si>
  <si>
    <t>CVE-2016-8071</t>
  </si>
  <si>
    <t>CVE-2016-8072</t>
  </si>
  <si>
    <t>CVE-2016-8073</t>
  </si>
  <si>
    <t>CVE-2016-8074</t>
  </si>
  <si>
    <t>CVE-2016-8075</t>
  </si>
  <si>
    <t>CVE-2016-8076</t>
  </si>
  <si>
    <t>CVE-2016-8077</t>
  </si>
  <si>
    <t>CVE-2016-8078</t>
  </si>
  <si>
    <t>CVE-2016-8079</t>
  </si>
  <si>
    <t>CVE-2016-8080</t>
  </si>
  <si>
    <t>CVE-2016-8081</t>
  </si>
  <si>
    <t>CVE-2016-8082</t>
  </si>
  <si>
    <t>CVE-2016-8083</t>
  </si>
  <si>
    <t>CVE-2016-8084</t>
  </si>
  <si>
    <t>CVE-2016-8085</t>
  </si>
  <si>
    <t>CVE-2016-8086</t>
  </si>
  <si>
    <t>CVE-2016-8087</t>
  </si>
  <si>
    <t>CVE-2016-8088</t>
  </si>
  <si>
    <t>CVE-2016-8089</t>
  </si>
  <si>
    <t>CVE-2016-8090</t>
  </si>
  <si>
    <t>CVE-2016-8091</t>
  </si>
  <si>
    <t>CVE-2016-8092</t>
  </si>
  <si>
    <t>CVE-2016-8093</t>
  </si>
  <si>
    <t>CVE-2016-8094</t>
  </si>
  <si>
    <t>CVE-2016-8095</t>
  </si>
  <si>
    <t>CVE-2016-8096</t>
  </si>
  <si>
    <t>CVE-2016-8097</t>
  </si>
  <si>
    <t>CVE-2016-8098</t>
  </si>
  <si>
    <t>CVE-2016-8099</t>
  </si>
  <si>
    <t>CVE-2016-8100</t>
  </si>
  <si>
    <t>CVE-2016-8101</t>
  </si>
  <si>
    <t>CVE-2016-8102</t>
  </si>
  <si>
    <t>CVE-2016-8103</t>
  </si>
  <si>
    <t>CVE-2016-8104</t>
  </si>
  <si>
    <t>CVE-2016-8105</t>
  </si>
  <si>
    <t>CVE-2016-8106</t>
  </si>
  <si>
    <t>CVE-2016-8107</t>
  </si>
  <si>
    <t>CVE-2016-8108</t>
  </si>
  <si>
    <t>CVE-2016-8109</t>
  </si>
  <si>
    <t>CVE-2016-8110</t>
  </si>
  <si>
    <t>CVE-2016-8111</t>
  </si>
  <si>
    <t>CVE-2016-8112</t>
  </si>
  <si>
    <t>CVE-2016-8113</t>
  </si>
  <si>
    <t>CVE-2016-8114</t>
  </si>
  <si>
    <t>CVE-2016-8115</t>
  </si>
  <si>
    <t>CVE-2016-8116</t>
  </si>
  <si>
    <t>CVE-2016-8117</t>
  </si>
  <si>
    <t>CVE-2016-8118</t>
  </si>
  <si>
    <t>CVE-2016-8119</t>
  </si>
  <si>
    <t>CVE-2016-8120</t>
  </si>
  <si>
    <t>CVE-2016-8121</t>
  </si>
  <si>
    <t>CVE-2016-8122</t>
  </si>
  <si>
    <t>CVE-2016-8123</t>
  </si>
  <si>
    <t>CVE-2016-8124</t>
  </si>
  <si>
    <t>CVE-2016-8125</t>
  </si>
  <si>
    <t>CVE-2016-8126</t>
  </si>
  <si>
    <t>CVE-2016-8127</t>
  </si>
  <si>
    <t>CVE-2016-8128</t>
  </si>
  <si>
    <t>CVE-2016-8129</t>
  </si>
  <si>
    <t>CVE-2016-8130</t>
  </si>
  <si>
    <t>CVE-2016-8131</t>
  </si>
  <si>
    <t>CVE-2016-8132</t>
  </si>
  <si>
    <t>CVE-2016-8133</t>
  </si>
  <si>
    <t>CVE-2016-8134</t>
  </si>
  <si>
    <t>CVE-2016-8135</t>
  </si>
  <si>
    <t>CVE-2016-8136</t>
  </si>
  <si>
    <t>CVE-2016-8137</t>
  </si>
  <si>
    <t>CVE-2016-8138</t>
  </si>
  <si>
    <t>CVE-2016-8139</t>
  </si>
  <si>
    <t>CVE-2016-8140</t>
  </si>
  <si>
    <t>CVE-2016-8141</t>
  </si>
  <si>
    <t>CVE-2016-8142</t>
  </si>
  <si>
    <t>CVE-2016-8143</t>
  </si>
  <si>
    <t>CVE-2016-8144</t>
  </si>
  <si>
    <t>CVE-2016-8145</t>
  </si>
  <si>
    <t>CVE-2016-8146</t>
  </si>
  <si>
    <t>CVE-2016-8147</t>
  </si>
  <si>
    <t>CVE-2016-8148</t>
  </si>
  <si>
    <t>CVE-2016-8149</t>
  </si>
  <si>
    <t>CVE-2016-8150</t>
  </si>
  <si>
    <t>CVE-2016-8151</t>
  </si>
  <si>
    <t>CVE-2016-8152</t>
  </si>
  <si>
    <t>CVE-2016-8153</t>
  </si>
  <si>
    <t>CVE-2016-8154</t>
  </si>
  <si>
    <t>CVE-2016-8155</t>
  </si>
  <si>
    <t>CVE-2016-8156</t>
  </si>
  <si>
    <t>CVE-2016-8157</t>
  </si>
  <si>
    <t>CVE-2016-8158</t>
  </si>
  <si>
    <t>CVE-2016-8159</t>
  </si>
  <si>
    <t>CVE-2016-8160</t>
  </si>
  <si>
    <t>CVE-2016-8161</t>
  </si>
  <si>
    <t>CVE-2016-8162</t>
  </si>
  <si>
    <t>CVE-2016-8163</t>
  </si>
  <si>
    <t>CVE-2016-8164</t>
  </si>
  <si>
    <t>CVE-2016-8165</t>
  </si>
  <si>
    <t>CVE-2016-8166</t>
  </si>
  <si>
    <t>CVE-2016-8167</t>
  </si>
  <si>
    <t>CVE-2016-8168</t>
  </si>
  <si>
    <t>CVE-2016-8169</t>
  </si>
  <si>
    <t>CVE-2016-8170</t>
  </si>
  <si>
    <t>CVE-2016-8171</t>
  </si>
  <si>
    <t>CVE-2016-8172</t>
  </si>
  <si>
    <t>CVE-2016-8173</t>
  </si>
  <si>
    <t>CVE-2016-8174</t>
  </si>
  <si>
    <t>CVE-2016-8175</t>
  </si>
  <si>
    <t>CVE-2016-8176</t>
  </si>
  <si>
    <t>CVE-2016-8177</t>
  </si>
  <si>
    <t>CVE-2016-8178</t>
  </si>
  <si>
    <t>CVE-2016-8179</t>
  </si>
  <si>
    <t>CVE-2016-8180</t>
  </si>
  <si>
    <t>CVE-2016-8181</t>
  </si>
  <si>
    <t>CVE-2016-8182</t>
  </si>
  <si>
    <t>CVE-2016-8183</t>
  </si>
  <si>
    <t>CVE-2016-8184</t>
  </si>
  <si>
    <t>CVE-2016-8185</t>
  </si>
  <si>
    <t>CVE-2016-8186</t>
  </si>
  <si>
    <t>CVE-2016-8187</t>
  </si>
  <si>
    <t>CVE-2016-8188</t>
  </si>
  <si>
    <t>CVE-2016-8189</t>
  </si>
  <si>
    <t>CVE-2016-8190</t>
  </si>
  <si>
    <t>CVE-2016-8191</t>
  </si>
  <si>
    <t>CVE-2016-8192</t>
  </si>
  <si>
    <t>CVE-2016-8193</t>
  </si>
  <si>
    <t>CVE-2016-8194</t>
  </si>
  <si>
    <t>CVE-2016-8195</t>
  </si>
  <si>
    <t>CVE-2016-8196</t>
  </si>
  <si>
    <t>CVE-2016-8197</t>
  </si>
  <si>
    <t>CVE-2016-8198</t>
  </si>
  <si>
    <t>CVE ID</t>
  </si>
  <si>
    <t>SB #</t>
  </si>
  <si>
    <t>Date Assigned</t>
  </si>
  <si>
    <t>Team</t>
  </si>
  <si>
    <t>CVE Assignment Team</t>
  </si>
  <si>
    <t>From: cve-request@mitre.org [mailto:cve-request@mitre.org]</t>
  </si>
  <si>
    <t>Sent: Friday, September 09, 2016 6:47 PM</t>
  </si>
  <si>
    <t>To: Toomey, Harold A &lt;harold.a.toomey@intel.com&gt;</t>
  </si>
  <si>
    <t>Cc: cve-request@mitre.org</t>
  </si>
  <si>
    <t>Subject: Re: [scr232418] CVE Block 200</t>
  </si>
  <si>
    <t xml:space="preserve">http://cve.mitre.org/cve/request_id.html ] </t>
  </si>
  <si>
    <t>M/S M300, 202 Burlington Road, Bedford, MA 01730 USA</t>
  </si>
  <si>
    <t>2016:</t>
  </si>
  <si>
    <t>SA #</t>
  </si>
  <si>
    <t>Reserved Block of CVE IDs</t>
  </si>
  <si>
    <t>Y</t>
  </si>
  <si>
    <t>recover the RSA private key</t>
  </si>
  <si>
    <t>NOTE: Only the Intel and McAfee PSIRT Engineers are authorized to assign CVE IDs.</t>
  </si>
  <si>
    <t>Intel-SA-00060</t>
  </si>
  <si>
    <t>Intel-SA-00061</t>
  </si>
  <si>
    <t>Toomey, Harold A_4841_Intel Corporation_Windows (32-bit) NT 6.02_HTOOMEY-MOBL_htoomey$$$14092016</t>
  </si>
  <si>
    <t>00060</t>
  </si>
  <si>
    <t>00061</t>
  </si>
  <si>
    <t>00062</t>
  </si>
  <si>
    <t>00063</t>
  </si>
  <si>
    <t>00064</t>
  </si>
  <si>
    <t>00065</t>
  </si>
  <si>
    <t>00066</t>
  </si>
  <si>
    <t>00067</t>
  </si>
  <si>
    <t>Intel-SA-00062</t>
  </si>
  <si>
    <t>Intel-SA-00063</t>
  </si>
  <si>
    <t>Intel-SA-00064</t>
  </si>
  <si>
    <t>Intel-SA-00065</t>
  </si>
  <si>
    <t>Intel-SA-00066</t>
  </si>
  <si>
    <t>Intel-SA-00067</t>
  </si>
  <si>
    <t>"8O&lt;!12425"</t>
  </si>
  <si>
    <t>KB87744</t>
  </si>
  <si>
    <t>Requester</t>
  </si>
  <si>
    <t>Harold</t>
  </si>
  <si>
    <t>Subir</t>
  </si>
  <si>
    <t>Magid</t>
  </si>
  <si>
    <t>Authentication bypass vulnerability</t>
  </si>
  <si>
    <t>9.6.0 MR3</t>
  </si>
  <si>
    <t>McAfee Security Information and Event Management (SIEM)</t>
  </si>
  <si>
    <t>make changes to other SIEM users’ information including user passwords without supplying the current administrator password a second time</t>
  </si>
  <si>
    <t>the GUI or GUI terminal commands</t>
  </si>
  <si>
    <t>Enterprise Security Manager (ESM) and License Manager (LM)</t>
  </si>
  <si>
    <t>Assigned</t>
  </si>
  <si>
    <t>[CVEID]</t>
  </si>
  <si>
    <t>[REFERENCES]</t>
  </si>
  <si>
    <t>Reflected cross site scripting (XSS) vulnerability</t>
  </si>
  <si>
    <t>(See Products Tab)</t>
  </si>
  <si>
    <t>Joint Text:</t>
  </si>
  <si>
    <t>[DESCRIPTION]</t>
  </si>
  <si>
    <t>[CVEID]:</t>
  </si>
  <si>
    <t>[PRODUCT]:</t>
  </si>
  <si>
    <t>[PROBLEMTYPE]:</t>
  </si>
  <si>
    <t>Row #</t>
  </si>
  <si>
    <t>CVE Information Format</t>
  </si>
  <si>
    <t>Intel Generated CVEs</t>
  </si>
  <si>
    <t>SBC1605121</t>
  </si>
  <si>
    <t>SBC16MMDDn</t>
  </si>
  <si>
    <t>[REFERENCES]:</t>
  </si>
  <si>
    <t>[VERSION]:</t>
  </si>
  <si>
    <t>Toomey, Harold A_4859_Intel Corporation_Windows (32-bit) NT 6.02_HTOOMEY-MOBL_htoomey$$$08112016</t>
  </si>
  <si>
    <t>"p&lt;8!284"</t>
  </si>
  <si>
    <t>SB10181</t>
  </si>
  <si>
    <t>Stephen</t>
  </si>
  <si>
    <t>2.0.3 (and earlier)</t>
  </si>
  <si>
    <t>a crafted user input</t>
  </si>
  <si>
    <t>execute unauthorized commands</t>
  </si>
  <si>
    <t>unauthenticated remote attackers</t>
  </si>
  <si>
    <t>a crafted HTTP request parameter</t>
  </si>
  <si>
    <t>spoof update server and execute arbitrary code</t>
  </si>
  <si>
    <t>a crafted input file</t>
  </si>
  <si>
    <t>remote unauthenticated attacker</t>
  </si>
  <si>
    <t>execute arbitrary code or cause a denial of service</t>
  </si>
  <si>
    <t>a crafted authentication cookie</t>
  </si>
  <si>
    <t>bypass server authentication</t>
  </si>
  <si>
    <t>the server HTTP response spoofing</t>
  </si>
  <si>
    <t>obtain product information</t>
  </si>
  <si>
    <t>SBC1606241</t>
  </si>
  <si>
    <t>obtain the existence of unauthorized files on the system</t>
  </si>
  <si>
    <t>a URL parameter</t>
  </si>
  <si>
    <t>7.0</t>
  </si>
  <si>
    <t>SBC1607221</t>
  </si>
  <si>
    <t>bypass local security protection</t>
  </si>
  <si>
    <t xml:space="preserve">a command-line utility </t>
  </si>
  <si>
    <t>SB10175</t>
  </si>
  <si>
    <t>SBC1609021</t>
  </si>
  <si>
    <t>7.0 and 6.x versions</t>
  </si>
  <si>
    <t>an unauthorized use of IOCTL call</t>
  </si>
  <si>
    <t>SB10179</t>
  </si>
  <si>
    <t>SB10180</t>
  </si>
  <si>
    <t>Jordan, Stephen R_6925__Windows (32-bit) NT 6.03_SRJORDAN-MOBL_srjordan$$$20122016</t>
  </si>
  <si>
    <t>SB10173</t>
  </si>
  <si>
    <t>Authentication Bypass in McAfee Host Intrusion Prevention Services 8.0 Patch 7 and earlier allows authenticated users to manipulate the product's registry keys via specific conditions.</t>
  </si>
  <si>
    <t>SBC1611301</t>
  </si>
  <si>
    <t>TS102593</t>
  </si>
  <si>
    <t xml:space="preserve">A Privilege Escalation vulnerability exists in McAfee Security Scan Plus 3.11.376 that allows attackers to load a replacement of the version.dll file via McAfee McUICnt.exe onto a Windows 7 or Windows 10 system. </t>
  </si>
  <si>
    <t>"fp2!498"</t>
  </si>
  <si>
    <t>Published</t>
  </si>
  <si>
    <t>Unassigned</t>
  </si>
  <si>
    <t>Submitted to Mitre</t>
  </si>
  <si>
    <t>CVE-2017-xxxx</t>
  </si>
  <si>
    <t>Host Intrusion Prevention Services (HIPS)</t>
  </si>
  <si>
    <t>8.0 Patch 7 and earlier</t>
  </si>
  <si>
    <t>Security Scan Plus</t>
  </si>
  <si>
    <t>3.11.376</t>
  </si>
  <si>
    <t>McAfee McUICnt.exe onto a Windows system</t>
  </si>
  <si>
    <t>Windows 7 and Windows 10</t>
  </si>
  <si>
    <t>Cross-site scripting vulnerability</t>
  </si>
  <si>
    <t>Information exposure</t>
  </si>
  <si>
    <t>Special element injection vulnerability</t>
  </si>
  <si>
    <t>Cross-site request forgery (CSRF) vulnerability</t>
  </si>
  <si>
    <t>attributes</t>
  </si>
  <si>
    <t>Improper verification of cryptographic signature vulnerability</t>
  </si>
  <si>
    <t>Authentication bypass by spoofing vulnerability</t>
  </si>
  <si>
    <t>Authentication bypass by assumed-immutable data vulnerability</t>
  </si>
  <si>
    <t>Improper neutralization of CRLF sequences in HTTP headers vulnerability</t>
  </si>
  <si>
    <t>CVE ID Status</t>
  </si>
  <si>
    <t>Workflow:</t>
  </si>
  <si>
    <t>Duplicate Researched</t>
  </si>
  <si>
    <t>Harvir Singh</t>
  </si>
  <si>
    <t>2.2 and 2.1</t>
  </si>
  <si>
    <t>Unquoted executable path vulnerability</t>
  </si>
  <si>
    <t>execute a command of their choice</t>
  </si>
  <si>
    <t>dropping a malicious file for the path</t>
  </si>
  <si>
    <t>7.5.8 and earlier</t>
  </si>
  <si>
    <t>Client Management and Gateway components</t>
  </si>
  <si>
    <t>McAfee Vulnerability Manager (MVM)</t>
  </si>
  <si>
    <t>Unsalted password vulnerability</t>
  </si>
  <si>
    <t>the Enterprise Manager (web portal) component</t>
  </si>
  <si>
    <t>more easily decrypt user passwords</t>
  </si>
  <si>
    <t>brute force attacks against the database</t>
  </si>
  <si>
    <t>Advanced Threat Defense (ATD)</t>
  </si>
  <si>
    <t>Detection bypass vulnerability</t>
  </si>
  <si>
    <t>3.4.6 and earlier</t>
  </si>
  <si>
    <t>bypass ATD detection</t>
  </si>
  <si>
    <t>malware samples</t>
  </si>
  <si>
    <t>renaming the malware</t>
  </si>
  <si>
    <t>OS command injection vulnerability</t>
  </si>
  <si>
    <t>Enterprise Security Manager (ESM), ESMLM, and ESMREC appliances</t>
  </si>
  <si>
    <t>9.3.2MR17, 9.4.2MR7, 9.5.0MR6, and earlier</t>
  </si>
  <si>
    <t>cause command execution in the context of the ESM web server</t>
  </si>
  <si>
    <t>a carefully crafted filename, when downloaded</t>
  </si>
  <si>
    <t>https://kc.mcafee.com/corporate/index?page=content&amp;id=SB10133
http://cwe.mitre.org/data/definitions/78.html</t>
  </si>
  <si>
    <t>https://kc.mcafee.com/corporate/index?page=content&amp;id=SB10117
http://cwe.mitre.org/data/definitions/310.html</t>
  </si>
  <si>
    <t>https://nvd.nist.gov/cvss.cfm?calculator&amp;version=2&amp;vector=(AV:N/AC:M/Au:S/C:P/I:P/A:N/E:F/RL:OF/RC:C)</t>
  </si>
  <si>
    <t>[DESCRIPTION]:</t>
  </si>
  <si>
    <t>https://nvd.nist.gov/cvss.cfm?calculator&amp;version=2&amp;vector=(AV:N/AC:L/Au:S/C:P/I:P/A:P/E:F/RL:OF/RC:C)
http://www.first.org/cvss/calculator/3.0#CVSS:3.0/AV:N/AC:L/PR:L/UI:R/S:U/C:L/I:L/A:L/E:P/RL:O/RC:C</t>
  </si>
  <si>
    <t>https://nvd.nist.gov/cvss.cfm?calculator&amp;version=2&amp;vector=(AV:L/AC:H/Au:M/C:C/I:C/A:C/E:U/RL:U/RC:UC)</t>
  </si>
  <si>
    <t>CVSS Scoring Vector</t>
  </si>
  <si>
    <t>https://nvd.nist.gov/cvss.cfm?calculator&amp;version=2&amp;vector=(AV:L/AC:L/Au:S/C:C/I:C/A:C/E:POC/RL:OF/RC:C)</t>
  </si>
  <si>
    <t>https://kc.mcafee.com/corporate/index?page=content&amp;id=SB10115
http://cwe.mitre.org/data/definitions/428.html</t>
  </si>
  <si>
    <t>https://www.first.org/cvss/calculator/3.0#CVSS:3.0/AV:N/AC:L/PR:N/UI:N/S:C/C:L/I:L/A:L/E:P/RL:O/RC:C
https://nvd.nist.gov/cvss.cfm?calculator&amp;version=2&amp;vector=(AV:N/AC:L/Au:N/C:P/I:P/A:P/E:POC/RL:OF/RC:C)</t>
  </si>
  <si>
    <t>https://kc.mcafee.com/corporate/index?page=content&amp;id=SB10144
https://www.kb.cert.org/vuls/id/576313</t>
  </si>
  <si>
    <t>Insecure deserialization of data vulnerability</t>
  </si>
  <si>
    <t>McAfee ePolicy Orchestrator (ePO)</t>
  </si>
  <si>
    <t>5.3.1 and earlier, 5.1.3 and earlier, and 4.6.9 and earlier</t>
  </si>
  <si>
    <t>execution arbitrary code</t>
  </si>
  <si>
    <t>Apache Commons Collections library 3.2.1</t>
  </si>
  <si>
    <t>3.4.8.178 and earlier</t>
  </si>
  <si>
    <t>Security bypass vulnerability</t>
  </si>
  <si>
    <t>https://www.first.org/cvss/calculator/3.0#CVSS:3.0/AV:N/AC:H/PR:H/UI:R/S:C/C:N/I:L/A:N/E:P/RL:U/RC:C
https://nvd.nist.gov/cvss.cfm?calculator&amp;version=2&amp;vector=(AV:N/AC:H/Au:S/C:N/I:P/A:N/E:POC/RL:U/RC:C)</t>
  </si>
  <si>
    <t>the appliance</t>
  </si>
  <si>
    <t>terminate processes and escape the complete analysis</t>
  </si>
  <si>
    <t>malware discovering that it is working under a parent process other than expected</t>
  </si>
  <si>
    <t>https://kc.mcafee.com/corporate/index?page=content&amp;id=SB10149</t>
  </si>
  <si>
    <t>https://kc.mcafee.com/corporate/index?page=content&amp;id=SB10127</t>
  </si>
  <si>
    <t>https://kc.mcafee.com/corporate/index?page=content&amp;id=SB10151
http://cwe.mitre.org/data/definitions/592.html</t>
  </si>
  <si>
    <t>https://www.first.org/cvss/calculator/3.0#CVSS:3.0/AV:L/AC:L/PR:H/UI:R/S:U/C:N/I:L/A:L/E:F/RL:T/RC:C
https://nvd.nist.gov/cvss.cfm?calculator&amp;version=2&amp;vector=(AV:L/AC:M/Au:S/C:N/I:P/A:P/E:F/RL:T/RC:C)</t>
  </si>
  <si>
    <t>Protected resource access bypass vulnerability</t>
  </si>
  <si>
    <t>Microsoft Windows</t>
  </si>
  <si>
    <t>• The following is what to do if you do not have information about a key detail.
[VULNTYPE]: Skip if applicable
    – At this level you should never encounter a vulnerability where you need to skip the type phrasing.
• [COMPONENT]: Skip
• [VENDOR]: Skip
• [PRODUCT]: You MUST have a product name
• [VERSION]: Skip
• [ROOT CAUSE]: Skip
• [ATTACKER]: Use “attackers”
• [IMPACT]: Use “unspecified impact”
• [VECTOR]: Use “via unspecified vectors”</t>
  </si>
  <si>
    <t>bypass product self-protection, tamper with policies and product files, and uninstall McAfee software without permission</t>
  </si>
  <si>
    <t>knowledge of the internal trust mechanism</t>
  </si>
  <si>
    <t>VirusScan Enterprise (VSE)</t>
  </si>
  <si>
    <t>Data Exchange Layer (DXL)</t>
  </si>
  <si>
    <t>Host Intrusion Prevention Service (Host IPS)</t>
  </si>
  <si>
    <t>McAfee Active Response (MAR)</t>
  </si>
  <si>
    <t>McAfee Agent (MA)</t>
  </si>
  <si>
    <t>McAfee Data Loss Prevention Endpoint (DLPe)</t>
  </si>
  <si>
    <t>McAfee Device Control (MDC)</t>
  </si>
  <si>
    <t>McAfee Endpoint Security (ENS)</t>
  </si>
  <si>
    <t>Microsoft Windows client</t>
  </si>
  <si>
    <t>Microsoft Windows ePO extension</t>
  </si>
  <si>
    <t>before 8.8 Patch 7 and before 8.8 Patch 7 HF11233565</t>
  </si>
  <si>
    <t>before 1.1.0.161</t>
  </si>
  <si>
    <t>before 5.0.3 and before 5.0.2.333</t>
  </si>
  <si>
    <t>before 8.0.0.3624 (Patch 7)</t>
  </si>
  <si>
    <t>before 10.1</t>
  </si>
  <si>
    <t>before 2.0.1.140.1</t>
  </si>
  <si>
    <t>before 9.4.103.4, and before 9.3.600.32</t>
  </si>
  <si>
    <t>before 9.4.100.15, and before 9.3.600.5</t>
  </si>
  <si>
    <t>McAfee Security Scan Plus</t>
  </si>
  <si>
    <t>https://kc.mcafee.com/corporate/index?page=content&amp;id=SB10182
http://cwe.mitre.org/data/definitions/592.html</t>
  </si>
  <si>
    <t>Arbitrary command execution vulnerability</t>
  </si>
  <si>
    <t>3.11.469 and earlier</t>
  </si>
  <si>
    <t>https://www.first.org/cvss/calculator/3.0#CVSS:3.0/AV:L/AC:H/PR:L/UI:N/S:C/C:H/I:H/A:H/E:F/RL:O/RC:C</t>
  </si>
  <si>
    <t>gain elevated privileges</t>
  </si>
  <si>
    <t>unspecified vectors</t>
  </si>
  <si>
    <t>McAfee Email Gateway (MEG)</t>
  </si>
  <si>
    <t>before 7.6.404</t>
  </si>
  <si>
    <t>https://kc.mcafee.com/corporate/index?page=content&amp;id=SB10153
http://cwe.mitre.org/data/definitions/79.html</t>
  </si>
  <si>
    <t>https://nvd.nist.gov/cvss/v3-calculator?vector=AV:N/AC:L/PR:N/UI:R/S:C/C:L/I:L/A:N/E:P/RL:O/RC:C)</t>
  </si>
  <si>
    <t>enabling file filtering with the action set to ESERVICES:REPLACE</t>
  </si>
  <si>
    <t>perform arbitrary command execution</t>
  </si>
  <si>
    <t>Protections bypass vulnerability</t>
  </si>
  <si>
    <t>https://kc.mcafee.com/corporate/index?page=content&amp;id=SB10158
http://cwe.mitre.org/data/definitions/592.html</t>
  </si>
  <si>
    <t>https://www.first.org/cvss/calculator/3.0#CVSS:3.0/AV:L/AC:H/PR:H/UI:R/S:U/C:N/I:L/A:L/E:F/RL:T/RC:C</t>
  </si>
  <si>
    <t>before 8.8.0.1546</t>
  </si>
  <si>
    <t>unlock the password protected VirusScan Console window</t>
  </si>
  <si>
    <t>closing the registry handles for the VSE process mcconsole.exe using Process Explorer or similar tools</t>
  </si>
  <si>
    <t>File extension filtering vulnerability</t>
  </si>
  <si>
    <t>before 7.6.404h1128596</t>
  </si>
  <si>
    <t>fail to identify the file name properly</t>
  </si>
  <si>
    <t>Microsoft Windows and Apple iOS</t>
  </si>
  <si>
    <t>Intel Security Generated CVEs</t>
  </si>
  <si>
    <t>scanning an email with a forged attached filename that uses a null byte within the filename extension</t>
  </si>
  <si>
    <t>the web portal component</t>
  </si>
  <si>
    <t>lock the database or corrupt the license</t>
  </si>
  <si>
    <t>manipulate the product's registry keys</t>
  </si>
  <si>
    <t>load a replacement of the version.dll file</t>
  </si>
  <si>
    <t>cause DoS, unexpected behavior, or potentially unauthorized code execution</t>
  </si>
  <si>
    <t>McAfee Application Control (MAC)</t>
  </si>
  <si>
    <t>authenticated remote attackers</t>
  </si>
  <si>
    <t>read files on the webserver</t>
  </si>
  <si>
    <t>Improper control of generation of code vulnerability</t>
  </si>
  <si>
    <t>McAfee Endpoint Security (ENS) Web Control</t>
  </si>
  <si>
    <t>before 10.2.0.408.10</t>
  </si>
  <si>
    <t>before 3.5.0.1460.6</t>
  </si>
  <si>
    <t>SiteAdvisor Enterprise (SAE)</t>
  </si>
  <si>
    <t>Case ID:</t>
  </si>
  <si>
    <t>SBC1611303</t>
  </si>
  <si>
    <t>Endpoint Security (ENS)</t>
  </si>
  <si>
    <t>certain user interaction</t>
  </si>
  <si>
    <t>reflect stored Javascript to unaware application users</t>
  </si>
  <si>
    <t>SBC1608152</t>
  </si>
  <si>
    <t>SBC1611302</t>
  </si>
  <si>
    <t>McAfee Foundation Services (MFS)</t>
  </si>
  <si>
    <t>read an arbitrary file</t>
  </si>
  <si>
    <t>XML Path Language (XPath) injection vulnerability</t>
  </si>
  <si>
    <t>certain conditions</t>
  </si>
  <si>
    <t>Consumer</t>
  </si>
  <si>
    <t>SBC1409161</t>
  </si>
  <si>
    <t>SBC1601141</t>
  </si>
  <si>
    <t>SBC1602012</t>
  </si>
  <si>
    <t>SBC1602261</t>
  </si>
  <si>
    <t>SBC1512021</t>
  </si>
  <si>
    <t>SBC1509031</t>
  </si>
  <si>
    <t>SBC1502111</t>
  </si>
  <si>
    <t>SBC1410201</t>
  </si>
  <si>
    <t>SBC1412221</t>
  </si>
  <si>
    <t>SBC1502101</t>
  </si>
  <si>
    <t>SBC1502212</t>
  </si>
  <si>
    <t>SBC1411071</t>
  </si>
  <si>
    <t>SBC1410131</t>
  </si>
  <si>
    <t>SBC1410211</t>
  </si>
  <si>
    <t>SBC1501061</t>
  </si>
  <si>
    <t>10.2 and earlier</t>
  </si>
  <si>
    <t>SBC1510225</t>
  </si>
  <si>
    <t>SBC1504141</t>
  </si>
  <si>
    <t>SBC1408111</t>
  </si>
  <si>
    <t>SBC1409091</t>
  </si>
  <si>
    <t>SBC1406231</t>
  </si>
  <si>
    <t>SBC1309191</t>
  </si>
  <si>
    <t>SBC1401141</t>
  </si>
  <si>
    <t>SBC1311021</t>
  </si>
  <si>
    <t>SBC1308011</t>
  </si>
  <si>
    <t>SBC1308091</t>
  </si>
  <si>
    <t>SBC1410161?</t>
  </si>
  <si>
    <t>https://nvd.nist.gov/cvss/v3-calculator?vector=AV:N/AC:L/PR:H/UI:R/S:C/C:L/I:N/A:N/E:U/RL:O/RC:C</t>
  </si>
  <si>
    <t>https://nvd.nist.gov/cvss/v3-calculator?vector=AV:N/AC:L/PR:H/UI:R/S:U/C:L/I:L/A:L/E:U/RL:O/RC:C</t>
  </si>
  <si>
    <t>https://nvd.nist.gov/cvss/v3-calculator?vector=AV:N/AC:H/PR:H/UI:N/S:C/C:H/I:H/A:H/E:U/RL:O/RC:C</t>
  </si>
  <si>
    <t>https://nvd.nist.gov/cvss/v3-calculator?vector=AV:N/AC:H/PR:H/UI:N/S:U/C:N/I:H/A:N/E:U/RL:O/RC:C</t>
  </si>
  <si>
    <t>https://nvd.nist.gov/cvss/v3-calculator?vector=AV:N/AC:H/PR:N/UI:R/S:U/C:H/I:H/A:H/E:U/RL:O/RC:C</t>
  </si>
  <si>
    <t>https://nvd.nist.gov/cvss/v3-calculator?vector=AV:N/AC:H/PR:N/UI:N/S:U/C:H/I:H/A:H/E:U/RL:O/RC:C</t>
  </si>
  <si>
    <t>https://nvd.nist.gov/cvss/v3-calculator?vector=AV:N/AC:H/PR:H/UI:N/S:U/C:H/I:H/A:L/E:U/RL:O/RC:C</t>
  </si>
  <si>
    <t>https://kc.mcafee.com/corporate/index?page=content&amp;id=SB10181
http://cwe.mitre.org/data/definitions/302.html</t>
  </si>
  <si>
    <t>https://kc.mcafee.com/corporate/index?page=content&amp;id=SB10181
http://cwe.mitre.org/data/definitions/113.html</t>
  </si>
  <si>
    <t>https://kc.mcafee.com/corporate/index?page=content&amp;id=SB10181
http://cwe.mitre.org/data/definitions/94.html</t>
  </si>
  <si>
    <t>https://kc.mcafee.com/corporate/index?page=content&amp;id=SB10181
http://cwe.mitre.org/data/definitions/290.html</t>
  </si>
  <si>
    <t>https://kc.mcafee.com/corporate/index?page=content&amp;id=SB10181
http://cwe.mitre.org/data/definitions/89.html</t>
  </si>
  <si>
    <t>https://kc.mcafee.com/corporate/index?page=content&amp;id=SB10181
http://cwe.mitre.org/data/definitions/347.html</t>
  </si>
  <si>
    <t>https://kc.mcafee.com/corporate/index?page=content&amp;id=SB10181
http://cwe.mitre.org/data/definitions/352.html</t>
  </si>
  <si>
    <t>https://kc.mcafee.com/corporate/index?page=content&amp;id=SB10181
http://cwe.mitre.org/data/definitions/79.html</t>
  </si>
  <si>
    <t>https://kc.mcafee.com/corporate/index?page=content&amp;id=SB10181
http://cwe.mitre.org/data/definitions/200.html</t>
  </si>
  <si>
    <t>https://kc.mcafee.com/corporate/index?page=content&amp;id=SB10181
http://cwe.mitre.org/data/definitions/75.html</t>
  </si>
  <si>
    <t>https://www.first.org/cvss/calculator/3.0#CVSS:3.0/AV:N/AC:L/PR:N/UI:R/S:U/C:N/I:L/A:N/E:P/RL:O/RC:C</t>
  </si>
  <si>
    <t>https://kc.mcafee.com/corporate/index?page=content&amp;id=SB10180
http://cwe.mitre.org/data/definitions/79.html</t>
  </si>
  <si>
    <t>https://kc.mcafee.com/corporate/index?page=content&amp;id=SB10179
http://cwe.mitre.org/data/definitions/592.html</t>
  </si>
  <si>
    <t>https://www.first.org/cvss/calculator/3.0#CVSS:3.0/AV:L/AC:L/PR:L/UI:R/S:U/C:L/I:L/A:L/E:F/RL:O/RC:C</t>
  </si>
  <si>
    <t>https://www.first.org/cvss/calculator/3.0#CVSS:3.0/AV:L/AC:H/PR:L/UI:R/S:C/C:N/I:H/A:N/E:F/RL:O/RC:C</t>
  </si>
  <si>
    <t>https://kc.mcafee.com/corporate/index?page=content&amp;id=SB10161
http://cwe.mitre.org/data/definitions/592.html</t>
  </si>
  <si>
    <t>https://nvd.nist.gov/cvss/v3-calculator?vector=AV:N/AC:L/PR:L/UI:N/S:U/C:L/I:H/A:N/E:P/RL:O/RC:C</t>
  </si>
  <si>
    <t>https://kc.mcafee.com/corporate/index?page=content&amp;id=KB87744
http://cwe.mitre.org/data/definitions/592.html</t>
  </si>
  <si>
    <t>https://www.first.org/cvss/calculator/3.0#CVSS:3.0/AV:L/AC:H/PR:H/UI:R/S:U/C:H/I:N/A:N/E:P/RL:O/RC:C
https://nvd.nist.gov/cvss.cfm?calculator&amp;version=2&amp;vector=(AV:L/AC:H/Au:S/C:C/I:N/A:N/E:POC/RL:OF/RC:C)</t>
  </si>
  <si>
    <t>https://kc.mcafee.com/corporate/index?page=content&amp;id=SB10173
http://cwe.mitre.org/data/definitions/264.html</t>
  </si>
  <si>
    <t>https://www.first.org/cvss/calculator/3.0#CVSS:3.0/AV:L/AC:H/PR:L/UI:R/S:U/C:N/I:H/A:H/E:P/RL:O/RC:C</t>
  </si>
  <si>
    <t>https://www.first.org/cvss/calculator/3.0#CVSS:3.0/AV:L/AC:H/PR:L/UI:R/S:C/C:H/I:H/A:H/E:F/RL:O/RC:C/CR:H/IR:H/AR:H/MAV:L/MPR:L/MUI:R/MS:C/MC:H/MI:H/MA:H</t>
  </si>
  <si>
    <t>https://kc.mcafee.com/corporate/index?page=content&amp;id=SB10175
http://cwe.mitre.org/data/definitions/274.html</t>
  </si>
  <si>
    <t>https://kc.mcafee.com/corporate/index?page=content&amp;id=SB10112
http://cwe.mitre.org/data/definitions/717.html</t>
  </si>
  <si>
    <t>https://kc.mcafee.com/corporate/index?page=content&amp;id=SB10112
http://cwe.mitre.org/data/definitions/20.html</t>
  </si>
  <si>
    <t>https://kc.mcafee.com/corporate/index?page=content&amp;id=SB10112
http://cwe.mitre.org/data/definitions/592.html</t>
  </si>
  <si>
    <t>https://nvd.nist.gov/cvss.cfm?calculator&amp;version=2&amp;vector=(AV:N/AC:M/Au:S/C:P/I:P/A:P/E:F/RL:OF/RC:C)</t>
  </si>
  <si>
    <t xml:space="preserve">https://nvd.nist.gov/cvss.cfm?calculator&amp;version=2&amp;vector=(AV:N/AC:M/Au:M/C:P/I:P/A:N/E:F/RL:OF/RC:C) </t>
  </si>
  <si>
    <t>https://nvd.nist.gov/cvss.cfm?calculator&amp;version=2&amp;vector=(AV:N/AC:M/Au:S/C:P/I:P/A:N/E:POC/RL:OF/RC:C)</t>
  </si>
  <si>
    <t>https://kc.mcafee.com/corporate/index?page=content&amp;id=SB10111
http://cwe.mitre.org/data/definitions/79.html</t>
  </si>
  <si>
    <t>https://kc.mcafee.com/corporate/index?page=content&amp;id=SB10111
http://cwe.mitre.org/data/definitions/400.html</t>
  </si>
  <si>
    <t>https://kc.mcafee.com/corporate/index?page=content&amp;id=SB10111
http://cwe.mitre.org/data/definitions/287.html</t>
  </si>
  <si>
    <t>https://kc.mcafee.com/corporate/index?page=content&amp;id=SB10111
http://cwe.mitre.org/data/definitions/352.html</t>
  </si>
  <si>
    <t>http://nvd.nist.gov/cvss.cfm?calculator&amp;version=2&amp;vector=(AV:N/AC:L/Au:S/C:P/I:N/A:N/E:POC/RL:OF/RC:C)</t>
  </si>
  <si>
    <t>https://kc.mcafee.com/corporate/index?page=content&amp;id=SB10101
http://cwe.mitre.org/data/definitions/300.html</t>
  </si>
  <si>
    <t>http://nvd.nist.gov/cvss.cfm?calculator&amp;version=2&amp;vector=(AV:N/AC:M/Au:S/C:P/I:P/A:P/E:F/RL:OF/RC:C)</t>
  </si>
  <si>
    <t>https://kc.mcafee.com/corporate/index?page=content&amp;id=SB10099
http://cwe.mitre.org/data/definitions/79.html</t>
  </si>
  <si>
    <t>https://kc.mcafee.com/corporate/index?page=content&amp;id=SB10097
http://cwe.mitre.org/data/definitions/274.html</t>
  </si>
  <si>
    <t>https://nvd.nist.gov/CVSS-v2-Calculator?vector=(AV:L/AC:M/Au:N/C:C/I:C/A:C/E:POC/RL:OF/RC:C)</t>
  </si>
  <si>
    <t>https://kc.mcafee.com/corporate/index?page=content&amp;id=SB10096</t>
  </si>
  <si>
    <t>http://nvd.nist.gov/cvss.cfm?calculator&amp;version=2&amp;vector=(AV:A/AC:M/Au:S/C:C/I:P/A:P/E:POC/RL:OF/RC:C)</t>
  </si>
  <si>
    <t>http://nvd.nist.gov/cvss.cfm?calculator&amp;version=2&amp;vector=(AV:A/AC:M/Au:S/C:C/I:C/A:C/E:POC/RL:OF/RC:C)</t>
  </si>
  <si>
    <t>https://kc.mcafee.com/corporate/index?page=content&amp;id=SB10095</t>
  </si>
  <si>
    <t>http://nvd.nist.gov/cvss.cfm?calculator&amp;version=2&amp;vector=(AV:L/AC:M/Au:N/C:C/I:C/A:N/E:F/RL:OF/RC:C)</t>
  </si>
  <si>
    <t>https://kc.mcafee.com/corporate/index?page=content&amp;id=SB10089
http://cwe.mitre.org/data/definitions/331.html</t>
  </si>
  <si>
    <t>https://kc.mcafee.com/corporate/index?page=content&amp;id=SB10087
http://cwe.mitre.org/data/definitions/933.html</t>
  </si>
  <si>
    <t>http://nvd.nist.gov/cvss.cfm?calculator&amp;version=2&amp;vector=(AV:N/AC:L/Au:N/C:C/I:C/A:P/E:F/RL:OF/RC:C/CDP:H/TD:H/CR:H/IR:H/AR:M)</t>
  </si>
  <si>
    <t>https://kc.mcafee.com/corporate/index?page=content&amp;id=SB10080
http://cwe.mitre.org/data/definitions/717.html</t>
  </si>
  <si>
    <t xml:space="preserve">http://nvd.nist.gov/cvss.cfm?calculator&amp;version=2&amp;vector=(AV:N/AC:L/Au:S/C:P/I:N/A:N/E:POC/RL:OF/RC:C) </t>
  </si>
  <si>
    <t xml:space="preserve">http://nvd.nist.gov/cvss.cfm?calculator&amp;version=2&amp;vector=(AV:L/AC:M/Au:S/C:P/I:P/A:P/E:F/RL:OF/RC:C) </t>
  </si>
  <si>
    <t>https://kc.mcafee.com/corporate/index?page=content&amp;id=SB10077</t>
  </si>
  <si>
    <t>http://nvd.nist.gov/cvss.cfm?calculator&amp;version=2&amp;vector=(AV:N/AC:H/Au:N/C:C/I:N/A:N/E:U/RL:O/RC:C)</t>
  </si>
  <si>
    <t>https://kc.mcafee.com/corporate/index?page=content&amp;id=SB10067
http://cwe.mitre.org/data/definitions/327.html
http://www.kb.cert.org/vuls/id/274923
https://support.emc.com/docu38558_EMC-Security-Advisories-All-EMC-Products---Current-Year.pdf</t>
  </si>
  <si>
    <t>https://kc.mcafee.com/corporate/index?page=content&amp;id=SB10065</t>
  </si>
  <si>
    <t>http://nvd.nist.gov/cvss.cfm?calculator&amp;version=2&amp;vector=(AV:A/AC:H/Au:N/C:P/I:N/A:N/E:P/RL:O/RC:C)</t>
  </si>
  <si>
    <t>http://nvd.nist.gov/cvss.cfm?calculator&amp;version=2&amp;vector=(AV:N/AC:M/Au:N/C:P/I:N/A:N/E:P/RL:O/RC:C)</t>
  </si>
  <si>
    <t>https://kc.mcafee.com/corporate/index?page=content&amp;id=SB10061
http://cwe.mitre.org/data/definitions/79.html</t>
  </si>
  <si>
    <t>https://kc.mcafee.com/corporate/index?page=content&amp;id=SB10061
http://cwe.mitre.org/data/definitions/352.html</t>
  </si>
  <si>
    <t>http://nvd.nist.gov/cvss.cfm?calculator&amp;version=2&amp;vector=(AV:A/AC:M/Au:N/C:P/I:N/A:N/E:POC/RL:OF/RC:C)</t>
  </si>
  <si>
    <r>
      <t>§</t>
    </r>
    <r>
      <rPr>
        <sz val="7"/>
        <color theme="1"/>
        <rFont val="Times New Roman"/>
        <family val="1"/>
      </rPr>
      <t xml:space="preserve">    </t>
    </r>
    <r>
      <rPr>
        <sz val="9"/>
        <color theme="1"/>
        <rFont val="Verdana"/>
        <family val="2"/>
      </rPr>
      <t>CWE-602: Client-Side Enforcement of Server-Side Security</t>
    </r>
  </si>
  <si>
    <r>
      <t>§</t>
    </r>
    <r>
      <rPr>
        <sz val="7"/>
        <color theme="1"/>
        <rFont val="Times New Roman"/>
        <family val="1"/>
      </rPr>
      <t xml:space="preserve">    </t>
    </r>
    <r>
      <rPr>
        <sz val="9"/>
        <color theme="1"/>
        <rFont val="Verdana"/>
        <family val="2"/>
      </rPr>
      <t>CWE-250: Execution with Unnecessary Privileges</t>
    </r>
  </si>
  <si>
    <r>
      <t>§</t>
    </r>
    <r>
      <rPr>
        <sz val="7"/>
        <color theme="1"/>
        <rFont val="Times New Roman"/>
        <family val="1"/>
      </rPr>
      <t xml:space="preserve">    </t>
    </r>
    <r>
      <rPr>
        <sz val="9"/>
        <color theme="1"/>
        <rFont val="Verdana"/>
        <family val="2"/>
      </rPr>
      <t>CWE-330: Use of Insufficiently Random Values</t>
    </r>
  </si>
  <si>
    <r>
      <t>§</t>
    </r>
    <r>
      <rPr>
        <sz val="7"/>
        <color theme="1"/>
        <rFont val="Times New Roman"/>
        <family val="1"/>
      </rPr>
      <t xml:space="preserve">    </t>
    </r>
    <r>
      <rPr>
        <sz val="9"/>
        <color theme="1"/>
        <rFont val="Verdana"/>
        <family val="2"/>
      </rPr>
      <t>CWE-732: Incorrect Permission Assignment for Critical Resource</t>
    </r>
  </si>
  <si>
    <r>
      <t>§</t>
    </r>
    <r>
      <rPr>
        <sz val="7"/>
        <color theme="1"/>
        <rFont val="Times New Roman"/>
        <family val="1"/>
      </rPr>
      <t xml:space="preserve">    </t>
    </r>
    <r>
      <rPr>
        <sz val="9"/>
        <color theme="1"/>
        <rFont val="Verdana"/>
        <family val="2"/>
      </rPr>
      <t>CWE-259: Hard-Coded Password</t>
    </r>
  </si>
  <si>
    <r>
      <t>§</t>
    </r>
    <r>
      <rPr>
        <sz val="7"/>
        <color theme="1"/>
        <rFont val="Times New Roman"/>
        <family val="1"/>
      </rPr>
      <t xml:space="preserve">    </t>
    </r>
    <r>
      <rPr>
        <sz val="9"/>
        <color theme="1"/>
        <rFont val="Verdana"/>
        <family val="2"/>
      </rPr>
      <t>CWE-327: Use of a Broken or Risky Cryptographic Algorithm</t>
    </r>
  </si>
  <si>
    <r>
      <t>§</t>
    </r>
    <r>
      <rPr>
        <sz val="7"/>
        <color theme="1"/>
        <rFont val="Times New Roman"/>
        <family val="1"/>
      </rPr>
      <t xml:space="preserve">    </t>
    </r>
    <r>
      <rPr>
        <sz val="9"/>
        <color theme="1"/>
        <rFont val="Verdana"/>
        <family val="2"/>
      </rPr>
      <t>CWE-285: Improper Access Control (Authorization)</t>
    </r>
  </si>
  <si>
    <t>The weaknesses in this category are related to defensive techniques that are often misused, abused, or just plain ignored.</t>
  </si>
  <si>
    <r>
      <t>1.1.3</t>
    </r>
    <r>
      <rPr>
        <b/>
        <sz val="7"/>
        <color theme="1"/>
        <rFont val="Times New Roman"/>
        <family val="1"/>
      </rPr>
      <t xml:space="preserve">       </t>
    </r>
    <r>
      <rPr>
        <b/>
        <sz val="10"/>
        <color theme="1"/>
        <rFont val="Verdana"/>
        <family val="2"/>
      </rPr>
      <t>Porous Defences</t>
    </r>
  </si>
  <si>
    <r>
      <t>§</t>
    </r>
    <r>
      <rPr>
        <sz val="7"/>
        <color theme="1"/>
        <rFont val="Times New Roman"/>
        <family val="1"/>
      </rPr>
      <t xml:space="preserve">    </t>
    </r>
    <r>
      <rPr>
        <sz val="9"/>
        <color theme="1"/>
        <rFont val="Verdana"/>
        <family val="2"/>
      </rPr>
      <t>CWE-682: Incorrect Calculation</t>
    </r>
  </si>
  <si>
    <r>
      <t>§</t>
    </r>
    <r>
      <rPr>
        <sz val="7"/>
        <color theme="1"/>
        <rFont val="Times New Roman"/>
        <family val="1"/>
      </rPr>
      <t xml:space="preserve">    </t>
    </r>
    <r>
      <rPr>
        <sz val="9"/>
        <color theme="1"/>
        <rFont val="Verdana"/>
        <family val="2"/>
      </rPr>
      <t>CWE-665: Improper Initialization</t>
    </r>
  </si>
  <si>
    <r>
      <t>§</t>
    </r>
    <r>
      <rPr>
        <sz val="7"/>
        <color theme="1"/>
        <rFont val="Times New Roman"/>
        <family val="1"/>
      </rPr>
      <t xml:space="preserve">    </t>
    </r>
    <r>
      <rPr>
        <sz val="9"/>
        <color theme="1"/>
        <rFont val="Verdana"/>
        <family val="2"/>
      </rPr>
      <t>CWE-404: Improper Resource Shutdown or Release</t>
    </r>
  </si>
  <si>
    <r>
      <t>§</t>
    </r>
    <r>
      <rPr>
        <sz val="7"/>
        <color theme="1"/>
        <rFont val="Times New Roman"/>
        <family val="1"/>
      </rPr>
      <t xml:space="preserve">    </t>
    </r>
    <r>
      <rPr>
        <sz val="9"/>
        <color theme="1"/>
        <rFont val="Verdana"/>
        <family val="2"/>
      </rPr>
      <t>CWE-494: Download of Code Without Integrity Check</t>
    </r>
  </si>
  <si>
    <r>
      <t>§</t>
    </r>
    <r>
      <rPr>
        <sz val="7"/>
        <color theme="1"/>
        <rFont val="Times New Roman"/>
        <family val="1"/>
      </rPr>
      <t xml:space="preserve">    </t>
    </r>
    <r>
      <rPr>
        <sz val="9"/>
        <color theme="1"/>
        <rFont val="Verdana"/>
        <family val="2"/>
      </rPr>
      <t>CWE-94: Failure to Control Generation of Code ('Code Injection')</t>
    </r>
  </si>
  <si>
    <r>
      <t>§</t>
    </r>
    <r>
      <rPr>
        <sz val="7"/>
        <color theme="1"/>
        <rFont val="Times New Roman"/>
        <family val="1"/>
      </rPr>
      <t xml:space="preserve">    </t>
    </r>
    <r>
      <rPr>
        <sz val="9"/>
        <color theme="1"/>
        <rFont val="Verdana"/>
        <family val="2"/>
      </rPr>
      <t>CWE-426: Untrusted Search Path</t>
    </r>
  </si>
  <si>
    <r>
      <t>§</t>
    </r>
    <r>
      <rPr>
        <sz val="7"/>
        <color theme="1"/>
        <rFont val="Times New Roman"/>
        <family val="1"/>
      </rPr>
      <t xml:space="preserve">    </t>
    </r>
    <r>
      <rPr>
        <sz val="9"/>
        <color theme="1"/>
        <rFont val="Verdana"/>
        <family val="2"/>
      </rPr>
      <t>CWE-73: External Control of File Name or Path</t>
    </r>
  </si>
  <si>
    <r>
      <t>§</t>
    </r>
    <r>
      <rPr>
        <sz val="7"/>
        <color theme="1"/>
        <rFont val="Times New Roman"/>
        <family val="1"/>
      </rPr>
      <t xml:space="preserve">    </t>
    </r>
    <r>
      <rPr>
        <sz val="9"/>
        <color theme="1"/>
        <rFont val="Verdana"/>
        <family val="2"/>
      </rPr>
      <t>CWE-642: External Control of Critical State Data</t>
    </r>
  </si>
  <si>
    <r>
      <t>§</t>
    </r>
    <r>
      <rPr>
        <sz val="7"/>
        <color theme="1"/>
        <rFont val="Times New Roman"/>
        <family val="1"/>
      </rPr>
      <t xml:space="preserve">    </t>
    </r>
    <r>
      <rPr>
        <sz val="9"/>
        <color theme="1"/>
        <rFont val="Verdana"/>
        <family val="2"/>
      </rPr>
      <t>CWE-119: Failure to Constrain Operations within the Bounds of a Memory Buffer</t>
    </r>
  </si>
  <si>
    <t>The weaknesses in this category are related to ways in which software does not properly manaqge the creation, usage, transfer, or destruction of important system resources.</t>
  </si>
  <si>
    <r>
      <t>1.1.2</t>
    </r>
    <r>
      <rPr>
        <b/>
        <sz val="7"/>
        <color theme="1"/>
        <rFont val="Times New Roman"/>
        <family val="1"/>
      </rPr>
      <t xml:space="preserve">       </t>
    </r>
    <r>
      <rPr>
        <b/>
        <sz val="10"/>
        <color theme="1"/>
        <rFont val="Verdana"/>
        <family val="2"/>
      </rPr>
      <t>Risky Resource Management</t>
    </r>
  </si>
  <si>
    <r>
      <t>§</t>
    </r>
    <r>
      <rPr>
        <sz val="7"/>
        <color theme="1"/>
        <rFont val="Times New Roman"/>
        <family val="1"/>
      </rPr>
      <t xml:space="preserve">    </t>
    </r>
    <r>
      <rPr>
        <sz val="9"/>
        <color theme="1"/>
        <rFont val="Verdana"/>
        <family val="2"/>
      </rPr>
      <t>CWE-209: Error Message Information Leak</t>
    </r>
  </si>
  <si>
    <r>
      <t>§</t>
    </r>
    <r>
      <rPr>
        <sz val="7"/>
        <color theme="1"/>
        <rFont val="Times New Roman"/>
        <family val="1"/>
      </rPr>
      <t xml:space="preserve">    </t>
    </r>
    <r>
      <rPr>
        <sz val="9"/>
        <color theme="1"/>
        <rFont val="Verdana"/>
        <family val="2"/>
      </rPr>
      <t>CWE-362: Race Condition</t>
    </r>
  </si>
  <si>
    <r>
      <t>§</t>
    </r>
    <r>
      <rPr>
        <sz val="7"/>
        <color theme="1"/>
        <rFont val="Times New Roman"/>
        <family val="1"/>
      </rPr>
      <t xml:space="preserve">    </t>
    </r>
    <r>
      <rPr>
        <sz val="9"/>
        <color theme="1"/>
        <rFont val="Verdana"/>
        <family val="2"/>
      </rPr>
      <t>CWE-352: Cross-Site Request Forgery (CSRF)</t>
    </r>
  </si>
  <si>
    <r>
      <t>§</t>
    </r>
    <r>
      <rPr>
        <sz val="7"/>
        <color theme="1"/>
        <rFont val="Times New Roman"/>
        <family val="1"/>
      </rPr>
      <t xml:space="preserve">    </t>
    </r>
    <r>
      <rPr>
        <sz val="9"/>
        <color theme="1"/>
        <rFont val="Verdana"/>
        <family val="2"/>
      </rPr>
      <t>CWE-319: Cleartext Transmission of Sensitive Information</t>
    </r>
  </si>
  <si>
    <r>
      <t>§</t>
    </r>
    <r>
      <rPr>
        <sz val="7"/>
        <color theme="1"/>
        <rFont val="Times New Roman"/>
        <family val="1"/>
      </rPr>
      <t xml:space="preserve">    </t>
    </r>
    <r>
      <rPr>
        <sz val="9"/>
        <color theme="1"/>
        <rFont val="Verdana"/>
        <family val="2"/>
      </rPr>
      <t>CWE-78: Improper Sanitization of Special Elements used in an OS Command ('OS Command Injection')</t>
    </r>
  </si>
  <si>
    <r>
      <t>§</t>
    </r>
    <r>
      <rPr>
        <sz val="7"/>
        <color theme="1"/>
        <rFont val="Times New Roman"/>
        <family val="1"/>
      </rPr>
      <t xml:space="preserve">    </t>
    </r>
    <r>
      <rPr>
        <sz val="9"/>
        <color theme="1"/>
        <rFont val="Verdana"/>
        <family val="2"/>
      </rPr>
      <t>CWE-79: Failure to Preserve Web Page Structure ('Cross-site Scripting')</t>
    </r>
  </si>
  <si>
    <r>
      <t>§</t>
    </r>
    <r>
      <rPr>
        <sz val="7"/>
        <color theme="1"/>
        <rFont val="Times New Roman"/>
        <family val="1"/>
      </rPr>
      <t xml:space="preserve">    </t>
    </r>
    <r>
      <rPr>
        <sz val="9"/>
        <color theme="1"/>
        <rFont val="Verdana"/>
        <family val="2"/>
      </rPr>
      <t>CWE-89: Failure to Preserve SQL Query Structure ('SQL Injection')</t>
    </r>
  </si>
  <si>
    <r>
      <t>§</t>
    </r>
    <r>
      <rPr>
        <sz val="7"/>
        <color theme="1"/>
        <rFont val="Times New Roman"/>
        <family val="1"/>
      </rPr>
      <t xml:space="preserve">    </t>
    </r>
    <r>
      <rPr>
        <sz val="9"/>
        <color theme="1"/>
        <rFont val="Verdana"/>
        <family val="2"/>
      </rPr>
      <t>CWE-116: Improper Encoding or Escaping of Output</t>
    </r>
  </si>
  <si>
    <r>
      <t>§</t>
    </r>
    <r>
      <rPr>
        <sz val="7"/>
        <color theme="1"/>
        <rFont val="Times New Roman"/>
        <family val="1"/>
      </rPr>
      <t xml:space="preserve">    </t>
    </r>
    <r>
      <rPr>
        <sz val="9"/>
        <color theme="1"/>
        <rFont val="Verdana"/>
        <family val="2"/>
      </rPr>
      <t>CWE-20: Improper Input Validation</t>
    </r>
  </si>
  <si>
    <t>These weaknesses are related to insecure ways in which data is sent and received between separate components, modules, programs, processes, threads, or systems.</t>
  </si>
  <si>
    <r>
      <t>1.1.1</t>
    </r>
    <r>
      <rPr>
        <b/>
        <sz val="7"/>
        <color theme="1"/>
        <rFont val="Times New Roman"/>
        <family val="1"/>
      </rPr>
      <t xml:space="preserve">       </t>
    </r>
    <r>
      <rPr>
        <b/>
        <sz val="10"/>
        <color theme="1"/>
        <rFont val="Verdana"/>
        <family val="2"/>
      </rPr>
      <t>Insecure Interaction Between Components</t>
    </r>
  </si>
  <si>
    <t>http://cwe.mitre.org/top25/</t>
  </si>
  <si>
    <t>The 2009 CWE/SANS Top 25 Most Dangerous Programming Errors is a list of the most significant programming errors that can lead to serious software vulnerabilities. They occur frequently, are often easy to find, and easy to exploit. They are dangerous because they will frequently allow attackers to completely take over the software, steal data, or prevent the software from working at all.</t>
  </si>
  <si>
    <t>Common Weakness Enumeration Top 25 (2009)</t>
  </si>
  <si>
    <t>CWE-759</t>
  </si>
  <si>
    <t>Use of a One-Way Hash without a Salt</t>
  </si>
  <si>
    <t>[25]</t>
  </si>
  <si>
    <t>CWE-190</t>
  </si>
  <si>
    <t>Integer Overflow or Wraparound</t>
  </si>
  <si>
    <t>[24]</t>
  </si>
  <si>
    <t>CWE-134</t>
  </si>
  <si>
    <t>Uncontrolled Format String</t>
  </si>
  <si>
    <t>[23]</t>
  </si>
  <si>
    <t>CWE-601</t>
  </si>
  <si>
    <t>URL Redirection to Untrusted Site ('Open Redirect')</t>
  </si>
  <si>
    <t>[22]</t>
  </si>
  <si>
    <t>CWE-307</t>
  </si>
  <si>
    <t>Improper Restriction of Excessive Authentication Attempts</t>
  </si>
  <si>
    <t>[21]</t>
  </si>
  <si>
    <t>CWE-131</t>
  </si>
  <si>
    <t>Incorrect Calculation of Buffer Size</t>
  </si>
  <si>
    <t>[20]</t>
  </si>
  <si>
    <t>CWE-327</t>
  </si>
  <si>
    <t>Use of a Broken or Risky Cryptographic Algorithm</t>
  </si>
  <si>
    <t>[19]</t>
  </si>
  <si>
    <t>CWE-676</t>
  </si>
  <si>
    <t>Use of Potentially Dangerous Function</t>
  </si>
  <si>
    <t>[18]</t>
  </si>
  <si>
    <t>CWE-732</t>
  </si>
  <si>
    <t>Incorrect Permission Assignment for Critical Resource</t>
  </si>
  <si>
    <t>[17]</t>
  </si>
  <si>
    <t>CWE-829</t>
  </si>
  <si>
    <t>Inclusion of Functionality from Untrusted Control Sphere</t>
  </si>
  <si>
    <t>[16]</t>
  </si>
  <si>
    <t>CWE-863</t>
  </si>
  <si>
    <t>Incorrect Authorization</t>
  </si>
  <si>
    <t>[15]</t>
  </si>
  <si>
    <t>CWE-494</t>
  </si>
  <si>
    <t>Download of Code Without Integrity Check</t>
  </si>
  <si>
    <t>[14]</t>
  </si>
  <si>
    <t>CWE-22</t>
  </si>
  <si>
    <t>Improper Limitation of a Pathname to a Restricted Directory ('Path Traversal')</t>
  </si>
  <si>
    <t>[13]</t>
  </si>
  <si>
    <t>CWE-352</t>
  </si>
  <si>
    <t>Cross-Site Request Forgery (CSRF)</t>
  </si>
  <si>
    <t>[12]</t>
  </si>
  <si>
    <t>CWE-250</t>
  </si>
  <si>
    <t>Execution with Unnecessary Privileges</t>
  </si>
  <si>
    <t>[11]</t>
  </si>
  <si>
    <t>CWE-807</t>
  </si>
  <si>
    <t>Reliance on Untrusted Inputs in a Security Decision</t>
  </si>
  <si>
    <t>[10]</t>
  </si>
  <si>
    <t>CWE-434</t>
  </si>
  <si>
    <t>Unrestricted Upload of File with Dangerous Type</t>
  </si>
  <si>
    <t>[9]</t>
  </si>
  <si>
    <t>CWE-311</t>
  </si>
  <si>
    <t>Missing Encryption of Sensitive Data</t>
  </si>
  <si>
    <t>[8]</t>
  </si>
  <si>
    <t>CWE-798</t>
  </si>
  <si>
    <t>Use of Hard-coded Credentials</t>
  </si>
  <si>
    <t>[7]</t>
  </si>
  <si>
    <t>CWE-862</t>
  </si>
  <si>
    <t>Missing Authorization</t>
  </si>
  <si>
    <t>[6]</t>
  </si>
  <si>
    <t>CWE-306</t>
  </si>
  <si>
    <t>Missing Authentication for Critical Function</t>
  </si>
  <si>
    <t>[5]</t>
  </si>
  <si>
    <t>CWE-79</t>
  </si>
  <si>
    <t>Improper Neutralization of Input During Web Page Generation ('Cross-site Scripting')</t>
  </si>
  <si>
    <t>[4]</t>
  </si>
  <si>
    <t>CWE-120</t>
  </si>
  <si>
    <t>Buffer Copy without Checking Size of Input ('Classic Buffer Overflow')</t>
  </si>
  <si>
    <t>[3]</t>
  </si>
  <si>
    <t>CWE-78</t>
  </si>
  <si>
    <t>Improper Neutralization of Special Elements used in an OS Command ('OS Command Injection')</t>
  </si>
  <si>
    <t>[2]</t>
  </si>
  <si>
    <t>CWE-89</t>
  </si>
  <si>
    <t>Improper Neutralization of Special Elements used in an SQL Command ('SQL Injection')</t>
  </si>
  <si>
    <t>[1]</t>
  </si>
  <si>
    <t>Score</t>
  </si>
  <si>
    <t>ID</t>
  </si>
  <si>
    <t>Name</t>
  </si>
  <si>
    <t>Rank</t>
  </si>
  <si>
    <t>The 2011 CWE/SANS Top 25 Most Dangerous Software Errors is a list of the most widespread and critical errors that can lead to serious vulnerabilities in software. They are often easy to find, and easy to exploit. They are dangerous because they will frequently allow attackers to completely take over the software, steal data, or prevent the software from working at all.</t>
  </si>
  <si>
    <t>Common Weakness Enumeration Top 25 (2012)</t>
  </si>
  <si>
    <r>
      <t>Page Last Updated: </t>
    </r>
    <r>
      <rPr>
        <sz val="8"/>
        <color rgb="FF32498D"/>
        <rFont val="Verdana"/>
        <family val="2"/>
      </rPr>
      <t>July 16, 2013</t>
    </r>
  </si>
  <si>
    <t> XML Injection (aka Blind XPath Injection) - (91)</t>
  </si>
  <si>
    <t> Write-what-where Condition - (123)</t>
  </si>
  <si>
    <t> Wrap-around Error - (128)</t>
  </si>
  <si>
    <t> Windows Virtual File Problems - (68)</t>
  </si>
  <si>
    <t> Windows Shortcut Following (.LNK) - (64)</t>
  </si>
  <si>
    <t> Windows Path Link Problems - (63)</t>
  </si>
  <si>
    <t> Windows Hard Link - (65)</t>
  </si>
  <si>
    <t> Web Problems - (442)</t>
  </si>
  <si>
    <t> Weaknesses Used by NVD - (635)</t>
  </si>
  <si>
    <t> Weaknesses that Affect System Processes - (634)</t>
  </si>
  <si>
    <t> Weaknesses that Affect Memory - (633)</t>
  </si>
  <si>
    <t> Weaknesses that Affect Files or Directories - (632)</t>
  </si>
  <si>
    <t> Weaknesses Introduced During Implementation - (702)</t>
  </si>
  <si>
    <t> Weaknesses Introduced During Design - (701)</t>
  </si>
  <si>
    <t> Weaknesses in the 2011 CWE/SANS Top 25 Most Dangerous Software Errors - (900)</t>
  </si>
  <si>
    <t> Weaknesses in the 2010 CWE/SANS Top 25 Most Dangerous Programming Errors - (800)</t>
  </si>
  <si>
    <t> Weaknesses in the 2009 CWE/SANS Top 25 Most Dangerous Programming Errors - (750)</t>
  </si>
  <si>
    <t> Weaknesses in Software Written in PHP - (661)</t>
  </si>
  <si>
    <t> Weaknesses in Software Written in Java - (660)</t>
  </si>
  <si>
    <t> Weaknesses in Software Written in C++ - (659)</t>
  </si>
  <si>
    <t> Weaknesses in Software Written in C - (658)</t>
  </si>
  <si>
    <t> Weaknesses in OWASP Top Ten (2013) - (928)</t>
  </si>
  <si>
    <t> Weaknesses in OWASP Top Ten (2010) - (809)</t>
  </si>
  <si>
    <t> Weaknesses in OWASP Top Ten (2007) - (629)</t>
  </si>
  <si>
    <t> Weaknesses in OWASP Top Ten (2004) - (711)</t>
  </si>
  <si>
    <t> Weaknesses in Mobile Applications - (919)</t>
  </si>
  <si>
    <t> Weaknesses Examined by SAMATE - (630)</t>
  </si>
  <si>
    <t> Weaknesses Addressed by the CERT Java Secure Coding Standard - (844)</t>
  </si>
  <si>
    <t> Weaknesses Addressed by the CERT C++ Secure Coding Standard - (868)</t>
  </si>
  <si>
    <t> Weaknesses Addressed by the CERT C Secure Coding Standard - (734)</t>
  </si>
  <si>
    <t> Weakness Base Elements - (677)</t>
  </si>
  <si>
    <t>View Weakness Base Elements - (677)</t>
  </si>
  <si>
    <t> Weak Password Requirements - (521)</t>
  </si>
  <si>
    <t>Weakness Base Weak Password Requirements - (521)</t>
  </si>
  <si>
    <t> Weak Password Recovery Mechanism for Forgotten Password - (640)</t>
  </si>
  <si>
    <t>Weakness Base Weak Password Recovery Mechanism for Forgotten Password - (640)</t>
  </si>
  <si>
    <t> Weak Cryptography for Passwords - (261)</t>
  </si>
  <si>
    <t>Weakness Variant Weak Cryptography for Passwords - (261)</t>
  </si>
  <si>
    <t> Violation of Secure Design Principles - (657)</t>
  </si>
  <si>
    <t>Weakness Class Violation of Secure Design Principles - (657)</t>
  </si>
  <si>
    <t> Variable Extraction Error - (621)</t>
  </si>
  <si>
    <t>Weakness Base Variable Extraction Error - (621)</t>
  </si>
  <si>
    <t> Using Referer Field for Authentication - (293)</t>
  </si>
  <si>
    <t>Weakness Variant Using Referer Field for Authentication - (293)</t>
  </si>
  <si>
    <t> User Interface Security Issues - (355)</t>
  </si>
  <si>
    <t>Category User Interface Security Issues - (355)</t>
  </si>
  <si>
    <t> User Interface Errors - (445)</t>
  </si>
  <si>
    <t>Category User Interface Errors - (445)</t>
  </si>
  <si>
    <t> Use of Wrong Operator in String Comparison - (597)</t>
  </si>
  <si>
    <t>Weakness Variant Use of Wrong Operator in String Comparison - (597)</t>
  </si>
  <si>
    <t> Use of Uninitialized Variable - (457)</t>
  </si>
  <si>
    <t>Weakness Variant Use of Uninitialized Variable - (457)</t>
  </si>
  <si>
    <t> Use of Uninitialized Resource - (908)</t>
  </si>
  <si>
    <t>Weakness Base Use of Uninitialized Resource - (908)</t>
  </si>
  <si>
    <t> Use of umask() with chmod-style Argument - (560)</t>
  </si>
  <si>
    <t>Weakness Variant Use of umask() with chmod-style Argument - (560)</t>
  </si>
  <si>
    <t> Use of sizeof() on a Pointer Type - (467)</t>
  </si>
  <si>
    <t>Weakness Variant Use of sizeof() on a Pointer Type - (467)</t>
  </si>
  <si>
    <t> Use of Singleton Pattern Without Synchronization in a Multithreaded Context - (543)</t>
  </si>
  <si>
    <t>Weakness Variant Use of Singleton Pattern Without Synchronization in a Multithreaded Context - (543)</t>
  </si>
  <si>
    <t> Use of Single-factor Authentication - (308)</t>
  </si>
  <si>
    <t>Weakness Base Use of Single-factor Authentication - (308)</t>
  </si>
  <si>
    <t> Use of RSA Algorithm without OAEP - (780)</t>
  </si>
  <si>
    <t>Weakness Variant Use of RSA Algorithm without OAEP - (780)</t>
  </si>
  <si>
    <t> Use of Potentially Dangerous Function - (676)</t>
  </si>
  <si>
    <t>Weakness Base Use of Potentially Dangerous Function - (676)</t>
  </si>
  <si>
    <t> Use of Pointer Subtraction to Determine Size - (469)</t>
  </si>
  <si>
    <t>Weakness Base Use of Pointer Subtraction to Determine Size - (469)</t>
  </si>
  <si>
    <t> Use of Path Manipulation Function without Maximum-sized Buffer - (785)</t>
  </si>
  <si>
    <t>Weakness Variant Use of Path Manipulation Function without Maximum-sized Buffer - (785)</t>
  </si>
  <si>
    <t> Use of Password System for Primary Authentication - (309)</t>
  </si>
  <si>
    <t>Weakness Base Use of Password System for Primary Authentication - (309)</t>
  </si>
  <si>
    <t> Use of Password Hash With Insufficient Computational Effort - (916)</t>
  </si>
  <si>
    <t>Weakness Base Use of Password Hash With Insufficient Computational Effort - (916)</t>
  </si>
  <si>
    <t> Use of Password Hash Instead of Password for Authentication - (836)</t>
  </si>
  <si>
    <t>Weakness Base Use of Password Hash Instead of Password for Authentication - (836)</t>
  </si>
  <si>
    <t> Use of Out-of-range Pointer Offset - (823)</t>
  </si>
  <si>
    <t>Weakness Base Use of Out-of-range Pointer Offset - (823)</t>
  </si>
  <si>
    <t> Use of Obsolete Functions - (477)</t>
  </si>
  <si>
    <t>Weakness Base Use of Obsolete Functions - (477)</t>
  </si>
  <si>
    <t> Use of NullPointerException Catch to Detect NULL Pointer Dereference - (395)</t>
  </si>
  <si>
    <t>Weakness Base Use of NullPointerException Catch to Detect NULL Pointer Dereference - (395)</t>
  </si>
  <si>
    <t> Use of Non-Canonical URL Paths for Authorization Decisions - (647)</t>
  </si>
  <si>
    <t>Weakness Variant Use of Non-Canonical URL Paths for Authorization Decisions - (647)</t>
  </si>
  <si>
    <t> Use of Multiple Resources with Duplicate Identifier - (694)</t>
  </si>
  <si>
    <t>Weakness Base Use of Multiple Resources with Duplicate Identifier - (694)</t>
  </si>
  <si>
    <t> Use of Low-Level Functionality - (695)</t>
  </si>
  <si>
    <t>Weakness Base Use of Low-Level Functionality - (695)</t>
  </si>
  <si>
    <t> Use of Less Trusted Source - (348)</t>
  </si>
  <si>
    <t>Weakness Base Use of Less Trusted Source - (348)</t>
  </si>
  <si>
    <t> Use of Invariant Value in Dynamically Changing Context - (344)</t>
  </si>
  <si>
    <t>Weakness Base Use of Invariant Value in Dynamically Changing Context - (344)</t>
  </si>
  <si>
    <t> Use of Insufficiently Random Values - (330)</t>
  </si>
  <si>
    <t>Weakness Class Use of Insufficiently Random Values - (330)</t>
  </si>
  <si>
    <t> Use of Inner Class Containing Sensitive Data - (492)</t>
  </si>
  <si>
    <t>Weakness Variant Use of Inner Class Containing Sensitive Data - (492)</t>
  </si>
  <si>
    <t> Use of Inherently Dangerous Function - (242)</t>
  </si>
  <si>
    <t>Weakness Base Use of Inherently Dangerous Function - (242)</t>
  </si>
  <si>
    <t> Use of Incorrectly-Resolved Name or Reference - (706)</t>
  </si>
  <si>
    <t>Weakness Class Use of Incorrectly-Resolved Name or Reference - (706)</t>
  </si>
  <si>
    <t> Use of Incorrect Operator - (480)</t>
  </si>
  <si>
    <t>Weakness Base Use of Incorrect Operator - (480)</t>
  </si>
  <si>
    <t> Use of Incorrect Byte Ordering - (198)</t>
  </si>
  <si>
    <t>Weakness Base Use of Incorrect Byte Ordering - (198)</t>
  </si>
  <si>
    <t> Use of Implicit Intent for Sensitive Communication - (927)</t>
  </si>
  <si>
    <t>Weakness Variant Use of Implicit Intent for Sensitive Communication - (927)</t>
  </si>
  <si>
    <t> Use of Hard-coded, Security-relevant Constants - (547)</t>
  </si>
  <si>
    <t>Weakness Variant Use of Hard-coded, Security-relevant Constants - (547)</t>
  </si>
  <si>
    <t> Use of Hard-coded Password - (259)</t>
  </si>
  <si>
    <t>Weakness Base Use of Hard-coded Password - (259)</t>
  </si>
  <si>
    <t> Use of Hard-coded Cryptographic Key - (321)</t>
  </si>
  <si>
    <t>Weakness Base Use of Hard-coded Cryptographic Key - (321)</t>
  </si>
  <si>
    <t> Use of Hard-coded Credentials - (798)</t>
  </si>
  <si>
    <t>Weakness Base Use of Hard-coded Credentials - (798)</t>
  </si>
  <si>
    <t> Use of getlogin() in Multithreaded Application - (558)</t>
  </si>
  <si>
    <t>Weakness Variant Use of getlogin() in Multithreaded Application - (558)</t>
  </si>
  <si>
    <t> Use of Function with Inconsistent Implementations - (474)</t>
  </si>
  <si>
    <t>Weakness Base Use of Function with Inconsistent Implementations - (474)</t>
  </si>
  <si>
    <t> Use of Externally-Controlled Input to Select Classes or Code ('Unsafe Reflection') - (470)</t>
  </si>
  <si>
    <t>Weakness Base Use of Externally-Controlled Input to Select Classes or Code ('Unsafe Reflection') - (470)</t>
  </si>
  <si>
    <t> Use of Expired File Descriptor - (910)</t>
  </si>
  <si>
    <t>Weakness Base Use of Expired File Descriptor - (910)</t>
  </si>
  <si>
    <t> Use of Dynamic Class Loading - (545)</t>
  </si>
  <si>
    <t>Weakness Variant Use of Dynamic Class Loading - (545)</t>
  </si>
  <si>
    <t> Use of Cryptographically Weak PRNG - (338)</t>
  </si>
  <si>
    <t>Weakness Base Use of Cryptographically Weak PRNG - (338)</t>
  </si>
  <si>
    <t> Use of Client-Side Authentication - (603)</t>
  </si>
  <si>
    <t>Weakness Base Use of Client-Side Authentication - (603)</t>
  </si>
  <si>
    <t> Use of a One-Way Hash without a Salt - (759)</t>
  </si>
  <si>
    <t>Weakness Base Use of a One-Way Hash without a Salt - (759)</t>
  </si>
  <si>
    <t> Use of a One-Way Hash with a Predictable Salt - (760)</t>
  </si>
  <si>
    <t>Weakness Base Use of a One-Way Hash with a Predictable Salt - (760)</t>
  </si>
  <si>
    <t> Use of a Non-reentrant Function in a Concurrent Context - (663)</t>
  </si>
  <si>
    <t>Weakness Base Use of a Non-reentrant Function in a Concurrent Context - (663)</t>
  </si>
  <si>
    <t> Use of a Key Past its Expiration Date - (324)</t>
  </si>
  <si>
    <t>Weakness Base Use of a Key Past its Expiration Date - (324)</t>
  </si>
  <si>
    <t> Use of a Broken or Risky Cryptographic Algorithm - (327)</t>
  </si>
  <si>
    <t>Weakness Base Use of a Broken or Risky Cryptographic Algorithm - (327)</t>
  </si>
  <si>
    <t> Use After Free - (416)</t>
  </si>
  <si>
    <t>Weakness Base Use After Free - (416)</t>
  </si>
  <si>
    <t> URL Redirection to Untrusted Site ('Open Redirect') - (601)</t>
  </si>
  <si>
    <t>Weakness Variant URL Redirection to Untrusted Site ('Open Redirect') - (601)</t>
  </si>
  <si>
    <t> Unverified Password Change - (620)</t>
  </si>
  <si>
    <t>Weakness Variant Unverified Password Change - (620)</t>
  </si>
  <si>
    <t> Unverified Ownership - (283)</t>
  </si>
  <si>
    <t>Weakness Base Unverified Ownership - (283)</t>
  </si>
  <si>
    <t> Unused Variable - (563)</t>
  </si>
  <si>
    <t>Weakness Variant Unused Variable - (563)</t>
  </si>
  <si>
    <t> Untrusted Search Path - (426)</t>
  </si>
  <si>
    <t>Compound Element: Composite Untrusted Search Path - (426)</t>
  </si>
  <si>
    <t> Untrusted Pointer Dereference - (822)</t>
  </si>
  <si>
    <t>Weakness Base Untrusted Pointer Dereference - (822)</t>
  </si>
  <si>
    <t> Unsynchronized Access to Shared Data in a Multithreaded Context - (567)</t>
  </si>
  <si>
    <t>Weakness Base Unsynchronized Access to Shared Data in a Multithreaded Context - (567)</t>
  </si>
  <si>
    <t> Unsigned to Signed Conversion Error - (196)</t>
  </si>
  <si>
    <t>Weakness Variant Unsigned to Signed Conversion Error - (196)</t>
  </si>
  <si>
    <t> Unsafe ActiveX Control Marked Safe For Scripting - (623)</t>
  </si>
  <si>
    <t>Weakness Variant Unsafe ActiveX Control Marked Safe For Scripting - (623)</t>
  </si>
  <si>
    <t> Unrestricted Upload of File with Dangerous Type - (434)</t>
  </si>
  <si>
    <t>Weakness Base Unrestricted Upload of File with Dangerous Type - (434)</t>
  </si>
  <si>
    <t> Unrestricted Externally Accessible Lock - (412)</t>
  </si>
  <si>
    <t>Weakness Base Unrestricted Externally Accessible Lock - (412)</t>
  </si>
  <si>
    <t> Unquoted Search Path or Element - (428)</t>
  </si>
  <si>
    <t>Weakness Base Unquoted Search Path or Element - (428)</t>
  </si>
  <si>
    <t> Unprotected Windows Messaging Channel ('Shatter') - (422)</t>
  </si>
  <si>
    <t>Weakness Variant Unprotected Windows Messaging Channel ('Shatter') - (422)</t>
  </si>
  <si>
    <t> Unprotected Transport of Credentials - (523)</t>
  </si>
  <si>
    <t>Weakness Variant Unprotected Transport of Credentials - (523)</t>
  </si>
  <si>
    <t> Unprotected Primary Channel - (419)</t>
  </si>
  <si>
    <t>Weakness Base Unprotected Primary Channel - (419)</t>
  </si>
  <si>
    <t> Unprotected Alternate Channel - (420)</t>
  </si>
  <si>
    <t>Weakness Base Unprotected Alternate Channel - (420)</t>
  </si>
  <si>
    <t> Unparsed Raw Web Content Delivery - (433)</t>
  </si>
  <si>
    <t>Weakness Variant Unparsed Raw Web Content Delivery - (433)</t>
  </si>
  <si>
    <t> Unnecessary Complexity in Protection Mechanism (Not Using 'Economy of Mechanism') - (637)</t>
  </si>
  <si>
    <t>Weakness Class Unnecessary Complexity in Protection Mechanism (Not Using 'Economy of Mechanism') - (637)</t>
  </si>
  <si>
    <t> Unlock of a Resource that is not Locked - (832)</t>
  </si>
  <si>
    <t>Weakness Base Unlock of a Resource that is not Locked - (832)</t>
  </si>
  <si>
    <t> UNIX Symbolic Link (Symlink) Following - (61)</t>
  </si>
  <si>
    <t>Compound Element: Composite UNIX Symbolic Link (Symlink) Following - (61)</t>
  </si>
  <si>
    <t> UNIX Path Link Problems - (60)</t>
  </si>
  <si>
    <t>Category UNIX Path Link Problems - (60)</t>
  </si>
  <si>
    <t> UNIX Hard Link - (62)</t>
  </si>
  <si>
    <t>Weakness Variant UNIX Hard Link - (62)</t>
  </si>
  <si>
    <t> Unintended Proxy or Intermediary ('Confused Deputy') - (441)</t>
  </si>
  <si>
    <t>Weakness Class Unintended Proxy or Intermediary ('Confused Deputy') - (441)</t>
  </si>
  <si>
    <t> Unimplemented or Unsupported Feature in UI - (447)</t>
  </si>
  <si>
    <t>Weakness Base Unimplemented or Unsupported Feature in UI - (447)</t>
  </si>
  <si>
    <t> Unexpected Status Code or Return Value - (394)</t>
  </si>
  <si>
    <t>Weakness Base Unexpected Status Code or Return Value - (394)</t>
  </si>
  <si>
    <t> Unexpected Sign Extension - (194)</t>
  </si>
  <si>
    <t>Weakness Base Unexpected Sign Extension - (194)</t>
  </si>
  <si>
    <t> Undefined Behavior for Input to API - (475)</t>
  </si>
  <si>
    <t>Weakness Base Undefined Behavior for Input to API - (475)</t>
  </si>
  <si>
    <t> Uncontrolled Search Path Element - (427)</t>
  </si>
  <si>
    <t>Weakness Base Uncontrolled Search Path Element - (427)</t>
  </si>
  <si>
    <t> Uncontrolled Resource Consumption ('Resource Exhaustion') - (400)</t>
  </si>
  <si>
    <t>Weakness Base Uncontrolled Resource Consumption ('Resource Exhaustion') - (400)</t>
  </si>
  <si>
    <t> Uncontrolled Recursion - (674)</t>
  </si>
  <si>
    <t>Weakness Base Uncontrolled Recursion - (674)</t>
  </si>
  <si>
    <t> Uncontrolled Memory Allocation - (789)</t>
  </si>
  <si>
    <t>Weakness Variant Uncontrolled Memory Allocation - (789)</t>
  </si>
  <si>
    <t> Uncontrolled Format String - (134)</t>
  </si>
  <si>
    <t>Weakness Base Uncontrolled Format String - (134)</t>
  </si>
  <si>
    <t> Unchecked Return Value to NULL Pointer Dereference - (690)</t>
  </si>
  <si>
    <t>Compound Element: Chain Unchecked Return Value to NULL Pointer Dereference - (690)</t>
  </si>
  <si>
    <t> Unchecked Return Value - (252)</t>
  </si>
  <si>
    <t>Weakness Base Unchecked Return Value - (252)</t>
  </si>
  <si>
    <t> Unchecked Input for Loop Condition - (606)</t>
  </si>
  <si>
    <t>Weakness Base Unchecked Input for Loop Condition - (606)</t>
  </si>
  <si>
    <t> Unchecked Error Condition - (391)</t>
  </si>
  <si>
    <t>Weakness Base Unchecked Error Condition - (391)</t>
  </si>
  <si>
    <t> Uncaught Exception in Servlet - (600)</t>
  </si>
  <si>
    <t>Weakness Base Uncaught Exception in Servlet - (600)</t>
  </si>
  <si>
    <t> Uncaught Exception - (248)</t>
  </si>
  <si>
    <t>Weakness Base Uncaught Exception - (248)</t>
  </si>
  <si>
    <t> UI Misrepresentation of Critical Information - (451)</t>
  </si>
  <si>
    <t>Weakness Base UI Misrepresentation of Critical Information - (451)</t>
  </si>
  <si>
    <t> UI Discrepancy for Security Feature - (446)</t>
  </si>
  <si>
    <t>Weakness Base UI Discrepancy for Security Feature - (446)</t>
  </si>
  <si>
    <t> Type Errors - (136)</t>
  </si>
  <si>
    <t>Category Type Errors - (136)</t>
  </si>
  <si>
    <t> Trusting HTTP Permission Methods on the Server Side - (650)</t>
  </si>
  <si>
    <t>Weakness Variant Trusting HTTP Permission Methods on the Server Side - (650)</t>
  </si>
  <si>
    <t> Trust of System Event Data - (360)</t>
  </si>
  <si>
    <t>Weakness Base Trust of System Event Data - (360)</t>
  </si>
  <si>
    <t> Trust Boundary Violation - (501)</t>
  </si>
  <si>
    <t>Weakness Base Trust Boundary Violation - (501)</t>
  </si>
  <si>
    <t> Truncation of Security-relevant Information - (222)</t>
  </si>
  <si>
    <t>Weakness Base Truncation of Security-relevant Information - (222)</t>
  </si>
  <si>
    <t> Trojan Horse - (507)</t>
  </si>
  <si>
    <t>Weakness Base Trojan Horse - (507)</t>
  </si>
  <si>
    <t> Trapdoor - (510)</t>
  </si>
  <si>
    <t>Weakness Base Trapdoor - (510)</t>
  </si>
  <si>
    <t> Transmission of Private Resources into a New Sphere ('Resource Leak') - (402)</t>
  </si>
  <si>
    <t>Weakness Class Transmission of Private Resources into a New Sphere ('Resource Leak') - (402)</t>
  </si>
  <si>
    <t> Time-of-check Time-of-use (TOCTOU) Race Condition - (367)</t>
  </si>
  <si>
    <t>Weakness Base Time-of-check Time-of-use (TOCTOU) Race Condition - (367)</t>
  </si>
  <si>
    <t> Time and State - (361)</t>
  </si>
  <si>
    <t>Category Time and State - (361)</t>
  </si>
  <si>
    <t> The UI Performs the Wrong Action - (449)</t>
  </si>
  <si>
    <t>Weakness Base The UI Performs the Wrong Action - (449)</t>
  </si>
  <si>
    <t> Temporary File Issues - (376)</t>
  </si>
  <si>
    <t>Category Temporary File Issues - (376)</t>
  </si>
  <si>
    <t> Technology-Specific Time and State Issues - (380)</t>
  </si>
  <si>
    <t>Category Technology-Specific Time and State Issues - (380)</t>
  </si>
  <si>
    <t> Technology-Specific Special Elements - (169)</t>
  </si>
  <si>
    <t>Category Technology-Specific Special Elements - (169)</t>
  </si>
  <si>
    <t> Technology-Specific Input Validation Problems - (100)</t>
  </si>
  <si>
    <t>Category Technology-Specific Input Validation Problems - (100)</t>
  </si>
  <si>
    <t> Technology-specific Environment Issues - (3)</t>
  </si>
  <si>
    <t>Category Technology-specific Environment Issues - (3)</t>
  </si>
  <si>
    <t> Symbolic Name not Mapping to Correct Object - (386)</t>
  </si>
  <si>
    <t>Weakness Base Symbolic Name not Mapping to Correct Object - (386)</t>
  </si>
  <si>
    <t> Suspicious Comment - (546)</t>
  </si>
  <si>
    <t>Weakness Variant Suspicious Comment - (546)</t>
  </si>
  <si>
    <t> Struts: Validator Without Form Field - (110)</t>
  </si>
  <si>
    <t>Weakness Variant Struts: Validator Without Form Field - (110)</t>
  </si>
  <si>
    <t> Struts: Validator Turned Off - (109)</t>
  </si>
  <si>
    <t>Weakness Variant Struts: Validator Turned Off - (109)</t>
  </si>
  <si>
    <t> Struts: Unvalidated Action Form - (108)</t>
  </si>
  <si>
    <t>Weakness Variant Struts: Unvalidated Action Form - (108)</t>
  </si>
  <si>
    <t> Struts: Unused Validation Form - (107)</t>
  </si>
  <si>
    <t>Weakness Variant Struts: Unused Validation Form - (107)</t>
  </si>
  <si>
    <t> Struts: Plug-in Framework not in Use - (106)</t>
  </si>
  <si>
    <t>Weakness Variant Struts: Plug-in Framework not in Use - (106)</t>
  </si>
  <si>
    <t> Struts: Non-private Field in ActionForm Class - (608)</t>
  </si>
  <si>
    <t>Weakness Variant Struts: Non-private Field in ActionForm Class - (608)</t>
  </si>
  <si>
    <t> Struts: Incomplete validate() Method Definition - (103)</t>
  </si>
  <si>
    <t>Weakness Variant Struts: Incomplete validate() Method Definition - (103)</t>
  </si>
  <si>
    <t> Struts: Form Field Without Validator - (105)</t>
  </si>
  <si>
    <t>Weakness Variant Struts: Form Field Without Validator - (105)</t>
  </si>
  <si>
    <t> Struts: Form Bean Does Not Extend Validation Class - (104)</t>
  </si>
  <si>
    <t>Weakness Variant Struts: Form Bean Does Not Extend Validation Class - (104)</t>
  </si>
  <si>
    <t> Struts: Duplicate Validation Forms - (102)</t>
  </si>
  <si>
    <t>Weakness Variant Struts: Duplicate Validation Forms - (102)</t>
  </si>
  <si>
    <t> Struts Validation Problems - (101)</t>
  </si>
  <si>
    <t>Category Struts Validation Problems - (101)</t>
  </si>
  <si>
    <t> String Errors - (133)</t>
  </si>
  <si>
    <t>Category String Errors - (133)</t>
  </si>
  <si>
    <t> Storing Passwords in a Recoverable Format - (257)</t>
  </si>
  <si>
    <t>Weakness Base Storing Passwords in a Recoverable Format - (257)</t>
  </si>
  <si>
    <t> Storage of Sensitive Data in a Mechanism without Access Control - (921)</t>
  </si>
  <si>
    <t>Weakness Base Storage of Sensitive Data in a Mechanism without Access Control - (921)</t>
  </si>
  <si>
    <t> State Issues - (371)</t>
  </si>
  <si>
    <t>Category State Issues - (371)</t>
  </si>
  <si>
    <t> Stack-based Buffer Overflow - (121)</t>
  </si>
  <si>
    <t>Weakness Variant Stack-based Buffer Overflow - (121)</t>
  </si>
  <si>
    <t> SQL Injection: Hibernate - (564)</t>
  </si>
  <si>
    <t>Weakness Variant SQL Injection: Hibernate - (564)</t>
  </si>
  <si>
    <t> Spyware - (512)</t>
  </si>
  <si>
    <t>Weakness Base Spyware - (512)</t>
  </si>
  <si>
    <t> Source Code - (18)</t>
  </si>
  <si>
    <t>Category Source Code - (18)</t>
  </si>
  <si>
    <t> Software Fault Pattern (SFP) Clusters - (888)</t>
  </si>
  <si>
    <t>View Software Fault Pattern (SFP) Clusters - (888)</t>
  </si>
  <si>
    <t> Small Space of Random Values - (334)</t>
  </si>
  <si>
    <t>Weakness Base Small Space of Random Values - (334)</t>
  </si>
  <si>
    <t> Small Seed Space in PRNG - (339)</t>
  </si>
  <si>
    <t>Weakness Base Small Seed Space in PRNG - (339)</t>
  </si>
  <si>
    <t> Signed to Unsigned Conversion Error - (195)</t>
  </si>
  <si>
    <t>Weakness Variant Signed to Unsigned Conversion Error - (195)</t>
  </si>
  <si>
    <t> Signal Handler with Functionality that is not Asynchronous-Safe - (828)</t>
  </si>
  <si>
    <t>Weakness Base Signal Handler with Functionality that is not Asynchronous-Safe - (828)</t>
  </si>
  <si>
    <t> Signal Handler Use of a Non-reentrant Function - (479)</t>
  </si>
  <si>
    <t>Weakness Variant Signal Handler Use of a Non-reentrant Function - (479)</t>
  </si>
  <si>
    <t> Signal Handler Race Condition - (364)</t>
  </si>
  <si>
    <t>Weakness Base Signal Handler Race Condition - (364)</t>
  </si>
  <si>
    <t> Signal Handler Function Associated with Multiple Signals - (831)</t>
  </si>
  <si>
    <t>Weakness Base Signal Handler Function Associated with Multiple Signals - (831)</t>
  </si>
  <si>
    <t> Signal Errors - (387)</t>
  </si>
  <si>
    <t>Category Signal Errors - (387)</t>
  </si>
  <si>
    <t> SFP Cluster: Unused entities - (886)</t>
  </si>
  <si>
    <t>Category SFP Cluster: Unused entities - (886)</t>
  </si>
  <si>
    <t> SFP Cluster: UI - (906)</t>
  </si>
  <si>
    <t>Category SFP Cluster: UI - (906)</t>
  </si>
  <si>
    <t> SFP Cluster: Tainted Input - (896)</t>
  </si>
  <si>
    <t>Category SFP Cluster: Tainted Input - (896)</t>
  </si>
  <si>
    <t> SFP Cluster: Synchronization - (894)</t>
  </si>
  <si>
    <t>Category SFP Cluster: Synchronization - (894)</t>
  </si>
  <si>
    <t> SFP Cluster: Risky Values - (885)</t>
  </si>
  <si>
    <t>Category SFP Cluster: Risky Values - (885)</t>
  </si>
  <si>
    <t> SFP Cluster: Resource Management - (892)</t>
  </si>
  <si>
    <t>Category SFP Cluster: Resource Management - (892)</t>
  </si>
  <si>
    <t> SFP Cluster: Privilege - (901)</t>
  </si>
  <si>
    <t>Category SFP Cluster: Privilege - (901)</t>
  </si>
  <si>
    <t> SFP Cluster: Predictability - (905)</t>
  </si>
  <si>
    <t>Category SFP Cluster: Predictability - (905)</t>
  </si>
  <si>
    <t> SFP Cluster: Path Resolution - (893)</t>
  </si>
  <si>
    <t>Category SFP Cluster: Path Resolution - (893)</t>
  </si>
  <si>
    <t> SFP Cluster: Other - (907)</t>
  </si>
  <si>
    <t>Category SFP Cluster: Other - (907)</t>
  </si>
  <si>
    <t> SFP Cluster: Memory Management - (891)</t>
  </si>
  <si>
    <t>Category SFP Cluster: Memory Management - (891)</t>
  </si>
  <si>
    <t> SFP Cluster: Memory Access - (890)</t>
  </si>
  <si>
    <t>Category SFP Cluster: Memory Access - (890)</t>
  </si>
  <si>
    <t> SFP Cluster: Malware - (904)</t>
  </si>
  <si>
    <t>Category SFP Cluster: Malware - (904)</t>
  </si>
  <si>
    <t> SFP Cluster: Information Leak - (895)</t>
  </si>
  <si>
    <t>Category SFP Cluster: Information Leak - (895)</t>
  </si>
  <si>
    <t> SFP Cluster: Exception Management - (889)</t>
  </si>
  <si>
    <t>Category SFP Cluster: Exception Management - (889)</t>
  </si>
  <si>
    <t> SFP Cluster: Entry Points - (897)</t>
  </si>
  <si>
    <t>Category SFP Cluster: Entry Points - (897)</t>
  </si>
  <si>
    <t> SFP Cluster: Cryptography - (903)</t>
  </si>
  <si>
    <t>Category SFP Cluster: Cryptography - (903)</t>
  </si>
  <si>
    <t> SFP Cluster: Channel - (902)</t>
  </si>
  <si>
    <t>Category SFP Cluster: Channel - (902)</t>
  </si>
  <si>
    <t> SFP Cluster: Authentication - (898)</t>
  </si>
  <si>
    <t>Category SFP Cluster: Authentication - (898)</t>
  </si>
  <si>
    <t> SFP Cluster: API - (887)</t>
  </si>
  <si>
    <t>Category SFP Cluster: API - (887)</t>
  </si>
  <si>
    <t> SFP Cluster: Access Control - (899)</t>
  </si>
  <si>
    <t>Category SFP Cluster: Access Control - (899)</t>
  </si>
  <si>
    <t> Seven Pernicious Kingdoms - (700)</t>
  </si>
  <si>
    <t>View Seven Pernicious Kingdoms - (700)</t>
  </si>
  <si>
    <t> Session Fixation - (384)</t>
  </si>
  <si>
    <t>Compound Element: Composite Session Fixation - (384)</t>
  </si>
  <si>
    <t> Server-Side Request Forgery (SSRF) - (918)</t>
  </si>
  <si>
    <t>Weakness Base Server-Side Request Forgery (SSRF) - (918)</t>
  </si>
  <si>
    <t> Serializable Class Containing Sensitive Data - (499)</t>
  </si>
  <si>
    <t>Weakness Variant Serializable Class Containing Sensitive Data - (499)</t>
  </si>
  <si>
    <t> Sensitive Information Uncleared Before Release - (226)</t>
  </si>
  <si>
    <t>Weakness Base Sensitive Information Uncleared Before Release - (226)</t>
  </si>
  <si>
    <t> Sensitive Data Under Web Root - (219)</t>
  </si>
  <si>
    <t>Weakness Variant Sensitive Data Under Web Root - (219)</t>
  </si>
  <si>
    <t> Sensitive Data Under FTP Root - (220)</t>
  </si>
  <si>
    <t>Weakness Variant Sensitive Data Under FTP Root - (220)</t>
  </si>
  <si>
    <t> Sensitive Data Storage in Improperly Locked Memory - (591)</t>
  </si>
  <si>
    <t>Weakness Variant Sensitive Data Storage in Improperly Locked Memory - (591)</t>
  </si>
  <si>
    <t> Sensitive Cookie in HTTPS Session Without 'Secure' Attribute - (614)</t>
  </si>
  <si>
    <t>Weakness Variant Sensitive Cookie in HTTPS Session Without 'Secure' Attribute - (614)</t>
  </si>
  <si>
    <t> Selection of Less-Secure Algorithm During Negotiation ('Algorithm Downgrade') - (757)</t>
  </si>
  <si>
    <t>Weakness Class Selection of Less-Secure Algorithm During Negotiation ('Algorithm Downgrade') - (757)</t>
  </si>
  <si>
    <t> Security Features - (254)</t>
  </si>
  <si>
    <t>Category Security Features - (254)</t>
  </si>
  <si>
    <t> Same Seed in PRNG - (336)</t>
  </si>
  <si>
    <t>Weakness Base Same Seed in PRNG - (336)</t>
  </si>
  <si>
    <t> Reversible One-Way Hash - (328)</t>
  </si>
  <si>
    <t>Weakness Base Reversible One-Way Hash - (328)</t>
  </si>
  <si>
    <t> Reusing a Nonce, Key Pair in Encryption - (323)</t>
  </si>
  <si>
    <t>Weakness Base Reusing a Nonce, Key Pair in Encryption - (323)</t>
  </si>
  <si>
    <t> Returning a Mutable Object to an Untrusted Caller - (375)</t>
  </si>
  <si>
    <t>Weakness Base Returning a Mutable Object to an Untrusted Caller - (375)</t>
  </si>
  <si>
    <t> Return of Wrong Status Code - (393)</t>
  </si>
  <si>
    <t>Weakness Base Return of Wrong Status Code - (393)</t>
  </si>
  <si>
    <t> Return of Stack Variable Address - (562)</t>
  </si>
  <si>
    <t>Weakness Base Return of Stack Variable Address - (562)</t>
  </si>
  <si>
    <t> Return of Pointer Value Outside of Expected Range - (466)</t>
  </si>
  <si>
    <t>Weakness Base Return of Pointer Value Outside of Expected Range - (466)</t>
  </si>
  <si>
    <t> Return Inside Finally Block - (584)</t>
  </si>
  <si>
    <t>Weakness Base Return Inside Finally Block - (584)</t>
  </si>
  <si>
    <t> Response Discrepancy Information Exposure - (204)</t>
  </si>
  <si>
    <t>Weakness Base Response Discrepancy Information Exposure - (204)</t>
  </si>
  <si>
    <t> Resource-specific Weaknesses - (631)</t>
  </si>
  <si>
    <t>View Resource-specific Weaknesses - (631)</t>
  </si>
  <si>
    <t> Resource Management Errors - (399)</t>
  </si>
  <si>
    <t>Category Resource Management Errors - (399)</t>
  </si>
  <si>
    <t> Resource Locking Problems - (411)</t>
  </si>
  <si>
    <t>Category Resource Locking Problems - (411)</t>
  </si>
  <si>
    <t> Research Concepts - (1000)</t>
  </si>
  <si>
    <t>View Research Concepts - (1000)</t>
  </si>
  <si>
    <t> Representation Errors - (137)</t>
  </si>
  <si>
    <t>Category Representation Errors - (137)</t>
  </si>
  <si>
    <t> Replicating Malicious Code (Virus or Worm) - (509)</t>
  </si>
  <si>
    <t>Weakness Base Replicating Malicious Code (Virus or Worm) - (509)</t>
  </si>
  <si>
    <t> Reliance on Untrusted Inputs in a Security Decision - (807)</t>
  </si>
  <si>
    <t>Weakness Base Reliance on Untrusted Inputs in a Security Decision - (807)</t>
  </si>
  <si>
    <t> Reliance on Undefined, Unspecified, or Implementation-Defined Behavior - (758)</t>
  </si>
  <si>
    <t>Weakness Class Reliance on Undefined, Unspecified, or Implementation-Defined Behavior - (758)</t>
  </si>
  <si>
    <t> Reliance on Security Through Obscurity - (656)</t>
  </si>
  <si>
    <t>Weakness Base Reliance on Security Through Obscurity - (656)</t>
  </si>
  <si>
    <t> Reliance on Reverse DNS Resolution for a Security-Critical Action - (350)</t>
  </si>
  <si>
    <t>Weakness Variant Reliance on Reverse DNS Resolution for a Security-Critical Action - (350)</t>
  </si>
  <si>
    <t> Reliance on Package-level Scope - (487)</t>
  </si>
  <si>
    <t>Weakness Variant Reliance on Package-level Scope - (487)</t>
  </si>
  <si>
    <t> Reliance on Obfuscation or Encryption of Security-Relevant Inputs without Integrity Checking - (649)</t>
  </si>
  <si>
    <t>Weakness Base Reliance on Obfuscation or Encryption of Security-Relevant Inputs without Integrity Checking - (649)</t>
  </si>
  <si>
    <t> Reliance on IP Address for Authentication - (291)</t>
  </si>
  <si>
    <t>Weakness Variant Reliance on IP Address for Authentication - (291)</t>
  </si>
  <si>
    <t> Reliance on File Name or Extension of Externally-Supplied File - (646)</t>
  </si>
  <si>
    <t>Weakness Variant Reliance on File Name or Extension of Externally-Supplied File - (646)</t>
  </si>
  <si>
    <t> Reliance on Data/Memory Layout - (188)</t>
  </si>
  <si>
    <t>Weakness Base Reliance on Data/Memory Layout - (188)</t>
  </si>
  <si>
    <t> Reliance on Cookies without Validation and Integrity Checking in a Security Decision - (784)</t>
  </si>
  <si>
    <t>Weakness Variant Reliance on Cookies without Validation and Integrity Checking in a Security Decision - (784)</t>
  </si>
  <si>
    <t> Reliance on Cookies without Validation and Integrity Checking - (565)</t>
  </si>
  <si>
    <t>Weakness Base Reliance on Cookies without Validation and Integrity Checking - (565)</t>
  </si>
  <si>
    <t> Reliance on a Single Factor in a Security Decision - (654)</t>
  </si>
  <si>
    <t>Weakness Base Reliance on a Single Factor in a Security Decision - (654)</t>
  </si>
  <si>
    <t> Release of Invalid Pointer or Reference - (763)</t>
  </si>
  <si>
    <t>Weakness Base Release of Invalid Pointer or Reference - (763)</t>
  </si>
  <si>
    <t> Relative Path Traversal - (23)</t>
  </si>
  <si>
    <t>Weakness Base Relative Path Traversal - (23)</t>
  </si>
  <si>
    <t> Regular Expression without Anchors - (777)</t>
  </si>
  <si>
    <t>Weakness Variant Regular Expression without Anchors - (777)</t>
  </si>
  <si>
    <t> Reflection Attack in an Authentication Protocol - (301)</t>
  </si>
  <si>
    <t>Weakness Variant Reflection Attack in an Authentication Protocol - (301)</t>
  </si>
  <si>
    <t> Reachable Assertion - (617)</t>
  </si>
  <si>
    <t>Weakness Variant Reachable Assertion - (617)</t>
  </si>
  <si>
    <t> Race Condition within a Thread - (366)</t>
  </si>
  <si>
    <t>Weakness Base Race Condition within a Thread - (366)</t>
  </si>
  <si>
    <t> Race Condition in Switch - (365)</t>
  </si>
  <si>
    <t>Weakness Base Race Condition in Switch - (365)</t>
  </si>
  <si>
    <t> Race Condition Enabling Link Following - (363)</t>
  </si>
  <si>
    <t>Weakness Base Race Condition Enabling Link Following - (363)</t>
  </si>
  <si>
    <t> Race Condition During Access to Alternate Channel - (421)</t>
  </si>
  <si>
    <t>Weakness Base Race Condition During Access to Alternate Channel - (421)</t>
  </si>
  <si>
    <t> Public Static Final Field References Mutable Object - (607)</t>
  </si>
  <si>
    <t>Weakness Variant Public Static Final Field References Mutable Object - (607)</t>
  </si>
  <si>
    <t> Public Static Field Not Marked Final - (500)</t>
  </si>
  <si>
    <t>Weakness Variant Public Static Field Not Marked Final - (500)</t>
  </si>
  <si>
    <t> Public Data Assigned to Private Array-Typed Field - (496)</t>
  </si>
  <si>
    <t>Weakness Variant Public Data Assigned to Private Array-Typed Field - (496)</t>
  </si>
  <si>
    <t> Public cloneable() Method Without Final ('Object Hijack') - (491)</t>
  </si>
  <si>
    <t>Weakness Variant Public cloneable() Method Without Final ('Object Hijack') - (491)</t>
  </si>
  <si>
    <t> Protection Mechanism Failure - (693)</t>
  </si>
  <si>
    <t>Weakness Class Protection Mechanism Failure - (693)</t>
  </si>
  <si>
    <t> Product UI does not Warn User of Unsafe Actions - (356)</t>
  </si>
  <si>
    <t>Weakness Base Product UI does not Warn User of Unsafe Actions - (356)</t>
  </si>
  <si>
    <t> Process Control - (114)</t>
  </si>
  <si>
    <t>Weakness Base Process Control - (114)</t>
  </si>
  <si>
    <t> PRNG Seed Error - (335)</t>
  </si>
  <si>
    <t>Weakness Class PRNG Seed Error - (335)</t>
  </si>
  <si>
    <t> Privilege Dropping / Lowering Errors - (271)</t>
  </si>
  <si>
    <t>Weakness Class Privilege Dropping / Lowering Errors - (271)</t>
  </si>
  <si>
    <t> Privilege Defined With Unsafe Actions - (267)</t>
  </si>
  <si>
    <t>Weakness Base Privilege Defined With Unsafe Actions - (267)</t>
  </si>
  <si>
    <t> Privilege Context Switching Error - (270)</t>
  </si>
  <si>
    <t>Weakness Base Privilege Context Switching Error - (270)</t>
  </si>
  <si>
    <t> Privilege Chaining - (268)</t>
  </si>
  <si>
    <t>Weakness Base Privilege Chaining - (268)</t>
  </si>
  <si>
    <t> Privilege / Sandbox Issues - (265)</t>
  </si>
  <si>
    <t>Category Privilege / Sandbox Issues - (265)</t>
  </si>
  <si>
    <t> Private Array-Typed Field Returned From A Public Method - (495)</t>
  </si>
  <si>
    <t>Weakness Variant Private Array-Typed Field Returned From A Public Method - (495)</t>
  </si>
  <si>
    <t> Privacy Violation - (359)</t>
  </si>
  <si>
    <t>Weakness Class Privacy Violation - (359)</t>
  </si>
  <si>
    <t> Premature Release of Resource During Expected Lifetime - (826)</t>
  </si>
  <si>
    <t>Weakness Base Premature Release of Resource During Expected Lifetime - (826)</t>
  </si>
  <si>
    <t> Predictable Value Range from Previous Values - (343)</t>
  </si>
  <si>
    <t>Weakness Base Predictable Value Range from Previous Values - (343)</t>
  </si>
  <si>
    <t> Predictable Seed in PRNG - (337)</t>
  </si>
  <si>
    <t>Weakness Base Predictable Seed in PRNG - (337)</t>
  </si>
  <si>
    <t> Predictable from Observable State - (341)</t>
  </si>
  <si>
    <t>Weakness Base Predictable from Observable State - (341)</t>
  </si>
  <si>
    <t> Predictable Exact Value from Previous Values - (342)</t>
  </si>
  <si>
    <t>Weakness Base Predictable Exact Value from Previous Values - (342)</t>
  </si>
  <si>
    <t> Predictability Problems - (340)</t>
  </si>
  <si>
    <t>Weakness Class Predictability Problems - (340)</t>
  </si>
  <si>
    <t> Pointer Issues - (465)</t>
  </si>
  <si>
    <t>Category Pointer Issues - (465)</t>
  </si>
  <si>
    <t> Plaintext Storage of a Password - (256)</t>
  </si>
  <si>
    <t>Weakness Variant Plaintext Storage of a Password - (256)</t>
  </si>
  <si>
    <t> Placement of User into Incorrect Group - (842)</t>
  </si>
  <si>
    <t>Weakness Base Placement of User into Incorrect Group - (842)</t>
  </si>
  <si>
    <t> PHP External Variable Modification - (473)</t>
  </si>
  <si>
    <t>Weakness Variant PHP External Variable Modification - (473)</t>
  </si>
  <si>
    <t> Permissive Whitelist - (183)</t>
  </si>
  <si>
    <t>Weakness Base Permissive Whitelist - (183)</t>
  </si>
  <si>
    <t> Permissive Regular Expression - (625)</t>
  </si>
  <si>
    <t>Weakness Base Permissive Regular Expression - (625)</t>
  </si>
  <si>
    <t> Permissions, Privileges, and Access Controls - (264)</t>
  </si>
  <si>
    <t>Category Permissions, Privileges, and Access Controls - (264)</t>
  </si>
  <si>
    <t> Permission Race Condition During Resource Copy - (689)</t>
  </si>
  <si>
    <t>Compound Element: Composite Permission Race Condition During Resource Copy - (689)</t>
  </si>
  <si>
    <t> Permission Issues - (275)</t>
  </si>
  <si>
    <t>Category Permission Issues - (275)</t>
  </si>
  <si>
    <t> Pathname Traversal and Equivalence Errors - (21)</t>
  </si>
  <si>
    <t>Category Pathname Traversal and Equivalence Errors - (21)</t>
  </si>
  <si>
    <t> Path Traversal: 'dir\..\..\filename' - (31)</t>
  </si>
  <si>
    <t>Weakness Variant Path Traversal: 'dir\..\..\filename' - (31)</t>
  </si>
  <si>
    <t> Path Traversal: 'dir/../../filename' - (27)</t>
  </si>
  <si>
    <t>Weakness Variant Path Traversal: 'dir/../../filename' - (27)</t>
  </si>
  <si>
    <t> Path Traversal: 'C:dirname' - (39)</t>
  </si>
  <si>
    <t>Weakness Variant Path Traversal: 'C:dirname' - (39)</t>
  </si>
  <si>
    <t> Path Traversal: '..\filedir' - (28)</t>
  </si>
  <si>
    <t>Weakness Variant Path Traversal: '..\filedir' - (28)</t>
  </si>
  <si>
    <t> Path Traversal: '\dir\..\filename' - (30)</t>
  </si>
  <si>
    <t>Weakness Variant Path Traversal: '\dir\..\filename' - (30)</t>
  </si>
  <si>
    <t> Path Traversal: '\absolute\pathname\here' - (38)</t>
  </si>
  <si>
    <t>Weakness Variant Path Traversal: '\absolute\pathname\here' - (38)</t>
  </si>
  <si>
    <t> Path Traversal: '\\UNC\share\name\' (Windows UNC Share) - (40)</t>
  </si>
  <si>
    <t>Weakness Variant Path Traversal: '\\UNC\share\name\' (Windows UNC Share) - (40)</t>
  </si>
  <si>
    <t> Path Traversal: '\..\filename' - (29)</t>
  </si>
  <si>
    <t>Weakness Variant Path Traversal: '\..\filename' - (29)</t>
  </si>
  <si>
    <t> Path Traversal: '../filedir' - (24)</t>
  </si>
  <si>
    <t>Weakness Variant Path Traversal: '../filedir' - (24)</t>
  </si>
  <si>
    <t> Path Traversal: '/dir/../filename' - (26)</t>
  </si>
  <si>
    <t>Weakness Variant Path Traversal: '/dir/../filename' - (26)</t>
  </si>
  <si>
    <t> Path Traversal: '/absolute/pathname/here' - (37)</t>
  </si>
  <si>
    <t>Weakness Variant Path Traversal: '/absolute/pathname/here' - (37)</t>
  </si>
  <si>
    <t> Path Traversal: '/../filedir' - (25)</t>
  </si>
  <si>
    <t>Weakness Variant Path Traversal: '/../filedir' - (25)</t>
  </si>
  <si>
    <t> Path Traversal: '.../...//' - (35)</t>
  </si>
  <si>
    <t>Weakness Variant Path Traversal: '.../...//' - (35)</t>
  </si>
  <si>
    <t> Path Traversal: '....//' - (34)</t>
  </si>
  <si>
    <t>Weakness Variant Path Traversal: '....//' - (34)</t>
  </si>
  <si>
    <t> Path Traversal: '...' (Triple Dot) - (32)</t>
  </si>
  <si>
    <t>Weakness Variant Path Traversal: '...' (Triple Dot) - (32)</t>
  </si>
  <si>
    <t> Path Traversal: '....' (Multiple Dot) - (33)</t>
  </si>
  <si>
    <t>Weakness Variant Path Traversal: '....' (Multiple Dot) - (33)</t>
  </si>
  <si>
    <t> Path Equivalence: Windows 8.3 Filename - (58)</t>
  </si>
  <si>
    <t>Weakness Variant Path Equivalence: Windows 8.3 Filename - (58)</t>
  </si>
  <si>
    <t> Path Equivalence: 'filename/' (Trailing Slash) - (49)</t>
  </si>
  <si>
    <t>Weakness Variant Path Equivalence: 'filename/' (Trailing Slash) - (49)</t>
  </si>
  <si>
    <t> Path Equivalence: 'filename.' (Trailing Dot) - (42)</t>
  </si>
  <si>
    <t>Weakness Variant Path Equivalence: 'filename.' (Trailing Dot) - (42)</t>
  </si>
  <si>
    <t> Path Equivalence: 'filename....' (Multiple Trailing Dot) - (43)</t>
  </si>
  <si>
    <t>Weakness Variant Path Equivalence: 'filename....' (Multiple Trailing Dot) - (43)</t>
  </si>
  <si>
    <t> Path Equivalence: 'file...name' (Multiple Internal Dot) - (45)</t>
  </si>
  <si>
    <t>Weakness Variant Path Equivalence: 'file...name' (Multiple Internal Dot) - (45)</t>
  </si>
  <si>
    <t> Path Equivalence: 'file.name' (Internal Dot) - (44)</t>
  </si>
  <si>
    <t>Weakness Variant Path Equivalence: 'file.name' (Internal Dot) - (44)</t>
  </si>
  <si>
    <t> Path Equivalence: 'filename ' (Trailing Space) - (46)</t>
  </si>
  <si>
    <t>Weakness Variant Path Equivalence: 'filename ' (Trailing Space) - (46)</t>
  </si>
  <si>
    <t> Path Equivalence: 'filedir\' (Trailing Backslash) - (54)</t>
  </si>
  <si>
    <t>Weakness Variant Path Equivalence: 'filedir\' (Trailing Backslash) - (54)</t>
  </si>
  <si>
    <t> Path Equivalence: 'filedir*' (Wildcard) - (56)</t>
  </si>
  <si>
    <t>Weakness Variant Path Equivalence: 'filedir*' (Wildcard) - (56)</t>
  </si>
  <si>
    <t> Path Equivalence: 'file name' (Internal Whitespace) - (48)</t>
  </si>
  <si>
    <t>Weakness Variant Path Equivalence: 'file name' (Internal Whitespace) - (48)</t>
  </si>
  <si>
    <t> Path Equivalence: 'fakedir/../realdir/filename' - (57)</t>
  </si>
  <si>
    <t>Weakness Variant Path Equivalence: 'fakedir/../realdir/filename' - (57)</t>
  </si>
  <si>
    <t> Path Equivalence: '\multiple\\internal\backslash' - (53)</t>
  </si>
  <si>
    <t>Weakness Variant Path Equivalence: '\multiple\\internal\backslash' - (53)</t>
  </si>
  <si>
    <t> Path Equivalence: '/multiple/trailing/slash//' - (52)</t>
  </si>
  <si>
    <t>Weakness Variant Path Equivalence: '/multiple/trailing/slash//' - (52)</t>
  </si>
  <si>
    <t> Path Equivalence: '/multiple//internal/slash' - (51)</t>
  </si>
  <si>
    <t>Weakness Variant Path Equivalence: '/multiple//internal/slash' - (51)</t>
  </si>
  <si>
    <t> Path Equivalence: '//multiple/leading/slash' - (50)</t>
  </si>
  <si>
    <t>Weakness Variant Path Equivalence: '//multiple/leading/slash' - (50)</t>
  </si>
  <si>
    <t> Path Equivalence: '/./' (Single Dot Directory) - (55)</t>
  </si>
  <si>
    <t>Weakness Variant Path Equivalence: '/./' (Single Dot Directory) - (55)</t>
  </si>
  <si>
    <t> Path Equivalence: ' filename' (Leading Space) - (47)</t>
  </si>
  <si>
    <t>Weakness Variant Path Equivalence: ' filename' (Leading Space) - (47)</t>
  </si>
  <si>
    <t> Password in Configuration File - (260)</t>
  </si>
  <si>
    <t>Weakness Variant Password in Configuration File - (260)</t>
  </si>
  <si>
    <t> Password Aging with Long Expiration - (263)</t>
  </si>
  <si>
    <t>Weakness Base Password Aging with Long Expiration - (263)</t>
  </si>
  <si>
    <t> Passing Mutable Objects to an Untrusted Method - (374)</t>
  </si>
  <si>
    <t>Weakness Base Passing Mutable Objects to an Untrusted Method - (374)</t>
  </si>
  <si>
    <t> Partial Comparison - (187)</t>
  </si>
  <si>
    <t>Weakness Base Partial Comparison - (187)</t>
  </si>
  <si>
    <t> OWASP Top Ten 2013 Category A9 - Using Components with Known Vulnerabilities - (937)</t>
  </si>
  <si>
    <t>Category OWASP Top Ten 2013 Category A9 - Using Components with Known Vulnerabilities - (937)</t>
  </si>
  <si>
    <t> OWASP Top Ten 2013 Category A8 - Cross-Site Request Forgery (CSRF) - (936)</t>
  </si>
  <si>
    <t>Category OWASP Top Ten 2013 Category A8 - Cross-Site Request Forgery (CSRF) - (936)</t>
  </si>
  <si>
    <t> OWASP Top Ten 2013 Category A7 - Missing Function Level Access Control - (935)</t>
  </si>
  <si>
    <t>Category OWASP Top Ten 2013 Category A7 - Missing Function Level Access Control - (935)</t>
  </si>
  <si>
    <t> OWASP Top Ten 2013 Category A6 - Sensitive Data Exposure - (934)</t>
  </si>
  <si>
    <t>Category OWASP Top Ten 2013 Category A6 - Sensitive Data Exposure - (934)</t>
  </si>
  <si>
    <t> OWASP Top Ten 2013 Category A5 - Security Misconfiguration - (933)</t>
  </si>
  <si>
    <t>Category OWASP Top Ten 2013 Category A5 - Security Misconfiguration - (933)</t>
  </si>
  <si>
    <t> OWASP Top Ten 2013 Category A4 - Insecure Direct Object References - (932)</t>
  </si>
  <si>
    <t>Category OWASP Top Ten 2013 Category A4 - Insecure Direct Object References - (932)</t>
  </si>
  <si>
    <t> OWASP Top Ten 2013 Category A3 - Cross-Site Scripting (XSS) - (931)</t>
  </si>
  <si>
    <t>Category OWASP Top Ten 2013 Category A3 - Cross-Site Scripting (XSS) - (931)</t>
  </si>
  <si>
    <t> OWASP Top Ten 2013 Category A2 - Broken Authentication and Session Management - (930)</t>
  </si>
  <si>
    <t>Category OWASP Top Ten 2013 Category A2 - Broken Authentication and Session Management - (930)</t>
  </si>
  <si>
    <t> OWASP Top Ten 2013 Category A10 - Unvalidated Redirects and Forwards - (938)</t>
  </si>
  <si>
    <t>Category OWASP Top Ten 2013 Category A10 - Unvalidated Redirects and Forwards - (938)</t>
  </si>
  <si>
    <t> OWASP Top Ten 2013 Category A1 - Injection - (929)</t>
  </si>
  <si>
    <t>Category OWASP Top Ten 2013 Category A1 - Injection - (929)</t>
  </si>
  <si>
    <t> OWASP Top Ten 2010 Category A9 - Insufficient Transport Layer Protection - (818)</t>
  </si>
  <si>
    <t>Category OWASP Top Ten 2010 Category A9 - Insufficient Transport Layer Protection - (818)</t>
  </si>
  <si>
    <t> OWASP Top Ten 2010 Category A8 - Failure to Restrict URL Access - (817)</t>
  </si>
  <si>
    <t>Category OWASP Top Ten 2010 Category A8 - Failure to Restrict URL Access - (817)</t>
  </si>
  <si>
    <t> OWASP Top Ten 2010 Category A7 - Insecure Cryptographic Storage - (816)</t>
  </si>
  <si>
    <t>Category OWASP Top Ten 2010 Category A7 - Insecure Cryptographic Storage - (816)</t>
  </si>
  <si>
    <t> OWASP Top Ten 2010 Category A6 - Security Misconfiguration - (815)</t>
  </si>
  <si>
    <t>Category OWASP Top Ten 2010 Category A6 - Security Misconfiguration - (815)</t>
  </si>
  <si>
    <t> OWASP Top Ten 2010 Category A5 - Cross-Site Request Forgery(CSRF) - (814)</t>
  </si>
  <si>
    <t>Category OWASP Top Ten 2010 Category A5 - Cross-Site Request Forgery(CSRF) - (814)</t>
  </si>
  <si>
    <t> OWASP Top Ten 2010 Category A4 - Insecure Direct Object References - (813)</t>
  </si>
  <si>
    <t>Category OWASP Top Ten 2010 Category A4 - Insecure Direct Object References - (813)</t>
  </si>
  <si>
    <t> OWASP Top Ten 2010 Category A3 - Broken Authentication and Session Management - (812)</t>
  </si>
  <si>
    <t>Category OWASP Top Ten 2010 Category A3 - Broken Authentication and Session Management - (812)</t>
  </si>
  <si>
    <t> OWASP Top Ten 2010 Category A2 - Cross-Site Scripting (XSS) - (811)</t>
  </si>
  <si>
    <t>Category OWASP Top Ten 2010 Category A2 - Cross-Site Scripting (XSS) - (811)</t>
  </si>
  <si>
    <t> OWASP Top Ten 2010 Category A10 - Unvalidated Redirects and Forwards - (819)</t>
  </si>
  <si>
    <t>Category OWASP Top Ten 2010 Category A10 - Unvalidated Redirects and Forwards - (819)</t>
  </si>
  <si>
    <t> OWASP Top Ten 2010 Category A1 - Injection - (810)</t>
  </si>
  <si>
    <t>Category OWASP Top Ten 2010 Category A1 - Injection - (810)</t>
  </si>
  <si>
    <t> OWASP Top Ten 2007 Category A9 - Insecure Communications - (720)</t>
  </si>
  <si>
    <t>Category OWASP Top Ten 2007 Category A9 - Insecure Communications - (720)</t>
  </si>
  <si>
    <t> OWASP Top Ten 2007 Category A8 - Insecure Cryptographic Storage - (719)</t>
  </si>
  <si>
    <t>Category OWASP Top Ten 2007 Category A8 - Insecure Cryptographic Storage - (719)</t>
  </si>
  <si>
    <t> OWASP Top Ten 2007 Category A7 - Broken Authentication and Session Management - (718)</t>
  </si>
  <si>
    <t>Category OWASP Top Ten 2007 Category A7 - Broken Authentication and Session Management - (718)</t>
  </si>
  <si>
    <t> OWASP Top Ten 2007 Category A6 - Information Leakage and Improper Error Handling - (717)</t>
  </si>
  <si>
    <t>Category OWASP Top Ten 2007 Category A6 - Information Leakage and Improper Error Handling - (717)</t>
  </si>
  <si>
    <t> OWASP Top Ten 2007 Category A5 - Cross Site Request Forgery (CSRF) - (716)</t>
  </si>
  <si>
    <t>Category OWASP Top Ten 2007 Category A5 - Cross Site Request Forgery (CSRF) - (716)</t>
  </si>
  <si>
    <t> OWASP Top Ten 2007 Category A4 - Insecure Direct Object Reference - (715)</t>
  </si>
  <si>
    <t>Category OWASP Top Ten 2007 Category A4 - Insecure Direct Object Reference - (715)</t>
  </si>
  <si>
    <t> OWASP Top Ten 2007 Category A3 - Malicious File Execution - (714)</t>
  </si>
  <si>
    <t>Category OWASP Top Ten 2007 Category A3 - Malicious File Execution - (714)</t>
  </si>
  <si>
    <t> OWASP Top Ten 2007 Category A2 - Injection Flaws - (713)</t>
  </si>
  <si>
    <t>Category OWASP Top Ten 2007 Category A2 - Injection Flaws - (713)</t>
  </si>
  <si>
    <t> OWASP Top Ten 2007 Category A10 - Failure to Restrict URL Access - (721)</t>
  </si>
  <si>
    <t>Category OWASP Top Ten 2007 Category A10 - Failure to Restrict URL Access - (721)</t>
  </si>
  <si>
    <t> OWASP Top Ten 2007 Category A1 - Cross Site Scripting (XSS) - (712)</t>
  </si>
  <si>
    <t>Category OWASP Top Ten 2007 Category A1 - Cross Site Scripting (XSS) - (712)</t>
  </si>
  <si>
    <t> OWASP Top Ten 2004 Category A9 - Denial of Service - (730)</t>
  </si>
  <si>
    <t>Category OWASP Top Ten 2004 Category A9 - Denial of Service - (730)</t>
  </si>
  <si>
    <t> OWASP Top Ten 2004 Category A8 - Insecure Storage - (729)</t>
  </si>
  <si>
    <t>Category OWASP Top Ten 2004 Category A8 - Insecure Storage - (729)</t>
  </si>
  <si>
    <t> OWASP Top Ten 2004 Category A7 - Improper Error Handling - (728)</t>
  </si>
  <si>
    <t>Category OWASP Top Ten 2004 Category A7 - Improper Error Handling - (728)</t>
  </si>
  <si>
    <t> OWASP Top Ten 2004 Category A6 - Injection Flaws - (727)</t>
  </si>
  <si>
    <t>Category OWASP Top Ten 2004 Category A6 - Injection Flaws - (727)</t>
  </si>
  <si>
    <t> OWASP Top Ten 2004 Category A5 - Buffer Overflows - (726)</t>
  </si>
  <si>
    <t>Category OWASP Top Ten 2004 Category A5 - Buffer Overflows - (726)</t>
  </si>
  <si>
    <t> OWASP Top Ten 2004 Category A4 - Cross-Site Scripting (XSS) Flaws - (725)</t>
  </si>
  <si>
    <t>Category OWASP Top Ten 2004 Category A4 - Cross-Site Scripting (XSS) Flaws - (725)</t>
  </si>
  <si>
    <t> OWASP Top Ten 2004 Category A3 - Broken Authentication and Session Management - (724)</t>
  </si>
  <si>
    <t>Category OWASP Top Ten 2004 Category A3 - Broken Authentication and Session Management - (724)</t>
  </si>
  <si>
    <t> OWASP Top Ten 2004 Category A2 - Broken Access Control - (723)</t>
  </si>
  <si>
    <t>Category OWASP Top Ten 2004 Category A2 - Broken Access Control - (723)</t>
  </si>
  <si>
    <t> OWASP Top Ten 2004 Category A10 - Insecure Configuration Management - (731)</t>
  </si>
  <si>
    <t>Category OWASP Top Ten 2004 Category A10 - Insecure Configuration Management - (731)</t>
  </si>
  <si>
    <t> OWASP Top Ten 2004 Category A1 - Unvalidated Input - (722)</t>
  </si>
  <si>
    <t>Category OWASP Top Ten 2004 Category A1 - Unvalidated Input - (722)</t>
  </si>
  <si>
    <t> Overly Restrictive Regular Expression - (186)</t>
  </si>
  <si>
    <t>Weakness Base Overly Restrictive Regular Expression - (186)</t>
  </si>
  <si>
    <t> Overly Restrictive Account Lockout Mechanism - (645)</t>
  </si>
  <si>
    <t>Weakness Base Overly Restrictive Account Lockout Mechanism - (645)</t>
  </si>
  <si>
    <t> Out-of-bounds Write - (787)</t>
  </si>
  <si>
    <t>Weakness Base Out-of-bounds Write - (787)</t>
  </si>
  <si>
    <t> Out-of-bounds Read - (125)</t>
  </si>
  <si>
    <t>Weakness Base Out-of-bounds Read - (125)</t>
  </si>
  <si>
    <t> Other Intentional, Nonmalicious Weakness - (517)</t>
  </si>
  <si>
    <t>Category Other Intentional, Nonmalicious Weakness - (517)</t>
  </si>
  <si>
    <t> Origin Validation Error - (346)</t>
  </si>
  <si>
    <t>Weakness Base Origin Validation Error - (346)</t>
  </si>
  <si>
    <t> Operator Precedence Logic Error - (783)</t>
  </si>
  <si>
    <t>Weakness Variant Operator Precedence Logic Error - (783)</t>
  </si>
  <si>
    <t> Operation on Resource in Wrong Phase of Lifetime - (666)</t>
  </si>
  <si>
    <t>Weakness Base Operation on Resource in Wrong Phase of Lifetime - (666)</t>
  </si>
  <si>
    <t> Operation on a Resource after Expiration or Release - (672)</t>
  </si>
  <si>
    <t>Weakness Base Operation on a Resource after Expiration or Release - (672)</t>
  </si>
  <si>
    <t> Only Filtering Special Elements Relative to a Marker - (796)</t>
  </si>
  <si>
    <t>Weakness Variant Only Filtering Special Elements Relative to a Marker - (796)</t>
  </si>
  <si>
    <t> Only Filtering Special Elements at an Absolute Position - (797)</t>
  </si>
  <si>
    <t>Weakness Variant Only Filtering Special Elements at an Absolute Position - (797)</t>
  </si>
  <si>
    <t> Only Filtering Special Elements at a Specified Location - (795)</t>
  </si>
  <si>
    <t>Weakness Base Only Filtering Special Elements at a Specified Location - (795)</t>
  </si>
  <si>
    <t> Only Filtering One Instance of a Special Element - (793)</t>
  </si>
  <si>
    <t>Weakness Variant Only Filtering One Instance of a Special Element - (793)</t>
  </si>
  <si>
    <t> Omitted Break Statement in Switch - (484)</t>
  </si>
  <si>
    <t>Weakness Base Omitted Break Statement in Switch - (484)</t>
  </si>
  <si>
    <t> Omission of Security-relevant Information - (223)</t>
  </si>
  <si>
    <t>Weakness Base Omission of Security-relevant Information - (223)</t>
  </si>
  <si>
    <t> Often Misused: String Management - (251)</t>
  </si>
  <si>
    <t>Category Often Misused: String Management - (251)</t>
  </si>
  <si>
    <t> Often Misused: Arguments and Parameters - (559)</t>
  </si>
  <si>
    <t>Category Often Misused: Arguments and Parameters - (559)</t>
  </si>
  <si>
    <t> Off-by-one Error - (193)</t>
  </si>
  <si>
    <t>Weakness Base Off-by-one Error - (193)</t>
  </si>
  <si>
    <t> Obsolete Feature in UI - (448)</t>
  </si>
  <si>
    <t>Weakness Base Obsolete Feature in UI - (448)</t>
  </si>
  <si>
    <t> Obscured Security-relevant Information by Alternate Name - (224)</t>
  </si>
  <si>
    <t>Weakness Base Obscured Security-relevant Information by Alternate Name - (224)</t>
  </si>
  <si>
    <t> Object Model Violation: Just One of Equals and Hashcode Defined - (581)</t>
  </si>
  <si>
    <t>Weakness Base Object Model Violation: Just One of Equals and Hashcode Defined - (581)</t>
  </si>
  <si>
    <t> Numeric Truncation Error - (197)</t>
  </si>
  <si>
    <t>Weakness Base Numeric Truncation Error - (197)</t>
  </si>
  <si>
    <t> Numeric Range Comparison Without Minimum Check - (839)</t>
  </si>
  <si>
    <t>Weakness Base Numeric Range Comparison Without Minimum Check - (839)</t>
  </si>
  <si>
    <t> Numeric Errors - (189)</t>
  </si>
  <si>
    <t>Category Numeric Errors - (189)</t>
  </si>
  <si>
    <t> NULL Pointer Dereference - (476)</t>
  </si>
  <si>
    <t>Weakness Base NULL Pointer Dereference - (476)</t>
  </si>
  <si>
    <t> Null Byte Interaction Error (Poison Null Byte) - (626)</t>
  </si>
  <si>
    <t>Weakness Variant Null Byte Interaction Error (Poison Null Byte) - (626)</t>
  </si>
  <si>
    <t> Not Using Password Aging - (262)</t>
  </si>
  <si>
    <t>Weakness Variant Not Using Password Aging - (262)</t>
  </si>
  <si>
    <t> Not Using Complete Mediation - (638)</t>
  </si>
  <si>
    <t>Weakness Class Not Using Complete Mediation - (638)</t>
  </si>
  <si>
    <t> Not Using a Random IV with CBC Mode - (329)</t>
  </si>
  <si>
    <t>Weakness Variant Not Using a Random IV with CBC Mode - (329)</t>
  </si>
  <si>
    <t> Not Failing Securely ('Failing Open') - (636)</t>
  </si>
  <si>
    <t>Weakness Class Not Failing Securely ('Failing Open') - (636)</t>
  </si>
  <si>
    <t> Non-Replicating Malicious Code - (508)</t>
  </si>
  <si>
    <t>Weakness Base Non-Replicating Malicious Code - (508)</t>
  </si>
  <si>
    <t> Non-exit on Failed Initialization - (455)</t>
  </si>
  <si>
    <t>Weakness Base Non-exit on Failed Initialization - (455)</t>
  </si>
  <si>
    <t> .NET Misconfiguration: Use of Impersonation - (520)</t>
  </si>
  <si>
    <t>Weakness Variant .NET Misconfiguration: Use of Impersonation - (520)</t>
  </si>
  <si>
    <t> .NET Environment Issues - (519)</t>
  </si>
  <si>
    <t>Category .NET Environment Issues - (519)</t>
  </si>
  <si>
    <t> Named Chains - (709)</t>
  </si>
  <si>
    <t>View Named Chains - (709)</t>
  </si>
  <si>
    <t> Multiple Unlocks of a Critical Resource - (765)</t>
  </si>
  <si>
    <t>Weakness Variant Multiple Unlocks of a Critical Resource - (765)</t>
  </si>
  <si>
    <t> Multiple Locks of a Critical Resource - (764)</t>
  </si>
  <si>
    <t>Weakness Variant Multiple Locks of a Critical Resource - (764)</t>
  </si>
  <si>
    <t> Multiple Interpretations of UI Input - (450)</t>
  </si>
  <si>
    <t>Weakness Base Multiple Interpretations of UI Input - (450)</t>
  </si>
  <si>
    <t> Multiple Binds to the Same Port - (605)</t>
  </si>
  <si>
    <t>Weakness Base Multiple Binds to the Same Port - (605)</t>
  </si>
  <si>
    <t> Motivation/Intent - (504)</t>
  </si>
  <si>
    <t>Category Motivation/Intent - (504)</t>
  </si>
  <si>
    <t> Modification of Assumed-Immutable Data (MAID) - (471)</t>
  </si>
  <si>
    <t>Weakness Base Modification of Assumed-Immutable Data (MAID) - (471)</t>
  </si>
  <si>
    <t> Mobile Code Issues - (490)</t>
  </si>
  <si>
    <t>Category Mobile Code Issues - (490)</t>
  </si>
  <si>
    <t> Missing XML Validation - (112)</t>
  </si>
  <si>
    <t>Weakness Base Missing XML Validation - (112)</t>
  </si>
  <si>
    <t> Missing Validation of OpenSSL Certificate - (599)</t>
  </si>
  <si>
    <t>Weakness Variant Missing Validation of OpenSSL Certificate - (599)</t>
  </si>
  <si>
    <t> Missing Synchronization - (820)</t>
  </si>
  <si>
    <t>Weakness Base Missing Synchronization - (820)</t>
  </si>
  <si>
    <t> Missing Support for Integrity Check - (353)</t>
  </si>
  <si>
    <t>Weakness Base Missing Support for Integrity Check - (353)</t>
  </si>
  <si>
    <t> Missing Standardized Error Handling Mechanism - (544)</t>
  </si>
  <si>
    <t>Weakness Base Missing Standardized Error Handling Mechanism - (544)</t>
  </si>
  <si>
    <t> Missing Required Cryptographic Step - (325)</t>
  </si>
  <si>
    <t>Weakness Base Missing Required Cryptographic Step - (325)</t>
  </si>
  <si>
    <t> Missing Report of Error Condition - (392)</t>
  </si>
  <si>
    <t>Weakness Base Missing Report of Error Condition - (392)</t>
  </si>
  <si>
    <t> Missing Release of Resource after Effective Lifetime - (772)</t>
  </si>
  <si>
    <t>Weakness Base Missing Release of Resource after Effective Lifetime - (772)</t>
  </si>
  <si>
    <t> Missing Release of File Descriptor or Handle after Effective Lifetime - (775)</t>
  </si>
  <si>
    <t>Weakness Variant Missing Release of File Descriptor or Handle after Effective Lifetime - (775)</t>
  </si>
  <si>
    <t> Missing Reference to Active File Descriptor or Handle - (773)</t>
  </si>
  <si>
    <t>Weakness Variant Missing Reference to Active File Descriptor or Handle - (773)</t>
  </si>
  <si>
    <t> Missing Reference to Active Allocated Resource - (771)</t>
  </si>
  <si>
    <t>Weakness Base Missing Reference to Active Allocated Resource - (771)</t>
  </si>
  <si>
    <t> Missing Password Field Masking - (549)</t>
  </si>
  <si>
    <t>Weakness Variant Missing Password Field Masking - (549)</t>
  </si>
  <si>
    <t> Missing Lock Check - (414)</t>
  </si>
  <si>
    <t>Weakness Base Missing Lock Check - (414)</t>
  </si>
  <si>
    <t> Missing Initialization of Resource - (909)</t>
  </si>
  <si>
    <t>Weakness Base Missing Initialization of Resource - (909)</t>
  </si>
  <si>
    <t> Missing Initialization of a Variable - (456)</t>
  </si>
  <si>
    <t>Weakness Base Missing Initialization of a Variable - (456)</t>
  </si>
  <si>
    <t> Missing Handler - (431)</t>
  </si>
  <si>
    <t>Weakness Base Missing Handler - (431)</t>
  </si>
  <si>
    <t> Missing Encryption of Sensitive Data - (311)</t>
  </si>
  <si>
    <t>Weakness Base Missing Encryption of Sensitive Data - (311)</t>
  </si>
  <si>
    <t> Missing Default Case in Switch Statement - (478)</t>
  </si>
  <si>
    <t>Weakness Variant Missing Default Case in Switch Statement - (478)</t>
  </si>
  <si>
    <t> Missing Custom Error Page - (756)</t>
  </si>
  <si>
    <t>Weakness Class Missing Custom Error Page - (756)</t>
  </si>
  <si>
    <t> Missing Critical Step in Authentication - (304)</t>
  </si>
  <si>
    <t>Weakness Base Missing Critical Step in Authentication - (304)</t>
  </si>
  <si>
    <t> Missing Check for Certificate Revocation after Initial Check - (370)</t>
  </si>
  <si>
    <t>Weakness Base Missing Check for Certificate Revocation after Initial Check - (370)</t>
  </si>
  <si>
    <t> Missing Authorization - (862)</t>
  </si>
  <si>
    <t>Weakness Class Missing Authorization - (862)</t>
  </si>
  <si>
    <t> Missing Authentication for Critical Function - (306)</t>
  </si>
  <si>
    <t>Weakness Variant Missing Authentication for Critical Function - (306)</t>
  </si>
  <si>
    <t> Mismatched Memory Management Routines - (762)</t>
  </si>
  <si>
    <t>Weakness Variant Mismatched Memory Management Routines - (762)</t>
  </si>
  <si>
    <t> Misinterpretation of Input - (115)</t>
  </si>
  <si>
    <t>Weakness Base Misinterpretation of Input - (115)</t>
  </si>
  <si>
    <t> Mac Virtual File Problems - (70)</t>
  </si>
  <si>
    <t>Category Mac Virtual File Problems - (70)</t>
  </si>
  <si>
    <t> Loop with Unreachable Exit Condition ('Infinite Loop') - (835)</t>
  </si>
  <si>
    <t>Weakness Base Loop with Unreachable Exit Condition ('Infinite Loop') - (835)</t>
  </si>
  <si>
    <t> Logic/Time Bomb - (511)</t>
  </si>
  <si>
    <t>Weakness Base Logic/Time Bomb - (511)</t>
  </si>
  <si>
    <t> Logging of Excessive Data - (779)</t>
  </si>
  <si>
    <t>Weakness Base Logging of Excessive Data - (779)</t>
  </si>
  <si>
    <t> Location - (1)</t>
  </si>
  <si>
    <t>Category Location - (1)</t>
  </si>
  <si>
    <t> Leftover Debug Code - (489)</t>
  </si>
  <si>
    <t>Weakness Base Leftover Debug Code - (489)</t>
  </si>
  <si>
    <t> Least Privilege Violation - (272)</t>
  </si>
  <si>
    <t>Weakness Base Least Privilege Violation - (272)</t>
  </si>
  <si>
    <t> Lack of Administrator Control over Security - (671)</t>
  </si>
  <si>
    <t>Weakness Class Lack of Administrator Control over Security - (671)</t>
  </si>
  <si>
    <t> Key Management Errors - (320)</t>
  </si>
  <si>
    <t>Category Key Management Errors - (320)</t>
  </si>
  <si>
    <t> Key Exchange without Entity Authentication - (322)</t>
  </si>
  <si>
    <t>Weakness Base Key Exchange without Entity Authentication - (322)</t>
  </si>
  <si>
    <t> J2EE Time and State Issues - (381)</t>
  </si>
  <si>
    <t>Category J2EE Time and State Issues - (381)</t>
  </si>
  <si>
    <t> J2EE Misconfiguration: Weak Access Permissions for EJB Methods - (9)</t>
  </si>
  <si>
    <t>Weakness Variant J2EE Misconfiguration: Weak Access Permissions for EJB Methods - (9)</t>
  </si>
  <si>
    <t> J2EE Misconfiguration: Plaintext Password in Configuration File - (555)</t>
  </si>
  <si>
    <t>Weakness Variant J2EE Misconfiguration: Plaintext Password in Configuration File - (555)</t>
  </si>
  <si>
    <t> J2EE Misconfiguration: Missing Custom Error Page - (7)</t>
  </si>
  <si>
    <t>Weakness Variant J2EE Misconfiguration: Missing Custom Error Page - (7)</t>
  </si>
  <si>
    <t> J2EE Misconfiguration: Insufficient Session-ID Length - (6)</t>
  </si>
  <si>
    <t>Weakness Variant J2EE Misconfiguration: Insufficient Session-ID Length - (6)</t>
  </si>
  <si>
    <t> J2EE Misconfiguration: Entity Bean Declared Remote - (8)</t>
  </si>
  <si>
    <t>Weakness Variant J2EE Misconfiguration: Entity Bean Declared Remote - (8)</t>
  </si>
  <si>
    <t> J2EE Misconfiguration: Data Transmission Without Encryption - (5)</t>
  </si>
  <si>
    <t>Weakness Variant J2EE Misconfiguration: Data Transmission Without Encryption - (5)</t>
  </si>
  <si>
    <t> J2EE Framework: Saving Unserializable Objects to Disk - (594)</t>
  </si>
  <si>
    <t>Weakness Variant J2EE Framework: Saving Unserializable Objects to Disk - (594)</t>
  </si>
  <si>
    <t> J2EE Environment Issues - (4)</t>
  </si>
  <si>
    <t>Category J2EE Environment Issues - (4)</t>
  </si>
  <si>
    <t> J2EE Bad Practices: Use of System.exit() - (382)</t>
  </si>
  <si>
    <t>Weakness Variant J2EE Bad Practices: Use of System.exit() - (382)</t>
  </si>
  <si>
    <t> J2EE Bad Practices: Non-serializable Object Stored in Session - (579)</t>
  </si>
  <si>
    <t>Weakness Variant J2EE Bad Practices: Non-serializable Object Stored in Session - (579)</t>
  </si>
  <si>
    <t> J2EE Bad Practices: Direct Use of Threads - (383)</t>
  </si>
  <si>
    <t>Weakness Variant J2EE Bad Practices: Direct Use of Threads - (383)</t>
  </si>
  <si>
    <t> J2EE Bad Practices: Direct Use of Sockets - (246)</t>
  </si>
  <si>
    <t>Weakness Variant J2EE Bad Practices: Direct Use of Sockets - (246)</t>
  </si>
  <si>
    <t> J2EE Bad Practices: Direct Management of Connections - (245)</t>
  </si>
  <si>
    <t>Weakness Variant J2EE Bad Practices: Direct Management of Connections - (245)</t>
  </si>
  <si>
    <t> Interpretation Conflict - (436)</t>
  </si>
  <si>
    <t>Weakness Base Interpretation Conflict - (436)</t>
  </si>
  <si>
    <t> Interaction Error - (435)</t>
  </si>
  <si>
    <t>Weakness Class Interaction Error - (435)</t>
  </si>
  <si>
    <t> Intentionally Introduced Weakness - (505)</t>
  </si>
  <si>
    <t>Category Intentionally Introduced Weakness - (505)</t>
  </si>
  <si>
    <t> Intentionally Introduced Nonmalicious Weakness - (513)</t>
  </si>
  <si>
    <t>Category Intentionally Introduced Nonmalicious Weakness - (513)</t>
  </si>
  <si>
    <t> Intentional Information Exposure - (213)</t>
  </si>
  <si>
    <t>Weakness Base Intentional Information Exposure - (213)</t>
  </si>
  <si>
    <t> Integer Underflow (Wrap or Wraparound) - (191)</t>
  </si>
  <si>
    <t>Weakness Base Integer Underflow (Wrap or Wraparound) - (191)</t>
  </si>
  <si>
    <t> Integer Overflow to Buffer Overflow - (680)</t>
  </si>
  <si>
    <t>Compound Element: Chain Integer Overflow to Buffer Overflow - (680)</t>
  </si>
  <si>
    <t> Integer Overflow or Wraparound - (190)</t>
  </si>
  <si>
    <t>Weakness Base Integer Overflow or Wraparound - (190)</t>
  </si>
  <si>
    <t> Integer Coercion Error - (192)</t>
  </si>
  <si>
    <t>Category Integer Coercion Error - (192)</t>
  </si>
  <si>
    <t> Insufficiently Protected Credentials - (522)</t>
  </si>
  <si>
    <t>Weakness Base Insufficiently Protected Credentials - (522)</t>
  </si>
  <si>
    <t> Insufficient Verification of Data Authenticity - (345)</t>
  </si>
  <si>
    <t>Weakness Class Insufficient Verification of Data Authenticity - (345)</t>
  </si>
  <si>
    <t> Insufficient UI Warning of Dangerous Operations - (357)</t>
  </si>
  <si>
    <t>Weakness Base Insufficient UI Warning of Dangerous Operations - (357)</t>
  </si>
  <si>
    <t> Insufficient Type Distinction - (351)</t>
  </si>
  <si>
    <t>Weakness Base Insufficient Type Distinction - (351)</t>
  </si>
  <si>
    <t> Insufficient Session Expiration - (613)</t>
  </si>
  <si>
    <t>Weakness Base Insufficient Session Expiration - (613)</t>
  </si>
  <si>
    <t> Insufficient Resource Pool - (410)</t>
  </si>
  <si>
    <t>Weakness Base Insufficient Resource Pool - (410)</t>
  </si>
  <si>
    <t> Insufficient Psychological Acceptability - (655)</t>
  </si>
  <si>
    <t>Weakness Base Insufficient Psychological Acceptability - (655)</t>
  </si>
  <si>
    <t> Insufficient Logging - (778)</t>
  </si>
  <si>
    <t>Weakness Base Insufficient Logging - (778)</t>
  </si>
  <si>
    <t> Insufficient Entropy in PRNG - (332)</t>
  </si>
  <si>
    <t>Weakness Variant Insufficient Entropy in PRNG - (332)</t>
  </si>
  <si>
    <t> Insufficient Entropy - (331)</t>
  </si>
  <si>
    <t>Weakness Base Insufficient Entropy - (331)</t>
  </si>
  <si>
    <t> Insufficient Encapsulation - (485)</t>
  </si>
  <si>
    <t>Weakness Class Insufficient Encapsulation - (485)</t>
  </si>
  <si>
    <t> Insufficient Control of Network Message Volume (Network Amplification) - (406)</t>
  </si>
  <si>
    <t>Weakness Base Insufficient Control of Network Message Volume (Network Amplification) - (406)</t>
  </si>
  <si>
    <t> Insufficient Control Flow Management - (691)</t>
  </si>
  <si>
    <t>Weakness Class Insufficient Control Flow Management - (691)</t>
  </si>
  <si>
    <t> Insufficient Compartmentalization - (653)</t>
  </si>
  <si>
    <t>Weakness Base Insufficient Compartmentalization - (653)</t>
  </si>
  <si>
    <t> Insufficient Comparison - (697)</t>
  </si>
  <si>
    <t>Weakness Class Insufficient Comparison - (697)</t>
  </si>
  <si>
    <t> Insecure Temporary File - (377)</t>
  </si>
  <si>
    <t>Weakness Base Insecure Temporary File - (377)</t>
  </si>
  <si>
    <t> Insecure Storage of Sensitive Information - (922)</t>
  </si>
  <si>
    <t>Weakness Class Insecure Storage of Sensitive Information - (922)</t>
  </si>
  <si>
    <t> Insecure Preserved Inherited Permissions - (278)</t>
  </si>
  <si>
    <t>Weakness Variant Insecure Preserved Inherited Permissions - (278)</t>
  </si>
  <si>
    <t> Insecure Inherited Permissions - (277)</t>
  </si>
  <si>
    <t>Weakness Variant Insecure Inherited Permissions - (277)</t>
  </si>
  <si>
    <t> Insecure Default Variable Initialization - (453)</t>
  </si>
  <si>
    <t>Weakness Base Insecure Default Variable Initialization - (453)</t>
  </si>
  <si>
    <t> Initialization and Cleanup Errors - (452)</t>
  </si>
  <si>
    <t>Category Initialization and Cleanup Errors - (452)</t>
  </si>
  <si>
    <t> Information Management Errors - (199)</t>
  </si>
  <si>
    <t>Category Information Management Errors - (199)</t>
  </si>
  <si>
    <t> Information Loss or Omission - (221)</t>
  </si>
  <si>
    <t>Weakness Class Information Loss or Omission - (221)</t>
  </si>
  <si>
    <t> Information Exposure Through WSDL File - (651)</t>
  </si>
  <si>
    <t>Weakness Variant Information Exposure Through WSDL File - (651)</t>
  </si>
  <si>
    <t> Information Exposure Through Timing Discrepancy - (208)</t>
  </si>
  <si>
    <t>Weakness Base Information Exposure Through Timing Discrepancy - (208)</t>
  </si>
  <si>
    <t> Information Exposure Through Test Code - (531)</t>
  </si>
  <si>
    <t>Weakness Variant Information Exposure Through Test Code - (531)</t>
  </si>
  <si>
    <t> Information Exposure Through Source Code - (540)</t>
  </si>
  <si>
    <t>Weakness Variant Information Exposure Through Source Code - (540)</t>
  </si>
  <si>
    <t> Information Exposure Through Shell Error Message - (535)</t>
  </si>
  <si>
    <t>Weakness Variant Information Exposure Through Shell Error Message - (535)</t>
  </si>
  <si>
    <t> Information Exposure Through Servlet Runtime Error Message - (536)</t>
  </si>
  <si>
    <t>Weakness Variant Information Exposure Through Servlet Runtime Error Message - (536)</t>
  </si>
  <si>
    <t> Information Exposure Through Server Log Files - (533)</t>
  </si>
  <si>
    <t>Weakness Variant Information Exposure Through Server Log Files - (533)</t>
  </si>
  <si>
    <t> Information Exposure Through Server Error Message - (550)</t>
  </si>
  <si>
    <t>Weakness Variant Information Exposure Through Server Error Message - (550)</t>
  </si>
  <si>
    <t> Information Exposure Through Sent Data - (201)</t>
  </si>
  <si>
    <t>Weakness Variant Information Exposure Through Sent Data - (201)</t>
  </si>
  <si>
    <t> Information Exposure Through Self-generated Error Message - (210)</t>
  </si>
  <si>
    <t>Weakness Base Information Exposure Through Self-generated Error Message - (210)</t>
  </si>
  <si>
    <t> Information Exposure Through Query Strings in GET Request - (598)</t>
  </si>
  <si>
    <t>Weakness Variant Information Exposure Through Query Strings in GET Request - (598)</t>
  </si>
  <si>
    <t> Information Exposure Through Process Environment - (214)</t>
  </si>
  <si>
    <t>Weakness Variant Information Exposure Through Process Environment - (214)</t>
  </si>
  <si>
    <t> Information Exposure Through Persistent Cookies - (539)</t>
  </si>
  <si>
    <t>Weakness Variant Information Exposure Through Persistent Cookies - (539)</t>
  </si>
  <si>
    <t> Information Exposure Through Log Files - (532)</t>
  </si>
  <si>
    <t>Weakness Variant Information Exposure Through Log Files - (532)</t>
  </si>
  <si>
    <t> Information Exposure Through Java Runtime Error Message - (537)</t>
  </si>
  <si>
    <t>Weakness Variant Information Exposure Through Java Runtime Error Message - (537)</t>
  </si>
  <si>
    <t> Information Exposure Through Indexing of Private Data - (612)</t>
  </si>
  <si>
    <t>Weakness Variant Information Exposure Through Indexing of Private Data - (612)</t>
  </si>
  <si>
    <t> Information Exposure Through Include Source Code - (541)</t>
  </si>
  <si>
    <t>Weakness Variant Information Exposure Through Include Source Code - (541)</t>
  </si>
  <si>
    <t> Information Exposure Through Externally-generated Error Message - (211)</t>
  </si>
  <si>
    <t>Weakness Base Information Exposure Through Externally-generated Error Message - (211)</t>
  </si>
  <si>
    <t> Information Exposure Through Environmental Variables - (526)</t>
  </si>
  <si>
    <t>Weakness Variant Information Exposure Through Environmental Variables - (526)</t>
  </si>
  <si>
    <t> Information Exposure Through Discrepancy - (203)</t>
  </si>
  <si>
    <t>Weakness Class Information Exposure Through Discrepancy - (203)</t>
  </si>
  <si>
    <t> Information Exposure Through Directory Listing - (548)</t>
  </si>
  <si>
    <t>Weakness Variant Information Exposure Through Directory Listing - (548)</t>
  </si>
  <si>
    <t> Information Exposure Through Debug Log Files - (534)</t>
  </si>
  <si>
    <t>Weakness Variant Information Exposure Through Debug Log Files - (534)</t>
  </si>
  <si>
    <t> Information Exposure Through Debug Information - (215)</t>
  </si>
  <si>
    <t>Weakness Variant Information Exposure Through Debug Information - (215)</t>
  </si>
  <si>
    <t> Information Exposure Through Comments - (615)</t>
  </si>
  <si>
    <t>Weakness Variant Information Exposure Through Comments - (615)</t>
  </si>
  <si>
    <t> Information Exposure Through Cleanup Log Files - (542)</t>
  </si>
  <si>
    <t>Weakness Variant Information Exposure Through Cleanup Log Files - (542)</t>
  </si>
  <si>
    <t> Information Exposure Through Caching - (524)</t>
  </si>
  <si>
    <t>Weakness Variant Information Exposure Through Caching - (524)</t>
  </si>
  <si>
    <t> Information Exposure Through Browser Caching - (525)</t>
  </si>
  <si>
    <t>Weakness Variant Information Exposure Through Browser Caching - (525)</t>
  </si>
  <si>
    <t> Information Exposure Through Behavioral Discrepancy - (205)</t>
  </si>
  <si>
    <t>Weakness Base Information Exposure Through Behavioral Discrepancy - (205)</t>
  </si>
  <si>
    <t> Information Exposure Through an External Behavioral Inconsistency - (207)</t>
  </si>
  <si>
    <t>Weakness Variant Information Exposure Through an External Behavioral Inconsistency - (207)</t>
  </si>
  <si>
    <t> Information Exposure Through an Error Message - (209)</t>
  </si>
  <si>
    <t>Weakness Base Information Exposure Through an Error Message - (209)</t>
  </si>
  <si>
    <t> Information Exposure of Internal State Through Behavioral Inconsistency - (206)</t>
  </si>
  <si>
    <t>Weakness Variant Information Exposure of Internal State Through Behavioral Inconsistency - (206)</t>
  </si>
  <si>
    <t> Information Exposure - (200)</t>
  </si>
  <si>
    <t>Weakness Class Information Exposure - (200)</t>
  </si>
  <si>
    <t> Indicator of Poor Code Quality - (398)</t>
  </si>
  <si>
    <t>Weakness Class Indicator of Poor Code Quality - (398)</t>
  </si>
  <si>
    <t> Incorrect User Management - (286)</t>
  </si>
  <si>
    <t>Weakness Class Incorrect User Management - (286)</t>
  </si>
  <si>
    <t> Incorrect Use of Privileged APIs - (648)</t>
  </si>
  <si>
    <t>Weakness Base Incorrect Use of Privileged APIs - (648)</t>
  </si>
  <si>
    <t> Incorrect Type Conversion or Cast - (704)</t>
  </si>
  <si>
    <t>Weakness Class Incorrect Type Conversion or Cast - (704)</t>
  </si>
  <si>
    <t> Incorrect Synchronization - (821)</t>
  </si>
  <si>
    <t>Weakness Base Incorrect Synchronization - (821)</t>
  </si>
  <si>
    <t> Incorrect Short Circuit Evaluation - (768)</t>
  </si>
  <si>
    <t>Weakness Variant Incorrect Short Circuit Evaluation - (768)</t>
  </si>
  <si>
    <t> Incorrect Semantic Object Comparison - (596)</t>
  </si>
  <si>
    <t>Weakness Base Incorrect Semantic Object Comparison - (596)</t>
  </si>
  <si>
    <t> Incorrect Resource Transfer Between Spheres - (669)</t>
  </si>
  <si>
    <t>Weakness Class Incorrect Resource Transfer Between Spheres - (669)</t>
  </si>
  <si>
    <t> Incorrect Regular Expression - (185)</t>
  </si>
  <si>
    <t>Weakness Class Incorrect Regular Expression - (185)</t>
  </si>
  <si>
    <t> Incorrect Provision of Specified Functionality - (684)</t>
  </si>
  <si>
    <t>Weakness Base Incorrect Provision of Specified Functionality - (684)</t>
  </si>
  <si>
    <t> Incorrect Privilege Assignment - (266)</t>
  </si>
  <si>
    <t>Weakness Base Incorrect Privilege Assignment - (266)</t>
  </si>
  <si>
    <t> Incorrect Pointer Scaling - (468)</t>
  </si>
  <si>
    <t>Weakness Base Incorrect Pointer Scaling - (468)</t>
  </si>
  <si>
    <t> Incorrect Permission Assignment for Critical Resource - (732)</t>
  </si>
  <si>
    <t>Weakness Class Incorrect Permission Assignment for Critical Resource - (732)</t>
  </si>
  <si>
    <t> Incorrect Ownership Assignment - (708)</t>
  </si>
  <si>
    <t>Weakness Base Incorrect Ownership Assignment - (708)</t>
  </si>
  <si>
    <t> Incorrect Implementation of Authentication Algorithm - (303)</t>
  </si>
  <si>
    <t>Weakness Base Incorrect Implementation of Authentication Algorithm - (303)</t>
  </si>
  <si>
    <t> Incorrect Execution-Assigned Permissions - (279)</t>
  </si>
  <si>
    <t>Weakness Variant Incorrect Execution-Assigned Permissions - (279)</t>
  </si>
  <si>
    <t> Incorrect Default Permissions - (276)</t>
  </si>
  <si>
    <t>Weakness Variant Incorrect Default Permissions - (276)</t>
  </si>
  <si>
    <t> Incorrect Conversion between Numeric Types - (681)</t>
  </si>
  <si>
    <t>Weakness Base Incorrect Conversion between Numeric Types - (681)</t>
  </si>
  <si>
    <t> Incorrect Control Flow Scoping - (705)</t>
  </si>
  <si>
    <t>Weakness Class Incorrect Control Flow Scoping - (705)</t>
  </si>
  <si>
    <t> Incorrect Check of Function Return Value - (253)</t>
  </si>
  <si>
    <t>Weakness Base Incorrect Check of Function Return Value - (253)</t>
  </si>
  <si>
    <t> Incorrect Calculation of Multi-Byte String Length - (135)</t>
  </si>
  <si>
    <t>Weakness Base Incorrect Calculation of Multi-Byte String Length - (135)</t>
  </si>
  <si>
    <t> Incorrect Calculation of Buffer Size - (131)</t>
  </si>
  <si>
    <t>Weakness Base Incorrect Calculation of Buffer Size - (131)</t>
  </si>
  <si>
    <t> Incorrect Calculation - (682)</t>
  </si>
  <si>
    <t>Weakness Class Incorrect Calculation - (682)</t>
  </si>
  <si>
    <t> Incorrect Block Delimitation - (483)</t>
  </si>
  <si>
    <t>Weakness Variant Incorrect Block Delimitation - (483)</t>
  </si>
  <si>
    <t> Incorrect Behavior Order: Validate Before Filter - (181)</t>
  </si>
  <si>
    <t>Weakness Base Incorrect Behavior Order: Validate Before Filter - (181)</t>
  </si>
  <si>
    <t> Incorrect Behavior Order: Validate Before Canonicalize - (180)</t>
  </si>
  <si>
    <t>Weakness Base Incorrect Behavior Order: Validate Before Canonicalize - (180)</t>
  </si>
  <si>
    <t> Incorrect Behavior Order: Early Validation - (179)</t>
  </si>
  <si>
    <t>Weakness Base Incorrect Behavior Order: Early Validation - (179)</t>
  </si>
  <si>
    <t> Incorrect Behavior Order: Early Amplification - (408)</t>
  </si>
  <si>
    <t>Weakness Base Incorrect Behavior Order: Early Amplification - (408)</t>
  </si>
  <si>
    <t> Incorrect Behavior Order: Authorization Before Parsing and Canonicalization - (551)</t>
  </si>
  <si>
    <t>Weakness Base Incorrect Behavior Order: Authorization Before Parsing and Canonicalization - (551)</t>
  </si>
  <si>
    <t> Incorrect Behavior Order - (696)</t>
  </si>
  <si>
    <t>Weakness Class Incorrect Behavior Order - (696)</t>
  </si>
  <si>
    <t> Incorrect Authorization - (863)</t>
  </si>
  <si>
    <t>Weakness Class Incorrect Authorization - (863)</t>
  </si>
  <si>
    <t> Inconsistent Interpretation of HTTP Requests ('HTTP Request Smuggling') - (444)</t>
  </si>
  <si>
    <t>Weakness Base Inconsistent Interpretation of HTTP Requests ('HTTP Request Smuggling') - (444)</t>
  </si>
  <si>
    <t> Incomplete Model of Endpoint Features - (437)</t>
  </si>
  <si>
    <t>Weakness Base Incomplete Model of Endpoint Features - (437)</t>
  </si>
  <si>
    <t> Incomplete Internal State Distinction - (372)</t>
  </si>
  <si>
    <t>Weakness Base Incomplete Internal State Distinction - (372)</t>
  </si>
  <si>
    <t> Incomplete Identification of Uploaded File Variables (PHP) - (616)</t>
  </si>
  <si>
    <t>Weakness Variant Incomplete Identification of Uploaded File Variables (PHP) - (616)</t>
  </si>
  <si>
    <t> Incomplete Filtering of Special Elements - (791)</t>
  </si>
  <si>
    <t>Weakness Base Incomplete Filtering of Special Elements - (791)</t>
  </si>
  <si>
    <t> Incomplete Filtering of One or More Instances of Special Elements - (792)</t>
  </si>
  <si>
    <t>Weakness Variant Incomplete Filtering of One or More Instances of Special Elements - (792)</t>
  </si>
  <si>
    <t> Incomplete Filtering of Multiple Instances of Special Elements - (794)</t>
  </si>
  <si>
    <t>Weakness Variant Incomplete Filtering of Multiple Instances of Special Elements - (794)</t>
  </si>
  <si>
    <t> Incomplete Cleanup - (459)</t>
  </si>
  <si>
    <t>Weakness Base Incomplete Cleanup - (459)</t>
  </si>
  <si>
    <t> Incomplete Blacklist to Cross-Site Scripting - (692)</t>
  </si>
  <si>
    <t>Compound Element: Chain Incomplete Blacklist to Cross-Site Scripting - (692)</t>
  </si>
  <si>
    <t> Incomplete Blacklist - (184)</t>
  </si>
  <si>
    <t>Weakness Base Incomplete Blacklist - (184)</t>
  </si>
  <si>
    <t> Inclusion of Web Functionality from an Untrusted Source - (830)</t>
  </si>
  <si>
    <t>Weakness Base Inclusion of Web Functionality from an Untrusted Source - (830)</t>
  </si>
  <si>
    <t> Inclusion of Functionality from Untrusted Control Sphere - (829)</t>
  </si>
  <si>
    <t>Weakness Class Inclusion of Functionality from Untrusted Control Sphere - (829)</t>
  </si>
  <si>
    <t> Inappropriate Encoding for Output Context - (838)</t>
  </si>
  <si>
    <t>Weakness Base Inappropriate Encoding for Output Context - (838)</t>
  </si>
  <si>
    <t> Inadvertently Introduced Weakness - (518)</t>
  </si>
  <si>
    <t>Category Inadvertently Introduced Weakness - (518)</t>
  </si>
  <si>
    <t> Inadequate Encryption Strength - (326)</t>
  </si>
  <si>
    <t>Weakness Class Inadequate Encryption Strength - (326)</t>
  </si>
  <si>
    <t> Improperly Implemented Security Check for Standard - (358)</t>
  </si>
  <si>
    <t>Weakness Base Improperly Implemented Security Check for Standard - (358)</t>
  </si>
  <si>
    <t> Improperly Controlled Modification of Dynamically-Determined Object Attributes - (915)</t>
  </si>
  <si>
    <t>Weakness Base Improperly Controlled Modification of Dynamically-Determined Object Attributes - (915)</t>
  </si>
  <si>
    <t> Improper Verification of Intent by Broadcast Receiver - (925)</t>
  </si>
  <si>
    <t>Weakness Variant Improper Verification of Intent by Broadcast Receiver - (925)</t>
  </si>
  <si>
    <t> Improper Verification of Cryptographic Signature - (347)</t>
  </si>
  <si>
    <t>Weakness Base Improper Verification of Cryptographic Signature - (347)</t>
  </si>
  <si>
    <t> Improper Validation of Integrity Check Value - (354)</t>
  </si>
  <si>
    <t>Weakness Base Improper Validation of Integrity Check Value - (354)</t>
  </si>
  <si>
    <t> Improper Validation of Function Hook Arguments - (622)</t>
  </si>
  <si>
    <t>Weakness Variant Improper Validation of Function Hook Arguments - (622)</t>
  </si>
  <si>
    <t> Improper Validation of Certificate with Host Mismatch - (297)</t>
  </si>
  <si>
    <t>Weakness Variant Improper Validation of Certificate with Host Mismatch - (297)</t>
  </si>
  <si>
    <t> Improper Validation of Certificate Expiration - (298)</t>
  </si>
  <si>
    <t>Weakness Variant Improper Validation of Certificate Expiration - (298)</t>
  </si>
  <si>
    <t> Improper Validation of Array Index - (129)</t>
  </si>
  <si>
    <t>Weakness Base Improper Validation of Array Index - (129)</t>
  </si>
  <si>
    <t> Improper Update of Reference Count - (911)</t>
  </si>
  <si>
    <t>Weakness Base Improper Update of Reference Count - (911)</t>
  </si>
  <si>
    <t> Improper Synchronization - (662)</t>
  </si>
  <si>
    <t>Weakness Base Improper Synchronization - (662)</t>
  </si>
  <si>
    <t> Improper Restriction of XML External Entity Reference ('XXE') - (611)</t>
  </si>
  <si>
    <t>Weakness Variant Improper Restriction of XML External Entity Reference ('XXE') - (611)</t>
  </si>
  <si>
    <t> Improper Restriction of Recursive Entity References in DTDs ('XML Entity Expansion') - (776)</t>
  </si>
  <si>
    <t>Weakness Variant Improper Restriction of Recursive Entity References in DTDs ('XML Entity Expansion') - (776)</t>
  </si>
  <si>
    <t> Improper Restriction of Power Consumption - (920)</t>
  </si>
  <si>
    <t>Weakness Base Improper Restriction of Power Consumption - (920)</t>
  </si>
  <si>
    <t> Improper Restriction of Operations within the Bounds of a Memory Buffer - (119)</t>
  </si>
  <si>
    <t>Weakness Class Improper Restriction of Operations within the Bounds of a Memory Buffer - (119)</t>
  </si>
  <si>
    <t> Improper Restriction of Names for Files and Other Resources - (641)</t>
  </si>
  <si>
    <t>Weakness Base Improper Restriction of Names for Files and Other Resources - (641)</t>
  </si>
  <si>
    <t> Improper Restriction of Excessive Authentication Attempts - (307)</t>
  </si>
  <si>
    <t>Weakness Base Improper Restriction of Excessive Authentication Attempts - (307)</t>
  </si>
  <si>
    <t> Improper Restriction of Content Provider Export to Other Applications - (926)</t>
  </si>
  <si>
    <t>Weakness Variant Improper Restriction of Content Provider Export to Other Applications - (926)</t>
  </si>
  <si>
    <t> Improper Resource Shutdown or Release - (404)</t>
  </si>
  <si>
    <t>Weakness Base Improper Resource Shutdown or Release - (404)</t>
  </si>
  <si>
    <t> Improper Resource Locking - (413)</t>
  </si>
  <si>
    <t>Weakness Base Improper Resource Locking - (413)</t>
  </si>
  <si>
    <t> Improper Resolution of Path Equivalence - (41)</t>
  </si>
  <si>
    <t>Weakness Base Improper Resolution of Path Equivalence - (41)</t>
  </si>
  <si>
    <t> Improper Release of Memory Before Removing Last Reference ('Memory Leak') - (401)</t>
  </si>
  <si>
    <t>Weakness Base Improper Release of Memory Before Removing Last Reference ('Memory Leak') - (401)</t>
  </si>
  <si>
    <t> Improper Protection of Alternate Path - (424)</t>
  </si>
  <si>
    <t>Weakness Class Improper Protection of Alternate Path - (424)</t>
  </si>
  <si>
    <t> Improper Privilege Management - (269)</t>
  </si>
  <si>
    <t>Weakness Base Improper Privilege Management - (269)</t>
  </si>
  <si>
    <t> Improper Preservation of Permissions - (281)</t>
  </si>
  <si>
    <t>Weakness Base Improper Preservation of Permissions - (281)</t>
  </si>
  <si>
    <t> Improper Ownership Management - (282)</t>
  </si>
  <si>
    <t>Weakness Class Improper Ownership Management - (282)</t>
  </si>
  <si>
    <t> Improper Output Neutralization for Logs - (117)</t>
  </si>
  <si>
    <t>Weakness Base Improper Output Neutralization for Logs - (117)</t>
  </si>
  <si>
    <t> Improper Null Termination - (170)</t>
  </si>
  <si>
    <t>Weakness Base Improper Null Termination - (170)</t>
  </si>
  <si>
    <t> Improper Neutralization of Wildcards or Matching Symbols - (155)</t>
  </si>
  <si>
    <t>Weakness Variant Improper Neutralization of Wildcards or Matching Symbols - (155)</t>
  </si>
  <si>
    <t> Improper Neutralization of Whitespace - (156)</t>
  </si>
  <si>
    <t>Weakness Variant Improper Neutralization of Whitespace - (156)</t>
  </si>
  <si>
    <t> Improper Neutralization of Variable Name Delimiters - (154)</t>
  </si>
  <si>
    <t>Weakness Variant Improper Neutralization of Variable Name Delimiters - (154)</t>
  </si>
  <si>
    <t> Improper Neutralization of Value Delimiters - (142)</t>
  </si>
  <si>
    <t>Weakness Variant Improper Neutralization of Value Delimiters - (142)</t>
  </si>
  <si>
    <t> Improper Neutralization of Trailing Special Elements - (162)</t>
  </si>
  <si>
    <t>Weakness Variant Improper Neutralization of Trailing Special Elements - (162)</t>
  </si>
  <si>
    <t> Improper Neutralization of Substitution Characters - (153)</t>
  </si>
  <si>
    <t>Weakness Variant Improper Neutralization of Substitution Characters - (153)</t>
  </si>
  <si>
    <t> Improper Neutralization of Special Elements used in an SQL Command ('SQL Injection') - (89)</t>
  </si>
  <si>
    <t>Weakness Base Improper Neutralization of Special Elements used in an SQL Command ('SQL Injection') - (89)</t>
  </si>
  <si>
    <t> Improper Neutralization of Special Elements used in an OS Command ('OS Command Injection') - (78)</t>
  </si>
  <si>
    <t>Weakness Base Improper Neutralization of Special Elements used in an OS Command ('OS Command Injection') - (78)</t>
  </si>
  <si>
    <t> Improper Neutralization of Special Elements used in an LDAP Query ('LDAP Injection') - (90)</t>
  </si>
  <si>
    <t>Weakness Base Improper Neutralization of Special Elements used in an LDAP Query ('LDAP Injection') - (90)</t>
  </si>
  <si>
    <t> Improper Neutralization of Special Elements used in an Expression Language Statement ('Expression Language Injection') -(917)</t>
  </si>
  <si>
    <t>Weakness Base Improper Neutralization of Special Elements used in an Expression Language Statement ('Expression Language Injection') -(917)</t>
  </si>
  <si>
    <t> Improper Neutralization of Special Elements used in a Command ('Command Injection') - (77)</t>
  </si>
  <si>
    <t>Weakness Class Improper Neutralization of Special Elements used in a Command ('Command Injection') - (77)</t>
  </si>
  <si>
    <t> Improper Neutralization of Special Elements in Output Used by a Downstream Component ('Injection') - (74)</t>
  </si>
  <si>
    <t>Weakness Class Improper Neutralization of Special Elements in Output Used by a Downstream Component ('Injection') - (74)</t>
  </si>
  <si>
    <t> Improper Neutralization of Special Elements - (138)</t>
  </si>
  <si>
    <t>Weakness Class Improper Neutralization of Special Elements - (138)</t>
  </si>
  <si>
    <t> Improper Neutralization of Server-Side Includes (SSI) Within a Web Page - (97)</t>
  </si>
  <si>
    <t>Weakness Variant Improper Neutralization of Server-Side Includes (SSI) Within a Web Page - (97)</t>
  </si>
  <si>
    <t> Improper Neutralization of Section Delimiters - (145)</t>
  </si>
  <si>
    <t>Weakness Variant Improper Neutralization of Section Delimiters - (145)</t>
  </si>
  <si>
    <t> Improper Neutralization of Script-Related HTML Tags in a Web Page (Basic XSS) - (80)</t>
  </si>
  <si>
    <t>Weakness Variant Improper Neutralization of Script-Related HTML Tags in a Web Page (Basic XSS) - (80)</t>
  </si>
  <si>
    <t> Improper Neutralization of Script in Attributes of IMG Tags in a Web Page - (82)</t>
  </si>
  <si>
    <t>Weakness Variant Improper Neutralization of Script in Attributes of IMG Tags in a Web Page - (82)</t>
  </si>
  <si>
    <t> Improper Neutralization of Script in Attributes in a Web Page - (83)</t>
  </si>
  <si>
    <t>Weakness Variant Improper Neutralization of Script in Attributes in a Web Page - (83)</t>
  </si>
  <si>
    <t> Improper Neutralization of Script in an Error Message Web Page - (81)</t>
  </si>
  <si>
    <t>Weakness Variant Improper Neutralization of Script in an Error Message Web Page - (81)</t>
  </si>
  <si>
    <t> Improper Neutralization of Record Delimiters - (143)</t>
  </si>
  <si>
    <t>Weakness Variant Improper Neutralization of Record Delimiters - (143)</t>
  </si>
  <si>
    <t> Improper Neutralization of Quoting Syntax - (149)</t>
  </si>
  <si>
    <t>Weakness Variant Improper Neutralization of Quoting Syntax - (149)</t>
  </si>
  <si>
    <t> Improper Neutralization of Parameter/Argument Delimiters - (141)</t>
  </si>
  <si>
    <t>Weakness Variant Improper Neutralization of Parameter/Argument Delimiters - (141)</t>
  </si>
  <si>
    <t> Improper Neutralization of Null Byte or NUL Character - (158)</t>
  </si>
  <si>
    <t>Weakness Variant Improper Neutralization of Null Byte or NUL Character - (158)</t>
  </si>
  <si>
    <t> Improper Neutralization of Multiple Trailing Special Elements - (163)</t>
  </si>
  <si>
    <t>Weakness Variant Improper Neutralization of Multiple Trailing Special Elements - (163)</t>
  </si>
  <si>
    <t> Improper Neutralization of Multiple Leading Special Elements - (161)</t>
  </si>
  <si>
    <t>Weakness Variant Improper Neutralization of Multiple Leading Special Elements - (161)</t>
  </si>
  <si>
    <t> Improper Neutralization of Multiple Internal Special Elements - (165)</t>
  </si>
  <si>
    <t>Weakness Variant Improper Neutralization of Multiple Internal Special Elements - (165)</t>
  </si>
  <si>
    <t> Improper Neutralization of Macro Symbols - (152)</t>
  </si>
  <si>
    <t>Weakness Variant Improper Neutralization of Macro Symbols - (152)</t>
  </si>
  <si>
    <t> Improper Neutralization of Line Delimiters - (144)</t>
  </si>
  <si>
    <t>Weakness Variant Improper Neutralization of Line Delimiters - (144)</t>
  </si>
  <si>
    <t> Improper Neutralization of Leading Special Elements - (160)</t>
  </si>
  <si>
    <t>Weakness Variant Improper Neutralization of Leading Special Elements - (160)</t>
  </si>
  <si>
    <t> Improper Neutralization of Invalid Characters in Identifiers in Web Pages - (86)</t>
  </si>
  <si>
    <t>Weakness Variant Improper Neutralization of Invalid Characters in Identifiers in Web Pages - (86)</t>
  </si>
  <si>
    <t> Improper Neutralization of Internal Special Elements - (164)</t>
  </si>
  <si>
    <t>Weakness Variant Improper Neutralization of Internal Special Elements - (164)</t>
  </si>
  <si>
    <t> Improper Neutralization of Input Terminators - (147)</t>
  </si>
  <si>
    <t>Weakness Variant Improper Neutralization of Input Terminators - (147)</t>
  </si>
  <si>
    <t> Improper Neutralization of Input Leaders - (148)</t>
  </si>
  <si>
    <t>Weakness Variant Improper Neutralization of Input Leaders - (148)</t>
  </si>
  <si>
    <t> Improper Neutralization of Input During Web Page Generation ('Cross-site Scripting') - (79)</t>
  </si>
  <si>
    <t>Weakness Base Improper Neutralization of Input During Web Page Generation ('Cross-site Scripting') - (79)</t>
  </si>
  <si>
    <t> Improper Neutralization of HTTP Headers for Scripting Syntax - (644)</t>
  </si>
  <si>
    <t>Weakness Variant Improper Neutralization of HTTP Headers for Scripting Syntax - (644)</t>
  </si>
  <si>
    <t> Improper Neutralization of Expression/Command Delimiters - (146)</t>
  </si>
  <si>
    <t>Weakness Variant Improper Neutralization of Expression/Command Delimiters - (146)</t>
  </si>
  <si>
    <t> Improper Neutralization of Escape, Meta, or Control Sequences - (150)</t>
  </si>
  <si>
    <t>Weakness Variant Improper Neutralization of Escape, Meta, or Control Sequences - (150)</t>
  </si>
  <si>
    <t> Improper Neutralization of Equivalent Special Elements - (76)</t>
  </si>
  <si>
    <t>Weakness Base Improper Neutralization of Equivalent Special Elements - (76)</t>
  </si>
  <si>
    <t> Improper Neutralization of Encoded URI Schemes in a Web Page - (84)</t>
  </si>
  <si>
    <t>Weakness Variant Improper Neutralization of Encoded URI Schemes in a Web Page - (84)</t>
  </si>
  <si>
    <t> Improper Neutralization of Directives in Statically Saved Code ('Static Code Injection') - (96)</t>
  </si>
  <si>
    <t>Weakness Base Improper Neutralization of Directives in Statically Saved Code ('Static Code Injection') - (96)</t>
  </si>
  <si>
    <t> Improper Neutralization of Directives in Dynamically Evaluated Code ('Eval Injection') - (95)</t>
  </si>
  <si>
    <t>Weakness Base Improper Neutralization of Directives in Dynamically Evaluated Code ('Eval Injection') - (95)</t>
  </si>
  <si>
    <t> Improper Neutralization of Delimiters - (140)</t>
  </si>
  <si>
    <t>Weakness Base Improper Neutralization of Delimiters - (140)</t>
  </si>
  <si>
    <t> Improper Neutralization of Data within XQuery Expressions ('XQuery Injection') - (652)</t>
  </si>
  <si>
    <t>Weakness Base Improper Neutralization of Data within XQuery Expressions ('XQuery Injection') - (652)</t>
  </si>
  <si>
    <t> Improper Neutralization of Data within XPath Expressions ('XPath Injection') - (643)</t>
  </si>
  <si>
    <t>Weakness Base Improper Neutralization of Data within XPath Expressions ('XPath Injection') - (643)</t>
  </si>
  <si>
    <t> Improper Neutralization of CRLF Sequences in HTTP Headers ('HTTP Response Splitting') - (113)</t>
  </si>
  <si>
    <t>Weakness Base Improper Neutralization of CRLF Sequences in HTTP Headers ('HTTP Response Splitting') - (113)</t>
  </si>
  <si>
    <t> Improper Neutralization of CRLF Sequences ('CRLF Injection') - (93)</t>
  </si>
  <si>
    <t>Weakness Base Improper Neutralization of CRLF Sequences ('CRLF Injection') - (93)</t>
  </si>
  <si>
    <t> Improper Neutralization of Comment Delimiters - (151)</t>
  </si>
  <si>
    <t>Weakness Variant Improper Neutralization of Comment Delimiters - (151)</t>
  </si>
  <si>
    <t> Improper Neutralization of Alternate XSS Syntax - (87)</t>
  </si>
  <si>
    <t>Weakness Variant Improper Neutralization of Alternate XSS Syntax - (87)</t>
  </si>
  <si>
    <t> Improper Locking - (667)</t>
  </si>
  <si>
    <t>Weakness Base Improper Locking - (667)</t>
  </si>
  <si>
    <t> Improper Link Resolution Before File Access ('Link Following') - (59)</t>
  </si>
  <si>
    <t>Weakness Base Improper Link Resolution Before File Access ('Link Following') - (59)</t>
  </si>
  <si>
    <t> Improper Limitation of a Pathname to a Restricted Directory ('Path Traversal') - (22)</t>
  </si>
  <si>
    <t>Weakness Class Improper Limitation of a Pathname to a Restricted Directory ('Path Traversal') - (22)</t>
  </si>
  <si>
    <t> Improper Input Validation - (20)</t>
  </si>
  <si>
    <t>Weakness Class Improper Input Validation - (20)</t>
  </si>
  <si>
    <t> Improper Initialization - (665)</t>
  </si>
  <si>
    <t>Weakness Base Improper Initialization - (665)</t>
  </si>
  <si>
    <t> Improper Handling of Windows Device Names - (67)</t>
  </si>
  <si>
    <t>Weakness Variant Improper Handling of Windows Device Names - (67)</t>
  </si>
  <si>
    <t> Improper Handling of Windows ::DATA Alternate Data Stream - (69)</t>
  </si>
  <si>
    <t>Weakness Variant Improper Handling of Windows ::DATA Alternate Data Stream - (69)</t>
  </si>
  <si>
    <t> Improper Handling of Values - (229)</t>
  </si>
  <si>
    <t>Weakness Base Improper Handling of Values - (229)</t>
  </si>
  <si>
    <t> Improper Handling of URL Encoding (Hex Encoding) - (177)</t>
  </si>
  <si>
    <t>Weakness Variant Improper Handling of URL Encoding (Hex Encoding) - (177)</t>
  </si>
  <si>
    <t> Improper Handling of Unicode Encoding - (176)</t>
  </si>
  <si>
    <t>Weakness Variant Improper Handling of Unicode Encoding - (176)</t>
  </si>
  <si>
    <t> Improper Handling of Unexpected Data Type - (241)</t>
  </si>
  <si>
    <t>Weakness Base Improper Handling of Unexpected Data Type - (241)</t>
  </si>
  <si>
    <t> Improper Handling of Undefined Values - (232)</t>
  </si>
  <si>
    <t>Weakness Variant Improper Handling of Undefined Values - (232)</t>
  </si>
  <si>
    <t> Improper Handling of Undefined Parameters - (236)</t>
  </si>
  <si>
    <t>Weakness Variant Improper Handling of Undefined Parameters - (236)</t>
  </si>
  <si>
    <t> Improper Handling of Syntactically Invalid Structure - (228)</t>
  </si>
  <si>
    <t>Weakness Class Improper Handling of Syntactically Invalid Structure - (228)</t>
  </si>
  <si>
    <t> Improper Handling of Structural Elements - (237)</t>
  </si>
  <si>
    <t>Weakness Base Improper Handling of Structural Elements - (237)</t>
  </si>
  <si>
    <t> Improper Handling of Parameters - (233)</t>
  </si>
  <si>
    <t>Weakness Base Improper Handling of Parameters - (233)</t>
  </si>
  <si>
    <t> Improper Handling of Mixed Encoding - (175)</t>
  </si>
  <si>
    <t>Weakness Variant Improper Handling of Mixed Encoding - (175)</t>
  </si>
  <si>
    <t> Improper Handling of Missing Values - (230)</t>
  </si>
  <si>
    <t>Weakness Variant Improper Handling of Missing Values - (230)</t>
  </si>
  <si>
    <t> Improper Handling of Missing Special Element - (166)</t>
  </si>
  <si>
    <t>Weakness Base Improper Handling of Missing Special Element - (166)</t>
  </si>
  <si>
    <t> Improper Handling of Length Parameter Inconsistency - (130)</t>
  </si>
  <si>
    <t>Weakness Variant Improper Handling of Length Parameter Inconsistency - (130)</t>
  </si>
  <si>
    <t> Improper Handling of Insufficient Privileges - (274)</t>
  </si>
  <si>
    <t>Weakness Base Improper Handling of Insufficient Privileges - (274)</t>
  </si>
  <si>
    <t> Improper Handling of Insufficient Permissions or Privileges - (280)</t>
  </si>
  <si>
    <t>Weakness Base Improper Handling of Insufficient Permissions or Privileges - (280)</t>
  </si>
  <si>
    <t> Improper Handling of Insufficient Entropy in TRNG - (333)</t>
  </si>
  <si>
    <t>Weakness Variant Improper Handling of Insufficient Entropy in TRNG - (333)</t>
  </si>
  <si>
    <t> Improper Handling of Inconsistent Structural Elements - (240)</t>
  </si>
  <si>
    <t>Weakness Variant Improper Handling of Inconsistent Structural Elements - (240)</t>
  </si>
  <si>
    <t> Improper Handling of Inconsistent Special Elements - (168)</t>
  </si>
  <si>
    <t>Weakness Base Improper Handling of Inconsistent Special Elements - (168)</t>
  </si>
  <si>
    <t> Improper Handling of Incomplete Structural Elements - (238)</t>
  </si>
  <si>
    <t>Weakness Variant Improper Handling of Incomplete Structural Elements - (238)</t>
  </si>
  <si>
    <t> Improper Handling of Highly Compressed Data (Data Amplification) - (409)</t>
  </si>
  <si>
    <t>Weakness Base Improper Handling of Highly Compressed Data (Data Amplification) - (409)</t>
  </si>
  <si>
    <t> Improper Handling of File Names that Identify Virtual Resources - (66)</t>
  </si>
  <si>
    <t>Weakness Base Improper Handling of File Names that Identify Virtual Resources - (66)</t>
  </si>
  <si>
    <t> Improper Handling of Extra Values - (231)</t>
  </si>
  <si>
    <t>Weakness Variant Improper Handling of Extra Values - (231)</t>
  </si>
  <si>
    <t> Improper Handling of Extra Parameters - (235)</t>
  </si>
  <si>
    <t>Weakness Variant Improper Handling of Extra Parameters - (235)</t>
  </si>
  <si>
    <t> Improper Handling of Exceptional Conditions - (755)</t>
  </si>
  <si>
    <t>Weakness Class Improper Handling of Exceptional Conditions - (755)</t>
  </si>
  <si>
    <t> Improper Handling of Case Sensitivity - (178)</t>
  </si>
  <si>
    <t>Weakness Base Improper Handling of Case Sensitivity - (178)</t>
  </si>
  <si>
    <t> Improper Handling of Apple HFS+ Alternate Data Stream Path - (72)</t>
  </si>
  <si>
    <t>Weakness Variant Improper Handling of Apple HFS+ Alternate Data Stream Path - (72)</t>
  </si>
  <si>
    <t> Improper Handling of Alternate Encoding - (173)</t>
  </si>
  <si>
    <t>Weakness Variant Improper Handling of Alternate Encoding - (173)</t>
  </si>
  <si>
    <t> Improper Handling of Additional Special Element - (167)</t>
  </si>
  <si>
    <t>Weakness Base Improper Handling of Additional Special Element - (167)</t>
  </si>
  <si>
    <t> Improper Fulfillment of API Contract ('API Abuse') - (227)</t>
  </si>
  <si>
    <t>Weakness Class Improper Fulfillment of API Contract ('API Abuse') - (227)</t>
  </si>
  <si>
    <t> Improper Following of Specification by Caller - (573)</t>
  </si>
  <si>
    <t>Weakness Class Improper Following of Specification by Caller - (573)</t>
  </si>
  <si>
    <t> Improper Following of a Certificate's Chain of Trust - (296)</t>
  </si>
  <si>
    <t>Weakness Base Improper Following of a Certificate's Chain of Trust - (296)</t>
  </si>
  <si>
    <t> Improper Filtering of Special Elements - (790)</t>
  </si>
  <si>
    <t>Weakness Class Improper Filtering of Special Elements - (790)</t>
  </si>
  <si>
    <t> Improper Enforcement of Message or Data Structure - (707)</t>
  </si>
  <si>
    <t>Weakness Class Improper Enforcement of Message or Data Structure - (707)</t>
  </si>
  <si>
    <t> Improper Enforcement of Message Integrity During Transmission in a Communication Channel - (924)</t>
  </si>
  <si>
    <t>Weakness Class Improper Enforcement of Message Integrity During Transmission in a Communication Channel - (924)</t>
  </si>
  <si>
    <t> Improper Enforcement of Behavioral Workflow - (841)</t>
  </si>
  <si>
    <t>Weakness Base Improper Enforcement of Behavioral Workflow - (841)</t>
  </si>
  <si>
    <t> Improper Enforcement of a Single, Unique Action - (837)</t>
  </si>
  <si>
    <t>Weakness Base Improper Enforcement of a Single, Unique Action - (837)</t>
  </si>
  <si>
    <t> Improper Encoding or Escaping of Output - (116)</t>
  </si>
  <si>
    <t>Weakness Class Improper Encoding or Escaping of Output - (116)</t>
  </si>
  <si>
    <t> Improper Cross-boundary Removal of Sensitive Data - (212)</t>
  </si>
  <si>
    <t>Weakness Base Improper Cross-boundary Removal of Sensitive Data - (212)</t>
  </si>
  <si>
    <t> Improper Control of Resource Identifiers ('Resource Injection') - (99)</t>
  </si>
  <si>
    <t>Weakness Base Improper Control of Resource Identifiers ('Resource Injection') - (99)</t>
  </si>
  <si>
    <t> Improper Control of Interaction Frequency - (799)</t>
  </si>
  <si>
    <t>Weakness Class Improper Control of Interaction Frequency - (799)</t>
  </si>
  <si>
    <t> Improper Control of Generation of Code ('Code Injection') - (94)</t>
  </si>
  <si>
    <t>Weakness Class Improper Control of Generation of Code ('Code Injection') - (94)</t>
  </si>
  <si>
    <t> Improper Control of Filename for Include/Require Statement in PHP Program ('PHP Remote File Inclusion') - (98)</t>
  </si>
  <si>
    <t>Weakness Base Improper Control of Filename for Include/Require Statement in PHP Program ('PHP Remote File Inclusion') - (98)</t>
  </si>
  <si>
    <t> Improper Control of Dynamically-Managed Code Resources - (913)</t>
  </si>
  <si>
    <t>Weakness Class Improper Control of Dynamically-Managed Code Resources - (913)</t>
  </si>
  <si>
    <t> Improper Control of Dynamically-Identified Variables - (914)</t>
  </si>
  <si>
    <t>Weakness Base Improper Control of Dynamically-Identified Variables - (914)</t>
  </si>
  <si>
    <t> Improper Control of Document Type Definition - (827)</t>
  </si>
  <si>
    <t>Weakness Base Improper Control of Document Type Definition - (827)</t>
  </si>
  <si>
    <t> Improper Control of a Resource Through its Lifetime - (664)</t>
  </si>
  <si>
    <t>Weakness Class Improper Control of a Resource Through its Lifetime - (664)</t>
  </si>
  <si>
    <t> Improper Clearing of Heap Memory Before Release ('Heap Inspection') - (244)</t>
  </si>
  <si>
    <t>Weakness Variant Improper Clearing of Heap Memory Before Release ('Heap Inspection') - (244)</t>
  </si>
  <si>
    <t> Improper Cleanup on Thrown Exception - (460)</t>
  </si>
  <si>
    <t>Weakness Variant Improper Cleanup on Thrown Exception - (460)</t>
  </si>
  <si>
    <t> Improper Check or Handling of Exceptional Conditions - (703)</t>
  </si>
  <si>
    <t>Weakness Class Improper Check or Handling of Exceptional Conditions - (703)</t>
  </si>
  <si>
    <t> Improper Check for Unusual or Exceptional Conditions - (754)</t>
  </si>
  <si>
    <t>Weakness Class Improper Check for Unusual or Exceptional Conditions - (754)</t>
  </si>
  <si>
    <t> Improper Check for Dropped Privileges - (273)</t>
  </si>
  <si>
    <t>Weakness Base Improper Check for Dropped Privileges - (273)</t>
  </si>
  <si>
    <t> Improper Check for Certificate Revocation - (299)</t>
  </si>
  <si>
    <t>Weakness Variant Improper Check for Certificate Revocation - (299)</t>
  </si>
  <si>
    <t> Improper Certificate Validation - (295)</t>
  </si>
  <si>
    <t>Weakness Base Improper Certificate Validation - (295)</t>
  </si>
  <si>
    <t> Improper Authorization - (285)</t>
  </si>
  <si>
    <t>Weakness Class Improper Authorization - (285)</t>
  </si>
  <si>
    <t> Improper Authentication of Endpoint in a Communication Channel - (923)</t>
  </si>
  <si>
    <t>Weakness Class Improper Authentication of Endpoint in a Communication Channel - (923)</t>
  </si>
  <si>
    <t> Improper Authentication - (287)</t>
  </si>
  <si>
    <t>Weakness Class Improper Authentication - (287)</t>
  </si>
  <si>
    <t> Improper Address Validation in IOCTL with METHOD_NEITHER I/O Control Code - (781)</t>
  </si>
  <si>
    <t>Weakness Variant Improper Address Validation in IOCTL with METHOD_NEITHER I/O Control Code - (781)</t>
  </si>
  <si>
    <t> Improper Access of Indexable Resource ('Range Error') - (118)</t>
  </si>
  <si>
    <t>Weakness Class Improper Access of Indexable Resource ('Range Error') - (118)</t>
  </si>
  <si>
    <t> Improper Access Control - (284)</t>
  </si>
  <si>
    <t>Weakness Class Improper Access Control - (284)</t>
  </si>
  <si>
    <t> Hidden Functionality - (912)</t>
  </si>
  <si>
    <t>Weakness Class Hidden Functionality - (912)</t>
  </si>
  <si>
    <t> Heap-based Buffer Overflow - (122)</t>
  </si>
  <si>
    <t>Weakness Variant Heap-based Buffer Overflow - (122)</t>
  </si>
  <si>
    <t> Handler Errors - (429)</t>
  </si>
  <si>
    <t>Category Handler Errors - (429)</t>
  </si>
  <si>
    <t> Guessable CAPTCHA - (804)</t>
  </si>
  <si>
    <t>Weakness Base Guessable CAPTCHA - (804)</t>
  </si>
  <si>
    <t> Function Call with Incorrectly Specified Arguments - (628)</t>
  </si>
  <si>
    <t>Weakness Base Function Call with Incorrectly Specified Arguments - (628)</t>
  </si>
  <si>
    <t> Function Call With Incorrectly Specified Argument Value - (687)</t>
  </si>
  <si>
    <t>Weakness Variant Function Call With Incorrectly Specified Argument Value - (687)</t>
  </si>
  <si>
    <t> Function Call With Incorrect Variable or Reference as Argument - (688)</t>
  </si>
  <si>
    <t>Weakness Variant Function Call With Incorrect Variable or Reference as Argument - (688)</t>
  </si>
  <si>
    <t> Function Call With Incorrect Order of Arguments - (683)</t>
  </si>
  <si>
    <t>Weakness Variant Function Call With Incorrect Order of Arguments - (683)</t>
  </si>
  <si>
    <t> Function Call With Incorrect Number of Arguments - (685)</t>
  </si>
  <si>
    <t>Weakness Variant Function Call With Incorrect Number of Arguments - (685)</t>
  </si>
  <si>
    <t> Function Call With Incorrect Argument Type - (686)</t>
  </si>
  <si>
    <t>Weakness Variant Function Call With Incorrect Argument Type - (686)</t>
  </si>
  <si>
    <t> Free of Pointer not at Start of Buffer - (761)</t>
  </si>
  <si>
    <t>Weakness Variant Free of Pointer not at Start of Buffer - (761)</t>
  </si>
  <si>
    <t> Free of Memory not on the Heap - (590)</t>
  </si>
  <si>
    <t>Weakness Variant Free of Memory not on the Heap - (590)</t>
  </si>
  <si>
    <t> finalize() Method Without super.finalize() - (568)</t>
  </si>
  <si>
    <t>Weakness Variant finalize() Method Without super.finalize() - (568)</t>
  </si>
  <si>
    <t> finalize() Method Declared Public - (583)</t>
  </si>
  <si>
    <t>Weakness Variant finalize() Method Declared Public - (583)</t>
  </si>
  <si>
    <t> Files or Directories Accessible to External Parties - (552)</t>
  </si>
  <si>
    <t>Weakness Base Files or Directories Accessible to External Parties - (552)</t>
  </si>
  <si>
    <t> File Descriptor Exhaustion - (769)</t>
  </si>
  <si>
    <t>Category File Descriptor Exhaustion - (769)</t>
  </si>
  <si>
    <t> File and Directory Information Exposure - (538)</t>
  </si>
  <si>
    <t>Weakness Base File and Directory Information Exposure - (538)</t>
  </si>
  <si>
    <t> Failure to Sanitize Special Elements into a Different Plane (Special Element Injection) - (75)</t>
  </si>
  <si>
    <t>Weakness Class Failure to Sanitize Special Elements into a Different Plane (Special Element Injection) - (75)</t>
  </si>
  <si>
    <t> Failure to Sanitize Special Element - (159)</t>
  </si>
  <si>
    <t>Weakness Class Failure to Sanitize Special Element - (159)</t>
  </si>
  <si>
    <t> Failure to Sanitize Paired Delimiters - (157)</t>
  </si>
  <si>
    <t>Weakness Variant Failure to Sanitize Paired Delimiters - (157)</t>
  </si>
  <si>
    <t> Failure to Handle Missing Parameter - (234)</t>
  </si>
  <si>
    <t>Weakness Variant Failure to Handle Missing Parameter - (234)</t>
  </si>
  <si>
    <t> Failure to Handle Incomplete Element - (239)</t>
  </si>
  <si>
    <t>Weakness Variant Failure to Handle Incomplete Element - (239)</t>
  </si>
  <si>
    <t> Externally Controlled Reference to a Resource in Another Sphere - (610)</t>
  </si>
  <si>
    <t>Weakness Class Externally Controlled Reference to a Resource in Another Sphere - (610)</t>
  </si>
  <si>
    <t> External Initialization of Trusted Variables or Data Stores - (454)</t>
  </si>
  <si>
    <t>Weakness Base External Initialization of Trusted Variables or Data Stores - (454)</t>
  </si>
  <si>
    <t> External Influence of Sphere Definition - (673)</t>
  </si>
  <si>
    <t>Weakness Class External Influence of Sphere Definition - (673)</t>
  </si>
  <si>
    <t> External Control of System or Configuration Setting - (15)</t>
  </si>
  <si>
    <t>Weakness Base External Control of System or Configuration Setting - (15)</t>
  </si>
  <si>
    <t> External Control of File Name or Path - (73)</t>
  </si>
  <si>
    <t>Weakness Class External Control of File Name or Path - (73)</t>
  </si>
  <si>
    <t> External Control of Critical State Data - (642)</t>
  </si>
  <si>
    <t>Weakness Class External Control of Critical State Data - (642)</t>
  </si>
  <si>
    <t> External Control of Assumed-Immutable Web Parameter - (472)</t>
  </si>
  <si>
    <t>Weakness Base External Control of Assumed-Immutable Web Parameter - (472)</t>
  </si>
  <si>
    <t> Expression Issues - (569)</t>
  </si>
  <si>
    <t>Category Expression Issues - (569)</t>
  </si>
  <si>
    <t> Expression is Always True - (571)</t>
  </si>
  <si>
    <t>Weakness Variant Expression is Always True - (571)</t>
  </si>
  <si>
    <t> Expression is Always False - (570)</t>
  </si>
  <si>
    <t>Weakness Variant Expression is Always False - (570)</t>
  </si>
  <si>
    <t> Exposure of System Data to an Unauthorized Control Sphere - (497)</t>
  </si>
  <si>
    <t>Weakness Variant Exposure of System Data to an Unauthorized Control Sphere - (497)</t>
  </si>
  <si>
    <t> Exposure of Sensitive Data Through Data Queries - (202)</t>
  </si>
  <si>
    <t>Weakness Variant Exposure of Sensitive Data Through Data Queries - (202)</t>
  </si>
  <si>
    <t> Exposure of Resource to Wrong Sphere - (668)</t>
  </si>
  <si>
    <t>Weakness Class Exposure of Resource to Wrong Sphere - (668)</t>
  </si>
  <si>
    <t> Exposure of File Descriptor to Unintended Control Sphere ('File Descriptor Leak') - (403)</t>
  </si>
  <si>
    <t>Weakness Base Exposure of File Descriptor to Unintended Control Sphere ('File Descriptor Leak') - (403)</t>
  </si>
  <si>
    <t> Exposure of Data Element to Wrong Session - (488)</t>
  </si>
  <si>
    <t>Weakness Variant Exposure of Data Element to Wrong Session - (488)</t>
  </si>
  <si>
    <t> Exposure of CVS Repository to an Unauthorized Control Sphere - (527)</t>
  </si>
  <si>
    <t>Weakness Variant Exposure of CVS Repository to an Unauthorized Control Sphere - (527)</t>
  </si>
  <si>
    <t> Exposure of Core Dump File to an Unauthorized Control Sphere - (528)</t>
  </si>
  <si>
    <t>Weakness Variant Exposure of Core Dump File to an Unauthorized Control Sphere - (528)</t>
  </si>
  <si>
    <t> Exposure of Backup File to an Unauthorized Control Sphere - (530)</t>
  </si>
  <si>
    <t>Weakness Variant Exposure of Backup File to an Unauthorized Control Sphere - (530)</t>
  </si>
  <si>
    <t> Exposure of Access Control List Files to an Unauthorized Control Sphere - (529)</t>
  </si>
  <si>
    <t>Weakness Variant Exposure of Access Control List Files to an Unauthorized Control Sphere - (529)</t>
  </si>
  <si>
    <t> Exposed Unsafe ActiveX Method - (618)</t>
  </si>
  <si>
    <t>Weakness Base Exposed Unsafe ActiveX Method - (618)</t>
  </si>
  <si>
    <t> Exposed IOCTL with Insufficient Access Control - (782)</t>
  </si>
  <si>
    <t>Weakness Variant Exposed IOCTL with Insufficient Access Control - (782)</t>
  </si>
  <si>
    <t> Exposed Dangerous Method or Function - (749)</t>
  </si>
  <si>
    <t>Weakness Base Exposed Dangerous Method or Function - (749)</t>
  </si>
  <si>
    <t> Explicit Call to Finalize() - (586)</t>
  </si>
  <si>
    <t>Weakness Variant Explicit Call to Finalize() - (586)</t>
  </si>
  <si>
    <t> Expired Pointer Dereference - (825)</t>
  </si>
  <si>
    <t>Weakness Base Expired Pointer Dereference - (825)</t>
  </si>
  <si>
    <t> Expected Behavior Violation - (440)</t>
  </si>
  <si>
    <t>Weakness Base Expected Behavior Violation - (440)</t>
  </si>
  <si>
    <t> Execution with Unnecessary Privileges - (250)</t>
  </si>
  <si>
    <t>Weakness Class Execution with Unnecessary Privileges - (250)</t>
  </si>
  <si>
    <t> Execution After Redirect (EAR) - (698)</t>
  </si>
  <si>
    <t>Weakness Base Execution After Redirect (EAR) - (698)</t>
  </si>
  <si>
    <t> Executable Regular Expression Error - (624)</t>
  </si>
  <si>
    <t>Weakness Base Executable Regular Expression Error - (624)</t>
  </si>
  <si>
    <t> Excessive Iteration - (834)</t>
  </si>
  <si>
    <t>Weakness Base Excessive Iteration - (834)</t>
  </si>
  <si>
    <t> Error Handling - (388)</t>
  </si>
  <si>
    <t>Category Error Handling - (388)</t>
  </si>
  <si>
    <t> Error Conditions, Return Values, Status Codes - (389)</t>
  </si>
  <si>
    <t>Category Error Conditions, Return Values, Status Codes - (389)</t>
  </si>
  <si>
    <t> Environment - (2)</t>
  </si>
  <si>
    <t>Category Environment - (2)</t>
  </si>
  <si>
    <t> Encoding Error - (172)</t>
  </si>
  <si>
    <t>Weakness Class Encoding Error - (172)</t>
  </si>
  <si>
    <t> Empty Synchronized Block - (585)</t>
  </si>
  <si>
    <t>Weakness Variant Empty Synchronized Block - (585)</t>
  </si>
  <si>
    <t> Empty Password in Configuration File - (258)</t>
  </si>
  <si>
    <t>Weakness Variant Empty Password in Configuration File - (258)</t>
  </si>
  <si>
    <t> Embedded Malicious Code - (506)</t>
  </si>
  <si>
    <t>Weakness Class Embedded Malicious Code - (506)</t>
  </si>
  <si>
    <t> EJB Bad Practices: Use of Synchronization Primitives - (574)</t>
  </si>
  <si>
    <t>Weakness Variant EJB Bad Practices: Use of Synchronization Primitives - (574)</t>
  </si>
  <si>
    <t> EJB Bad Practices: Use of Sockets - (577)</t>
  </si>
  <si>
    <t>Weakness Variant EJB Bad Practices: Use of Sockets - (577)</t>
  </si>
  <si>
    <t> EJB Bad Practices: Use of Java I/O - (576)</t>
  </si>
  <si>
    <t>Weakness Variant EJB Bad Practices: Use of Java I/O - (576)</t>
  </si>
  <si>
    <t> EJB Bad Practices: Use of Class Loader - (578)</t>
  </si>
  <si>
    <t>Weakness Variant EJB Bad Practices: Use of Class Loader - (578)</t>
  </si>
  <si>
    <t> EJB Bad Practices: Use of AWT Swing - (575)</t>
  </si>
  <si>
    <t>Weakness Variant EJB Bad Practices: Use of AWT Swing - (575)</t>
  </si>
  <si>
    <t> Dynamic Variable Evaluation - (627)</t>
  </si>
  <si>
    <t>Weakness Base Dynamic Variable Evaluation - (627)</t>
  </si>
  <si>
    <t> Duplicate Operations on Resource - (675)</t>
  </si>
  <si>
    <t>Weakness Class Duplicate Operations on Resource - (675)</t>
  </si>
  <si>
    <t> Duplicate Key in Associative List (Alist) - (462)</t>
  </si>
  <si>
    <t>Weakness Base Duplicate Key in Associative List (Alist) - (462)</t>
  </si>
  <si>
    <t> Download of Code Without Integrity Check - (494)</t>
  </si>
  <si>
    <t>Weakness Base Download of Code Without Integrity Check - (494)</t>
  </si>
  <si>
    <t> Doubled Character XSS Manipulations - (85)</t>
  </si>
  <si>
    <t>Weakness Variant Doubled Character XSS Manipulations - (85)</t>
  </si>
  <si>
    <t> Double-Checked Locking - (609)</t>
  </si>
  <si>
    <t>Weakness Base Double-Checked Locking - (609)</t>
  </si>
  <si>
    <t> Double Free - (415)</t>
  </si>
  <si>
    <t>Weakness Variant Double Free - (415)</t>
  </si>
  <si>
    <t> Double Decoding of the Same Data - (174)</t>
  </si>
  <si>
    <t>Weakness Variant Double Decoding of the Same Data - (174)</t>
  </si>
  <si>
    <t> Divide By Zero - (369)</t>
  </si>
  <si>
    <t>Weakness Base Divide By Zero - (369)</t>
  </si>
  <si>
    <t> Direct Use of Unsafe JNI - (111)</t>
  </si>
  <si>
    <t>Weakness Base Direct Use of Unsafe JNI - (111)</t>
  </si>
  <si>
    <t> Direct Request ('Forced Browsing') - (425)</t>
  </si>
  <si>
    <t>Weakness Base Direct Request ('Forced Browsing') - (425)</t>
  </si>
  <si>
    <t> Development Concepts - (699)</t>
  </si>
  <si>
    <t>View Development Concepts - (699)</t>
  </si>
  <si>
    <t> Detection of Error Condition Without Action - (390)</t>
  </si>
  <si>
    <t>Weakness Class Detection of Error Condition Without Action - (390)</t>
  </si>
  <si>
    <t> Deserialization of Untrusted Data - (502)</t>
  </si>
  <si>
    <t>Weakness Variant Deserialization of Untrusted Data - (502)</t>
  </si>
  <si>
    <t> DEPRECATED: State Synchronization Error - (373)</t>
  </si>
  <si>
    <t>Deprecated DEPRECATED: State Synchronization Error - (373)</t>
  </si>
  <si>
    <t> DEPRECATED: Often Misused: Path Manipulation - (249)</t>
  </si>
  <si>
    <t>Deprecated DEPRECATED: Often Misused: Path Manipulation - (249)</t>
  </si>
  <si>
    <t> DEPRECATED: Incorrect Initialization - (458)</t>
  </si>
  <si>
    <t>Deprecated DEPRECATED: Incorrect Initialization - (458)</t>
  </si>
  <si>
    <t> DEPRECATED: Improper Sanitization of Custom Special Characters - (92)</t>
  </si>
  <si>
    <t>Deprecated DEPRECATED: Improper Sanitization of Custom Special Characters - (92)</t>
  </si>
  <si>
    <t> DEPRECATED: General Special Element Problems - (139)</t>
  </si>
  <si>
    <t>Deprecated DEPRECATED: General Special Element Problems - (139)</t>
  </si>
  <si>
    <t> DEPRECATED: Failure to Protect Stored Data from Modification - (217)</t>
  </si>
  <si>
    <t>Deprecated DEPRECATED: Failure to Protect Stored Data from Modification - (217)</t>
  </si>
  <si>
    <t> Deprecated Entries - (604)</t>
  </si>
  <si>
    <t>View Deprecated Entries - (604)</t>
  </si>
  <si>
    <t> DEPRECATED (Duplicate): Trusting Self-reported DNS Name - (292)</t>
  </si>
  <si>
    <t>Deprecated DEPRECATED (Duplicate): Trusting Self-reported DNS Name - (292)</t>
  </si>
  <si>
    <t> DEPRECATED (Duplicate): Reliance on DNS Lookups in a Security Decision - (247)</t>
  </si>
  <si>
    <t>Deprecated DEPRECATED (Duplicate): Reliance on DNS Lookups in a Security Decision - (247)</t>
  </si>
  <si>
    <t> DEPRECATED (Duplicate): Proxied Trusted Channel - (423)</t>
  </si>
  <si>
    <t>Deprecated DEPRECATED (Duplicate): Proxied Trusted Channel - (423)</t>
  </si>
  <si>
    <t> DEPRECATED (Duplicate): Miscalculated Null Termination - (132)</t>
  </si>
  <si>
    <t>Deprecated DEPRECATED (Duplicate): Miscalculated Null Termination - (132)</t>
  </si>
  <si>
    <t> DEPRECATED (Duplicate): HTTP response splitting - (443)</t>
  </si>
  <si>
    <t>Deprecated DEPRECATED (Duplicate): HTTP response splitting - (443)</t>
  </si>
  <si>
    <t> DEPRECATED (Duplicate): General Information Management Problems - (225)</t>
  </si>
  <si>
    <t>Deprecated DEPRECATED (Duplicate): General Information Management Problems - (225)</t>
  </si>
  <si>
    <t> DEPRECATED (Duplicate): Failure to provide confidentiality for stored data - (218)</t>
  </si>
  <si>
    <t>Deprecated DEPRECATED (Duplicate): Failure to provide confidentiality for stored data - (218)</t>
  </si>
  <si>
    <t> DEPRECATED (Duplicate): Covert Timing Channel - (516)</t>
  </si>
  <si>
    <t>Deprecated DEPRECATED (Duplicate): Covert Timing Channel - (516)</t>
  </si>
  <si>
    <t> Deployment of Wrong Handler - (430)</t>
  </si>
  <si>
    <t>Weakness Base Deployment of Wrong Handler - (430)</t>
  </si>
  <si>
    <t> Deletion of Data Structure Sentinel - (463)</t>
  </si>
  <si>
    <t>Weakness Base Deletion of Data Structure Sentinel - (463)</t>
  </si>
  <si>
    <t> Declaration of Throws for Generic Exception - (397)</t>
  </si>
  <si>
    <t>Weakness Base Declaration of Throws for Generic Exception - (397)</t>
  </si>
  <si>
    <t> Declaration of Catch for Generic Exception - (396)</t>
  </si>
  <si>
    <t>Weakness Base Declaration of Catch for Generic Exception - (396)</t>
  </si>
  <si>
    <t> Deadlock - (833)</t>
  </si>
  <si>
    <t>Weakness Base Deadlock - (833)</t>
  </si>
  <si>
    <t> Dead Code - (561)</t>
  </si>
  <si>
    <t>Weakness Variant Dead Code - (561)</t>
  </si>
  <si>
    <t> Data Structure Issues - (461)</t>
  </si>
  <si>
    <t>Category Data Structure Issues - (461)</t>
  </si>
  <si>
    <t> Data Handling - (19)</t>
  </si>
  <si>
    <t>Category Data Handling - (19)</t>
  </si>
  <si>
    <t> Dangling Database Cursor ('Cursor Injection') - (619)</t>
  </si>
  <si>
    <t>Weakness Base Dangling Database Cursor ('Cursor Injection') - (619)</t>
  </si>
  <si>
    <t> Dangerous Signal Handler not Disabled During Sensitive Operations - (432)</t>
  </si>
  <si>
    <t>Weakness Base Dangerous Signal Handler not Disabled During Sensitive Operations - (432)</t>
  </si>
  <si>
    <t> CWE Cross-section - (884)</t>
  </si>
  <si>
    <t>View CWE Cross-section - (884)</t>
  </si>
  <si>
    <t> Cryptographic Issues - (310)</t>
  </si>
  <si>
    <t>Category Cryptographic Issues - (310)</t>
  </si>
  <si>
    <t> Cross-Site Request Forgery (CSRF) - (352)</t>
  </si>
  <si>
    <t>Compound Element: Composite Cross-Site Request Forgery (CSRF) - (352)</t>
  </si>
  <si>
    <t> Critical Variable Declared Public - (766)</t>
  </si>
  <si>
    <t>Weakness Variant Critical Variable Declared Public - (766)</t>
  </si>
  <si>
    <t> Critical Public Variable Without Final Modifier - (493)</t>
  </si>
  <si>
    <t>Weakness Variant Critical Public Variable Without Final Modifier - (493)</t>
  </si>
  <si>
    <t> Credentials Management - (255)</t>
  </si>
  <si>
    <t>Category Credentials Management - (255)</t>
  </si>
  <si>
    <t> Creation of Temporary File With Insecure Permissions - (378)</t>
  </si>
  <si>
    <t>Weakness Base Creation of Temporary File With Insecure Permissions - (378)</t>
  </si>
  <si>
    <t> Creation of Temporary File in Directory with Incorrect Permissions - (379)</t>
  </si>
  <si>
    <t>Weakness Base Creation of Temporary File in Directory with Incorrect Permissions - (379)</t>
  </si>
  <si>
    <t> Creation of chroot Jail Without Changing Working Directory - (243)</t>
  </si>
  <si>
    <t>Weakness Variant Creation of chroot Jail Without Changing Working Directory - (243)</t>
  </si>
  <si>
    <t> Covert Timing Channel - (385)</t>
  </si>
  <si>
    <t>Weakness Base Covert Timing Channel - (385)</t>
  </si>
  <si>
    <t> Covert Storage Channel - (515)</t>
  </si>
  <si>
    <t>Weakness Base Covert Storage Channel - (515)</t>
  </si>
  <si>
    <t> Covert Channel - (514)</t>
  </si>
  <si>
    <t>Weakness Class Covert Channel - (514)</t>
  </si>
  <si>
    <t> Context Switching Race Condition - (368)</t>
  </si>
  <si>
    <t>Weakness Base Context Switching Race Condition - (368)</t>
  </si>
  <si>
    <t> Containment Errors (Container Errors) - (216)</t>
  </si>
  <si>
    <t>Weakness Class Containment Errors (Container Errors) - (216)</t>
  </si>
  <si>
    <t> Configuration - (16)</t>
  </si>
  <si>
    <t>Category Configuration - (16)</t>
  </si>
  <si>
    <t> Concurrent Execution using Shared Resource with Improper Synchronization ('Race Condition') - (362)</t>
  </si>
  <si>
    <t>Weakness Class Concurrent Execution using Shared Resource with Improper Synchronization ('Race Condition') - (362)</t>
  </si>
  <si>
    <t> Concurrency Issues - (557)</t>
  </si>
  <si>
    <t>Category Concurrency Issues - (557)</t>
  </si>
  <si>
    <t> Comprehensive CWE Dictionary - (2000)</t>
  </si>
  <si>
    <t>View Comprehensive CWE Dictionary - (2000)</t>
  </si>
  <si>
    <t> Composites - (678)</t>
  </si>
  <si>
    <t>View Composites - (678)</t>
  </si>
  <si>
    <t> Compiler Removal of Code to Clear Buffers - (14)</t>
  </si>
  <si>
    <t>Weakness Base Compiler Removal of Code to Clear Buffers - (14)</t>
  </si>
  <si>
    <t> Compiler Optimization Removal or Modification of Security-critical Code - (733)</t>
  </si>
  <si>
    <t>Weakness Base Compiler Optimization Removal or Modification of Security-critical Code - (733)</t>
  </si>
  <si>
    <t> Comparison of Object References Instead of Object Contents - (595)</t>
  </si>
  <si>
    <t>Weakness Base Comparison of Object References Instead of Object Contents - (595)</t>
  </si>
  <si>
    <t> Comparison of Classes by Name - (486)</t>
  </si>
  <si>
    <t>Weakness Variant Comparison of Classes by Name - (486)</t>
  </si>
  <si>
    <t> Comparing instead of Assigning - (482)</t>
  </si>
  <si>
    <t>Weakness Variant Comparing instead of Assigning - (482)</t>
  </si>
  <si>
    <t> Command Shell in Externally Accessible Directory - (553)</t>
  </si>
  <si>
    <t>Weakness Variant Command Shell in Externally Accessible Directory - (553)</t>
  </si>
  <si>
    <t> Collapse of Data into Unsafe Value - (182)</t>
  </si>
  <si>
    <t>Weakness Base Collapse of Data into Unsafe Value - (182)</t>
  </si>
  <si>
    <t> Coding Standards Violation - (710)</t>
  </si>
  <si>
    <t>Weakness Class Coding Standards Violation - (710)</t>
  </si>
  <si>
    <t> Code - (17)</t>
  </si>
  <si>
    <t>Category Code - (17)</t>
  </si>
  <si>
    <t> Cloneable Class Containing Sensitive Information - (498)</t>
  </si>
  <si>
    <t>Weakness Variant Cloneable Class Containing Sensitive Information - (498)</t>
  </si>
  <si>
    <t> clone() Method Without super.clone() - (580)</t>
  </si>
  <si>
    <t>Weakness Variant clone() Method Without super.clone() - (580)</t>
  </si>
  <si>
    <t> Client-Side Enforcement of Server-Side Security - (602)</t>
  </si>
  <si>
    <t>Weakness Base Client-Side Enforcement of Server-Side Security - (602)</t>
  </si>
  <si>
    <t> Cleartext Transmission of Sensitive Information - (319)</t>
  </si>
  <si>
    <t>Weakness Base Cleartext Transmission of Sensitive Information - (319)</t>
  </si>
  <si>
    <t> Cleartext Storage of Sensitive Information in Memory - (316)</t>
  </si>
  <si>
    <t>Weakness Variant Cleartext Storage of Sensitive Information in Memory - (316)</t>
  </si>
  <si>
    <t> Cleartext Storage of Sensitive Information in GUI - (317)</t>
  </si>
  <si>
    <t>Weakness Variant Cleartext Storage of Sensitive Information in GUI - (317)</t>
  </si>
  <si>
    <t> Cleartext Storage of Sensitive Information in Executable - (318)</t>
  </si>
  <si>
    <t>Weakness Variant Cleartext Storage of Sensitive Information in Executable - (318)</t>
  </si>
  <si>
    <t> Cleartext Storage of Sensitive Information in a Cookie - (315)</t>
  </si>
  <si>
    <t>Weakness Variant Cleartext Storage of Sensitive Information in a Cookie - (315)</t>
  </si>
  <si>
    <t> Cleartext Storage of Sensitive Information - (312)</t>
  </si>
  <si>
    <t>Weakness Base Cleartext Storage of Sensitive Information - (312)</t>
  </si>
  <si>
    <t> Cleartext Storage in the Registry - (314)</t>
  </si>
  <si>
    <t>Weakness Variant Cleartext Storage in the Registry - (314)</t>
  </si>
  <si>
    <t> Cleartext Storage in a File or on Disk - (313)</t>
  </si>
  <si>
    <t>Weakness Variant Cleartext Storage in a File or on Disk - (313)</t>
  </si>
  <si>
    <t> Cleansing, Canonicalization, and Comparison Errors - (171)</t>
  </si>
  <si>
    <t>Category Cleansing, Canonicalization, and Comparison Errors - (171)</t>
  </si>
  <si>
    <t> Channel Errors - (418)</t>
  </si>
  <si>
    <t>Category Channel Errors - (418)</t>
  </si>
  <si>
    <t> Channel and Path Errors - (417)</t>
  </si>
  <si>
    <t>Category Channel and Path Errors - (417)</t>
  </si>
  <si>
    <t> Channel Accessible by Non-Endpoint ('Man-in-the-Middle') - (300)</t>
  </si>
  <si>
    <t>Weakness Class Channel Accessible by Non-Endpoint ('Man-in-the-Middle') - (300)</t>
  </si>
  <si>
    <t> Chain Elements - (679)</t>
  </si>
  <si>
    <t>View Chain Elements - (679)</t>
  </si>
  <si>
    <t> CERT Java Secure Coding Section 49 - Miscellaneous (MSC) - (861)</t>
  </si>
  <si>
    <t>Category CERT Java Secure Coding Section 49 - Miscellaneous (MSC) - (861)</t>
  </si>
  <si>
    <t> CERT Java Secure Coding Section 15 - Runtime Environment (ENV) - (860)</t>
  </si>
  <si>
    <t>Category CERT Java Secure Coding Section 15 - Runtime Environment (ENV) - (860)</t>
  </si>
  <si>
    <t> CERT Java Secure Coding Section 14 - Platform Security (SEC) - (859)</t>
  </si>
  <si>
    <t>Category CERT Java Secure Coding Section 14 - Platform Security (SEC) - (859)</t>
  </si>
  <si>
    <t> CERT Java Secure Coding Section 13 - Serialization (SER) - (858)</t>
  </si>
  <si>
    <t>Category CERT Java Secure Coding Section 13 - Serialization (SER) - (858)</t>
  </si>
  <si>
    <t> CERT Java Secure Coding Section 12 - Input Output (FIO) - (857)</t>
  </si>
  <si>
    <t>Category CERT Java Secure Coding Section 12 - Input Output (FIO) - (857)</t>
  </si>
  <si>
    <t> CERT Java Secure Coding Section 11 - Thread-Safety Miscellaneous (TSM) - (856)</t>
  </si>
  <si>
    <t>Category CERT Java Secure Coding Section 11 - Thread-Safety Miscellaneous (TSM) - (856)</t>
  </si>
  <si>
    <t> CERT Java Secure Coding Section 10 - Thread Pools (TPS) - (855)</t>
  </si>
  <si>
    <t>Category CERT Java Secure Coding Section 10 - Thread Pools (TPS) - (855)</t>
  </si>
  <si>
    <t> CERT Java Secure Coding Section 09 - Thread APIs (THI) - (854)</t>
  </si>
  <si>
    <t>Category CERT Java Secure Coding Section 09 - Thread APIs (THI) - (854)</t>
  </si>
  <si>
    <t> CERT Java Secure Coding Section 08 - Locking (LCK) - (853)</t>
  </si>
  <si>
    <t>Category CERT Java Secure Coding Section 08 - Locking (LCK) - (853)</t>
  </si>
  <si>
    <t> CERT Java Secure Coding Section 07 - Visibility and Atomicity (VNA) - (852)</t>
  </si>
  <si>
    <t>Category CERT Java Secure Coding Section 07 - Visibility and Atomicity (VNA) - (852)</t>
  </si>
  <si>
    <t> CERT Java Secure Coding Section 06 - Exceptional Behavior (ERR) - (851)</t>
  </si>
  <si>
    <t>Category CERT Java Secure Coding Section 06 - Exceptional Behavior (ERR) - (851)</t>
  </si>
  <si>
    <t> CERT Java Secure Coding Section 05 - Methods (MET) - (850)</t>
  </si>
  <si>
    <t>Category CERT Java Secure Coding Section 05 - Methods (MET) - (850)</t>
  </si>
  <si>
    <t> CERT Java Secure Coding Section 04 - Object Orientation (OBJ) - (849)</t>
  </si>
  <si>
    <t>Category CERT Java Secure Coding Section 04 - Object Orientation (OBJ) - (849)</t>
  </si>
  <si>
    <t> CERT Java Secure Coding Section 03 - Numeric Types and Operations (NUM) - (848)</t>
  </si>
  <si>
    <t>Category CERT Java Secure Coding Section 03 - Numeric Types and Operations (NUM) - (848)</t>
  </si>
  <si>
    <t> CERT Java Secure Coding Section 02 - Expressions (EXP) - (847)</t>
  </si>
  <si>
    <t>Category CERT Java Secure Coding Section 02 - Expressions (EXP) - (847)</t>
  </si>
  <si>
    <t> CERT Java Secure Coding Section 01 - Declarations and Initialization (DCL) - (846)</t>
  </si>
  <si>
    <t>Category CERT Java Secure Coding Section 01 - Declarations and Initialization (DCL) - (846)</t>
  </si>
  <si>
    <t> CERT Java Secure Coding Section 00 - Input Validation and Data Sanitization (IDS) - (845)</t>
  </si>
  <si>
    <t>Category CERT Java Secure Coding Section 00 - Input Validation and Data Sanitization (IDS) - (845)</t>
  </si>
  <si>
    <t> CERT C++ Secure Coding Section 49 - Miscellaneous (MSC) - (883)</t>
  </si>
  <si>
    <t>Category CERT C++ Secure Coding Section 49 - Miscellaneous (MSC) - (883)</t>
  </si>
  <si>
    <t> CERT C++ Secure Coding Section 14 - Concurrency (CON) - (882)</t>
  </si>
  <si>
    <t>Category CERT C++ Secure Coding Section 14 - Concurrency (CON) - (882)</t>
  </si>
  <si>
    <t> CERT C++ Secure Coding Section 13 - Object Oriented Programming (OOP) - (881)</t>
  </si>
  <si>
    <t>Category CERT C++ Secure Coding Section 13 - Object Oriented Programming (OOP) - (881)</t>
  </si>
  <si>
    <t> CERT C++ Secure Coding Section 12 - Exceptions and Error Handling (ERR) - (880)</t>
  </si>
  <si>
    <t>Category CERT C++ Secure Coding Section 12 - Exceptions and Error Handling (ERR) - (880)</t>
  </si>
  <si>
    <t> CERT C++ Secure Coding Section 11 - Signals (SIG) - (879)</t>
  </si>
  <si>
    <t>Category CERT C++ Secure Coding Section 11 - Signals (SIG) - (879)</t>
  </si>
  <si>
    <t> CERT C++ Secure Coding Section 10 - Environment (ENV) - (878)</t>
  </si>
  <si>
    <t>Category CERT C++ Secure Coding Section 10 - Environment (ENV) - (878)</t>
  </si>
  <si>
    <t> CERT C++ Secure Coding Section 09 - Input Output (FIO) - (877)</t>
  </si>
  <si>
    <t>Category CERT C++ Secure Coding Section 09 - Input Output (FIO) - (877)</t>
  </si>
  <si>
    <t> CERT C++ Secure Coding Section 08 - Memory Management (MEM) - (876)</t>
  </si>
  <si>
    <t>Category CERT C++ Secure Coding Section 08 - Memory Management (MEM) - (876)</t>
  </si>
  <si>
    <t> CERT C++ Secure Coding Section 07 - Characters and Strings (STR) - (875)</t>
  </si>
  <si>
    <t>Category CERT C++ Secure Coding Section 07 - Characters and Strings (STR) - (875)</t>
  </si>
  <si>
    <t> CERT C++ Secure Coding Section 06 - Arrays and the STL (ARR) - (874)</t>
  </si>
  <si>
    <t>Category CERT C++ Secure Coding Section 06 - Arrays and the STL (ARR) - (874)</t>
  </si>
  <si>
    <t> CERT C++ Secure Coding Section 05 - Floating Point Arithmetic (FLP) - (873)</t>
  </si>
  <si>
    <t>Category CERT C++ Secure Coding Section 05 - Floating Point Arithmetic (FLP) - (873)</t>
  </si>
  <si>
    <t> CERT C++ Secure Coding Section 04 - Integers (INT) - (872)</t>
  </si>
  <si>
    <t>Category CERT C++ Secure Coding Section 04 - Integers (INT) - (872)</t>
  </si>
  <si>
    <t> CERT C++ Secure Coding Section 03 - Expressions (EXP) - (871)</t>
  </si>
  <si>
    <t>Category CERT C++ Secure Coding Section 03 - Expressions (EXP) - (871)</t>
  </si>
  <si>
    <t> CERT C++ Secure Coding Section 02 - Declarations and Initialization (DCL) - (870)</t>
  </si>
  <si>
    <t>Category CERT C++ Secure Coding Section 02 - Declarations and Initialization (DCL) - (870)</t>
  </si>
  <si>
    <t> CERT C++ Secure Coding Section 01 - Preprocessor (PRE) - (869)</t>
  </si>
  <si>
    <t>Category CERT C++ Secure Coding Section 01 - Preprocessor (PRE) - (869)</t>
  </si>
  <si>
    <t> CERT C Secure Coding Section 50 - POSIX (POS) - (748)</t>
  </si>
  <si>
    <t>Category CERT C Secure Coding Section 50 - POSIX (POS) - (748)</t>
  </si>
  <si>
    <t> CERT C Secure Coding Section 49 - Miscellaneous (MSC) - (747)</t>
  </si>
  <si>
    <t>Category CERT C Secure Coding Section 49 - Miscellaneous (MSC) - (747)</t>
  </si>
  <si>
    <t> CERT C Secure Coding Section 12 - Error Handling (ERR) - (746)</t>
  </si>
  <si>
    <t>Category CERT C Secure Coding Section 12 - Error Handling (ERR) - (746)</t>
  </si>
  <si>
    <t> CERT C Secure Coding Section 11 - Signals (SIG) - (745)</t>
  </si>
  <si>
    <t>Category CERT C Secure Coding Section 11 - Signals (SIG) - (745)</t>
  </si>
  <si>
    <t> CERT C Secure Coding Section 10 - Environment (ENV) - (744)</t>
  </si>
  <si>
    <t>Category CERT C Secure Coding Section 10 - Environment (ENV) - (744)</t>
  </si>
  <si>
    <t> CERT C Secure Coding Section 09 - Input Output (FIO) - (743)</t>
  </si>
  <si>
    <t>Category CERT C Secure Coding Section 09 - Input Output (FIO) - (743)</t>
  </si>
  <si>
    <t> CERT C Secure Coding Section 08 - Memory Management (MEM) - (742)</t>
  </si>
  <si>
    <t>Category CERT C Secure Coding Section 08 - Memory Management (MEM) - (742)</t>
  </si>
  <si>
    <t> CERT C Secure Coding Section 07 - Characters and Strings (STR) - (741)</t>
  </si>
  <si>
    <t>Category CERT C Secure Coding Section 07 - Characters and Strings (STR) - (741)</t>
  </si>
  <si>
    <t> CERT C Secure Coding Section 06 - Arrays (ARR) - (740)</t>
  </si>
  <si>
    <t>Category CERT C Secure Coding Section 06 - Arrays (ARR) - (740)</t>
  </si>
  <si>
    <t> CERT C Secure Coding Section 05 - Floating Point (FLP) - (739)</t>
  </si>
  <si>
    <t>Category CERT C Secure Coding Section 05 - Floating Point (FLP) - (739)</t>
  </si>
  <si>
    <t> CERT C Secure Coding Section 04 - Integers (INT) - (738)</t>
  </si>
  <si>
    <t>Category CERT C Secure Coding Section 04 - Integers (INT) - (738)</t>
  </si>
  <si>
    <t> CERT C Secure Coding Section 03 - Expressions (EXP) - (737)</t>
  </si>
  <si>
    <t>Category CERT C Secure Coding Section 03 - Expressions (EXP) - (737)</t>
  </si>
  <si>
    <t> CERT C Secure Coding Section 02 - Declarations and Initialization (DCL) - (736)</t>
  </si>
  <si>
    <t>Category CERT C Secure Coding Section 02 - Declarations and Initialization (DCL) - (736)</t>
  </si>
  <si>
    <t> CERT C Secure Coding Section 01 - Preprocessor (PRE) - (735)</t>
  </si>
  <si>
    <t>Category CERT C Secure Coding Section 01 - Preprocessor (PRE) - (735)</t>
  </si>
  <si>
    <t> Call to Thread run() instead of start() - (572)</t>
  </si>
  <si>
    <t>Weakness Variant Call to Thread run() instead of start() - (572)</t>
  </si>
  <si>
    <t> Call to Non-ubiquitous API - (589)</t>
  </si>
  <si>
    <t>Weakness Variant Call to Non-ubiquitous API - (589)</t>
  </si>
  <si>
    <t> Byte/Object Code - (503)</t>
  </si>
  <si>
    <t>Category Byte/Object Code - (503)</t>
  </si>
  <si>
    <t> Business Logic Errors - (840)</t>
  </si>
  <si>
    <t>Category Business Logic Errors - (840)</t>
  </si>
  <si>
    <t> Buffer Underwrite ('Buffer Underflow') - (124)</t>
  </si>
  <si>
    <t>Weakness Base Buffer Underwrite ('Buffer Underflow') - (124)</t>
  </si>
  <si>
    <t> Buffer Under-read - (127)</t>
  </si>
  <si>
    <t>Weakness Variant Buffer Under-read - (127)</t>
  </si>
  <si>
    <t> Buffer Over-read - (126)</t>
  </si>
  <si>
    <t>Weakness Variant Buffer Over-read - (126)</t>
  </si>
  <si>
    <t> Buffer Copy without Checking Size of Input ('Classic Buffer Overflow') - (120)</t>
  </si>
  <si>
    <t>Weakness Base Buffer Copy without Checking Size of Input ('Classic Buffer Overflow') - (120)</t>
  </si>
  <si>
    <t> Buffer Access with Incorrect Length Value - (805)</t>
  </si>
  <si>
    <t>Weakness Base Buffer Access with Incorrect Length Value - (805)</t>
  </si>
  <si>
    <t> Buffer Access Using Size of Source Buffer - (806)</t>
  </si>
  <si>
    <t>Weakness Variant Buffer Access Using Size of Source Buffer - (806)</t>
  </si>
  <si>
    <t> Behavioral Problems - (438)</t>
  </si>
  <si>
    <t>Category Behavioral Problems - (438)</t>
  </si>
  <si>
    <t> Behavioral Change in New Version or Environment - (439)</t>
  </si>
  <si>
    <t>Weakness Base Behavioral Change in New Version or Environment - (439)</t>
  </si>
  <si>
    <t> Authorization Bypass Through User-Controlled SQL Primary Key - (566)</t>
  </si>
  <si>
    <t>Weakness Variant Authorization Bypass Through User-Controlled SQL Primary Key - (566)</t>
  </si>
  <si>
    <t> Authorization Bypass Through User-Controlled Key - (639)</t>
  </si>
  <si>
    <t>Weakness Base Authorization Bypass Through User-Controlled Key - (639)</t>
  </si>
  <si>
    <t> Authentication Bypass: OpenSSL CTX Object Modified after SSL Objects are Created - (593)</t>
  </si>
  <si>
    <t>Weakness Variant Authentication Bypass: OpenSSL CTX Object Modified after SSL Objects are Created - (593)</t>
  </si>
  <si>
    <t> Authentication Bypass Using an Alternate Path or Channel - (288)</t>
  </si>
  <si>
    <t>Weakness Base Authentication Bypass Using an Alternate Path or Channel - (288)</t>
  </si>
  <si>
    <t> Authentication Bypass Issues - (592)</t>
  </si>
  <si>
    <t>Weakness Class Authentication Bypass Issues - (592)</t>
  </si>
  <si>
    <t> Authentication Bypass by Spoofing - (290)</t>
  </si>
  <si>
    <t>Weakness Base Authentication Bypass by Spoofing - (290)</t>
  </si>
  <si>
    <t> Authentication Bypass by Primary Weakness - (305)</t>
  </si>
  <si>
    <t>Weakness Base Authentication Bypass by Primary Weakness - (305)</t>
  </si>
  <si>
    <t> Authentication Bypass by Capture-replay - (294)</t>
  </si>
  <si>
    <t>Weakness Base Authentication Bypass by Capture-replay - (294)</t>
  </si>
  <si>
    <t> Authentication Bypass by Assumed-Immutable Data - (302)</t>
  </si>
  <si>
    <t>Weakness Variant Authentication Bypass by Assumed-Immutable Data - (302)</t>
  </si>
  <si>
    <t> Authentication Bypass by Alternate Name - (289)</t>
  </si>
  <si>
    <t>Weakness Variant Authentication Bypass by Alternate Name - (289)</t>
  </si>
  <si>
    <t> Attempt to Access Child of a Non-structure Pointer - (588)</t>
  </si>
  <si>
    <t>Weakness Variant Attempt to Access Child of a Non-structure Pointer - (588)</t>
  </si>
  <si>
    <t> Asymmetric Resource Consumption (Amplification) - (405)</t>
  </si>
  <si>
    <t>Weakness Class Asymmetric Resource Consumption (Amplification) - (405)</t>
  </si>
  <si>
    <t> Assignment of a Fixed Address to a Pointer - (587)</t>
  </si>
  <si>
    <t>Weakness Base Assignment of a Fixed Address to a Pointer - (587)</t>
  </si>
  <si>
    <t> Assigning instead of Comparing - (481)</t>
  </si>
  <si>
    <t>Weakness Variant Assigning instead of Comparing - (481)</t>
  </si>
  <si>
    <t> ASP.NET Misconfiguration: Use of Identity Impersonation - (556)</t>
  </si>
  <si>
    <t>Weakness Variant ASP.NET Misconfiguration: Use of Identity Impersonation - (556)</t>
  </si>
  <si>
    <t> ASP.NET Misconfiguration: Password in Configuration File - (13)</t>
  </si>
  <si>
    <t>Weakness Variant ASP.NET Misconfiguration: Password in Configuration File - (13)</t>
  </si>
  <si>
    <t> ASP.NET Misconfiguration: Not Using Input Validation Framework - (554)</t>
  </si>
  <si>
    <t>Weakness Variant ASP.NET Misconfiguration: Not Using Input Validation Framework - (554)</t>
  </si>
  <si>
    <t> ASP.NET Misconfiguration: Missing Custom Error Page - (12)</t>
  </si>
  <si>
    <t>Weakness Variant ASP.NET Misconfiguration: Missing Custom Error Page - (12)</t>
  </si>
  <si>
    <t> ASP.NET Misconfiguration: Creating Debug Binary - (11)</t>
  </si>
  <si>
    <t>Weakness Variant ASP.NET Misconfiguration: Creating Debug Binary - (11)</t>
  </si>
  <si>
    <t> ASP.NET Environment Issues - (10)</t>
  </si>
  <si>
    <t>Category ASP.NET Environment Issues - (10)</t>
  </si>
  <si>
    <t> Array Declared Public, Final, and Static - (582)</t>
  </si>
  <si>
    <t>Weakness Variant Array Declared Public, Final, and Static - (582)</t>
  </si>
  <si>
    <t> Argument Injection or Modification - (88)</t>
  </si>
  <si>
    <t>Weakness Base Argument Injection or Modification - (88)</t>
  </si>
  <si>
    <t> Apple '.DS_Store' - (71)</t>
  </si>
  <si>
    <t>Weakness Variant Apple '.DS_Store' - (71)</t>
  </si>
  <si>
    <t> Always-Incorrect Control Flow Implementation - (670)</t>
  </si>
  <si>
    <t>Weakness Class Always-Incorrect Control Flow Implementation - (670)</t>
  </si>
  <si>
    <t> Allocation of Resources Without Limits or Throttling - (770)</t>
  </si>
  <si>
    <t>Weakness Base Allocation of Resources Without Limits or Throttling - (770)</t>
  </si>
  <si>
    <t> Allocation of File Descriptors or Handles Without Limits or Throttling - (774)</t>
  </si>
  <si>
    <t>Weakness Variant Allocation of File Descriptors or Handles Without Limits or Throttling - (774)</t>
  </si>
  <si>
    <t> Algorithmic Complexity - (407)</t>
  </si>
  <si>
    <t>Weakness Base Algorithmic Complexity - (407)</t>
  </si>
  <si>
    <t> Addition of Data Structure Sentinel - (464)</t>
  </si>
  <si>
    <t>Weakness Base Addition of Data Structure Sentinel - (464)</t>
  </si>
  <si>
    <t> Access to Critical Private Variable via Public Method - (767)</t>
  </si>
  <si>
    <t>Weakness Variant Access to Critical Private Variable via Public Method - (767)</t>
  </si>
  <si>
    <t> Access of Uninitialized Pointer - (824)</t>
  </si>
  <si>
    <t>Weakness Base Access of Uninitialized Pointer - (824)</t>
  </si>
  <si>
    <t> Access of Resource Using Incompatible Type ('Type Confusion') - (843)</t>
  </si>
  <si>
    <t>Weakness Base Access of Resource Using Incompatible Type ('Type Confusion') - (843)</t>
  </si>
  <si>
    <t> Access of Memory Location Before Start of Buffer - (786)</t>
  </si>
  <si>
    <t>Weakness Base Access of Memory Location Before Start of Buffer - (786)</t>
  </si>
  <si>
    <t> Access of Memory Location After End of Buffer - (788)</t>
  </si>
  <si>
    <t>Weakness Base Access of Memory Location After End of Buffer - (788)</t>
  </si>
  <si>
    <t> Acceptance of Extraneous Untrusted Data With Trusted Data - (349)</t>
  </si>
  <si>
    <t>Weakness Base Acceptance of Extraneous Untrusted Data With Trusted Data - (349)</t>
  </si>
  <si>
    <t> Absolute Path Traversal - (36)</t>
  </si>
  <si>
    <t>Weakness Base Absolute Path Traversal - (36)</t>
  </si>
  <si>
    <t> 2011 Top 25 - Weaknesses On the Cusp - (867)</t>
  </si>
  <si>
    <t>Category 2011 Top 25 - Weaknesses On the Cusp - (867)</t>
  </si>
  <si>
    <t> 2011 Top 25 - Risky Resource Management - (865)</t>
  </si>
  <si>
    <t>Category 2011 Top 25 - Risky Resource Management - (865)</t>
  </si>
  <si>
    <t> 2011 Top 25 - Porous Defenses - (866)</t>
  </si>
  <si>
    <t>Category 2011 Top 25 - Porous Defenses - (866)</t>
  </si>
  <si>
    <t>Chain</t>
  </si>
  <si>
    <t> 2011 Top 25 - Insecure Interaction Between Components - (864)</t>
  </si>
  <si>
    <t>Category 2011 Top 25 - Insecure Interaction Between Components - (864)</t>
  </si>
  <si>
    <t>Deprectated</t>
  </si>
  <si>
    <t>Circle-bar</t>
  </si>
  <si>
    <t> 2010 Top 25 - Weaknesses On the Cusp - (808)</t>
  </si>
  <si>
    <t>Category 2010 Top 25 - Weaknesses On the Cusp - (808)</t>
  </si>
  <si>
    <t>Composite</t>
  </si>
  <si>
    <t>Ball Triangle</t>
  </si>
  <si>
    <t> 2010 Top 25 - Risky Resource Management - (802)</t>
  </si>
  <si>
    <t>Category 2010 Top 25 - Risky Resource Management - (802)</t>
  </si>
  <si>
    <t>V (square)</t>
  </si>
  <si>
    <t> 2010 Top 25 - Porous Defenses - (803)</t>
  </si>
  <si>
    <t>Category 2010 Top 25 - Porous Defenses - (803)</t>
  </si>
  <si>
    <t>Varient</t>
  </si>
  <si>
    <t>V (round)</t>
  </si>
  <si>
    <t> 2010 Top 25 - Insecure Interaction Between Components - (801)</t>
  </si>
  <si>
    <t>Category 2010 Top 25 - Insecure Interaction Between Components - (801)</t>
  </si>
  <si>
    <t>Base</t>
  </si>
  <si>
    <t>B (round)</t>
  </si>
  <si>
    <t> 2009 Top 25 - Risky Resource Management - (752)</t>
  </si>
  <si>
    <t>Category 2009 Top 25 - Risky Resource Management - (752)</t>
  </si>
  <si>
    <t>Class</t>
  </si>
  <si>
    <t>C (round)</t>
  </si>
  <si>
    <t> 2009 Top 25 - Porous Defenses - (753)</t>
  </si>
  <si>
    <t>Category 2009 Top 25 - Porous Defenses - (753)</t>
  </si>
  <si>
    <t>C (square)</t>
  </si>
  <si>
    <t> 2009 Top 25 - Insecure Interaction Between Components - (751)</t>
  </si>
  <si>
    <t>Category 2009 Top 25 - Insecure Interaction Between Components - (751)</t>
  </si>
  <si>
    <t>Icon</t>
  </si>
  <si>
    <t>CWE Link</t>
  </si>
  <si>
    <t>CWE Description and #</t>
  </si>
  <si>
    <t>http://cwe.mitre.org/data/lists/2000.html</t>
  </si>
  <si>
    <t>Common Weakness Enumeration (CWE)</t>
  </si>
  <si>
    <t>https://kc.mcafee.com/corporate/index?page=content&amp;id=SB10056
http://cwe.mitre.org/data/definitions/36.html</t>
  </si>
  <si>
    <t>http://nvd.nist.gov/cvss.cfm?calculator&amp;version=2&amp;vector=(AV:L/AC:L/Au:S/C:N/I:P/A:C/E:F/RL:O/RC:C)</t>
  </si>
  <si>
    <t>cve@mitre.org; Adinolfi, Daniel R &lt;dadinolfi@mitre.org&gt;</t>
  </si>
  <si>
    <t>Reformatted CAPEC Description and #</t>
  </si>
  <si>
    <t>CVE ID Status:</t>
  </si>
  <si>
    <t>Toomey, Harold A_4885_Intel Corporation_Windows (32-bit) NT 6.02_HTOOMEY-MOBL_htoomey$$$22122016</t>
  </si>
  <si>
    <t>"$5F&amp;!7223"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</si>
</sst>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lt;=9999999]###\-####;\(###\)\ ###\-####"/>
  </numFmts>
  <fonts count="2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b/>
      <sz val="11"/>
      <name val="Calibri"/>
      <family val="2"/>
      <scheme val="minor"/>
    </font>
    <font>
      <sz val="11"/>
      <color rgb="FFFF0000"/>
      <name val="Calibri"/>
      <family val="2"/>
      <scheme val="minor"/>
    </font>
    <font>
      <sz val="9"/>
      <color indexed="81"/>
      <name val="Tahoma"/>
      <family val="2"/>
    </font>
    <font>
      <b/>
      <sz val="9"/>
      <color indexed="81"/>
      <name val="Tahoma"/>
      <family val="2"/>
    </font>
    <font>
      <b/>
      <sz val="8"/>
      <color rgb="FF32498D"/>
      <name val="Verdana"/>
      <family val="2"/>
    </font>
    <font>
      <sz val="8"/>
      <color rgb="FF32498D"/>
      <name val="Verdana"/>
      <family val="2"/>
    </font>
    <font>
      <u/>
      <sz val="11"/>
      <color theme="10"/>
      <name val="Calibri"/>
      <family val="2"/>
      <scheme val="minor"/>
    </font>
    <font>
      <b/>
      <sz val="14"/>
      <color theme="1"/>
      <name val="Calibri"/>
      <family val="2"/>
      <scheme val="minor"/>
    </font>
    <font>
      <sz val="11"/>
      <name val="Calibri"/>
      <family val="2"/>
      <scheme val="minor"/>
    </font>
    <font>
      <b/>
      <u/>
      <sz val="11"/>
      <color theme="1"/>
      <name val="Calibri"/>
      <family val="2"/>
      <scheme val="minor"/>
    </font>
    <font>
      <sz val="9"/>
      <color theme="1"/>
      <name val="Calibri"/>
      <family val="2"/>
      <scheme val="minor"/>
    </font>
    <font>
      <b/>
      <sz val="18"/>
      <color theme="1"/>
      <name val="Calibri"/>
      <family val="2"/>
      <scheme val="minor"/>
    </font>
    <font>
      <sz val="14"/>
      <color theme="1"/>
      <name val="Calibri"/>
      <family val="2"/>
      <scheme val="minor"/>
    </font>
    <font>
      <sz val="10"/>
      <color theme="1"/>
      <name val="Wingdings"/>
      <charset val="2"/>
    </font>
    <font>
      <sz val="7"/>
      <color theme="1"/>
      <name val="Times New Roman"/>
      <family val="1"/>
    </font>
    <font>
      <sz val="9"/>
      <color theme="1"/>
      <name val="Verdana"/>
      <family val="2"/>
    </font>
    <font>
      <b/>
      <sz val="10"/>
      <color theme="1"/>
      <name val="Verdana"/>
      <family val="2"/>
    </font>
    <font>
      <b/>
      <sz val="7"/>
      <color theme="1"/>
      <name val="Times New Roman"/>
      <family val="1"/>
    </font>
    <font>
      <b/>
      <sz val="13"/>
      <color theme="1"/>
      <name val="Verdana"/>
      <family val="2"/>
    </font>
  </fonts>
  <fills count="12">
    <fill>
      <patternFill patternType="none"/>
    </fill>
    <fill>
      <patternFill patternType="gray125"/>
    </fill>
    <fill>
      <patternFill patternType="solid">
        <fgColor rgb="FF0070C0"/>
        <bgColor indexed="64"/>
      </patternFill>
    </fill>
    <fill>
      <patternFill patternType="solid">
        <fgColor theme="1"/>
        <bgColor indexed="64"/>
      </patternFill>
    </fill>
    <fill>
      <patternFill patternType="solid">
        <fgColor rgb="FFFFFF00"/>
        <bgColor indexed="64"/>
      </patternFill>
    </fill>
    <fill>
      <patternFill patternType="solid">
        <fgColor rgb="FFC00000"/>
        <bgColor indexed="64"/>
      </patternFill>
    </fill>
    <fill>
      <patternFill patternType="solid">
        <fgColor rgb="FF00800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B0F0"/>
        <bgColor indexed="64"/>
      </patternFill>
    </fill>
    <fill>
      <patternFill patternType="solid">
        <fgColor theme="0"/>
        <bgColor indexed="64"/>
      </patternFill>
    </fill>
  </fills>
  <borders count="12">
    <border>
      <left/>
      <right/>
      <top/>
      <bottom/>
      <diagonal/>
    </border>
    <border>
      <left/>
      <right/>
      <top/>
      <bottom style="medium">
        <color rgb="FFEEEEEE"/>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162">
    <xf numFmtId="0" fontId="0" fillId="0" borderId="0" xfId="0"/>
    <xf numFmtId="0" fontId="1" fillId="2" borderId="0" xfId="0" applyFont="1" applyFill="1"/>
    <xf numFmtId="0" fontId="4" fillId="0" borderId="0" xfId="0" applyFont="1"/>
    <xf numFmtId="0" fontId="0" fillId="0" borderId="0" xfId="0" applyAlignment="1">
      <alignment horizontal="center" vertical="center"/>
    </xf>
    <xf numFmtId="0" fontId="4" fillId="3" borderId="0" xfId="0" applyFont="1" applyFill="1"/>
    <xf numFmtId="164" fontId="0" fillId="3" borderId="0" xfId="0" applyNumberFormat="1" applyFill="1"/>
    <xf numFmtId="0" fontId="0" fillId="3" borderId="0" xfId="0" applyFill="1"/>
    <xf numFmtId="0" fontId="0" fillId="0" borderId="0" xfId="0" applyAlignment="1">
      <alignment wrapText="1"/>
    </xf>
    <xf numFmtId="0" fontId="1" fillId="5" borderId="0" xfId="0" applyFont="1" applyFill="1" applyAlignment="1">
      <alignment horizontal="center" vertical="center"/>
    </xf>
    <xf numFmtId="0" fontId="5" fillId="4" borderId="0" xfId="0" applyFont="1" applyFill="1" applyAlignment="1">
      <alignment horizontal="center" vertical="center"/>
    </xf>
    <xf numFmtId="0" fontId="0" fillId="0" borderId="0" xfId="0" applyAlignment="1">
      <alignment horizontal="left" vertical="center"/>
    </xf>
    <xf numFmtId="0" fontId="0" fillId="4" borderId="0" xfId="0" applyFill="1" applyAlignment="1">
      <alignment horizontal="left" vertical="center"/>
    </xf>
    <xf numFmtId="0" fontId="3" fillId="5" borderId="0" xfId="0" applyFont="1" applyFill="1" applyAlignment="1">
      <alignment horizontal="left" vertical="center"/>
    </xf>
    <xf numFmtId="0" fontId="1" fillId="6" borderId="0" xfId="0" applyFont="1" applyFill="1" applyAlignment="1">
      <alignment horizontal="center" vertical="center"/>
    </xf>
    <xf numFmtId="0" fontId="3" fillId="6" borderId="0" xfId="0" applyFont="1" applyFill="1" applyAlignment="1">
      <alignment horizontal="left" vertical="center"/>
    </xf>
    <xf numFmtId="0" fontId="0" fillId="0" borderId="0" xfId="0" applyAlignment="1"/>
    <xf numFmtId="0" fontId="2" fillId="0" borderId="0" xfId="0" applyFont="1" applyAlignment="1">
      <alignment horizontal="left" vertical="center"/>
    </xf>
    <xf numFmtId="0" fontId="0" fillId="0" borderId="0" xfId="0" applyAlignment="1">
      <alignment horizontal="left"/>
    </xf>
    <xf numFmtId="0" fontId="0" fillId="3" borderId="0" xfId="0" applyFill="1" applyAlignment="1">
      <alignment horizontal="left"/>
    </xf>
    <xf numFmtId="0" fontId="0" fillId="0" borderId="0" xfId="0" applyAlignment="1">
      <alignment horizontal="center" vertical="center" wrapText="1"/>
    </xf>
    <xf numFmtId="0" fontId="0" fillId="3" borderId="0" xfId="0" applyFill="1" applyAlignment="1">
      <alignment wrapText="1"/>
    </xf>
    <xf numFmtId="0" fontId="1" fillId="6" borderId="0" xfId="0" applyFont="1" applyFill="1" applyAlignment="1">
      <alignment horizontal="center" vertical="center" wrapText="1"/>
    </xf>
    <xf numFmtId="0" fontId="4" fillId="0" borderId="0" xfId="0" applyFont="1" applyAlignment="1">
      <alignment horizontal="left" vertical="center"/>
    </xf>
    <xf numFmtId="0" fontId="9" fillId="0" borderId="0" xfId="0" applyFont="1" applyAlignment="1">
      <alignment horizontal="left" vertical="center"/>
    </xf>
    <xf numFmtId="0" fontId="11" fillId="0" borderId="0" xfId="1" applyAlignment="1">
      <alignment horizontal="left" vertical="center"/>
    </xf>
    <xf numFmtId="0" fontId="2" fillId="7" borderId="0" xfId="0" applyFont="1" applyFill="1"/>
    <xf numFmtId="0" fontId="0" fillId="3" borderId="0" xfId="0" applyFill="1" applyAlignment="1">
      <alignment horizontal="center" vertical="center"/>
    </xf>
    <xf numFmtId="0" fontId="2" fillId="0" borderId="0" xfId="0" applyFont="1"/>
    <xf numFmtId="0" fontId="0" fillId="0" borderId="0" xfId="0" applyAlignment="1">
      <alignment horizontal="center"/>
    </xf>
    <xf numFmtId="164" fontId="0" fillId="0" borderId="0" xfId="0" applyNumberFormat="1" applyAlignment="1">
      <alignment horizontal="center" vertical="center"/>
    </xf>
    <xf numFmtId="0" fontId="11" fillId="0" borderId="0" xfId="1"/>
    <xf numFmtId="0" fontId="0" fillId="0" borderId="0" xfId="0" applyAlignment="1">
      <alignment vertical="center"/>
    </xf>
    <xf numFmtId="0" fontId="0" fillId="0" borderId="0" xfId="0" applyFill="1"/>
    <xf numFmtId="0" fontId="11" fillId="0" borderId="0" xfId="1" applyAlignment="1">
      <alignment vertical="center"/>
    </xf>
    <xf numFmtId="164" fontId="0" fillId="3" borderId="0" xfId="0" applyNumberFormat="1" applyFill="1" applyAlignment="1">
      <alignment horizontal="center" vertical="center"/>
    </xf>
    <xf numFmtId="0" fontId="0" fillId="0" borderId="0" xfId="0" applyAlignment="1">
      <alignment horizontal="left" indent="2"/>
    </xf>
    <xf numFmtId="0" fontId="0" fillId="0" borderId="0" xfId="0" applyAlignment="1">
      <alignment vertical="center" wrapText="1"/>
    </xf>
    <xf numFmtId="0" fontId="0" fillId="3" borderId="0" xfId="0" applyFill="1" applyAlignment="1">
      <alignment vertical="center" wrapText="1"/>
    </xf>
    <xf numFmtId="0" fontId="0" fillId="0" borderId="0" xfId="0" applyAlignment="1">
      <alignment horizontal="left" vertical="center" wrapText="1"/>
    </xf>
    <xf numFmtId="0" fontId="0" fillId="3" borderId="0" xfId="0" applyFill="1" applyAlignment="1">
      <alignment horizontal="center" vertical="center" wrapText="1"/>
    </xf>
    <xf numFmtId="0" fontId="4" fillId="0" borderId="0" xfId="0" applyFont="1" applyAlignment="1">
      <alignment vertical="center"/>
    </xf>
    <xf numFmtId="164" fontId="0" fillId="0" borderId="0" xfId="0" applyNumberFormat="1" applyAlignment="1">
      <alignment vertical="center"/>
    </xf>
    <xf numFmtId="0" fontId="0" fillId="3" borderId="0" xfId="0" applyFill="1" applyAlignment="1">
      <alignment vertical="center"/>
    </xf>
    <xf numFmtId="1" fontId="4" fillId="0" borderId="0" xfId="0" applyNumberFormat="1" applyFont="1" applyAlignment="1">
      <alignment horizontal="center" vertical="center" wrapText="1"/>
    </xf>
    <xf numFmtId="1" fontId="0" fillId="0" borderId="0" xfId="0" applyNumberFormat="1" applyAlignment="1">
      <alignment horizontal="center" vertical="center" wrapText="1"/>
    </xf>
    <xf numFmtId="1" fontId="0" fillId="3" borderId="0" xfId="0" applyNumberFormat="1" applyFill="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0" fillId="3" borderId="0" xfId="0" applyNumberFormat="1" applyFill="1" applyAlignment="1">
      <alignment horizontal="center" vertical="center" wrapText="1"/>
    </xf>
    <xf numFmtId="0" fontId="15" fillId="0" borderId="0" xfId="0" applyFont="1" applyAlignment="1">
      <alignment horizontal="center" vertical="center" wrapText="1"/>
    </xf>
    <xf numFmtId="0" fontId="2" fillId="0" borderId="0" xfId="0" applyFont="1" applyAlignment="1">
      <alignment horizontal="right"/>
    </xf>
    <xf numFmtId="0" fontId="0" fillId="0" borderId="0" xfId="0" quotePrefix="1" applyAlignment="1">
      <alignment vertical="center" wrapText="1"/>
    </xf>
    <xf numFmtId="0" fontId="0" fillId="4" borderId="0" xfId="0" applyFill="1" applyAlignment="1">
      <alignment vertical="center" wrapText="1"/>
    </xf>
    <xf numFmtId="0" fontId="12" fillId="0" borderId="0" xfId="0" applyFont="1" applyAlignment="1"/>
    <xf numFmtId="0" fontId="12" fillId="0" borderId="0" xfId="0" applyFont="1" applyAlignment="1">
      <alignment horizontal="left"/>
    </xf>
    <xf numFmtId="0" fontId="2" fillId="0" borderId="0" xfId="0" applyFont="1" applyAlignment="1">
      <alignment horizontal="center" vertical="center"/>
    </xf>
    <xf numFmtId="0" fontId="2" fillId="0" borderId="0" xfId="0" applyFont="1" applyAlignment="1">
      <alignment wrapText="1"/>
    </xf>
    <xf numFmtId="1" fontId="0" fillId="0" borderId="0" xfId="0" applyNumberFormat="1"/>
    <xf numFmtId="49" fontId="0" fillId="0" borderId="0" xfId="0" applyNumberFormat="1"/>
    <xf numFmtId="9" fontId="0" fillId="0" borderId="0" xfId="0" applyNumberFormat="1"/>
    <xf numFmtId="2" fontId="0" fillId="0" borderId="0" xfId="0" applyNumberFormat="1"/>
    <xf numFmtId="0" fontId="0" fillId="4" borderId="0" xfId="0" applyFill="1" applyAlignment="1"/>
    <xf numFmtId="0" fontId="0" fillId="4" borderId="0" xfId="0" applyFill="1"/>
    <xf numFmtId="0" fontId="1" fillId="2" borderId="2" xfId="0" applyFont="1" applyFill="1" applyBorder="1" applyAlignment="1">
      <alignment vertical="center"/>
    </xf>
    <xf numFmtId="1" fontId="1" fillId="2" borderId="2"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0" fontId="1" fillId="3" borderId="2" xfId="0" applyFont="1" applyFill="1" applyBorder="1"/>
    <xf numFmtId="0" fontId="5" fillId="4"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6"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2" borderId="2" xfId="0" applyFont="1" applyFill="1" applyBorder="1" applyAlignment="1">
      <alignment vertical="center" wrapText="1"/>
    </xf>
    <xf numFmtId="0" fontId="1" fillId="6" borderId="2" xfId="0" applyFont="1" applyFill="1" applyBorder="1" applyAlignment="1">
      <alignment vertical="center" wrapText="1"/>
    </xf>
    <xf numFmtId="0" fontId="0" fillId="0" borderId="2" xfId="0" applyBorder="1" applyAlignment="1">
      <alignment vertical="center"/>
    </xf>
    <xf numFmtId="1" fontId="0" fillId="0" borderId="2" xfId="0" applyNumberFormat="1" applyBorder="1" applyAlignment="1">
      <alignment horizontal="center" vertical="center" wrapText="1"/>
    </xf>
    <xf numFmtId="0" fontId="0" fillId="3" borderId="2" xfId="0" applyFill="1" applyBorder="1"/>
    <xf numFmtId="0" fontId="0" fillId="0" borderId="2" xfId="0" applyBorder="1" applyAlignment="1">
      <alignment horizontal="center" vertical="center" wrapText="1"/>
    </xf>
    <xf numFmtId="0" fontId="0" fillId="0" borderId="2" xfId="0" applyBorder="1" applyAlignment="1">
      <alignment vertical="center" wrapText="1"/>
    </xf>
    <xf numFmtId="0" fontId="16" fillId="0" borderId="0" xfId="0" applyFont="1" applyAlignment="1"/>
    <xf numFmtId="0" fontId="2" fillId="0" borderId="0" xfId="0" applyFont="1" applyAlignment="1">
      <alignment vertical="center" wrapText="1"/>
    </xf>
    <xf numFmtId="0" fontId="0" fillId="0" borderId="0" xfId="0" applyAlignment="1">
      <alignment horizontal="right" vertical="center" wrapText="1"/>
    </xf>
    <xf numFmtId="0" fontId="14" fillId="0" borderId="0" xfId="0" applyFont="1" applyAlignment="1">
      <alignment horizontal="right" vertical="center" wrapText="1"/>
    </xf>
    <xf numFmtId="0" fontId="14" fillId="0" borderId="0" xfId="0" applyFont="1" applyAlignment="1">
      <alignment vertical="center"/>
    </xf>
    <xf numFmtId="0" fontId="14" fillId="0" borderId="0" xfId="0" applyFont="1" applyAlignment="1">
      <alignment horizontal="right"/>
    </xf>
    <xf numFmtId="0" fontId="14" fillId="0" borderId="0" xfId="0" applyFont="1"/>
    <xf numFmtId="0" fontId="0" fillId="9" borderId="0" xfId="0" applyFill="1" applyAlignment="1">
      <alignment vertical="center" wrapText="1"/>
    </xf>
    <xf numFmtId="0" fontId="0" fillId="0" borderId="0" xfId="0" applyAlignment="1">
      <alignment vertical="top" wrapText="1"/>
    </xf>
    <xf numFmtId="0" fontId="1" fillId="3" borderId="0" xfId="0" applyFont="1" applyFill="1" applyAlignment="1">
      <alignment horizontal="center" vertical="center"/>
    </xf>
    <xf numFmtId="0" fontId="0" fillId="3" borderId="0" xfId="0" applyFill="1" applyAlignment="1">
      <alignment horizontal="left" vertical="center"/>
    </xf>
    <xf numFmtId="0" fontId="3" fillId="5" borderId="0" xfId="0" applyFont="1" applyFill="1" applyAlignment="1">
      <alignment horizontal="center" vertical="center"/>
    </xf>
    <xf numFmtId="0" fontId="3" fillId="2" borderId="0" xfId="0" applyFont="1" applyFill="1" applyAlignment="1">
      <alignment horizontal="center" vertical="center"/>
    </xf>
    <xf numFmtId="0" fontId="2" fillId="10" borderId="0" xfId="0" applyFont="1" applyFill="1" applyAlignment="1">
      <alignment horizontal="center" vertical="center" wrapText="1"/>
    </xf>
    <xf numFmtId="164" fontId="4" fillId="0" borderId="0" xfId="0" applyNumberFormat="1" applyFont="1" applyAlignment="1">
      <alignment horizontal="left" vertical="center"/>
    </xf>
    <xf numFmtId="164" fontId="0" fillId="0" borderId="0" xfId="0" applyNumberFormat="1" applyAlignment="1">
      <alignment horizontal="left" vertical="center"/>
    </xf>
    <xf numFmtId="164" fontId="2" fillId="10" borderId="0" xfId="0" applyNumberFormat="1" applyFont="1" applyFill="1" applyAlignment="1">
      <alignment horizontal="center" vertical="center" wrapText="1"/>
    </xf>
    <xf numFmtId="164" fontId="0" fillId="0" borderId="0" xfId="0" applyNumberFormat="1" applyFont="1" applyAlignment="1">
      <alignment horizontal="left" vertical="center"/>
    </xf>
    <xf numFmtId="0" fontId="2" fillId="0" borderId="0" xfId="0" applyFont="1" applyAlignment="1">
      <alignment vertical="center"/>
    </xf>
    <xf numFmtId="46" fontId="12" fillId="0" borderId="0" xfId="0" quotePrefix="1" applyNumberFormat="1" applyFont="1" applyAlignment="1">
      <alignment horizontal="left" vertical="center"/>
    </xf>
    <xf numFmtId="0" fontId="17" fillId="0" borderId="0" xfId="0" applyFont="1" applyAlignment="1">
      <alignment horizontal="left" vertical="center"/>
    </xf>
    <xf numFmtId="0" fontId="17" fillId="0" borderId="0" xfId="0" applyFont="1" applyAlignment="1">
      <alignment horizontal="center" vertical="center"/>
    </xf>
    <xf numFmtId="0" fontId="17" fillId="3" borderId="0" xfId="0" applyFont="1" applyFill="1"/>
    <xf numFmtId="0" fontId="17" fillId="0" borderId="0" xfId="0" applyFont="1"/>
    <xf numFmtId="46" fontId="0" fillId="0" borderId="0" xfId="0" applyNumberFormat="1"/>
    <xf numFmtId="49" fontId="0" fillId="0" borderId="2" xfId="0" applyNumberFormat="1" applyBorder="1" applyAlignment="1">
      <alignment vertical="center"/>
    </xf>
    <xf numFmtId="0" fontId="0" fillId="0" borderId="2" xfId="0" applyFill="1" applyBorder="1" applyAlignment="1">
      <alignment vertical="center"/>
    </xf>
    <xf numFmtId="49" fontId="13" fillId="0" borderId="2" xfId="0" applyNumberFormat="1" applyFont="1" applyBorder="1" applyAlignment="1">
      <alignment horizontal="center" vertical="center" wrapText="1"/>
    </xf>
    <xf numFmtId="0" fontId="17" fillId="0" borderId="0" xfId="0" quotePrefix="1" applyFont="1" applyAlignment="1">
      <alignment horizontal="center" vertical="center"/>
    </xf>
    <xf numFmtId="49" fontId="0" fillId="0" borderId="2" xfId="0" applyNumberFormat="1" applyBorder="1" applyAlignment="1">
      <alignment horizontal="center" vertical="center" wrapText="1"/>
    </xf>
    <xf numFmtId="0" fontId="0" fillId="4" borderId="2" xfId="0" applyFill="1" applyBorder="1" applyAlignment="1">
      <alignment vertical="center"/>
    </xf>
    <xf numFmtId="49" fontId="13" fillId="4" borderId="2" xfId="0" applyNumberFormat="1" applyFont="1" applyFill="1" applyBorder="1" applyAlignment="1">
      <alignment horizontal="center" vertical="center" wrapText="1"/>
    </xf>
    <xf numFmtId="0" fontId="0" fillId="0" borderId="2" xfId="0" applyFill="1" applyBorder="1" applyAlignment="1">
      <alignment vertical="center" wrapText="1"/>
    </xf>
    <xf numFmtId="49" fontId="0" fillId="0" borderId="0" xfId="0" applyNumberFormat="1" applyAlignment="1">
      <alignment horizontal="left" vertical="center" wrapText="1"/>
    </xf>
    <xf numFmtId="164" fontId="0" fillId="0" borderId="0" xfId="0" applyNumberFormat="1" applyAlignment="1">
      <alignment horizontal="left"/>
    </xf>
    <xf numFmtId="0" fontId="0" fillId="8" borderId="2" xfId="0" applyFill="1" applyBorder="1" applyAlignment="1">
      <alignment vertical="center" wrapText="1"/>
    </xf>
    <xf numFmtId="0" fontId="2" fillId="0" borderId="5" xfId="0" applyFont="1" applyBorder="1" applyAlignment="1">
      <alignment horizontal="right" vertical="center"/>
    </xf>
    <xf numFmtId="0" fontId="0" fillId="0" borderId="2" xfId="0" applyFill="1" applyBorder="1" applyAlignment="1">
      <alignment horizontal="center" vertical="center" wrapText="1"/>
    </xf>
    <xf numFmtId="0" fontId="0" fillId="9" borderId="2" xfId="0" applyFill="1" applyBorder="1" applyAlignment="1">
      <alignment horizontal="center" vertical="center" wrapText="1"/>
    </xf>
    <xf numFmtId="1" fontId="0" fillId="0" borderId="2" xfId="0" applyNumberFormat="1" applyFill="1" applyBorder="1" applyAlignment="1">
      <alignment horizontal="center" vertical="center" wrapText="1"/>
    </xf>
    <xf numFmtId="49" fontId="13" fillId="0" borderId="2" xfId="0" applyNumberFormat="1" applyFont="1" applyFill="1" applyBorder="1" applyAlignment="1">
      <alignment horizontal="center" vertical="center" wrapText="1"/>
    </xf>
    <xf numFmtId="0" fontId="0" fillId="8" borderId="0" xfId="0" applyFill="1" applyAlignment="1">
      <alignment horizontal="left" vertical="center"/>
    </xf>
    <xf numFmtId="0" fontId="4" fillId="0" borderId="0" xfId="0" applyFont="1" applyBorder="1" applyAlignment="1">
      <alignment horizontal="center" vertical="center"/>
    </xf>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right" vertical="center"/>
    </xf>
    <xf numFmtId="0" fontId="2" fillId="0" borderId="3" xfId="0" applyFont="1" applyBorder="1" applyAlignment="1">
      <alignment horizontal="right" vertical="center"/>
    </xf>
    <xf numFmtId="0" fontId="2" fillId="0" borderId="7" xfId="0" applyFont="1" applyBorder="1" applyAlignment="1">
      <alignment horizontal="right" vertical="center"/>
    </xf>
    <xf numFmtId="0" fontId="1" fillId="2" borderId="2" xfId="0" applyFont="1" applyFill="1" applyBorder="1" applyAlignment="1">
      <alignment horizontal="center" vertical="center"/>
    </xf>
    <xf numFmtId="0" fontId="0" fillId="3" borderId="2" xfId="0" applyFill="1" applyBorder="1" applyAlignment="1">
      <alignment horizontal="left" vertical="center" wrapText="1"/>
    </xf>
    <xf numFmtId="0" fontId="0" fillId="0" borderId="2" xfId="0" applyBorder="1" applyAlignment="1">
      <alignment horizontal="left" vertical="center" wrapText="1"/>
    </xf>
    <xf numFmtId="0" fontId="0" fillId="0" borderId="2" xfId="0" applyFill="1" applyBorder="1" applyAlignment="1">
      <alignment horizontal="left" vertical="center" wrapText="1"/>
    </xf>
    <xf numFmtId="0" fontId="0" fillId="0" borderId="2" xfId="0" applyBorder="1" applyAlignment="1">
      <alignment horizontal="left" vertical="center"/>
    </xf>
    <xf numFmtId="0" fontId="0" fillId="4" borderId="2" xfId="0" applyFill="1" applyBorder="1" applyAlignment="1">
      <alignment horizontal="left" vertical="center" wrapText="1"/>
    </xf>
    <xf numFmtId="0" fontId="18" fillId="0" borderId="0" xfId="0" applyFont="1" applyAlignment="1">
      <alignment horizontal="left" vertical="center" indent="10"/>
    </xf>
    <xf numFmtId="0" fontId="20" fillId="0" borderId="0" xfId="0" applyFont="1" applyAlignment="1">
      <alignment horizontal="left" vertical="center" indent="6"/>
    </xf>
    <xf numFmtId="0" fontId="21" fillId="0" borderId="0" xfId="0" applyFont="1" applyAlignment="1">
      <alignment horizontal="left" vertical="center" indent="6"/>
    </xf>
    <xf numFmtId="0" fontId="20" fillId="0" borderId="0" xfId="0" applyFont="1" applyAlignment="1">
      <alignment vertical="center" wrapText="1"/>
    </xf>
    <xf numFmtId="0" fontId="23" fillId="0" borderId="0" xfId="0" applyFont="1" applyAlignment="1">
      <alignment vertical="center"/>
    </xf>
    <xf numFmtId="0" fontId="11" fillId="0" borderId="0" xfId="1" applyBorder="1" applyAlignment="1">
      <alignment vertical="center" wrapText="1"/>
    </xf>
    <xf numFmtId="0" fontId="11" fillId="0" borderId="1" xfId="1" applyBorder="1" applyAlignment="1">
      <alignment vertical="center" wrapText="1"/>
    </xf>
    <xf numFmtId="0" fontId="9" fillId="0" borderId="0" xfId="0" applyFont="1"/>
    <xf numFmtId="165" fontId="2" fillId="7" borderId="0" xfId="0" applyNumberFormat="1" applyFont="1" applyFill="1"/>
    <xf numFmtId="0" fontId="9" fillId="0" borderId="0" xfId="0" applyFont="1" applyAlignment="1">
      <alignment vertical="center"/>
    </xf>
    <xf numFmtId="0" fontId="0" fillId="3" borderId="11" xfId="0" applyFill="1" applyBorder="1"/>
    <xf numFmtId="0" fontId="0" fillId="3" borderId="2" xfId="0" applyFill="1" applyBorder="1" applyAlignment="1">
      <alignment horizontal="left" vertical="center"/>
    </xf>
    <xf numFmtId="0" fontId="0" fillId="11" borderId="2" xfId="0" applyFill="1" applyBorder="1" applyAlignment="1">
      <alignment horizontal="left" vertical="center" wrapText="1"/>
    </xf>
    <xf numFmtId="0" fontId="0" fillId="4" borderId="2" xfId="0" applyFill="1" applyBorder="1" applyAlignment="1">
      <alignment horizontal="left" vertical="center"/>
    </xf>
    <xf numFmtId="0" fontId="0" fillId="11" borderId="2" xfId="0" applyFill="1" applyBorder="1" applyAlignment="1">
      <alignment horizontal="left" vertical="center"/>
    </xf>
    <xf numFmtId="0" fontId="0" fillId="8" borderId="2" xfId="0" applyFill="1" applyBorder="1" applyAlignment="1">
      <alignment horizontal="left" vertical="center"/>
    </xf>
    <xf numFmtId="0" fontId="2" fillId="7" borderId="2" xfId="0" applyFont="1" applyFill="1" applyBorder="1" applyAlignment="1">
      <alignment horizontal="left" vertical="center"/>
    </xf>
    <xf numFmtId="0" fontId="0" fillId="8" borderId="2" xfId="0" applyFill="1" applyBorder="1"/>
    <xf numFmtId="0" fontId="11" fillId="0" borderId="2" xfId="1"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6" xfId="0" applyBorder="1" applyAlignment="1">
      <alignment vertical="center" wrapText="1"/>
    </xf>
    <xf numFmtId="0" fontId="0" fillId="0" borderId="6" xfId="0" applyBorder="1" applyAlignment="1">
      <alignment vertical="center"/>
    </xf>
    <xf numFmtId="0" fontId="0" fillId="0" borderId="9" xfId="0" applyBorder="1" applyAlignment="1">
      <alignment horizontal="left" vertical="center" wrapText="1"/>
    </xf>
    <xf numFmtId="0" fontId="0" fillId="0" borderId="9" xfId="0" applyBorder="1" applyAlignment="1">
      <alignment vertical="center" wrapText="1"/>
    </xf>
    <xf numFmtId="0" fontId="0" fillId="0" borderId="4" xfId="0" applyBorder="1" applyAlignment="1">
      <alignment vertical="center"/>
    </xf>
    <xf numFmtId="0" fontId="0" fillId="0" borderId="10" xfId="0" applyBorder="1" applyAlignment="1">
      <alignment horizontal="left" vertical="center" wrapText="1"/>
    </xf>
    <xf numFmtId="0" fontId="0" fillId="0" borderId="10" xfId="0" applyBorder="1" applyAlignment="1">
      <alignment vertical="center" wrapText="1"/>
    </xf>
    <xf numFmtId="0" fontId="0" fillId="0" borderId="8" xfId="0" applyBorder="1" applyAlignment="1">
      <alignment vertical="center"/>
    </xf>
  </cellXfs>
  <cellStyles count="2">
    <cellStyle name="Hyperlink" xfId="1" builtinId="8"/>
    <cellStyle name="Normal" xfId="0" builtinId="0"/>
  </cellStyles>
  <dxfs count="205">
    <dxf>
      <fill>
        <patternFill>
          <bgColor theme="0"/>
        </patternFill>
      </fill>
    </dxf>
    <dxf>
      <font>
        <color auto="1"/>
      </font>
      <fill>
        <patternFill>
          <bgColor rgb="FFFFFF00"/>
        </patternFill>
      </fill>
    </dxf>
    <dxf>
      <fill>
        <patternFill>
          <bgColor rgb="FF00B050"/>
        </patternFill>
      </fill>
    </dxf>
    <dxf>
      <font>
        <color auto="1"/>
      </font>
      <fill>
        <patternFill>
          <bgColor rgb="FF00B050"/>
        </patternFill>
      </fill>
    </dxf>
    <dxf>
      <font>
        <color theme="0"/>
      </font>
      <fill>
        <patternFill>
          <bgColor rgb="FFC00000"/>
        </patternFill>
      </fill>
    </dxf>
    <dxf>
      <font>
        <color auto="1"/>
      </font>
      <fill>
        <patternFill>
          <bgColor theme="0" tint="-0.34998626667073579"/>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color theme="0"/>
      </font>
      <fill>
        <patternFill>
          <bgColor rgb="FF00B050"/>
        </patternFill>
      </fill>
    </dxf>
    <dxf>
      <fill>
        <patternFill>
          <bgColor theme="0" tint="-0.24994659260841701"/>
        </patternFill>
      </fill>
    </dxf>
    <dxf>
      <fill>
        <patternFill>
          <bgColor theme="0" tint="-0.24994659260841701"/>
        </patternFill>
      </fill>
    </dxf>
    <dxf>
      <fill>
        <patternFill>
          <bgColor rgb="FFFFFF00"/>
        </patternFill>
      </fill>
    </dxf>
    <dxf>
      <fill>
        <patternFill>
          <bgColor theme="0" tint="-0.24994659260841701"/>
        </patternFill>
      </fill>
    </dxf>
    <dxf>
      <fill>
        <patternFill>
          <bgColor theme="0" tint="-0.24994659260841701"/>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ill>
        <patternFill>
          <bgColor rgb="FFFFFF00"/>
        </patternFill>
      </fill>
    </dxf>
    <dxf>
      <fill>
        <patternFill>
          <bgColor theme="0" tint="-0.24994659260841701"/>
        </patternFill>
      </fill>
    </dxf>
    <dxf>
      <fill>
        <patternFill>
          <bgColor theme="0" tint="-0.24994659260841701"/>
        </patternFill>
      </fill>
    </dxf>
    <dxf>
      <fill>
        <patternFill>
          <bgColor theme="0"/>
        </patternFill>
      </fill>
    </dxf>
    <dxf>
      <font>
        <color auto="1"/>
      </font>
      <fill>
        <patternFill>
          <bgColor rgb="FFFFFF00"/>
        </patternFill>
      </fill>
    </dxf>
    <dxf>
      <fill>
        <patternFill>
          <bgColor rgb="FF00B050"/>
        </patternFill>
      </fill>
    </dxf>
    <dxf>
      <fill>
        <patternFill>
          <bgColor theme="0"/>
        </patternFill>
      </fill>
    </dxf>
    <dxf>
      <font>
        <color auto="1"/>
      </font>
      <fill>
        <patternFill>
          <bgColor rgb="FFFFFF00"/>
        </patternFill>
      </fill>
    </dxf>
    <dxf>
      <fill>
        <patternFill>
          <bgColor rgb="FF00B050"/>
        </patternFill>
      </fill>
    </dxf>
    <dxf>
      <fill>
        <patternFill>
          <bgColor theme="0"/>
        </patternFill>
      </fill>
    </dxf>
    <dxf>
      <font>
        <color auto="1"/>
      </font>
      <fill>
        <patternFill>
          <bgColor rgb="FFFFFF00"/>
        </patternFill>
      </fill>
    </dxf>
    <dxf>
      <fill>
        <patternFill>
          <bgColor rgb="FF00B050"/>
        </patternFill>
      </fill>
    </dxf>
    <dxf>
      <fill>
        <patternFill>
          <bgColor theme="0"/>
        </patternFill>
      </fill>
    </dxf>
    <dxf>
      <font>
        <color auto="1"/>
      </font>
      <fill>
        <patternFill>
          <bgColor rgb="FFFFFF00"/>
        </patternFill>
      </fill>
    </dxf>
    <dxf>
      <fill>
        <patternFill>
          <bgColor rgb="FF00B050"/>
        </patternFill>
      </fill>
    </dxf>
    <dxf>
      <fill>
        <patternFill>
          <bgColor theme="0"/>
        </patternFill>
      </fill>
    </dxf>
    <dxf>
      <font>
        <color auto="1"/>
      </font>
      <fill>
        <patternFill>
          <bgColor rgb="FFFFFF00"/>
        </patternFill>
      </fill>
    </dxf>
    <dxf>
      <fill>
        <patternFill>
          <bgColor rgb="FF00B050"/>
        </patternFill>
      </fill>
    </dxf>
    <dxf>
      <fill>
        <patternFill>
          <bgColor theme="0"/>
        </patternFill>
      </fill>
    </dxf>
    <dxf>
      <font>
        <color auto="1"/>
      </font>
      <fill>
        <patternFill>
          <bgColor rgb="FFFFFF00"/>
        </patternFill>
      </fill>
    </dxf>
    <dxf>
      <fill>
        <patternFill>
          <bgColor rgb="FF00B050"/>
        </patternFill>
      </fill>
    </dxf>
    <dxf>
      <fill>
        <patternFill>
          <bgColor theme="0"/>
        </patternFill>
      </fill>
    </dxf>
    <dxf>
      <font>
        <color auto="1"/>
      </font>
      <fill>
        <patternFill>
          <bgColor rgb="FFFFFF00"/>
        </patternFill>
      </fill>
    </dxf>
    <dxf>
      <fill>
        <patternFill>
          <bgColor rgb="FF00B050"/>
        </patternFill>
      </fill>
    </dxf>
    <dxf>
      <fill>
        <patternFill>
          <bgColor theme="0"/>
        </patternFill>
      </fill>
    </dxf>
    <dxf>
      <font>
        <color auto="1"/>
      </font>
      <fill>
        <patternFill>
          <bgColor rgb="FFFFFF00"/>
        </patternFill>
      </fill>
    </dxf>
    <dxf>
      <fill>
        <patternFill>
          <bgColor rgb="FF00B050"/>
        </patternFill>
      </fill>
    </dxf>
    <dxf>
      <font>
        <color auto="1"/>
      </font>
      <fill>
        <patternFill>
          <bgColor rgb="FF00B050"/>
        </patternFill>
      </fill>
    </dxf>
    <dxf>
      <font>
        <color theme="0"/>
      </font>
      <fill>
        <patternFill>
          <bgColor rgb="FFC00000"/>
        </patternFill>
      </fill>
    </dxf>
    <dxf>
      <font>
        <color auto="1"/>
      </font>
      <fill>
        <patternFill>
          <bgColor theme="0" tint="-0.34998626667073579"/>
        </patternFill>
      </fill>
    </dxf>
    <dxf>
      <fill>
        <patternFill>
          <bgColor rgb="FFFFFF00"/>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ont>
        <color theme="0"/>
      </font>
      <fill>
        <patternFill>
          <bgColor rgb="FFC00000"/>
        </patternFill>
      </fill>
    </dxf>
    <dxf>
      <font>
        <color auto="1"/>
      </font>
      <fill>
        <patternFill>
          <bgColor theme="0" tint="-0.34998626667073579"/>
        </patternFill>
      </fill>
    </dxf>
    <dxf>
      <fill>
        <patternFill>
          <bgColor rgb="FFFFFF00"/>
        </patternFill>
      </fill>
    </dxf>
    <dxf>
      <fill>
        <patternFill>
          <bgColor theme="0" tint="-0.24994659260841701"/>
        </patternFill>
      </fill>
    </dxf>
    <dxf>
      <fill>
        <patternFill>
          <bgColor theme="0" tint="-0.24994659260841701"/>
        </patternFill>
      </fill>
    </dxf>
    <dxf>
      <font>
        <color auto="1"/>
      </font>
      <fill>
        <patternFill>
          <bgColor rgb="FF00B050"/>
        </patternFill>
      </fill>
    </dxf>
    <dxf>
      <font>
        <color theme="0"/>
      </font>
      <fill>
        <patternFill>
          <bgColor rgb="FFC00000"/>
        </patternFill>
      </fill>
    </dxf>
    <dxf>
      <font>
        <color auto="1"/>
      </font>
      <fill>
        <patternFill>
          <bgColor theme="0" tint="-0.34998626667073579"/>
        </patternFill>
      </fill>
    </dxf>
    <dxf>
      <fill>
        <patternFill>
          <bgColor theme="0" tint="-0.24994659260841701"/>
        </patternFill>
      </fill>
    </dxf>
    <dxf>
      <font>
        <color theme="0"/>
      </font>
      <fill>
        <patternFill>
          <bgColor rgb="FFC00000"/>
        </patternFill>
      </fill>
    </dxf>
    <dxf>
      <font>
        <color theme="0"/>
      </font>
      <fill>
        <patternFill>
          <bgColor rgb="FF00B050"/>
        </patternFill>
      </fill>
    </dxf>
    <dxf>
      <fill>
        <patternFill>
          <bgColor rgb="FFFFFF00"/>
        </patternFill>
      </fill>
    </dxf>
    <dxf>
      <fill>
        <patternFill>
          <bgColor theme="0" tint="-0.24994659260841701"/>
        </patternFill>
      </fill>
    </dxf>
    <dxf>
      <font>
        <color auto="1"/>
      </font>
      <fill>
        <patternFill>
          <bgColor rgb="FF00B050"/>
        </patternFill>
      </fill>
    </dxf>
    <dxf>
      <font>
        <color theme="0"/>
      </font>
      <fill>
        <patternFill>
          <bgColor rgb="FFC00000"/>
        </patternFill>
      </fill>
    </dxf>
    <dxf>
      <font>
        <color auto="1"/>
      </font>
      <fill>
        <patternFill>
          <bgColor theme="0" tint="-0.34998626667073579"/>
        </patternFill>
      </fill>
    </dxf>
    <dxf>
      <fill>
        <patternFill>
          <bgColor rgb="FFFFFF00"/>
        </patternFill>
      </fill>
    </dxf>
    <dxf>
      <fill>
        <patternFill>
          <bgColor theme="0" tint="-0.24994659260841701"/>
        </patternFill>
      </fill>
    </dxf>
    <dxf>
      <fill>
        <patternFill>
          <bgColor theme="0" tint="-0.24994659260841701"/>
        </patternFill>
      </fill>
    </dxf>
    <dxf>
      <font>
        <color auto="1"/>
      </font>
      <fill>
        <patternFill>
          <bgColor rgb="FF00B050"/>
        </patternFill>
      </fill>
    </dxf>
    <dxf>
      <font>
        <color theme="0"/>
      </font>
      <fill>
        <patternFill>
          <bgColor rgb="FFC00000"/>
        </patternFill>
      </fill>
    </dxf>
    <dxf>
      <font>
        <color auto="1"/>
      </font>
      <fill>
        <patternFill>
          <bgColor theme="0" tint="-0.34998626667073579"/>
        </patternFill>
      </fill>
    </dxf>
    <dxf>
      <fill>
        <patternFill>
          <bgColor rgb="FFFFFF00"/>
        </patternFill>
      </fill>
    </dxf>
    <dxf>
      <fill>
        <patternFill>
          <bgColor theme="0" tint="-0.24994659260841701"/>
        </patternFill>
      </fill>
    </dxf>
    <dxf>
      <fill>
        <patternFill>
          <bgColor theme="0" tint="-0.24994659260841701"/>
        </patternFill>
      </fill>
    </dxf>
    <dxf>
      <font>
        <color auto="1"/>
      </font>
      <fill>
        <patternFill>
          <bgColor rgb="FF00B050"/>
        </patternFill>
      </fill>
    </dxf>
    <dxf>
      <font>
        <color theme="0"/>
      </font>
      <fill>
        <patternFill>
          <bgColor rgb="FFC00000"/>
        </patternFill>
      </fill>
    </dxf>
    <dxf>
      <font>
        <color auto="1"/>
      </font>
      <fill>
        <patternFill>
          <bgColor theme="0" tint="-0.34998626667073579"/>
        </patternFill>
      </fill>
    </dxf>
    <dxf>
      <fill>
        <patternFill>
          <bgColor theme="0" tint="-0.24994659260841701"/>
        </patternFill>
      </fill>
    </dxf>
    <dxf>
      <font>
        <color theme="0"/>
      </font>
      <fill>
        <patternFill>
          <bgColor rgb="FFC00000"/>
        </patternFill>
      </fill>
    </dxf>
    <dxf>
      <font>
        <color theme="0"/>
      </font>
      <fill>
        <patternFill>
          <bgColor rgb="FF00B050"/>
        </patternFill>
      </fill>
    </dxf>
    <dxf>
      <fill>
        <patternFill>
          <bgColor rgb="FFFFFF00"/>
        </patternFill>
      </fill>
    </dxf>
    <dxf>
      <fill>
        <patternFill>
          <bgColor theme="0" tint="-0.24994659260841701"/>
        </patternFill>
      </fill>
    </dxf>
    <dxf>
      <font>
        <color auto="1"/>
      </font>
      <fill>
        <patternFill>
          <bgColor rgb="FF00B050"/>
        </patternFill>
      </fill>
    </dxf>
    <dxf>
      <font>
        <color theme="0"/>
      </font>
      <fill>
        <patternFill>
          <bgColor rgb="FFC00000"/>
        </patternFill>
      </fill>
    </dxf>
    <dxf>
      <font>
        <color auto="1"/>
      </font>
      <fill>
        <patternFill>
          <bgColor theme="0" tint="-0.34998626667073579"/>
        </patternFill>
      </fill>
    </dxf>
    <dxf>
      <font>
        <color theme="0"/>
      </font>
      <fill>
        <patternFill>
          <bgColor rgb="FFC00000"/>
        </patternFill>
      </fill>
    </dxf>
    <dxf>
      <fill>
        <patternFill>
          <bgColor rgb="FFFFFF00"/>
        </patternFill>
      </fill>
    </dxf>
    <dxf>
      <fill>
        <patternFill>
          <bgColor theme="0" tint="-0.24994659260841701"/>
        </patternFill>
      </fill>
    </dxf>
    <dxf>
      <fill>
        <patternFill>
          <bgColor theme="0" tint="-0.24994659260841701"/>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lor theme="0"/>
      </font>
      <fill>
        <patternFill>
          <bgColor rgb="FFC00000"/>
        </patternFill>
      </fill>
    </dxf>
    <dxf>
      <font>
        <color auto="1"/>
      </font>
      <fill>
        <patternFill>
          <bgColor rgb="FF00B050"/>
        </patternFill>
      </fill>
    </dxf>
    <dxf>
      <fill>
        <patternFill>
          <bgColor rgb="FFFFFF00"/>
        </patternFill>
      </fill>
    </dxf>
    <dxf>
      <fill>
        <patternFill>
          <bgColor theme="0" tint="-0.24994659260841701"/>
        </patternFill>
      </fill>
    </dxf>
    <dxf>
      <fill>
        <patternFill>
          <bgColor theme="0" tint="-0.24994659260841701"/>
        </patternFill>
      </fill>
    </dxf>
    <dxf>
      <font>
        <color theme="0"/>
      </font>
      <fill>
        <patternFill>
          <bgColor rgb="FFC00000"/>
        </patternFill>
      </fill>
    </dxf>
    <dxf>
      <font>
        <color auto="1"/>
      </font>
      <fill>
        <patternFill>
          <bgColor rgb="FF00B050"/>
        </patternFill>
      </fill>
    </dxf>
    <dxf>
      <fill>
        <patternFill>
          <bgColor rgb="FFFFFF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ont>
        <color theme="0"/>
      </font>
      <fill>
        <patternFill>
          <bgColor rgb="FFC00000"/>
        </patternFill>
      </fill>
    </dxf>
    <dxf>
      <font>
        <color theme="0"/>
      </font>
      <fill>
        <patternFill>
          <bgColor rgb="FF00B050"/>
        </patternFill>
      </fill>
    </dxf>
    <dxf>
      <fill>
        <patternFill>
          <bgColor rgb="FFFFFF00"/>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font>
      <fill>
        <patternFill>
          <bgColor rgb="FFC00000"/>
        </patternFill>
      </fill>
    </dxf>
    <dxf>
      <font>
        <color theme="0"/>
      </font>
      <fill>
        <patternFill>
          <bgColor rgb="FF00B050"/>
        </patternFill>
      </fill>
    </dxf>
    <dxf>
      <fill>
        <patternFill>
          <bgColor theme="0" tint="-0.24994659260841701"/>
        </patternFill>
      </fill>
    </dxf>
    <dxf>
      <fill>
        <patternFill>
          <bgColor rgb="FFFFFF00"/>
        </patternFill>
      </fill>
    </dxf>
    <dxf>
      <font>
        <color theme="0"/>
      </font>
      <fill>
        <patternFill>
          <bgColor rgb="FFC00000"/>
        </patternFill>
      </fill>
    </dxf>
    <dxf>
      <font>
        <color theme="0"/>
      </font>
      <fill>
        <patternFill>
          <bgColor rgb="FF00B050"/>
        </patternFill>
      </fill>
    </dxf>
    <dxf>
      <fill>
        <patternFill>
          <bgColor theme="0" tint="-0.24994659260841701"/>
        </patternFill>
      </fill>
    </dxf>
    <dxf>
      <fill>
        <patternFill>
          <bgColor rgb="FFFFFF00"/>
        </patternFill>
      </fill>
    </dxf>
    <dxf>
      <font>
        <color theme="0"/>
      </font>
      <fill>
        <patternFill>
          <bgColor rgb="FFC00000"/>
        </patternFill>
      </fill>
    </dxf>
    <dxf>
      <font>
        <color theme="0"/>
      </font>
      <fill>
        <patternFill>
          <bgColor rgb="FF00B050"/>
        </patternFill>
      </fill>
    </dxf>
    <dxf>
      <fill>
        <patternFill>
          <bgColor theme="0" tint="-0.24994659260841701"/>
        </patternFill>
      </fill>
    </dxf>
    <dxf>
      <font>
        <color theme="0"/>
      </font>
      <fill>
        <patternFill>
          <bgColor rgb="FFC00000"/>
        </patternFill>
      </fill>
    </dxf>
    <dxf>
      <font>
        <color theme="0"/>
      </font>
      <fill>
        <patternFill>
          <bgColor rgb="FF00B050"/>
        </patternFill>
      </fill>
    </dxf>
    <dxf>
      <fill>
        <patternFill>
          <bgColor rgb="FFFFFF00"/>
        </patternFill>
      </fill>
    </dxf>
    <dxf>
      <fill>
        <patternFill>
          <bgColor theme="0" tint="-0.24994659260841701"/>
        </patternFill>
      </fill>
    </dxf>
    <dxf>
      <font>
        <color theme="0"/>
      </font>
      <fill>
        <patternFill>
          <bgColor rgb="FFC00000"/>
        </patternFill>
      </fill>
    </dxf>
    <dxf>
      <font>
        <color theme="0"/>
      </font>
      <fill>
        <patternFill>
          <bgColor rgb="FF00B050"/>
        </patternFill>
      </fill>
    </dxf>
    <dxf>
      <fill>
        <patternFill>
          <bgColor rgb="FFFFFF00"/>
        </patternFill>
      </fill>
    </dxf>
    <dxf>
      <fill>
        <patternFill>
          <bgColor theme="0" tint="-0.24994659260841701"/>
        </patternFill>
      </fill>
    </dxf>
    <dxf>
      <fill>
        <patternFill>
          <bgColor theme="0" tint="-0.24994659260841701"/>
        </patternFill>
      </fill>
    </dxf>
    <dxf>
      <font>
        <color theme="0"/>
      </font>
      <fill>
        <patternFill>
          <bgColor rgb="FFC00000"/>
        </patternFill>
      </fill>
    </dxf>
    <dxf>
      <font>
        <color theme="0"/>
      </font>
      <fill>
        <patternFill>
          <bgColor rgb="FF00B050"/>
        </patternFill>
      </fill>
    </dxf>
    <dxf>
      <fill>
        <patternFill>
          <bgColor rgb="FFFFFF00"/>
        </patternFill>
      </fill>
    </dxf>
    <dxf>
      <fill>
        <patternFill>
          <bgColor theme="0" tint="-0.24994659260841701"/>
        </patternFill>
      </fill>
    </dxf>
    <dxf>
      <fill>
        <patternFill>
          <bgColor theme="0" tint="-0.24994659260841701"/>
        </patternFill>
      </fill>
    </dxf>
    <dxf>
      <font>
        <color theme="0"/>
      </font>
      <fill>
        <patternFill>
          <bgColor rgb="FFC00000"/>
        </patternFill>
      </fill>
    </dxf>
    <dxf>
      <font>
        <color theme="0"/>
      </font>
      <fill>
        <patternFill>
          <bgColor rgb="FF00B050"/>
        </patternFill>
      </fill>
    </dxf>
    <dxf>
      <fill>
        <patternFill>
          <bgColor rgb="FFFFFF00"/>
        </patternFill>
      </fill>
    </dxf>
    <dxf>
      <fill>
        <patternFill>
          <bgColor theme="0" tint="-0.24994659260841701"/>
        </patternFill>
      </fill>
    </dxf>
    <dxf>
      <fill>
        <patternFill>
          <bgColor theme="0" tint="-0.24994659260841701"/>
        </patternFill>
      </fill>
    </dxf>
    <dxf>
      <font>
        <color theme="0"/>
      </font>
      <fill>
        <patternFill>
          <bgColor rgb="FFC00000"/>
        </patternFill>
      </fill>
    </dxf>
    <dxf>
      <font>
        <color theme="0"/>
      </font>
      <fill>
        <patternFill>
          <bgColor rgb="FF00B050"/>
        </patternFill>
      </fill>
    </dxf>
    <dxf>
      <fill>
        <patternFill>
          <bgColor rgb="FFFFFF00"/>
        </patternFill>
      </fill>
    </dxf>
    <dxf>
      <fill>
        <patternFill>
          <bgColor theme="0" tint="-0.24994659260841701"/>
        </patternFill>
      </fill>
    </dxf>
    <dxf>
      <fill>
        <patternFill>
          <bgColor theme="0" tint="-0.24994659260841701"/>
        </patternFill>
      </fill>
    </dxf>
    <dxf>
      <font>
        <color theme="0"/>
      </font>
      <fill>
        <patternFill>
          <bgColor rgb="FFC00000"/>
        </patternFill>
      </fill>
    </dxf>
    <dxf>
      <font>
        <color theme="0"/>
      </font>
      <fill>
        <patternFill>
          <bgColor rgb="FF00B050"/>
        </patternFill>
      </fill>
    </dxf>
    <dxf>
      <fill>
        <patternFill>
          <bgColor rgb="FFFFFF00"/>
        </patternFill>
      </fill>
    </dxf>
    <dxf>
      <fill>
        <patternFill>
          <bgColor theme="0" tint="-0.24994659260841701"/>
        </patternFill>
      </fill>
    </dxf>
    <dxf>
      <fill>
        <patternFill>
          <bgColor theme="0" tint="-0.24994659260841701"/>
        </patternFill>
      </fill>
    </dxf>
    <dxf>
      <fill>
        <patternFill>
          <bgColor rgb="FFFFFF00"/>
        </patternFill>
      </fill>
    </dxf>
    <dxf>
      <font>
        <color theme="0"/>
      </font>
      <fill>
        <patternFill>
          <bgColor rgb="FFC00000"/>
        </patternFill>
      </fill>
    </dxf>
    <dxf>
      <font>
        <color theme="0"/>
      </font>
      <fill>
        <patternFill>
          <bgColor rgb="FF00B050"/>
        </patternFill>
      </fill>
    </dxf>
    <dxf>
      <fill>
        <patternFill>
          <bgColor rgb="FFFFFF00"/>
        </patternFill>
      </fill>
    </dxf>
    <dxf>
      <fill>
        <patternFill>
          <bgColor theme="0" tint="-0.24994659260841701"/>
        </patternFill>
      </fill>
    </dxf>
    <dxf>
      <fill>
        <patternFill>
          <bgColor theme="0" tint="-0.2499465926084170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Medium9"/>
  <colors>
    <mruColors>
      <color rgb="FFFFFF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3" Type="http://schemas.openxmlformats.org/officeDocument/2006/relationships/image" Target="../media/image3.gif"/><Relationship Id="rId7" Type="http://schemas.openxmlformats.org/officeDocument/2006/relationships/image" Target="../media/image7.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oneCellAnchor>
    <xdr:from>
      <xdr:col>3</xdr:col>
      <xdr:colOff>0</xdr:colOff>
      <xdr:row>5</xdr:row>
      <xdr:rowOff>0</xdr:rowOff>
    </xdr:from>
    <xdr:ext cx="152400" cy="152400"/>
    <xdr:pic>
      <xdr:nvPicPr>
        <xdr:cNvPr id="2" name="Picture 1" descr="Category +[@$5F&amp;!(&gt;]">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95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xdr:row>
      <xdr:rowOff>0</xdr:rowOff>
    </xdr:from>
    <xdr:ext cx="152400" cy="152400"/>
    <xdr:pic>
      <xdr:nvPicPr>
        <xdr:cNvPr id="3" name="Picture 2" descr="Category +[@$5F&amp;!(?]">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4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xdr:row>
      <xdr:rowOff>0</xdr:rowOff>
    </xdr:from>
    <xdr:ext cx="152400" cy="152400"/>
    <xdr:pic>
      <xdr:nvPicPr>
        <xdr:cNvPr id="4" name="Picture 3" descr="Category +[@$5F&amp;!(@]">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33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xdr:row>
      <xdr:rowOff>0</xdr:rowOff>
    </xdr:from>
    <xdr:ext cx="152400" cy="152400"/>
    <xdr:pic>
      <xdr:nvPicPr>
        <xdr:cNvPr id="5" name="Picture 4" descr="Category +[@$5F&amp;!(A]">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2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xdr:row>
      <xdr:rowOff>0</xdr:rowOff>
    </xdr:from>
    <xdr:ext cx="152400" cy="152400"/>
    <xdr:pic>
      <xdr:nvPicPr>
        <xdr:cNvPr id="6" name="Picture 5" descr="Category +[@$5F&amp;!(B]">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1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xdr:row>
      <xdr:rowOff>0</xdr:rowOff>
    </xdr:from>
    <xdr:ext cx="152400" cy="152400"/>
    <xdr:pic>
      <xdr:nvPicPr>
        <xdr:cNvPr id="7" name="Picture 6" descr="Category +[@$5F&amp;!(C]">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90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xdr:row>
      <xdr:rowOff>0</xdr:rowOff>
    </xdr:from>
    <xdr:ext cx="152400" cy="152400"/>
    <xdr:pic>
      <xdr:nvPicPr>
        <xdr:cNvPr id="8" name="Picture 7" descr="Category +[@$5F&amp;!(D]">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09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12</xdr:row>
      <xdr:rowOff>0</xdr:rowOff>
    </xdr:from>
    <xdr:ext cx="152400" cy="152400"/>
    <xdr:pic>
      <xdr:nvPicPr>
        <xdr:cNvPr id="9" name="Picture 8" descr="Category +[@$5F&amp;!(E]">
          <a:extLst>
            <a:ext uri="{FF2B5EF4-FFF2-40B4-BE49-F238E27FC236}">
              <a16:creationId xmlns:a16="http://schemas.microsoft.com/office/drawing/2014/main" id="{00000000-0008-0000-06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28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xdr:row>
      <xdr:rowOff>0</xdr:rowOff>
    </xdr:from>
    <xdr:ext cx="152400" cy="152400"/>
    <xdr:pic>
      <xdr:nvPicPr>
        <xdr:cNvPr id="10" name="Picture 9" descr="Category +[@$5F&amp;!(F]">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47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xdr:row>
      <xdr:rowOff>0</xdr:rowOff>
    </xdr:from>
    <xdr:ext cx="152400" cy="152400"/>
    <xdr:pic>
      <xdr:nvPicPr>
        <xdr:cNvPr id="11" name="Picture 10" descr="Category +[@$5F&amp;!(G]">
          <a:extLst>
            <a:ext uri="{FF2B5EF4-FFF2-40B4-BE49-F238E27FC236}">
              <a16:creationId xmlns:a16="http://schemas.microsoft.com/office/drawing/2014/main" id="{00000000-0008-0000-06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66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xdr:row>
      <xdr:rowOff>0</xdr:rowOff>
    </xdr:from>
    <xdr:ext cx="152400" cy="152400"/>
    <xdr:pic>
      <xdr:nvPicPr>
        <xdr:cNvPr id="12" name="Picture 11" descr="Category +[@$5F&amp;!(H]">
          <a:extLst>
            <a:ext uri="{FF2B5EF4-FFF2-40B4-BE49-F238E27FC236}">
              <a16:creationId xmlns:a16="http://schemas.microsoft.com/office/drawing/2014/main" id="{00000000-0008-0000-06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85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xdr:row>
      <xdr:rowOff>0</xdr:rowOff>
    </xdr:from>
    <xdr:ext cx="152400" cy="152400"/>
    <xdr:pic>
      <xdr:nvPicPr>
        <xdr:cNvPr id="13" name="Picture 12" descr="Weakness Base +[@$5F&amp;!(I]">
          <a:extLst>
            <a:ext uri="{FF2B5EF4-FFF2-40B4-BE49-F238E27FC236}">
              <a16:creationId xmlns:a16="http://schemas.microsoft.com/office/drawing/2014/main" id="{00000000-0008-0000-06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04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xdr:row>
      <xdr:rowOff>0</xdr:rowOff>
    </xdr:from>
    <xdr:ext cx="152400" cy="152400"/>
    <xdr:pic>
      <xdr:nvPicPr>
        <xdr:cNvPr id="14" name="Picture 13" descr="Weakness Base +[@$5F&amp;!(J]">
          <a:extLst>
            <a:ext uri="{FF2B5EF4-FFF2-40B4-BE49-F238E27FC236}">
              <a16:creationId xmlns:a16="http://schemas.microsoft.com/office/drawing/2014/main" id="{00000000-0008-0000-0600-00000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23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xdr:row>
      <xdr:rowOff>0</xdr:rowOff>
    </xdr:from>
    <xdr:ext cx="152400" cy="152400"/>
    <xdr:pic>
      <xdr:nvPicPr>
        <xdr:cNvPr id="15" name="Picture 14" descr="Weakness Base +[@$5F&amp;!(K]">
          <a:extLst>
            <a:ext uri="{FF2B5EF4-FFF2-40B4-BE49-F238E27FC236}">
              <a16:creationId xmlns:a16="http://schemas.microsoft.com/office/drawing/2014/main" id="{00000000-0008-0000-06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42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152400" cy="152400"/>
    <xdr:pic>
      <xdr:nvPicPr>
        <xdr:cNvPr id="16" name="Picture 15" descr="Weakness Base +[@$5F&amp;!(L]">
          <a:extLst>
            <a:ext uri="{FF2B5EF4-FFF2-40B4-BE49-F238E27FC236}">
              <a16:creationId xmlns:a16="http://schemas.microsoft.com/office/drawing/2014/main" id="{00000000-0008-0000-0600-00001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61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xdr:row>
      <xdr:rowOff>0</xdr:rowOff>
    </xdr:from>
    <xdr:ext cx="152400" cy="152400"/>
    <xdr:pic>
      <xdr:nvPicPr>
        <xdr:cNvPr id="17" name="Picture 16" descr="Weakness Base +[@$5F&amp;!(M]">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81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xdr:row>
      <xdr:rowOff>0</xdr:rowOff>
    </xdr:from>
    <xdr:ext cx="152400" cy="152400"/>
    <xdr:pic>
      <xdr:nvPicPr>
        <xdr:cNvPr id="18" name="Picture 17" descr="Weakness Base +[@$5F&amp;!(N]">
          <a:extLst>
            <a:ext uri="{FF2B5EF4-FFF2-40B4-BE49-F238E27FC236}">
              <a16:creationId xmlns:a16="http://schemas.microsoft.com/office/drawing/2014/main" id="{00000000-0008-0000-06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00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xdr:row>
      <xdr:rowOff>0</xdr:rowOff>
    </xdr:from>
    <xdr:ext cx="152400" cy="152400"/>
    <xdr:pic>
      <xdr:nvPicPr>
        <xdr:cNvPr id="19" name="Picture 18" descr="Weakness Variant +[@$5F&amp;!(O]">
          <a:extLst>
            <a:ext uri="{FF2B5EF4-FFF2-40B4-BE49-F238E27FC236}">
              <a16:creationId xmlns:a16="http://schemas.microsoft.com/office/drawing/2014/main" id="{00000000-0008-0000-06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19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xdr:row>
      <xdr:rowOff>0</xdr:rowOff>
    </xdr:from>
    <xdr:ext cx="152400" cy="152400"/>
    <xdr:pic>
      <xdr:nvPicPr>
        <xdr:cNvPr id="20" name="Picture 19" descr="Weakness Base +[@$5F&amp;!(P]">
          <a:extLst>
            <a:ext uri="{FF2B5EF4-FFF2-40B4-BE49-F238E27FC236}">
              <a16:creationId xmlns:a16="http://schemas.microsoft.com/office/drawing/2014/main" id="{00000000-0008-0000-0600-00001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38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xdr:row>
      <xdr:rowOff>0</xdr:rowOff>
    </xdr:from>
    <xdr:ext cx="152400" cy="152400"/>
    <xdr:pic>
      <xdr:nvPicPr>
        <xdr:cNvPr id="21" name="Picture 20" descr="Weakness Base +[@$5F&amp;!(Q]">
          <a:extLst>
            <a:ext uri="{FF2B5EF4-FFF2-40B4-BE49-F238E27FC236}">
              <a16:creationId xmlns:a16="http://schemas.microsoft.com/office/drawing/2014/main" id="{00000000-0008-0000-0600-00001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57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xdr:row>
      <xdr:rowOff>0</xdr:rowOff>
    </xdr:from>
    <xdr:ext cx="152400" cy="152400"/>
    <xdr:pic>
      <xdr:nvPicPr>
        <xdr:cNvPr id="22" name="Picture 21" descr="Weakness Variant +[@$5F&amp;!(R]">
          <a:extLst>
            <a:ext uri="{FF2B5EF4-FFF2-40B4-BE49-F238E27FC236}">
              <a16:creationId xmlns:a16="http://schemas.microsoft.com/office/drawing/2014/main" id="{00000000-0008-0000-0600-00001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76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26</xdr:row>
      <xdr:rowOff>0</xdr:rowOff>
    </xdr:from>
    <xdr:ext cx="152400" cy="152400"/>
    <xdr:pic>
      <xdr:nvPicPr>
        <xdr:cNvPr id="23" name="Picture 22" descr="Weakness Base +[@$5F&amp;!(S]">
          <a:extLst>
            <a:ext uri="{FF2B5EF4-FFF2-40B4-BE49-F238E27FC236}">
              <a16:creationId xmlns:a16="http://schemas.microsoft.com/office/drawing/2014/main" id="{00000000-0008-0000-0600-00001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95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xdr:row>
      <xdr:rowOff>0</xdr:rowOff>
    </xdr:from>
    <xdr:ext cx="152400" cy="152400"/>
    <xdr:pic>
      <xdr:nvPicPr>
        <xdr:cNvPr id="24" name="Picture 23" descr="Weakness Class +[@$5F&amp;!(T]">
          <a:extLst>
            <a:ext uri="{FF2B5EF4-FFF2-40B4-BE49-F238E27FC236}">
              <a16:creationId xmlns:a16="http://schemas.microsoft.com/office/drawing/2014/main" id="{00000000-0008-0000-0600-00001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14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xdr:row>
      <xdr:rowOff>0</xdr:rowOff>
    </xdr:from>
    <xdr:ext cx="152400" cy="152400"/>
    <xdr:pic>
      <xdr:nvPicPr>
        <xdr:cNvPr id="25" name="Picture 24" descr="Weakness Variant +[@$5F&amp;!(U]">
          <a:extLst>
            <a:ext uri="{FF2B5EF4-FFF2-40B4-BE49-F238E27FC236}">
              <a16:creationId xmlns:a16="http://schemas.microsoft.com/office/drawing/2014/main" id="{00000000-0008-0000-0600-000019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33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xdr:row>
      <xdr:rowOff>0</xdr:rowOff>
    </xdr:from>
    <xdr:ext cx="152400" cy="152400"/>
    <xdr:pic>
      <xdr:nvPicPr>
        <xdr:cNvPr id="26" name="Picture 25" descr="Weakness Base +[@$5F&amp;!(V]">
          <a:extLst>
            <a:ext uri="{FF2B5EF4-FFF2-40B4-BE49-F238E27FC236}">
              <a16:creationId xmlns:a16="http://schemas.microsoft.com/office/drawing/2014/main" id="{00000000-0008-0000-06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52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30</xdr:row>
      <xdr:rowOff>0</xdr:rowOff>
    </xdr:from>
    <xdr:ext cx="152400" cy="152400"/>
    <xdr:pic>
      <xdr:nvPicPr>
        <xdr:cNvPr id="27" name="Picture 26" descr="Weakness Variant +[@$5F&amp;!(W]">
          <a:extLst>
            <a:ext uri="{FF2B5EF4-FFF2-40B4-BE49-F238E27FC236}">
              <a16:creationId xmlns:a16="http://schemas.microsoft.com/office/drawing/2014/main" id="{00000000-0008-0000-0600-00001B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71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xdr:row>
      <xdr:rowOff>0</xdr:rowOff>
    </xdr:from>
    <xdr:ext cx="152400" cy="152400"/>
    <xdr:pic>
      <xdr:nvPicPr>
        <xdr:cNvPr id="28" name="Picture 27" descr="Category +[@$5F&amp;!(X]">
          <a:extLst>
            <a:ext uri="{FF2B5EF4-FFF2-40B4-BE49-F238E27FC236}">
              <a16:creationId xmlns:a16="http://schemas.microsoft.com/office/drawing/2014/main" id="{00000000-0008-0000-06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590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xdr:row>
      <xdr:rowOff>0</xdr:rowOff>
    </xdr:from>
    <xdr:ext cx="152400" cy="152400"/>
    <xdr:pic>
      <xdr:nvPicPr>
        <xdr:cNvPr id="29" name="Picture 28" descr="Weakness Variant +[@$5F&amp;!(Y]">
          <a:extLst>
            <a:ext uri="{FF2B5EF4-FFF2-40B4-BE49-F238E27FC236}">
              <a16:creationId xmlns:a16="http://schemas.microsoft.com/office/drawing/2014/main" id="{00000000-0008-0000-0600-00001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09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33</xdr:row>
      <xdr:rowOff>0</xdr:rowOff>
    </xdr:from>
    <xdr:ext cx="152400" cy="152400"/>
    <xdr:pic>
      <xdr:nvPicPr>
        <xdr:cNvPr id="30" name="Picture 29" descr="Weakness Variant +[@$5F&amp;!(Z]">
          <a:extLst>
            <a:ext uri="{FF2B5EF4-FFF2-40B4-BE49-F238E27FC236}">
              <a16:creationId xmlns:a16="http://schemas.microsoft.com/office/drawing/2014/main" id="{00000000-0008-0000-0600-00001E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28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34</xdr:row>
      <xdr:rowOff>0</xdr:rowOff>
    </xdr:from>
    <xdr:ext cx="152400" cy="152400"/>
    <xdr:pic>
      <xdr:nvPicPr>
        <xdr:cNvPr id="31" name="Picture 30" descr="Weakness Variant +[@$5F&amp;!([]">
          <a:extLst>
            <a:ext uri="{FF2B5EF4-FFF2-40B4-BE49-F238E27FC236}">
              <a16:creationId xmlns:a16="http://schemas.microsoft.com/office/drawing/2014/main" id="{00000000-0008-0000-0600-00001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47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xdr:row>
      <xdr:rowOff>0</xdr:rowOff>
    </xdr:from>
    <xdr:ext cx="152400" cy="152400"/>
    <xdr:pic>
      <xdr:nvPicPr>
        <xdr:cNvPr id="32" name="Picture 31" descr="Weakness Variant +[@$5F&amp;!(\]">
          <a:extLst>
            <a:ext uri="{FF2B5EF4-FFF2-40B4-BE49-F238E27FC236}">
              <a16:creationId xmlns:a16="http://schemas.microsoft.com/office/drawing/2014/main" id="{00000000-0008-0000-0600-00002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66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36</xdr:row>
      <xdr:rowOff>0</xdr:rowOff>
    </xdr:from>
    <xdr:ext cx="152400" cy="152400"/>
    <xdr:pic>
      <xdr:nvPicPr>
        <xdr:cNvPr id="33" name="Picture 32" descr="Weakness Variant +[@$5F&amp;!(]]">
          <a:extLst>
            <a:ext uri="{FF2B5EF4-FFF2-40B4-BE49-F238E27FC236}">
              <a16:creationId xmlns:a16="http://schemas.microsoft.com/office/drawing/2014/main" id="{00000000-0008-0000-0600-000021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85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xdr:row>
      <xdr:rowOff>0</xdr:rowOff>
    </xdr:from>
    <xdr:ext cx="152400" cy="152400"/>
    <xdr:pic>
      <xdr:nvPicPr>
        <xdr:cNvPr id="34" name="Picture 33" descr="Weakness Variant +[@$5F&amp;!(^]">
          <a:extLst>
            <a:ext uri="{FF2B5EF4-FFF2-40B4-BE49-F238E27FC236}">
              <a16:creationId xmlns:a16="http://schemas.microsoft.com/office/drawing/2014/main" id="{00000000-0008-0000-0600-000022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04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38</xdr:row>
      <xdr:rowOff>0</xdr:rowOff>
    </xdr:from>
    <xdr:ext cx="152400" cy="152400"/>
    <xdr:pic>
      <xdr:nvPicPr>
        <xdr:cNvPr id="35" name="Picture 34" descr="Weakness Base +[@$5F&amp;!(_]">
          <a:extLst>
            <a:ext uri="{FF2B5EF4-FFF2-40B4-BE49-F238E27FC236}">
              <a16:creationId xmlns:a16="http://schemas.microsoft.com/office/drawing/2014/main" id="{00000000-0008-0000-0600-00002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23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xdr:row>
      <xdr:rowOff>0</xdr:rowOff>
    </xdr:from>
    <xdr:ext cx="152400" cy="152400"/>
    <xdr:pic>
      <xdr:nvPicPr>
        <xdr:cNvPr id="36" name="Picture 35" descr="Weakness Class +[@$5F&amp;!(`]">
          <a:extLst>
            <a:ext uri="{FF2B5EF4-FFF2-40B4-BE49-F238E27FC236}">
              <a16:creationId xmlns:a16="http://schemas.microsoft.com/office/drawing/2014/main" id="{00000000-0008-0000-0600-000024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742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40</xdr:row>
      <xdr:rowOff>0</xdr:rowOff>
    </xdr:from>
    <xdr:ext cx="152400" cy="152400"/>
    <xdr:pic>
      <xdr:nvPicPr>
        <xdr:cNvPr id="37" name="Picture 36" descr="Weakness Variant +[@$5F&amp;!(a]">
          <a:extLst>
            <a:ext uri="{FF2B5EF4-FFF2-40B4-BE49-F238E27FC236}">
              <a16:creationId xmlns:a16="http://schemas.microsoft.com/office/drawing/2014/main" id="{00000000-0008-0000-0600-00002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62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xdr:row>
      <xdr:rowOff>0</xdr:rowOff>
    </xdr:from>
    <xdr:ext cx="152400" cy="152400"/>
    <xdr:pic>
      <xdr:nvPicPr>
        <xdr:cNvPr id="38" name="Picture 37" descr="Weakness Variant +[@$5F&amp;!(b]">
          <a:extLst>
            <a:ext uri="{FF2B5EF4-FFF2-40B4-BE49-F238E27FC236}">
              <a16:creationId xmlns:a16="http://schemas.microsoft.com/office/drawing/2014/main" id="{00000000-0008-0000-0600-00002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81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42</xdr:row>
      <xdr:rowOff>0</xdr:rowOff>
    </xdr:from>
    <xdr:ext cx="152400" cy="152400"/>
    <xdr:pic>
      <xdr:nvPicPr>
        <xdr:cNvPr id="39" name="Picture 38" descr="Weakness Variant +[@$5F&amp;!(c]">
          <a:extLst>
            <a:ext uri="{FF2B5EF4-FFF2-40B4-BE49-F238E27FC236}">
              <a16:creationId xmlns:a16="http://schemas.microsoft.com/office/drawing/2014/main" id="{00000000-0008-0000-0600-00002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00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xdr:row>
      <xdr:rowOff>0</xdr:rowOff>
    </xdr:from>
    <xdr:ext cx="152400" cy="152400"/>
    <xdr:pic>
      <xdr:nvPicPr>
        <xdr:cNvPr id="40" name="Picture 39" descr="Weakness Base +[@$5F&amp;!(d]">
          <a:extLst>
            <a:ext uri="{FF2B5EF4-FFF2-40B4-BE49-F238E27FC236}">
              <a16:creationId xmlns:a16="http://schemas.microsoft.com/office/drawing/2014/main" id="{00000000-0008-0000-0600-00002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19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44</xdr:row>
      <xdr:rowOff>0</xdr:rowOff>
    </xdr:from>
    <xdr:ext cx="152400" cy="152400"/>
    <xdr:pic>
      <xdr:nvPicPr>
        <xdr:cNvPr id="41" name="Picture 40" descr="Weakness Base +[@$5F&amp;!(e]">
          <a:extLst>
            <a:ext uri="{FF2B5EF4-FFF2-40B4-BE49-F238E27FC236}">
              <a16:creationId xmlns:a16="http://schemas.microsoft.com/office/drawing/2014/main" id="{00000000-0008-0000-0600-00002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38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45</xdr:row>
      <xdr:rowOff>0</xdr:rowOff>
    </xdr:from>
    <xdr:ext cx="152400" cy="152400"/>
    <xdr:pic>
      <xdr:nvPicPr>
        <xdr:cNvPr id="42" name="Picture 41" descr="Weakness Base +[@$5F&amp;!(f]">
          <a:extLst>
            <a:ext uri="{FF2B5EF4-FFF2-40B4-BE49-F238E27FC236}">
              <a16:creationId xmlns:a16="http://schemas.microsoft.com/office/drawing/2014/main" id="{00000000-0008-0000-0600-00002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57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xdr:row>
      <xdr:rowOff>0</xdr:rowOff>
    </xdr:from>
    <xdr:ext cx="152400" cy="152400"/>
    <xdr:pic>
      <xdr:nvPicPr>
        <xdr:cNvPr id="43" name="Picture 42" descr="Weakness Class +[@$5F&amp;!(g]">
          <a:extLst>
            <a:ext uri="{FF2B5EF4-FFF2-40B4-BE49-F238E27FC236}">
              <a16:creationId xmlns:a16="http://schemas.microsoft.com/office/drawing/2014/main" id="{00000000-0008-0000-0600-00002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876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47</xdr:row>
      <xdr:rowOff>0</xdr:rowOff>
    </xdr:from>
    <xdr:ext cx="152400" cy="152400"/>
    <xdr:pic>
      <xdr:nvPicPr>
        <xdr:cNvPr id="44" name="Picture 43" descr="Weakness Base +[@$5F&amp;!(h]">
          <a:extLst>
            <a:ext uri="{FF2B5EF4-FFF2-40B4-BE49-F238E27FC236}">
              <a16:creationId xmlns:a16="http://schemas.microsoft.com/office/drawing/2014/main" id="{00000000-0008-0000-0600-00002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95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48</xdr:row>
      <xdr:rowOff>0</xdr:rowOff>
    </xdr:from>
    <xdr:ext cx="152400" cy="152400"/>
    <xdr:pic>
      <xdr:nvPicPr>
        <xdr:cNvPr id="45" name="Picture 44" descr="Weakness Variant +[@$5F&amp;!(i]">
          <a:extLst>
            <a:ext uri="{FF2B5EF4-FFF2-40B4-BE49-F238E27FC236}">
              <a16:creationId xmlns:a16="http://schemas.microsoft.com/office/drawing/2014/main" id="{00000000-0008-0000-0600-00002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14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49</xdr:row>
      <xdr:rowOff>0</xdr:rowOff>
    </xdr:from>
    <xdr:ext cx="152400" cy="152400"/>
    <xdr:pic>
      <xdr:nvPicPr>
        <xdr:cNvPr id="46" name="Picture 45" descr="Weakness Base +[@$5F&amp;!(j]">
          <a:extLst>
            <a:ext uri="{FF2B5EF4-FFF2-40B4-BE49-F238E27FC236}">
              <a16:creationId xmlns:a16="http://schemas.microsoft.com/office/drawing/2014/main" id="{00000000-0008-0000-0600-00002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33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50</xdr:row>
      <xdr:rowOff>0</xdr:rowOff>
    </xdr:from>
    <xdr:ext cx="152400" cy="152400"/>
    <xdr:pic>
      <xdr:nvPicPr>
        <xdr:cNvPr id="47" name="Picture 46" descr="Weakness Variant +[@$5F&amp;!(k]">
          <a:extLst>
            <a:ext uri="{FF2B5EF4-FFF2-40B4-BE49-F238E27FC236}">
              <a16:creationId xmlns:a16="http://schemas.microsoft.com/office/drawing/2014/main" id="{00000000-0008-0000-0600-00002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52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51</xdr:row>
      <xdr:rowOff>0</xdr:rowOff>
    </xdr:from>
    <xdr:ext cx="152400" cy="152400"/>
    <xdr:pic>
      <xdr:nvPicPr>
        <xdr:cNvPr id="48" name="Picture 47" descr="Weakness Base +[@$5F&amp;!(l]">
          <a:extLst>
            <a:ext uri="{FF2B5EF4-FFF2-40B4-BE49-F238E27FC236}">
              <a16:creationId xmlns:a16="http://schemas.microsoft.com/office/drawing/2014/main" id="{00000000-0008-0000-0600-00003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71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52</xdr:row>
      <xdr:rowOff>0</xdr:rowOff>
    </xdr:from>
    <xdr:ext cx="152400" cy="152400"/>
    <xdr:pic>
      <xdr:nvPicPr>
        <xdr:cNvPr id="49" name="Picture 48" descr="Category +[@$5F&amp;!(m]">
          <a:extLst>
            <a:ext uri="{FF2B5EF4-FFF2-40B4-BE49-F238E27FC236}">
              <a16:creationId xmlns:a16="http://schemas.microsoft.com/office/drawing/2014/main" id="{00000000-0008-0000-0600-00003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990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53</xdr:row>
      <xdr:rowOff>0</xdr:rowOff>
    </xdr:from>
    <xdr:ext cx="152400" cy="152400"/>
    <xdr:pic>
      <xdr:nvPicPr>
        <xdr:cNvPr id="50" name="Picture 49" descr="Weakness Variant +[@$5F&amp;!(n]">
          <a:extLst>
            <a:ext uri="{FF2B5EF4-FFF2-40B4-BE49-F238E27FC236}">
              <a16:creationId xmlns:a16="http://schemas.microsoft.com/office/drawing/2014/main" id="{00000000-0008-0000-0600-000032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09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54</xdr:row>
      <xdr:rowOff>0</xdr:rowOff>
    </xdr:from>
    <xdr:ext cx="152400" cy="152400"/>
    <xdr:pic>
      <xdr:nvPicPr>
        <xdr:cNvPr id="51" name="Picture 50" descr="Weakness Base +[@$5F&amp;!(o]">
          <a:extLst>
            <a:ext uri="{FF2B5EF4-FFF2-40B4-BE49-F238E27FC236}">
              <a16:creationId xmlns:a16="http://schemas.microsoft.com/office/drawing/2014/main" id="{00000000-0008-0000-0600-00003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28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xdr:row>
      <xdr:rowOff>0</xdr:rowOff>
    </xdr:from>
    <xdr:ext cx="152400" cy="152400"/>
    <xdr:pic>
      <xdr:nvPicPr>
        <xdr:cNvPr id="52" name="Picture 51" descr="Weakness Base +[@$5F&amp;!(p]">
          <a:extLst>
            <a:ext uri="{FF2B5EF4-FFF2-40B4-BE49-F238E27FC236}">
              <a16:creationId xmlns:a16="http://schemas.microsoft.com/office/drawing/2014/main" id="{00000000-0008-0000-0600-00003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47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56</xdr:row>
      <xdr:rowOff>0</xdr:rowOff>
    </xdr:from>
    <xdr:ext cx="152400" cy="152400"/>
    <xdr:pic>
      <xdr:nvPicPr>
        <xdr:cNvPr id="53" name="Picture 52" descr="Weakness Variant +[@$5F&amp;!(q]">
          <a:extLst>
            <a:ext uri="{FF2B5EF4-FFF2-40B4-BE49-F238E27FC236}">
              <a16:creationId xmlns:a16="http://schemas.microsoft.com/office/drawing/2014/main" id="{00000000-0008-0000-0600-00003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66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57</xdr:row>
      <xdr:rowOff>0</xdr:rowOff>
    </xdr:from>
    <xdr:ext cx="152400" cy="152400"/>
    <xdr:pic>
      <xdr:nvPicPr>
        <xdr:cNvPr id="54" name="Picture 53" descr="Weakness Variant +[@$5F&amp;!(r]">
          <a:extLst>
            <a:ext uri="{FF2B5EF4-FFF2-40B4-BE49-F238E27FC236}">
              <a16:creationId xmlns:a16="http://schemas.microsoft.com/office/drawing/2014/main" id="{00000000-0008-0000-0600-00003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85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58</xdr:row>
      <xdr:rowOff>0</xdr:rowOff>
    </xdr:from>
    <xdr:ext cx="152400" cy="152400"/>
    <xdr:pic>
      <xdr:nvPicPr>
        <xdr:cNvPr id="55" name="Picture 54" descr="Weakness Base +[@$5F&amp;!(s]">
          <a:extLst>
            <a:ext uri="{FF2B5EF4-FFF2-40B4-BE49-F238E27FC236}">
              <a16:creationId xmlns:a16="http://schemas.microsoft.com/office/drawing/2014/main" id="{00000000-0008-0000-0600-00003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04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59</xdr:row>
      <xdr:rowOff>0</xdr:rowOff>
    </xdr:from>
    <xdr:ext cx="152400" cy="152400"/>
    <xdr:pic>
      <xdr:nvPicPr>
        <xdr:cNvPr id="56" name="Picture 55" descr="Category +[@$5F&amp;!(t]">
          <a:extLst>
            <a:ext uri="{FF2B5EF4-FFF2-40B4-BE49-F238E27FC236}">
              <a16:creationId xmlns:a16="http://schemas.microsoft.com/office/drawing/2014/main" id="{00000000-0008-0000-0600-00003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23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60</xdr:row>
      <xdr:rowOff>0</xdr:rowOff>
    </xdr:from>
    <xdr:ext cx="152400" cy="152400"/>
    <xdr:pic>
      <xdr:nvPicPr>
        <xdr:cNvPr id="57" name="Picture 56" descr="Category +[@$5F&amp;!(u]">
          <a:extLst>
            <a:ext uri="{FF2B5EF4-FFF2-40B4-BE49-F238E27FC236}">
              <a16:creationId xmlns:a16="http://schemas.microsoft.com/office/drawing/2014/main" id="{00000000-0008-0000-0600-00003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43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61</xdr:row>
      <xdr:rowOff>0</xdr:rowOff>
    </xdr:from>
    <xdr:ext cx="152400" cy="152400"/>
    <xdr:pic>
      <xdr:nvPicPr>
        <xdr:cNvPr id="58" name="Picture 57" descr="Weakness Variant +[@$5F&amp;!(v]">
          <a:extLst>
            <a:ext uri="{FF2B5EF4-FFF2-40B4-BE49-F238E27FC236}">
              <a16:creationId xmlns:a16="http://schemas.microsoft.com/office/drawing/2014/main" id="{00000000-0008-0000-0600-00003A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162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62</xdr:row>
      <xdr:rowOff>0</xdr:rowOff>
    </xdr:from>
    <xdr:ext cx="152400" cy="152400"/>
    <xdr:pic>
      <xdr:nvPicPr>
        <xdr:cNvPr id="59" name="Picture 58" descr="Weakness Variant +[@$5F&amp;!(w]">
          <a:extLst>
            <a:ext uri="{FF2B5EF4-FFF2-40B4-BE49-F238E27FC236}">
              <a16:creationId xmlns:a16="http://schemas.microsoft.com/office/drawing/2014/main" id="{00000000-0008-0000-0600-00003B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181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63</xdr:row>
      <xdr:rowOff>0</xdr:rowOff>
    </xdr:from>
    <xdr:ext cx="152400" cy="152400"/>
    <xdr:pic>
      <xdr:nvPicPr>
        <xdr:cNvPr id="60" name="Picture 59" descr="Category +[@$5F&amp;!(x]">
          <a:extLst>
            <a:ext uri="{FF2B5EF4-FFF2-40B4-BE49-F238E27FC236}">
              <a16:creationId xmlns:a16="http://schemas.microsoft.com/office/drawing/2014/main" id="{00000000-0008-0000-0600-00003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00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64</xdr:row>
      <xdr:rowOff>0</xdr:rowOff>
    </xdr:from>
    <xdr:ext cx="152400" cy="152400"/>
    <xdr:pic>
      <xdr:nvPicPr>
        <xdr:cNvPr id="61" name="Picture 60" descr="Category +[@$5F&amp;!(y]">
          <a:extLst>
            <a:ext uri="{FF2B5EF4-FFF2-40B4-BE49-F238E27FC236}">
              <a16:creationId xmlns:a16="http://schemas.microsoft.com/office/drawing/2014/main" id="{00000000-0008-0000-0600-00003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19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65</xdr:row>
      <xdr:rowOff>0</xdr:rowOff>
    </xdr:from>
    <xdr:ext cx="152400" cy="152400"/>
    <xdr:pic>
      <xdr:nvPicPr>
        <xdr:cNvPr id="62" name="Picture 61" descr="Category +[@$5F&amp;!(z]">
          <a:extLst>
            <a:ext uri="{FF2B5EF4-FFF2-40B4-BE49-F238E27FC236}">
              <a16:creationId xmlns:a16="http://schemas.microsoft.com/office/drawing/2014/main" id="{00000000-0008-0000-0600-00003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38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66</xdr:row>
      <xdr:rowOff>0</xdr:rowOff>
    </xdr:from>
    <xdr:ext cx="152400" cy="152400"/>
    <xdr:pic>
      <xdr:nvPicPr>
        <xdr:cNvPr id="63" name="Picture 62" descr="Category +[@$5F&amp;!({]">
          <a:extLst>
            <a:ext uri="{FF2B5EF4-FFF2-40B4-BE49-F238E27FC236}">
              <a16:creationId xmlns:a16="http://schemas.microsoft.com/office/drawing/2014/main" id="{00000000-0008-0000-0600-00003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57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67</xdr:row>
      <xdr:rowOff>0</xdr:rowOff>
    </xdr:from>
    <xdr:ext cx="152400" cy="152400"/>
    <xdr:pic>
      <xdr:nvPicPr>
        <xdr:cNvPr id="64" name="Picture 63" descr="Category +[@$5F&amp;!(|]">
          <a:extLst>
            <a:ext uri="{FF2B5EF4-FFF2-40B4-BE49-F238E27FC236}">
              <a16:creationId xmlns:a16="http://schemas.microsoft.com/office/drawing/2014/main" id="{00000000-0008-0000-0600-00004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76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68</xdr:row>
      <xdr:rowOff>0</xdr:rowOff>
    </xdr:from>
    <xdr:ext cx="152400" cy="152400"/>
    <xdr:pic>
      <xdr:nvPicPr>
        <xdr:cNvPr id="65" name="Picture 64" descr="Category +[@$5F&amp;!(}]">
          <a:extLst>
            <a:ext uri="{FF2B5EF4-FFF2-40B4-BE49-F238E27FC236}">
              <a16:creationId xmlns:a16="http://schemas.microsoft.com/office/drawing/2014/main" id="{00000000-0008-0000-0600-00004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95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69</xdr:row>
      <xdr:rowOff>0</xdr:rowOff>
    </xdr:from>
    <xdr:ext cx="152400" cy="152400"/>
    <xdr:pic>
      <xdr:nvPicPr>
        <xdr:cNvPr id="66" name="Picture 65" descr="Category +[@$5F&amp;!(~]">
          <a:extLst>
            <a:ext uri="{FF2B5EF4-FFF2-40B4-BE49-F238E27FC236}">
              <a16:creationId xmlns:a16="http://schemas.microsoft.com/office/drawing/2014/main" id="{00000000-0008-0000-06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314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70</xdr:row>
      <xdr:rowOff>0</xdr:rowOff>
    </xdr:from>
    <xdr:ext cx="152400" cy="152400"/>
    <xdr:pic>
      <xdr:nvPicPr>
        <xdr:cNvPr id="67" name="Picture 66" descr="Category +[@$5F&amp;!)#]">
          <a:extLst>
            <a:ext uri="{FF2B5EF4-FFF2-40B4-BE49-F238E27FC236}">
              <a16:creationId xmlns:a16="http://schemas.microsoft.com/office/drawing/2014/main" id="{00000000-0008-0000-0600-00004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333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71</xdr:row>
      <xdr:rowOff>0</xdr:rowOff>
    </xdr:from>
    <xdr:ext cx="152400" cy="152400"/>
    <xdr:pic>
      <xdr:nvPicPr>
        <xdr:cNvPr id="68" name="Picture 67" descr="Category +[@$5F&amp;!)$]">
          <a:extLst>
            <a:ext uri="{FF2B5EF4-FFF2-40B4-BE49-F238E27FC236}">
              <a16:creationId xmlns:a16="http://schemas.microsoft.com/office/drawing/2014/main" id="{00000000-0008-0000-0600-00004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352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72</xdr:row>
      <xdr:rowOff>0</xdr:rowOff>
    </xdr:from>
    <xdr:ext cx="152400" cy="152400"/>
    <xdr:pic>
      <xdr:nvPicPr>
        <xdr:cNvPr id="69" name="Picture 68" descr="Category +[@$5F&amp;!)%]">
          <a:extLst>
            <a:ext uri="{FF2B5EF4-FFF2-40B4-BE49-F238E27FC236}">
              <a16:creationId xmlns:a16="http://schemas.microsoft.com/office/drawing/2014/main" id="{00000000-0008-0000-0600-00004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371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73</xdr:row>
      <xdr:rowOff>0</xdr:rowOff>
    </xdr:from>
    <xdr:ext cx="152400" cy="152400"/>
    <xdr:pic>
      <xdr:nvPicPr>
        <xdr:cNvPr id="70" name="Picture 69" descr="Category +[@$5F&amp;!)&amp;]">
          <a:extLst>
            <a:ext uri="{FF2B5EF4-FFF2-40B4-BE49-F238E27FC236}">
              <a16:creationId xmlns:a16="http://schemas.microsoft.com/office/drawing/2014/main" id="{00000000-0008-0000-0600-00004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390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74</xdr:row>
      <xdr:rowOff>0</xdr:rowOff>
    </xdr:from>
    <xdr:ext cx="152400" cy="152400"/>
    <xdr:pic>
      <xdr:nvPicPr>
        <xdr:cNvPr id="71" name="Picture 70" descr="Category +[@$5F&amp;!)']">
          <a:extLst>
            <a:ext uri="{FF2B5EF4-FFF2-40B4-BE49-F238E27FC236}">
              <a16:creationId xmlns:a16="http://schemas.microsoft.com/office/drawing/2014/main" id="{00000000-0008-0000-0600-00004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09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75</xdr:row>
      <xdr:rowOff>0</xdr:rowOff>
    </xdr:from>
    <xdr:ext cx="152400" cy="152400"/>
    <xdr:pic>
      <xdr:nvPicPr>
        <xdr:cNvPr id="72" name="Picture 71" descr="Category +[@$5F&amp;!)(]">
          <a:extLst>
            <a:ext uri="{FF2B5EF4-FFF2-40B4-BE49-F238E27FC236}">
              <a16:creationId xmlns:a16="http://schemas.microsoft.com/office/drawing/2014/main" id="{00000000-0008-0000-0600-00004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28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76</xdr:row>
      <xdr:rowOff>0</xdr:rowOff>
    </xdr:from>
    <xdr:ext cx="152400" cy="152400"/>
    <xdr:pic>
      <xdr:nvPicPr>
        <xdr:cNvPr id="73" name="Picture 72" descr="Category +[@$5F&amp;!))]">
          <a:extLst>
            <a:ext uri="{FF2B5EF4-FFF2-40B4-BE49-F238E27FC236}">
              <a16:creationId xmlns:a16="http://schemas.microsoft.com/office/drawing/2014/main" id="{00000000-0008-0000-0600-00004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47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xdr:row>
      <xdr:rowOff>0</xdr:rowOff>
    </xdr:from>
    <xdr:ext cx="152400" cy="152400"/>
    <xdr:pic>
      <xdr:nvPicPr>
        <xdr:cNvPr id="74" name="Picture 73" descr="Category +[@$5F&amp;!).]">
          <a:extLst>
            <a:ext uri="{FF2B5EF4-FFF2-40B4-BE49-F238E27FC236}">
              <a16:creationId xmlns:a16="http://schemas.microsoft.com/office/drawing/2014/main" id="{00000000-0008-0000-0600-00004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66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78</xdr:row>
      <xdr:rowOff>0</xdr:rowOff>
    </xdr:from>
    <xdr:ext cx="152400" cy="152400"/>
    <xdr:pic>
      <xdr:nvPicPr>
        <xdr:cNvPr id="75" name="Picture 74" descr="Category +[@$5F&amp;!)/]">
          <a:extLst>
            <a:ext uri="{FF2B5EF4-FFF2-40B4-BE49-F238E27FC236}">
              <a16:creationId xmlns:a16="http://schemas.microsoft.com/office/drawing/2014/main" id="{00000000-0008-0000-0600-00004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85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79</xdr:row>
      <xdr:rowOff>0</xdr:rowOff>
    </xdr:from>
    <xdr:ext cx="152400" cy="152400"/>
    <xdr:pic>
      <xdr:nvPicPr>
        <xdr:cNvPr id="76" name="Picture 75" descr="Category +[@$5F&amp;!)0]">
          <a:extLst>
            <a:ext uri="{FF2B5EF4-FFF2-40B4-BE49-F238E27FC236}">
              <a16:creationId xmlns:a16="http://schemas.microsoft.com/office/drawing/2014/main" id="{00000000-0008-0000-0600-00004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04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80</xdr:row>
      <xdr:rowOff>0</xdr:rowOff>
    </xdr:from>
    <xdr:ext cx="152400" cy="152400"/>
    <xdr:pic>
      <xdr:nvPicPr>
        <xdr:cNvPr id="77" name="Picture 76" descr="Category +[@$5F&amp;!)1]">
          <a:extLst>
            <a:ext uri="{FF2B5EF4-FFF2-40B4-BE49-F238E27FC236}">
              <a16:creationId xmlns:a16="http://schemas.microsoft.com/office/drawing/2014/main" id="{00000000-0008-0000-0600-00004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24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81</xdr:row>
      <xdr:rowOff>0</xdr:rowOff>
    </xdr:from>
    <xdr:ext cx="152400" cy="152400"/>
    <xdr:pic>
      <xdr:nvPicPr>
        <xdr:cNvPr id="78" name="Picture 77" descr="Category +[@$5F&amp;!)2]">
          <a:extLst>
            <a:ext uri="{FF2B5EF4-FFF2-40B4-BE49-F238E27FC236}">
              <a16:creationId xmlns:a16="http://schemas.microsoft.com/office/drawing/2014/main" id="{00000000-0008-0000-0600-00004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43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82</xdr:row>
      <xdr:rowOff>0</xdr:rowOff>
    </xdr:from>
    <xdr:ext cx="152400" cy="152400"/>
    <xdr:pic>
      <xdr:nvPicPr>
        <xdr:cNvPr id="79" name="Picture 78" descr="Category +[@$5F&amp;!)3]">
          <a:extLst>
            <a:ext uri="{FF2B5EF4-FFF2-40B4-BE49-F238E27FC236}">
              <a16:creationId xmlns:a16="http://schemas.microsoft.com/office/drawing/2014/main" id="{00000000-0008-0000-0600-00004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62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83</xdr:row>
      <xdr:rowOff>0</xdr:rowOff>
    </xdr:from>
    <xdr:ext cx="152400" cy="152400"/>
    <xdr:pic>
      <xdr:nvPicPr>
        <xdr:cNvPr id="80" name="Picture 79" descr="Category +[@$5F&amp;!)4]">
          <a:extLst>
            <a:ext uri="{FF2B5EF4-FFF2-40B4-BE49-F238E27FC236}">
              <a16:creationId xmlns:a16="http://schemas.microsoft.com/office/drawing/2014/main" id="{00000000-0008-0000-0600-00005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81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84</xdr:row>
      <xdr:rowOff>0</xdr:rowOff>
    </xdr:from>
    <xdr:ext cx="152400" cy="152400"/>
    <xdr:pic>
      <xdr:nvPicPr>
        <xdr:cNvPr id="81" name="Picture 80" descr="Category +[@$5F&amp;!)5]">
          <a:extLst>
            <a:ext uri="{FF2B5EF4-FFF2-40B4-BE49-F238E27FC236}">
              <a16:creationId xmlns:a16="http://schemas.microsoft.com/office/drawing/2014/main" id="{00000000-0008-0000-0600-00005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600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85</xdr:row>
      <xdr:rowOff>0</xdr:rowOff>
    </xdr:from>
    <xdr:ext cx="152400" cy="152400"/>
    <xdr:pic>
      <xdr:nvPicPr>
        <xdr:cNvPr id="82" name="Picture 81" descr="Category +[@$5F&amp;!)6]">
          <a:extLst>
            <a:ext uri="{FF2B5EF4-FFF2-40B4-BE49-F238E27FC236}">
              <a16:creationId xmlns:a16="http://schemas.microsoft.com/office/drawing/2014/main" id="{00000000-0008-0000-0600-00005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619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86</xdr:row>
      <xdr:rowOff>0</xdr:rowOff>
    </xdr:from>
    <xdr:ext cx="152400" cy="152400"/>
    <xdr:pic>
      <xdr:nvPicPr>
        <xdr:cNvPr id="83" name="Picture 82" descr="Category +[@$5F&amp;!)7]">
          <a:extLst>
            <a:ext uri="{FF2B5EF4-FFF2-40B4-BE49-F238E27FC236}">
              <a16:creationId xmlns:a16="http://schemas.microsoft.com/office/drawing/2014/main" id="{00000000-0008-0000-0600-00005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638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87</xdr:row>
      <xdr:rowOff>0</xdr:rowOff>
    </xdr:from>
    <xdr:ext cx="152400" cy="152400"/>
    <xdr:pic>
      <xdr:nvPicPr>
        <xdr:cNvPr id="84" name="Picture 83" descr="Category +[@$5F&amp;!)8]">
          <a:extLst>
            <a:ext uri="{FF2B5EF4-FFF2-40B4-BE49-F238E27FC236}">
              <a16:creationId xmlns:a16="http://schemas.microsoft.com/office/drawing/2014/main" id="{00000000-0008-0000-0600-00005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657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xdr:row>
      <xdr:rowOff>0</xdr:rowOff>
    </xdr:from>
    <xdr:ext cx="152400" cy="152400"/>
    <xdr:pic>
      <xdr:nvPicPr>
        <xdr:cNvPr id="85" name="Picture 84" descr="Category +[@$5F&amp;!)9]">
          <a:extLst>
            <a:ext uri="{FF2B5EF4-FFF2-40B4-BE49-F238E27FC236}">
              <a16:creationId xmlns:a16="http://schemas.microsoft.com/office/drawing/2014/main" id="{00000000-0008-0000-0600-00005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676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89</xdr:row>
      <xdr:rowOff>0</xdr:rowOff>
    </xdr:from>
    <xdr:ext cx="152400" cy="152400"/>
    <xdr:pic>
      <xdr:nvPicPr>
        <xdr:cNvPr id="86" name="Picture 85" descr="Category +[@$5F&amp;!):]">
          <a:extLst>
            <a:ext uri="{FF2B5EF4-FFF2-40B4-BE49-F238E27FC236}">
              <a16:creationId xmlns:a16="http://schemas.microsoft.com/office/drawing/2014/main" id="{00000000-0008-0000-0600-00005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695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90</xdr:row>
      <xdr:rowOff>0</xdr:rowOff>
    </xdr:from>
    <xdr:ext cx="152400" cy="152400"/>
    <xdr:pic>
      <xdr:nvPicPr>
        <xdr:cNvPr id="87" name="Picture 86" descr="Category +[@$5F&amp;!);]">
          <a:extLst>
            <a:ext uri="{FF2B5EF4-FFF2-40B4-BE49-F238E27FC236}">
              <a16:creationId xmlns:a16="http://schemas.microsoft.com/office/drawing/2014/main" id="{00000000-0008-0000-0600-00005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14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xdr:row>
      <xdr:rowOff>0</xdr:rowOff>
    </xdr:from>
    <xdr:ext cx="152400" cy="152400"/>
    <xdr:pic>
      <xdr:nvPicPr>
        <xdr:cNvPr id="88" name="Picture 87" descr="Category +[@$5F&amp;!)&lt;]">
          <a:extLst>
            <a:ext uri="{FF2B5EF4-FFF2-40B4-BE49-F238E27FC236}">
              <a16:creationId xmlns:a16="http://schemas.microsoft.com/office/drawing/2014/main" id="{00000000-0008-0000-0600-00005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33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92</xdr:row>
      <xdr:rowOff>0</xdr:rowOff>
    </xdr:from>
    <xdr:ext cx="152400" cy="152400"/>
    <xdr:pic>
      <xdr:nvPicPr>
        <xdr:cNvPr id="89" name="Picture 88" descr="Category +[@$5F&amp;!)=]">
          <a:extLst>
            <a:ext uri="{FF2B5EF4-FFF2-40B4-BE49-F238E27FC236}">
              <a16:creationId xmlns:a16="http://schemas.microsoft.com/office/drawing/2014/main" id="{00000000-0008-0000-0600-00005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52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93</xdr:row>
      <xdr:rowOff>0</xdr:rowOff>
    </xdr:from>
    <xdr:ext cx="152400" cy="152400"/>
    <xdr:pic>
      <xdr:nvPicPr>
        <xdr:cNvPr id="90" name="Picture 89" descr="Category +[@$5F&amp;!)&gt;]">
          <a:extLst>
            <a:ext uri="{FF2B5EF4-FFF2-40B4-BE49-F238E27FC236}">
              <a16:creationId xmlns:a16="http://schemas.microsoft.com/office/drawing/2014/main" id="{00000000-0008-0000-0600-00005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71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94</xdr:row>
      <xdr:rowOff>0</xdr:rowOff>
    </xdr:from>
    <xdr:ext cx="152400" cy="152400"/>
    <xdr:pic>
      <xdr:nvPicPr>
        <xdr:cNvPr id="91" name="Picture 90" descr="Category +[@$5F&amp;!)?]">
          <a:extLst>
            <a:ext uri="{FF2B5EF4-FFF2-40B4-BE49-F238E27FC236}">
              <a16:creationId xmlns:a16="http://schemas.microsoft.com/office/drawing/2014/main" id="{00000000-0008-0000-0600-00005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90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95</xdr:row>
      <xdr:rowOff>0</xdr:rowOff>
    </xdr:from>
    <xdr:ext cx="152400" cy="152400"/>
    <xdr:pic>
      <xdr:nvPicPr>
        <xdr:cNvPr id="92" name="Picture 91" descr="Category +[@$5F&amp;!)@]">
          <a:extLst>
            <a:ext uri="{FF2B5EF4-FFF2-40B4-BE49-F238E27FC236}">
              <a16:creationId xmlns:a16="http://schemas.microsoft.com/office/drawing/2014/main" id="{00000000-0008-0000-0600-00005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809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96</xdr:row>
      <xdr:rowOff>0</xdr:rowOff>
    </xdr:from>
    <xdr:ext cx="152400" cy="152400"/>
    <xdr:pic>
      <xdr:nvPicPr>
        <xdr:cNvPr id="93" name="Picture 92" descr="Category +[@$5F&amp;!)A]">
          <a:extLst>
            <a:ext uri="{FF2B5EF4-FFF2-40B4-BE49-F238E27FC236}">
              <a16:creationId xmlns:a16="http://schemas.microsoft.com/office/drawing/2014/main" id="{00000000-0008-0000-0600-00005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828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97</xdr:row>
      <xdr:rowOff>0</xdr:rowOff>
    </xdr:from>
    <xdr:ext cx="152400" cy="152400"/>
    <xdr:pic>
      <xdr:nvPicPr>
        <xdr:cNvPr id="94" name="Picture 93" descr="Category +[@$5F&amp;!)B]">
          <a:extLst>
            <a:ext uri="{FF2B5EF4-FFF2-40B4-BE49-F238E27FC236}">
              <a16:creationId xmlns:a16="http://schemas.microsoft.com/office/drawing/2014/main" id="{00000000-0008-0000-0600-00005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847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98</xdr:row>
      <xdr:rowOff>0</xdr:rowOff>
    </xdr:from>
    <xdr:ext cx="152400" cy="152400"/>
    <xdr:pic>
      <xdr:nvPicPr>
        <xdr:cNvPr id="95" name="Picture 94" descr="Category +[@$5F&amp;!)C]">
          <a:extLst>
            <a:ext uri="{FF2B5EF4-FFF2-40B4-BE49-F238E27FC236}">
              <a16:creationId xmlns:a16="http://schemas.microsoft.com/office/drawing/2014/main" id="{00000000-0008-0000-0600-00005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866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99</xdr:row>
      <xdr:rowOff>0</xdr:rowOff>
    </xdr:from>
    <xdr:ext cx="152400" cy="152400"/>
    <xdr:pic>
      <xdr:nvPicPr>
        <xdr:cNvPr id="96" name="Picture 95" descr="Category +[@$5F&amp;!)D]">
          <a:extLst>
            <a:ext uri="{FF2B5EF4-FFF2-40B4-BE49-F238E27FC236}">
              <a16:creationId xmlns:a16="http://schemas.microsoft.com/office/drawing/2014/main" id="{00000000-0008-0000-0600-00006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885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100</xdr:row>
      <xdr:rowOff>0</xdr:rowOff>
    </xdr:from>
    <xdr:ext cx="152400" cy="152400"/>
    <xdr:pic>
      <xdr:nvPicPr>
        <xdr:cNvPr id="97" name="Picture 96" descr="Category +[@$5F&amp;!)E]">
          <a:extLst>
            <a:ext uri="{FF2B5EF4-FFF2-40B4-BE49-F238E27FC236}">
              <a16:creationId xmlns:a16="http://schemas.microsoft.com/office/drawing/2014/main" id="{00000000-0008-0000-0600-00006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90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101</xdr:row>
      <xdr:rowOff>0</xdr:rowOff>
    </xdr:from>
    <xdr:ext cx="152400" cy="152400"/>
    <xdr:pic>
      <xdr:nvPicPr>
        <xdr:cNvPr id="98" name="Picture 97" descr="Category +[@$5F&amp;!)F]">
          <a:extLst>
            <a:ext uri="{FF2B5EF4-FFF2-40B4-BE49-F238E27FC236}">
              <a16:creationId xmlns:a16="http://schemas.microsoft.com/office/drawing/2014/main" id="{00000000-0008-0000-0600-00006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924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102</xdr:row>
      <xdr:rowOff>0</xdr:rowOff>
    </xdr:from>
    <xdr:ext cx="152400" cy="152400"/>
    <xdr:pic>
      <xdr:nvPicPr>
        <xdr:cNvPr id="99" name="Picture 98" descr="Category +[@$5F&amp;!)G]">
          <a:extLst>
            <a:ext uri="{FF2B5EF4-FFF2-40B4-BE49-F238E27FC236}">
              <a16:creationId xmlns:a16="http://schemas.microsoft.com/office/drawing/2014/main" id="{00000000-0008-0000-0600-00006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943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103</xdr:row>
      <xdr:rowOff>0</xdr:rowOff>
    </xdr:from>
    <xdr:ext cx="152400" cy="152400"/>
    <xdr:pic>
      <xdr:nvPicPr>
        <xdr:cNvPr id="100" name="Picture 99" descr="Category +[@$5F&amp;!)H]">
          <a:extLst>
            <a:ext uri="{FF2B5EF4-FFF2-40B4-BE49-F238E27FC236}">
              <a16:creationId xmlns:a16="http://schemas.microsoft.com/office/drawing/2014/main" id="{00000000-0008-0000-0600-00006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962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104</xdr:row>
      <xdr:rowOff>0</xdr:rowOff>
    </xdr:from>
    <xdr:ext cx="152400" cy="152400"/>
    <xdr:pic>
      <xdr:nvPicPr>
        <xdr:cNvPr id="101" name="Picture 100" descr="Category +[@$5F&amp;!)I]">
          <a:extLst>
            <a:ext uri="{FF2B5EF4-FFF2-40B4-BE49-F238E27FC236}">
              <a16:creationId xmlns:a16="http://schemas.microsoft.com/office/drawing/2014/main" id="{00000000-0008-0000-0600-00006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981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105</xdr:row>
      <xdr:rowOff>0</xdr:rowOff>
    </xdr:from>
    <xdr:ext cx="152400" cy="152400"/>
    <xdr:pic>
      <xdr:nvPicPr>
        <xdr:cNvPr id="102" name="Picture 101" descr="Category +[@$5F&amp;!)J]">
          <a:extLst>
            <a:ext uri="{FF2B5EF4-FFF2-40B4-BE49-F238E27FC236}">
              <a16:creationId xmlns:a16="http://schemas.microsoft.com/office/drawing/2014/main" id="{00000000-0008-0000-0600-00006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000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106</xdr:row>
      <xdr:rowOff>0</xdr:rowOff>
    </xdr:from>
    <xdr:ext cx="152400" cy="152400"/>
    <xdr:pic>
      <xdr:nvPicPr>
        <xdr:cNvPr id="103" name="Picture 102" descr="Category +[@$5F&amp;!)K]">
          <a:extLst>
            <a:ext uri="{FF2B5EF4-FFF2-40B4-BE49-F238E27FC236}">
              <a16:creationId xmlns:a16="http://schemas.microsoft.com/office/drawing/2014/main" id="{00000000-0008-0000-0600-00006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019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107</xdr:row>
      <xdr:rowOff>0</xdr:rowOff>
    </xdr:from>
    <xdr:ext cx="152400" cy="152400"/>
    <xdr:pic>
      <xdr:nvPicPr>
        <xdr:cNvPr id="104" name="Picture 103" descr="Category +[@$5F&amp;!)L]">
          <a:extLst>
            <a:ext uri="{FF2B5EF4-FFF2-40B4-BE49-F238E27FC236}">
              <a16:creationId xmlns:a16="http://schemas.microsoft.com/office/drawing/2014/main" id="{00000000-0008-0000-0600-00006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038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108</xdr:row>
      <xdr:rowOff>0</xdr:rowOff>
    </xdr:from>
    <xdr:ext cx="152400" cy="152400"/>
    <xdr:pic>
      <xdr:nvPicPr>
        <xdr:cNvPr id="105" name="Picture 104" descr="Category +[@$5F&amp;!)M]">
          <a:extLst>
            <a:ext uri="{FF2B5EF4-FFF2-40B4-BE49-F238E27FC236}">
              <a16:creationId xmlns:a16="http://schemas.microsoft.com/office/drawing/2014/main" id="{00000000-0008-0000-0600-00006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057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109</xdr:row>
      <xdr:rowOff>0</xdr:rowOff>
    </xdr:from>
    <xdr:ext cx="152400" cy="152400"/>
    <xdr:pic>
      <xdr:nvPicPr>
        <xdr:cNvPr id="106" name="Picture 105" descr="View +[@$5F&amp;!)N]">
          <a:extLst>
            <a:ext uri="{FF2B5EF4-FFF2-40B4-BE49-F238E27FC236}">
              <a16:creationId xmlns:a16="http://schemas.microsoft.com/office/drawing/2014/main" id="{00000000-0008-0000-0600-00006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2076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110</xdr:row>
      <xdr:rowOff>0</xdr:rowOff>
    </xdr:from>
    <xdr:ext cx="152400" cy="152400"/>
    <xdr:pic>
      <xdr:nvPicPr>
        <xdr:cNvPr id="107" name="Picture 106" descr="Weakness Class +[@$5F&amp;!)O]">
          <a:extLst>
            <a:ext uri="{FF2B5EF4-FFF2-40B4-BE49-F238E27FC236}">
              <a16:creationId xmlns:a16="http://schemas.microsoft.com/office/drawing/2014/main" id="{00000000-0008-0000-0600-00006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2095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111</xdr:row>
      <xdr:rowOff>0</xdr:rowOff>
    </xdr:from>
    <xdr:ext cx="152400" cy="152400"/>
    <xdr:pic>
      <xdr:nvPicPr>
        <xdr:cNvPr id="108" name="Picture 107" descr="Category +[@$5F&amp;!)P]">
          <a:extLst>
            <a:ext uri="{FF2B5EF4-FFF2-40B4-BE49-F238E27FC236}">
              <a16:creationId xmlns:a16="http://schemas.microsoft.com/office/drawing/2014/main" id="{00000000-0008-0000-0600-00006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114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112</xdr:row>
      <xdr:rowOff>0</xdr:rowOff>
    </xdr:from>
    <xdr:ext cx="152400" cy="152400"/>
    <xdr:pic>
      <xdr:nvPicPr>
        <xdr:cNvPr id="109" name="Picture 108" descr="Category +[@$5F&amp;!)Q]">
          <a:extLst>
            <a:ext uri="{FF2B5EF4-FFF2-40B4-BE49-F238E27FC236}">
              <a16:creationId xmlns:a16="http://schemas.microsoft.com/office/drawing/2014/main" id="{00000000-0008-0000-0600-00006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133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113</xdr:row>
      <xdr:rowOff>0</xdr:rowOff>
    </xdr:from>
    <xdr:ext cx="152400" cy="152400"/>
    <xdr:pic>
      <xdr:nvPicPr>
        <xdr:cNvPr id="110" name="Picture 109" descr="Category +[@$5F&amp;!)R]">
          <a:extLst>
            <a:ext uri="{FF2B5EF4-FFF2-40B4-BE49-F238E27FC236}">
              <a16:creationId xmlns:a16="http://schemas.microsoft.com/office/drawing/2014/main" id="{00000000-0008-0000-0600-00006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152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114</xdr:row>
      <xdr:rowOff>0</xdr:rowOff>
    </xdr:from>
    <xdr:ext cx="152400" cy="152400"/>
    <xdr:pic>
      <xdr:nvPicPr>
        <xdr:cNvPr id="111" name="Picture 110" descr="Weakness Variant +[@$5F&amp;!)S]">
          <a:extLst>
            <a:ext uri="{FF2B5EF4-FFF2-40B4-BE49-F238E27FC236}">
              <a16:creationId xmlns:a16="http://schemas.microsoft.com/office/drawing/2014/main" id="{00000000-0008-0000-0600-00006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171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115</xdr:row>
      <xdr:rowOff>0</xdr:rowOff>
    </xdr:from>
    <xdr:ext cx="152400" cy="152400"/>
    <xdr:pic>
      <xdr:nvPicPr>
        <xdr:cNvPr id="112" name="Picture 111" descr="Weakness Variant +[@$5F&amp;!)T]">
          <a:extLst>
            <a:ext uri="{FF2B5EF4-FFF2-40B4-BE49-F238E27FC236}">
              <a16:creationId xmlns:a16="http://schemas.microsoft.com/office/drawing/2014/main" id="{00000000-0008-0000-0600-00007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190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116</xdr:row>
      <xdr:rowOff>0</xdr:rowOff>
    </xdr:from>
    <xdr:ext cx="152400" cy="152400"/>
    <xdr:pic>
      <xdr:nvPicPr>
        <xdr:cNvPr id="113" name="Picture 112" descr="Weakness Base +[@$5F&amp;!)U]">
          <a:extLst>
            <a:ext uri="{FF2B5EF4-FFF2-40B4-BE49-F238E27FC236}">
              <a16:creationId xmlns:a16="http://schemas.microsoft.com/office/drawing/2014/main" id="{00000000-0008-0000-0600-00007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209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117</xdr:row>
      <xdr:rowOff>0</xdr:rowOff>
    </xdr:from>
    <xdr:ext cx="152400" cy="152400"/>
    <xdr:pic>
      <xdr:nvPicPr>
        <xdr:cNvPr id="114" name="Picture 113" descr="Weakness Variant +[@$5F&amp;!)V]">
          <a:extLst>
            <a:ext uri="{FF2B5EF4-FFF2-40B4-BE49-F238E27FC236}">
              <a16:creationId xmlns:a16="http://schemas.microsoft.com/office/drawing/2014/main" id="{00000000-0008-0000-0600-000072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228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118</xdr:row>
      <xdr:rowOff>0</xdr:rowOff>
    </xdr:from>
    <xdr:ext cx="152400" cy="152400"/>
    <xdr:pic>
      <xdr:nvPicPr>
        <xdr:cNvPr id="115" name="Picture 114" descr="Weakness Variant +[@$5F&amp;!)W]">
          <a:extLst>
            <a:ext uri="{FF2B5EF4-FFF2-40B4-BE49-F238E27FC236}">
              <a16:creationId xmlns:a16="http://schemas.microsoft.com/office/drawing/2014/main" id="{00000000-0008-0000-0600-00007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247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119</xdr:row>
      <xdr:rowOff>0</xdr:rowOff>
    </xdr:from>
    <xdr:ext cx="152400" cy="152400"/>
    <xdr:pic>
      <xdr:nvPicPr>
        <xdr:cNvPr id="116" name="Picture 115" descr="Weakness Variant +[@$5F&amp;!)X]">
          <a:extLst>
            <a:ext uri="{FF2B5EF4-FFF2-40B4-BE49-F238E27FC236}">
              <a16:creationId xmlns:a16="http://schemas.microsoft.com/office/drawing/2014/main" id="{00000000-0008-0000-0600-00007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266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120</xdr:row>
      <xdr:rowOff>0</xdr:rowOff>
    </xdr:from>
    <xdr:ext cx="152400" cy="152400"/>
    <xdr:pic>
      <xdr:nvPicPr>
        <xdr:cNvPr id="117" name="Picture 116" descr="Weakness Variant +[@$5F&amp;!)Y]">
          <a:extLst>
            <a:ext uri="{FF2B5EF4-FFF2-40B4-BE49-F238E27FC236}">
              <a16:creationId xmlns:a16="http://schemas.microsoft.com/office/drawing/2014/main" id="{00000000-0008-0000-0600-00007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286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121</xdr:row>
      <xdr:rowOff>0</xdr:rowOff>
    </xdr:from>
    <xdr:ext cx="152400" cy="152400"/>
    <xdr:pic>
      <xdr:nvPicPr>
        <xdr:cNvPr id="118" name="Picture 117" descr="Weakness Base +[@$5F&amp;!)Z]">
          <a:extLst>
            <a:ext uri="{FF2B5EF4-FFF2-40B4-BE49-F238E27FC236}">
              <a16:creationId xmlns:a16="http://schemas.microsoft.com/office/drawing/2014/main" id="{00000000-0008-0000-0600-00007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305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122</xdr:row>
      <xdr:rowOff>0</xdr:rowOff>
    </xdr:from>
    <xdr:ext cx="152400" cy="152400"/>
    <xdr:pic>
      <xdr:nvPicPr>
        <xdr:cNvPr id="119" name="Picture 118" descr="Weakness Base +[@$5F&amp;!)[]">
          <a:extLst>
            <a:ext uri="{FF2B5EF4-FFF2-40B4-BE49-F238E27FC236}">
              <a16:creationId xmlns:a16="http://schemas.microsoft.com/office/drawing/2014/main" id="{00000000-0008-0000-0600-00007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324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123</xdr:row>
      <xdr:rowOff>0</xdr:rowOff>
    </xdr:from>
    <xdr:ext cx="152400" cy="152400"/>
    <xdr:pic>
      <xdr:nvPicPr>
        <xdr:cNvPr id="120" name="Picture 119" descr="Weakness Variant +[@$5F&amp;!)\]">
          <a:extLst>
            <a:ext uri="{FF2B5EF4-FFF2-40B4-BE49-F238E27FC236}">
              <a16:creationId xmlns:a16="http://schemas.microsoft.com/office/drawing/2014/main" id="{00000000-0008-0000-0600-00007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343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124</xdr:row>
      <xdr:rowOff>0</xdr:rowOff>
    </xdr:from>
    <xdr:ext cx="152400" cy="152400"/>
    <xdr:pic>
      <xdr:nvPicPr>
        <xdr:cNvPr id="121" name="Picture 120" descr="Weakness Variant +[@$5F&amp;!)]]">
          <a:extLst>
            <a:ext uri="{FF2B5EF4-FFF2-40B4-BE49-F238E27FC236}">
              <a16:creationId xmlns:a16="http://schemas.microsoft.com/office/drawing/2014/main" id="{00000000-0008-0000-0600-000079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362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125</xdr:row>
      <xdr:rowOff>0</xdr:rowOff>
    </xdr:from>
    <xdr:ext cx="152400" cy="152400"/>
    <xdr:pic>
      <xdr:nvPicPr>
        <xdr:cNvPr id="122" name="Picture 121" descr="Category +[@$5F&amp;!)^]">
          <a:extLst>
            <a:ext uri="{FF2B5EF4-FFF2-40B4-BE49-F238E27FC236}">
              <a16:creationId xmlns:a16="http://schemas.microsoft.com/office/drawing/2014/main" id="{00000000-0008-0000-0600-00007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381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126</xdr:row>
      <xdr:rowOff>0</xdr:rowOff>
    </xdr:from>
    <xdr:ext cx="152400" cy="152400"/>
    <xdr:pic>
      <xdr:nvPicPr>
        <xdr:cNvPr id="123" name="Picture 122" descr="Weakness Class +[@$5F&amp;!)_]">
          <a:extLst>
            <a:ext uri="{FF2B5EF4-FFF2-40B4-BE49-F238E27FC236}">
              <a16:creationId xmlns:a16="http://schemas.microsoft.com/office/drawing/2014/main" id="{00000000-0008-0000-0600-00007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2400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127</xdr:row>
      <xdr:rowOff>0</xdr:rowOff>
    </xdr:from>
    <xdr:ext cx="152400" cy="152400"/>
    <xdr:pic>
      <xdr:nvPicPr>
        <xdr:cNvPr id="124" name="Picture 123" descr="Weakness Base +[@$5F&amp;!)`]">
          <a:extLst>
            <a:ext uri="{FF2B5EF4-FFF2-40B4-BE49-F238E27FC236}">
              <a16:creationId xmlns:a16="http://schemas.microsoft.com/office/drawing/2014/main" id="{00000000-0008-0000-0600-00007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419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128</xdr:row>
      <xdr:rowOff>0</xdr:rowOff>
    </xdr:from>
    <xdr:ext cx="152400" cy="152400"/>
    <xdr:pic>
      <xdr:nvPicPr>
        <xdr:cNvPr id="125" name="Picture 124" descr="Weakness Variant +[@$5F&amp;!)a]">
          <a:extLst>
            <a:ext uri="{FF2B5EF4-FFF2-40B4-BE49-F238E27FC236}">
              <a16:creationId xmlns:a16="http://schemas.microsoft.com/office/drawing/2014/main" id="{00000000-0008-0000-0600-00007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438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129</xdr:row>
      <xdr:rowOff>0</xdr:rowOff>
    </xdr:from>
    <xdr:ext cx="152400" cy="152400"/>
    <xdr:pic>
      <xdr:nvPicPr>
        <xdr:cNvPr id="126" name="Picture 125" descr="Weakness Variant +[@$5F&amp;!)b]">
          <a:extLst>
            <a:ext uri="{FF2B5EF4-FFF2-40B4-BE49-F238E27FC236}">
              <a16:creationId xmlns:a16="http://schemas.microsoft.com/office/drawing/2014/main" id="{00000000-0008-0000-0600-00007E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457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130</xdr:row>
      <xdr:rowOff>0</xdr:rowOff>
    </xdr:from>
    <xdr:ext cx="152400" cy="152400"/>
    <xdr:pic>
      <xdr:nvPicPr>
        <xdr:cNvPr id="127" name="Picture 126" descr="Weakness Variant +[@$5F&amp;!)c]">
          <a:extLst>
            <a:ext uri="{FF2B5EF4-FFF2-40B4-BE49-F238E27FC236}">
              <a16:creationId xmlns:a16="http://schemas.microsoft.com/office/drawing/2014/main" id="{00000000-0008-0000-0600-00007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476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131</xdr:row>
      <xdr:rowOff>0</xdr:rowOff>
    </xdr:from>
    <xdr:ext cx="152400" cy="152400"/>
    <xdr:pic>
      <xdr:nvPicPr>
        <xdr:cNvPr id="128" name="Picture 127" descr="Weakness Base +[@$5F&amp;!)d]">
          <a:extLst>
            <a:ext uri="{FF2B5EF4-FFF2-40B4-BE49-F238E27FC236}">
              <a16:creationId xmlns:a16="http://schemas.microsoft.com/office/drawing/2014/main" id="{00000000-0008-0000-0600-00008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495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132</xdr:row>
      <xdr:rowOff>0</xdr:rowOff>
    </xdr:from>
    <xdr:ext cx="152400" cy="152400"/>
    <xdr:pic>
      <xdr:nvPicPr>
        <xdr:cNvPr id="129" name="Picture 128" descr="Weakness Base +[@$5F&amp;!)e]">
          <a:extLst>
            <a:ext uri="{FF2B5EF4-FFF2-40B4-BE49-F238E27FC236}">
              <a16:creationId xmlns:a16="http://schemas.microsoft.com/office/drawing/2014/main" id="{00000000-0008-0000-0600-00008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514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133</xdr:row>
      <xdr:rowOff>0</xdr:rowOff>
    </xdr:from>
    <xdr:ext cx="152400" cy="152400"/>
    <xdr:pic>
      <xdr:nvPicPr>
        <xdr:cNvPr id="130" name="Picture 129" descr="Weakness Base +[@$5F&amp;!)f]">
          <a:extLst>
            <a:ext uri="{FF2B5EF4-FFF2-40B4-BE49-F238E27FC236}">
              <a16:creationId xmlns:a16="http://schemas.microsoft.com/office/drawing/2014/main" id="{00000000-0008-0000-0600-00008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533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134</xdr:row>
      <xdr:rowOff>0</xdr:rowOff>
    </xdr:from>
    <xdr:ext cx="152400" cy="152400"/>
    <xdr:pic>
      <xdr:nvPicPr>
        <xdr:cNvPr id="131" name="Picture 130" descr="View +[@$5F&amp;!)g]">
          <a:extLst>
            <a:ext uri="{FF2B5EF4-FFF2-40B4-BE49-F238E27FC236}">
              <a16:creationId xmlns:a16="http://schemas.microsoft.com/office/drawing/2014/main" id="{00000000-0008-0000-0600-00008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2552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135</xdr:row>
      <xdr:rowOff>0</xdr:rowOff>
    </xdr:from>
    <xdr:ext cx="152400" cy="152400"/>
    <xdr:pic>
      <xdr:nvPicPr>
        <xdr:cNvPr id="132" name="Picture 131" descr="View +[@$5F&amp;!)h]">
          <a:extLst>
            <a:ext uri="{FF2B5EF4-FFF2-40B4-BE49-F238E27FC236}">
              <a16:creationId xmlns:a16="http://schemas.microsoft.com/office/drawing/2014/main" id="{00000000-0008-0000-0600-000084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2571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136</xdr:row>
      <xdr:rowOff>0</xdr:rowOff>
    </xdr:from>
    <xdr:ext cx="152400" cy="152400"/>
    <xdr:pic>
      <xdr:nvPicPr>
        <xdr:cNvPr id="133" name="Picture 132" descr="Category +[@$5F&amp;!)i]">
          <a:extLst>
            <a:ext uri="{FF2B5EF4-FFF2-40B4-BE49-F238E27FC236}">
              <a16:creationId xmlns:a16="http://schemas.microsoft.com/office/drawing/2014/main" id="{00000000-0008-0000-0600-00008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590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137</xdr:row>
      <xdr:rowOff>0</xdr:rowOff>
    </xdr:from>
    <xdr:ext cx="152400" cy="152400"/>
    <xdr:pic>
      <xdr:nvPicPr>
        <xdr:cNvPr id="134" name="Picture 133" descr="Weakness Class +[@$5F&amp;!)j]">
          <a:extLst>
            <a:ext uri="{FF2B5EF4-FFF2-40B4-BE49-F238E27FC236}">
              <a16:creationId xmlns:a16="http://schemas.microsoft.com/office/drawing/2014/main" id="{00000000-0008-0000-0600-00008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260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138</xdr:row>
      <xdr:rowOff>0</xdr:rowOff>
    </xdr:from>
    <xdr:ext cx="152400" cy="152400"/>
    <xdr:pic>
      <xdr:nvPicPr>
        <xdr:cNvPr id="135" name="Picture 134" descr="Category +[@$5F&amp;!)k]">
          <a:extLst>
            <a:ext uri="{FF2B5EF4-FFF2-40B4-BE49-F238E27FC236}">
              <a16:creationId xmlns:a16="http://schemas.microsoft.com/office/drawing/2014/main" id="{00000000-0008-0000-0600-00008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628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139</xdr:row>
      <xdr:rowOff>0</xdr:rowOff>
    </xdr:from>
    <xdr:ext cx="152400" cy="152400"/>
    <xdr:pic>
      <xdr:nvPicPr>
        <xdr:cNvPr id="136" name="Picture 135" descr="Weakness Class +[@$5F&amp;!)l]">
          <a:extLst>
            <a:ext uri="{FF2B5EF4-FFF2-40B4-BE49-F238E27FC236}">
              <a16:creationId xmlns:a16="http://schemas.microsoft.com/office/drawing/2014/main" id="{00000000-0008-0000-0600-00008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2647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140</xdr:row>
      <xdr:rowOff>0</xdr:rowOff>
    </xdr:from>
    <xdr:ext cx="152400" cy="152400"/>
    <xdr:pic>
      <xdr:nvPicPr>
        <xdr:cNvPr id="137" name="Picture 136" descr="Weakness Base +[@$5F&amp;!)m]">
          <a:extLst>
            <a:ext uri="{FF2B5EF4-FFF2-40B4-BE49-F238E27FC236}">
              <a16:creationId xmlns:a16="http://schemas.microsoft.com/office/drawing/2014/main" id="{00000000-0008-0000-0600-00008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667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141</xdr:row>
      <xdr:rowOff>0</xdr:rowOff>
    </xdr:from>
    <xdr:ext cx="152400" cy="152400"/>
    <xdr:pic>
      <xdr:nvPicPr>
        <xdr:cNvPr id="138" name="Picture 137" descr="Weakness Class +[@$5F&amp;!)n]">
          <a:extLst>
            <a:ext uri="{FF2B5EF4-FFF2-40B4-BE49-F238E27FC236}">
              <a16:creationId xmlns:a16="http://schemas.microsoft.com/office/drawing/2014/main" id="{00000000-0008-0000-0600-00008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2686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142</xdr:row>
      <xdr:rowOff>0</xdr:rowOff>
    </xdr:from>
    <xdr:ext cx="152400" cy="152400"/>
    <xdr:pic>
      <xdr:nvPicPr>
        <xdr:cNvPr id="139" name="Picture 138" descr="Weakness Base +[@$5F&amp;!)o]">
          <a:extLst>
            <a:ext uri="{FF2B5EF4-FFF2-40B4-BE49-F238E27FC236}">
              <a16:creationId xmlns:a16="http://schemas.microsoft.com/office/drawing/2014/main" id="{00000000-0008-0000-0600-00008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705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143</xdr:row>
      <xdr:rowOff>0</xdr:rowOff>
    </xdr:from>
    <xdr:ext cx="152400" cy="152400"/>
    <xdr:pic>
      <xdr:nvPicPr>
        <xdr:cNvPr id="140" name="Picture 139" descr="Weakness Base +[@$5F&amp;!)p]">
          <a:extLst>
            <a:ext uri="{FF2B5EF4-FFF2-40B4-BE49-F238E27FC236}">
              <a16:creationId xmlns:a16="http://schemas.microsoft.com/office/drawing/2014/main" id="{00000000-0008-0000-0600-00008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724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144</xdr:row>
      <xdr:rowOff>0</xdr:rowOff>
    </xdr:from>
    <xdr:ext cx="152400" cy="152400"/>
    <xdr:pic>
      <xdr:nvPicPr>
        <xdr:cNvPr id="141" name="Picture 140" descr="Weakness Variant +[@$5F&amp;!)q]">
          <a:extLst>
            <a:ext uri="{FF2B5EF4-FFF2-40B4-BE49-F238E27FC236}">
              <a16:creationId xmlns:a16="http://schemas.microsoft.com/office/drawing/2014/main" id="{00000000-0008-0000-0600-00008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743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145</xdr:row>
      <xdr:rowOff>0</xdr:rowOff>
    </xdr:from>
    <xdr:ext cx="152400" cy="152400"/>
    <xdr:pic>
      <xdr:nvPicPr>
        <xdr:cNvPr id="142" name="Picture 141" descr="Weakness Base +[@$5F&amp;!)r]">
          <a:extLst>
            <a:ext uri="{FF2B5EF4-FFF2-40B4-BE49-F238E27FC236}">
              <a16:creationId xmlns:a16="http://schemas.microsoft.com/office/drawing/2014/main" id="{00000000-0008-0000-0600-00008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762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146</xdr:row>
      <xdr:rowOff>0</xdr:rowOff>
    </xdr:from>
    <xdr:ext cx="152400" cy="152400"/>
    <xdr:pic>
      <xdr:nvPicPr>
        <xdr:cNvPr id="143" name="Picture 142" descr="Weakness Base +[@$5F&amp;!)s]">
          <a:extLst>
            <a:ext uri="{FF2B5EF4-FFF2-40B4-BE49-F238E27FC236}">
              <a16:creationId xmlns:a16="http://schemas.microsoft.com/office/drawing/2014/main" id="{00000000-0008-0000-0600-00008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781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147</xdr:row>
      <xdr:rowOff>0</xdr:rowOff>
    </xdr:from>
    <xdr:ext cx="152400" cy="152400"/>
    <xdr:pic>
      <xdr:nvPicPr>
        <xdr:cNvPr id="144" name="Picture 143" descr="Category +[@$5F&amp;!)t]">
          <a:extLst>
            <a:ext uri="{FF2B5EF4-FFF2-40B4-BE49-F238E27FC236}">
              <a16:creationId xmlns:a16="http://schemas.microsoft.com/office/drawing/2014/main" id="{00000000-0008-0000-0600-00009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800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148</xdr:row>
      <xdr:rowOff>0</xdr:rowOff>
    </xdr:from>
    <xdr:ext cx="152400" cy="152400"/>
    <xdr:pic>
      <xdr:nvPicPr>
        <xdr:cNvPr id="145" name="Picture 144" descr="Weakness Variant +[@$5F&amp;!)u]">
          <a:extLst>
            <a:ext uri="{FF2B5EF4-FFF2-40B4-BE49-F238E27FC236}">
              <a16:creationId xmlns:a16="http://schemas.microsoft.com/office/drawing/2014/main" id="{00000000-0008-0000-0600-000091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819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149</xdr:row>
      <xdr:rowOff>0</xdr:rowOff>
    </xdr:from>
    <xdr:ext cx="152400" cy="152400"/>
    <xdr:pic>
      <xdr:nvPicPr>
        <xdr:cNvPr id="146" name="Picture 145" descr="Weakness Variant +[@$5F&amp;!)v]">
          <a:extLst>
            <a:ext uri="{FF2B5EF4-FFF2-40B4-BE49-F238E27FC236}">
              <a16:creationId xmlns:a16="http://schemas.microsoft.com/office/drawing/2014/main" id="{00000000-0008-0000-0600-000092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838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150</xdr:row>
      <xdr:rowOff>0</xdr:rowOff>
    </xdr:from>
    <xdr:ext cx="142875" cy="133350"/>
    <xdr:pic>
      <xdr:nvPicPr>
        <xdr:cNvPr id="147" name="Picture 146" descr="Compound Element: Composite +[@$5F&amp;!)w]">
          <a:extLst>
            <a:ext uri="{FF2B5EF4-FFF2-40B4-BE49-F238E27FC236}">
              <a16:creationId xmlns:a16="http://schemas.microsoft.com/office/drawing/2014/main" id="{00000000-0008-0000-0600-000093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43075" y="28575000"/>
          <a:ext cx="142875"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151</xdr:row>
      <xdr:rowOff>0</xdr:rowOff>
    </xdr:from>
    <xdr:ext cx="152400" cy="152400"/>
    <xdr:pic>
      <xdr:nvPicPr>
        <xdr:cNvPr id="148" name="Picture 147" descr="Category +[@$5F&amp;!)x]">
          <a:extLst>
            <a:ext uri="{FF2B5EF4-FFF2-40B4-BE49-F238E27FC236}">
              <a16:creationId xmlns:a16="http://schemas.microsoft.com/office/drawing/2014/main" id="{00000000-0008-0000-0600-00009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876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152</xdr:row>
      <xdr:rowOff>0</xdr:rowOff>
    </xdr:from>
    <xdr:ext cx="152400" cy="152400"/>
    <xdr:pic>
      <xdr:nvPicPr>
        <xdr:cNvPr id="149" name="Picture 148" descr="View +[@$5F&amp;!)y]">
          <a:extLst>
            <a:ext uri="{FF2B5EF4-FFF2-40B4-BE49-F238E27FC236}">
              <a16:creationId xmlns:a16="http://schemas.microsoft.com/office/drawing/2014/main" id="{00000000-0008-0000-0600-000095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2895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153</xdr:row>
      <xdr:rowOff>0</xdr:rowOff>
    </xdr:from>
    <xdr:ext cx="152400" cy="152400"/>
    <xdr:pic>
      <xdr:nvPicPr>
        <xdr:cNvPr id="150" name="Picture 149" descr="Weakness Base +[@$5F&amp;!)z]">
          <a:extLst>
            <a:ext uri="{FF2B5EF4-FFF2-40B4-BE49-F238E27FC236}">
              <a16:creationId xmlns:a16="http://schemas.microsoft.com/office/drawing/2014/main" id="{00000000-0008-0000-0600-00009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914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154</xdr:row>
      <xdr:rowOff>0</xdr:rowOff>
    </xdr:from>
    <xdr:ext cx="152400" cy="152400"/>
    <xdr:pic>
      <xdr:nvPicPr>
        <xdr:cNvPr id="151" name="Picture 150" descr="Weakness Base +[@$5F&amp;!){]">
          <a:extLst>
            <a:ext uri="{FF2B5EF4-FFF2-40B4-BE49-F238E27FC236}">
              <a16:creationId xmlns:a16="http://schemas.microsoft.com/office/drawing/2014/main" id="{00000000-0008-0000-0600-00009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933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155</xdr:row>
      <xdr:rowOff>0</xdr:rowOff>
    </xdr:from>
    <xdr:ext cx="152400" cy="152400"/>
    <xdr:pic>
      <xdr:nvPicPr>
        <xdr:cNvPr id="152" name="Picture 151" descr="Category +[@$5F&amp;!)|]">
          <a:extLst>
            <a:ext uri="{FF2B5EF4-FFF2-40B4-BE49-F238E27FC236}">
              <a16:creationId xmlns:a16="http://schemas.microsoft.com/office/drawing/2014/main" id="{00000000-0008-0000-0600-00009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952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156</xdr:row>
      <xdr:rowOff>0</xdr:rowOff>
    </xdr:from>
    <xdr:ext cx="152400" cy="152400"/>
    <xdr:pic>
      <xdr:nvPicPr>
        <xdr:cNvPr id="153" name="Picture 152" descr="Category +[@$5F&amp;!)}]">
          <a:extLst>
            <a:ext uri="{FF2B5EF4-FFF2-40B4-BE49-F238E27FC236}">
              <a16:creationId xmlns:a16="http://schemas.microsoft.com/office/drawing/2014/main" id="{00000000-0008-0000-0600-00009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971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157</xdr:row>
      <xdr:rowOff>0</xdr:rowOff>
    </xdr:from>
    <xdr:ext cx="152400" cy="152400"/>
    <xdr:pic>
      <xdr:nvPicPr>
        <xdr:cNvPr id="154" name="Picture 153" descr="Weakness Variant +[@$5F&amp;!)~]">
          <a:extLst>
            <a:ext uri="{FF2B5EF4-FFF2-40B4-BE49-F238E27FC236}">
              <a16:creationId xmlns:a16="http://schemas.microsoft.com/office/drawing/2014/main" id="{00000000-0008-0000-0600-00009A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990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158</xdr:row>
      <xdr:rowOff>0</xdr:rowOff>
    </xdr:from>
    <xdr:ext cx="152400" cy="152400"/>
    <xdr:pic>
      <xdr:nvPicPr>
        <xdr:cNvPr id="155" name="Picture 154" descr="Weakness Base +[@$5F&amp;!.#]">
          <a:extLst>
            <a:ext uri="{FF2B5EF4-FFF2-40B4-BE49-F238E27FC236}">
              <a16:creationId xmlns:a16="http://schemas.microsoft.com/office/drawing/2014/main" id="{00000000-0008-0000-0600-00009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009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159</xdr:row>
      <xdr:rowOff>0</xdr:rowOff>
    </xdr:from>
    <xdr:ext cx="152400" cy="152400"/>
    <xdr:pic>
      <xdr:nvPicPr>
        <xdr:cNvPr id="156" name="Picture 155" descr="Weakness Base +[@$5F&amp;!.$]">
          <a:extLst>
            <a:ext uri="{FF2B5EF4-FFF2-40B4-BE49-F238E27FC236}">
              <a16:creationId xmlns:a16="http://schemas.microsoft.com/office/drawing/2014/main" id="{00000000-0008-0000-0600-00009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028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160</xdr:row>
      <xdr:rowOff>0</xdr:rowOff>
    </xdr:from>
    <xdr:ext cx="152400" cy="152400"/>
    <xdr:pic>
      <xdr:nvPicPr>
        <xdr:cNvPr id="157" name="Picture 156" descr="Weakness Base +[@$5F&amp;!.%]">
          <a:extLst>
            <a:ext uri="{FF2B5EF4-FFF2-40B4-BE49-F238E27FC236}">
              <a16:creationId xmlns:a16="http://schemas.microsoft.com/office/drawing/2014/main" id="{00000000-0008-0000-0600-00009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048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161</xdr:row>
      <xdr:rowOff>0</xdr:rowOff>
    </xdr:from>
    <xdr:ext cx="152400" cy="152400"/>
    <xdr:pic>
      <xdr:nvPicPr>
        <xdr:cNvPr id="158" name="Picture 157" descr="Weakness Base +[@$5F&amp;!.&amp;]">
          <a:extLst>
            <a:ext uri="{FF2B5EF4-FFF2-40B4-BE49-F238E27FC236}">
              <a16:creationId xmlns:a16="http://schemas.microsoft.com/office/drawing/2014/main" id="{00000000-0008-0000-0600-00009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067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162</xdr:row>
      <xdr:rowOff>0</xdr:rowOff>
    </xdr:from>
    <xdr:ext cx="152400" cy="152400"/>
    <xdr:pic>
      <xdr:nvPicPr>
        <xdr:cNvPr id="159" name="Picture 158" descr="Weakness Base +[@$5F&amp;!.']">
          <a:extLst>
            <a:ext uri="{FF2B5EF4-FFF2-40B4-BE49-F238E27FC236}">
              <a16:creationId xmlns:a16="http://schemas.microsoft.com/office/drawing/2014/main" id="{00000000-0008-0000-0600-00009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086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163</xdr:row>
      <xdr:rowOff>0</xdr:rowOff>
    </xdr:from>
    <xdr:ext cx="114300" cy="114300"/>
    <xdr:pic>
      <xdr:nvPicPr>
        <xdr:cNvPr id="160" name="Picture 159" descr="Deprecated +[@$5F&amp;!.(]">
          <a:extLst>
            <a:ext uri="{FF2B5EF4-FFF2-40B4-BE49-F238E27FC236}">
              <a16:creationId xmlns:a16="http://schemas.microsoft.com/office/drawing/2014/main" id="{00000000-0008-0000-0600-0000A0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10515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164</xdr:row>
      <xdr:rowOff>0</xdr:rowOff>
    </xdr:from>
    <xdr:ext cx="114300" cy="114300"/>
    <xdr:pic>
      <xdr:nvPicPr>
        <xdr:cNvPr id="161" name="Picture 160" descr="Deprecated +[@$5F&amp;!.)]">
          <a:extLst>
            <a:ext uri="{FF2B5EF4-FFF2-40B4-BE49-F238E27FC236}">
              <a16:creationId xmlns:a16="http://schemas.microsoft.com/office/drawing/2014/main" id="{00000000-0008-0000-0600-0000A1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12420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165</xdr:row>
      <xdr:rowOff>0</xdr:rowOff>
    </xdr:from>
    <xdr:ext cx="114300" cy="114300"/>
    <xdr:pic>
      <xdr:nvPicPr>
        <xdr:cNvPr id="162" name="Picture 161" descr="Deprecated +[@$5F&amp;!..]">
          <a:extLst>
            <a:ext uri="{FF2B5EF4-FFF2-40B4-BE49-F238E27FC236}">
              <a16:creationId xmlns:a16="http://schemas.microsoft.com/office/drawing/2014/main" id="{00000000-0008-0000-0600-0000A2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14325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166</xdr:row>
      <xdr:rowOff>0</xdr:rowOff>
    </xdr:from>
    <xdr:ext cx="114300" cy="114300"/>
    <xdr:pic>
      <xdr:nvPicPr>
        <xdr:cNvPr id="163" name="Picture 162" descr="Deprecated +[@$5F&amp;!./]">
          <a:extLst>
            <a:ext uri="{FF2B5EF4-FFF2-40B4-BE49-F238E27FC236}">
              <a16:creationId xmlns:a16="http://schemas.microsoft.com/office/drawing/2014/main" id="{00000000-0008-0000-0600-0000A3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16230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167</xdr:row>
      <xdr:rowOff>0</xdr:rowOff>
    </xdr:from>
    <xdr:ext cx="114300" cy="114300"/>
    <xdr:pic>
      <xdr:nvPicPr>
        <xdr:cNvPr id="164" name="Picture 163" descr="Deprecated +[@$5F&amp;!.0]">
          <a:extLst>
            <a:ext uri="{FF2B5EF4-FFF2-40B4-BE49-F238E27FC236}">
              <a16:creationId xmlns:a16="http://schemas.microsoft.com/office/drawing/2014/main" id="{00000000-0008-0000-0600-0000A4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18135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168</xdr:row>
      <xdr:rowOff>0</xdr:rowOff>
    </xdr:from>
    <xdr:ext cx="114300" cy="114300"/>
    <xdr:pic>
      <xdr:nvPicPr>
        <xdr:cNvPr id="165" name="Picture 164" descr="Deprecated +[@$5F&amp;!.1]">
          <a:extLst>
            <a:ext uri="{FF2B5EF4-FFF2-40B4-BE49-F238E27FC236}">
              <a16:creationId xmlns:a16="http://schemas.microsoft.com/office/drawing/2014/main" id="{00000000-0008-0000-0600-0000A5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20040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169</xdr:row>
      <xdr:rowOff>0</xdr:rowOff>
    </xdr:from>
    <xdr:ext cx="114300" cy="114300"/>
    <xdr:pic>
      <xdr:nvPicPr>
        <xdr:cNvPr id="166" name="Picture 165" descr="Deprecated +[@$5F&amp;!.2]">
          <a:extLst>
            <a:ext uri="{FF2B5EF4-FFF2-40B4-BE49-F238E27FC236}">
              <a16:creationId xmlns:a16="http://schemas.microsoft.com/office/drawing/2014/main" id="{00000000-0008-0000-0600-0000A6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21945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170</xdr:row>
      <xdr:rowOff>0</xdr:rowOff>
    </xdr:from>
    <xdr:ext cx="114300" cy="114300"/>
    <xdr:pic>
      <xdr:nvPicPr>
        <xdr:cNvPr id="167" name="Picture 166" descr="Deprecated +[@$5F&amp;!.3]">
          <a:extLst>
            <a:ext uri="{FF2B5EF4-FFF2-40B4-BE49-F238E27FC236}">
              <a16:creationId xmlns:a16="http://schemas.microsoft.com/office/drawing/2014/main" id="{00000000-0008-0000-0600-0000A7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23850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171</xdr:row>
      <xdr:rowOff>0</xdr:rowOff>
    </xdr:from>
    <xdr:ext cx="152400" cy="152400"/>
    <xdr:pic>
      <xdr:nvPicPr>
        <xdr:cNvPr id="168" name="Picture 167" descr="View +[@$5F&amp;!.4]">
          <a:extLst>
            <a:ext uri="{FF2B5EF4-FFF2-40B4-BE49-F238E27FC236}">
              <a16:creationId xmlns:a16="http://schemas.microsoft.com/office/drawing/2014/main" id="{00000000-0008-0000-0600-0000A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3257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172</xdr:row>
      <xdr:rowOff>0</xdr:rowOff>
    </xdr:from>
    <xdr:ext cx="114300" cy="114300"/>
    <xdr:pic>
      <xdr:nvPicPr>
        <xdr:cNvPr id="169" name="Picture 168" descr="Deprecated +[@$5F&amp;!.5]">
          <a:extLst>
            <a:ext uri="{FF2B5EF4-FFF2-40B4-BE49-F238E27FC236}">
              <a16:creationId xmlns:a16="http://schemas.microsoft.com/office/drawing/2014/main" id="{00000000-0008-0000-0600-0000A9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27660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173</xdr:row>
      <xdr:rowOff>0</xdr:rowOff>
    </xdr:from>
    <xdr:ext cx="114300" cy="114300"/>
    <xdr:pic>
      <xdr:nvPicPr>
        <xdr:cNvPr id="170" name="Picture 169" descr="Deprecated +[@$5F&amp;!.6]">
          <a:extLst>
            <a:ext uri="{FF2B5EF4-FFF2-40B4-BE49-F238E27FC236}">
              <a16:creationId xmlns:a16="http://schemas.microsoft.com/office/drawing/2014/main" id="{00000000-0008-0000-0600-0000AA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29565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174</xdr:row>
      <xdr:rowOff>0</xdr:rowOff>
    </xdr:from>
    <xdr:ext cx="114300" cy="114300"/>
    <xdr:pic>
      <xdr:nvPicPr>
        <xdr:cNvPr id="171" name="Picture 170" descr="Deprecated +[@$5F&amp;!.7]">
          <a:extLst>
            <a:ext uri="{FF2B5EF4-FFF2-40B4-BE49-F238E27FC236}">
              <a16:creationId xmlns:a16="http://schemas.microsoft.com/office/drawing/2014/main" id="{00000000-0008-0000-0600-0000AB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31470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175</xdr:row>
      <xdr:rowOff>0</xdr:rowOff>
    </xdr:from>
    <xdr:ext cx="114300" cy="114300"/>
    <xdr:pic>
      <xdr:nvPicPr>
        <xdr:cNvPr id="172" name="Picture 171" descr="Deprecated +[@$5F&amp;!.8]">
          <a:extLst>
            <a:ext uri="{FF2B5EF4-FFF2-40B4-BE49-F238E27FC236}">
              <a16:creationId xmlns:a16="http://schemas.microsoft.com/office/drawing/2014/main" id="{00000000-0008-0000-0600-0000A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33375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176</xdr:row>
      <xdr:rowOff>0</xdr:rowOff>
    </xdr:from>
    <xdr:ext cx="114300" cy="114300"/>
    <xdr:pic>
      <xdr:nvPicPr>
        <xdr:cNvPr id="173" name="Picture 172" descr="Deprecated +[@$5F&amp;!.9]">
          <a:extLst>
            <a:ext uri="{FF2B5EF4-FFF2-40B4-BE49-F238E27FC236}">
              <a16:creationId xmlns:a16="http://schemas.microsoft.com/office/drawing/2014/main" id="{00000000-0008-0000-0600-0000AD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35280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177</xdr:row>
      <xdr:rowOff>0</xdr:rowOff>
    </xdr:from>
    <xdr:ext cx="114300" cy="114300"/>
    <xdr:pic>
      <xdr:nvPicPr>
        <xdr:cNvPr id="174" name="Picture 173" descr="Deprecated +[@$5F&amp;!.:]">
          <a:extLst>
            <a:ext uri="{FF2B5EF4-FFF2-40B4-BE49-F238E27FC236}">
              <a16:creationId xmlns:a16="http://schemas.microsoft.com/office/drawing/2014/main" id="{00000000-0008-0000-0600-0000AE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37185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178</xdr:row>
      <xdr:rowOff>0</xdr:rowOff>
    </xdr:from>
    <xdr:ext cx="152400" cy="152400"/>
    <xdr:pic>
      <xdr:nvPicPr>
        <xdr:cNvPr id="175" name="Picture 174" descr="Weakness Variant +[@$5F&amp;!.;]">
          <a:extLst>
            <a:ext uri="{FF2B5EF4-FFF2-40B4-BE49-F238E27FC236}">
              <a16:creationId xmlns:a16="http://schemas.microsoft.com/office/drawing/2014/main" id="{00000000-0008-0000-0600-0000A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3390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179</xdr:row>
      <xdr:rowOff>0</xdr:rowOff>
    </xdr:from>
    <xdr:ext cx="152400" cy="152400"/>
    <xdr:pic>
      <xdr:nvPicPr>
        <xdr:cNvPr id="176" name="Picture 175" descr="Weakness Class +[@$5F&amp;!.&lt;]">
          <a:extLst>
            <a:ext uri="{FF2B5EF4-FFF2-40B4-BE49-F238E27FC236}">
              <a16:creationId xmlns:a16="http://schemas.microsoft.com/office/drawing/2014/main" id="{00000000-0008-0000-0600-0000B0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3409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180</xdr:row>
      <xdr:rowOff>0</xdr:rowOff>
    </xdr:from>
    <xdr:ext cx="152400" cy="152400"/>
    <xdr:pic>
      <xdr:nvPicPr>
        <xdr:cNvPr id="177" name="Picture 176" descr="View +[@$5F&amp;!.=]">
          <a:extLst>
            <a:ext uri="{FF2B5EF4-FFF2-40B4-BE49-F238E27FC236}">
              <a16:creationId xmlns:a16="http://schemas.microsoft.com/office/drawing/2014/main" id="{00000000-0008-0000-0600-0000B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3429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181</xdr:row>
      <xdr:rowOff>0</xdr:rowOff>
    </xdr:from>
    <xdr:ext cx="152400" cy="152400"/>
    <xdr:pic>
      <xdr:nvPicPr>
        <xdr:cNvPr id="178" name="Picture 177" descr="Weakness Base +[@$5F&amp;!.&gt;]">
          <a:extLst>
            <a:ext uri="{FF2B5EF4-FFF2-40B4-BE49-F238E27FC236}">
              <a16:creationId xmlns:a16="http://schemas.microsoft.com/office/drawing/2014/main" id="{00000000-0008-0000-0600-0000B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448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182</xdr:row>
      <xdr:rowOff>0</xdr:rowOff>
    </xdr:from>
    <xdr:ext cx="152400" cy="152400"/>
    <xdr:pic>
      <xdr:nvPicPr>
        <xdr:cNvPr id="179" name="Picture 178" descr="Weakness Base +[@$5F&amp;!.?]">
          <a:extLst>
            <a:ext uri="{FF2B5EF4-FFF2-40B4-BE49-F238E27FC236}">
              <a16:creationId xmlns:a16="http://schemas.microsoft.com/office/drawing/2014/main" id="{00000000-0008-0000-0600-0000B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467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183</xdr:row>
      <xdr:rowOff>0</xdr:rowOff>
    </xdr:from>
    <xdr:ext cx="152400" cy="152400"/>
    <xdr:pic>
      <xdr:nvPicPr>
        <xdr:cNvPr id="180" name="Picture 179" descr="Weakness Base +[@$5F&amp;!.@]">
          <a:extLst>
            <a:ext uri="{FF2B5EF4-FFF2-40B4-BE49-F238E27FC236}">
              <a16:creationId xmlns:a16="http://schemas.microsoft.com/office/drawing/2014/main" id="{00000000-0008-0000-0600-0000B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486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184</xdr:row>
      <xdr:rowOff>0</xdr:rowOff>
    </xdr:from>
    <xdr:ext cx="152400" cy="152400"/>
    <xdr:pic>
      <xdr:nvPicPr>
        <xdr:cNvPr id="181" name="Picture 180" descr="Weakness Variant +[@$5F&amp;!.A]">
          <a:extLst>
            <a:ext uri="{FF2B5EF4-FFF2-40B4-BE49-F238E27FC236}">
              <a16:creationId xmlns:a16="http://schemas.microsoft.com/office/drawing/2014/main" id="{00000000-0008-0000-0600-0000B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3505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185</xdr:row>
      <xdr:rowOff>0</xdr:rowOff>
    </xdr:from>
    <xdr:ext cx="152400" cy="152400"/>
    <xdr:pic>
      <xdr:nvPicPr>
        <xdr:cNvPr id="182" name="Picture 181" descr="Weakness Variant +[@$5F&amp;!.B]">
          <a:extLst>
            <a:ext uri="{FF2B5EF4-FFF2-40B4-BE49-F238E27FC236}">
              <a16:creationId xmlns:a16="http://schemas.microsoft.com/office/drawing/2014/main" id="{00000000-0008-0000-0600-0000B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3524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186</xdr:row>
      <xdr:rowOff>0</xdr:rowOff>
    </xdr:from>
    <xdr:ext cx="152400" cy="152400"/>
    <xdr:pic>
      <xdr:nvPicPr>
        <xdr:cNvPr id="183" name="Picture 182" descr="Weakness Base +[@$5F&amp;!.C]">
          <a:extLst>
            <a:ext uri="{FF2B5EF4-FFF2-40B4-BE49-F238E27FC236}">
              <a16:creationId xmlns:a16="http://schemas.microsoft.com/office/drawing/2014/main" id="{00000000-0008-0000-0600-0000B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543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187</xdr:row>
      <xdr:rowOff>0</xdr:rowOff>
    </xdr:from>
    <xdr:ext cx="152400" cy="152400"/>
    <xdr:pic>
      <xdr:nvPicPr>
        <xdr:cNvPr id="184" name="Picture 183" descr="Weakness Variant +[@$5F&amp;!.D]">
          <a:extLst>
            <a:ext uri="{FF2B5EF4-FFF2-40B4-BE49-F238E27FC236}">
              <a16:creationId xmlns:a16="http://schemas.microsoft.com/office/drawing/2014/main" id="{00000000-0008-0000-0600-0000B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3562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188</xdr:row>
      <xdr:rowOff>0</xdr:rowOff>
    </xdr:from>
    <xdr:ext cx="152400" cy="152400"/>
    <xdr:pic>
      <xdr:nvPicPr>
        <xdr:cNvPr id="185" name="Picture 184" descr="Weakness Base +[@$5F&amp;!.E]">
          <a:extLst>
            <a:ext uri="{FF2B5EF4-FFF2-40B4-BE49-F238E27FC236}">
              <a16:creationId xmlns:a16="http://schemas.microsoft.com/office/drawing/2014/main" id="{00000000-0008-0000-0600-0000B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581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189</xdr:row>
      <xdr:rowOff>0</xdr:rowOff>
    </xdr:from>
    <xdr:ext cx="152400" cy="152400"/>
    <xdr:pic>
      <xdr:nvPicPr>
        <xdr:cNvPr id="186" name="Picture 185" descr="Weakness Base +[@$5F&amp;!.F]">
          <a:extLst>
            <a:ext uri="{FF2B5EF4-FFF2-40B4-BE49-F238E27FC236}">
              <a16:creationId xmlns:a16="http://schemas.microsoft.com/office/drawing/2014/main" id="{00000000-0008-0000-0600-0000B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600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190</xdr:row>
      <xdr:rowOff>0</xdr:rowOff>
    </xdr:from>
    <xdr:ext cx="152400" cy="152400"/>
    <xdr:pic>
      <xdr:nvPicPr>
        <xdr:cNvPr id="187" name="Picture 186" descr="Weakness Class +[@$5F&amp;!.G]">
          <a:extLst>
            <a:ext uri="{FF2B5EF4-FFF2-40B4-BE49-F238E27FC236}">
              <a16:creationId xmlns:a16="http://schemas.microsoft.com/office/drawing/2014/main" id="{00000000-0008-0000-0600-0000B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3619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191</xdr:row>
      <xdr:rowOff>0</xdr:rowOff>
    </xdr:from>
    <xdr:ext cx="152400" cy="152400"/>
    <xdr:pic>
      <xdr:nvPicPr>
        <xdr:cNvPr id="188" name="Picture 187" descr="Weakness Base +[@$5F&amp;!.H]">
          <a:extLst>
            <a:ext uri="{FF2B5EF4-FFF2-40B4-BE49-F238E27FC236}">
              <a16:creationId xmlns:a16="http://schemas.microsoft.com/office/drawing/2014/main" id="{00000000-0008-0000-0600-0000B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638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192</xdr:row>
      <xdr:rowOff>0</xdr:rowOff>
    </xdr:from>
    <xdr:ext cx="152400" cy="152400"/>
    <xdr:pic>
      <xdr:nvPicPr>
        <xdr:cNvPr id="189" name="Picture 188" descr="Weakness Variant +[@$5F&amp;!.I]">
          <a:extLst>
            <a:ext uri="{FF2B5EF4-FFF2-40B4-BE49-F238E27FC236}">
              <a16:creationId xmlns:a16="http://schemas.microsoft.com/office/drawing/2014/main" id="{00000000-0008-0000-0600-0000B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3657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193</xdr:row>
      <xdr:rowOff>0</xdr:rowOff>
    </xdr:from>
    <xdr:ext cx="152400" cy="152400"/>
    <xdr:pic>
      <xdr:nvPicPr>
        <xdr:cNvPr id="190" name="Picture 189" descr="Weakness Variant +[@$5F&amp;!.J]">
          <a:extLst>
            <a:ext uri="{FF2B5EF4-FFF2-40B4-BE49-F238E27FC236}">
              <a16:creationId xmlns:a16="http://schemas.microsoft.com/office/drawing/2014/main" id="{00000000-0008-0000-0600-0000BE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3676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194</xdr:row>
      <xdr:rowOff>0</xdr:rowOff>
    </xdr:from>
    <xdr:ext cx="152400" cy="152400"/>
    <xdr:pic>
      <xdr:nvPicPr>
        <xdr:cNvPr id="191" name="Picture 190" descr="Weakness Variant +[@$5F&amp;!.K]">
          <a:extLst>
            <a:ext uri="{FF2B5EF4-FFF2-40B4-BE49-F238E27FC236}">
              <a16:creationId xmlns:a16="http://schemas.microsoft.com/office/drawing/2014/main" id="{00000000-0008-0000-0600-0000B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3695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195</xdr:row>
      <xdr:rowOff>0</xdr:rowOff>
    </xdr:from>
    <xdr:ext cx="152400" cy="152400"/>
    <xdr:pic>
      <xdr:nvPicPr>
        <xdr:cNvPr id="192" name="Picture 191" descr="Weakness Variant +[@$5F&amp;!.L]">
          <a:extLst>
            <a:ext uri="{FF2B5EF4-FFF2-40B4-BE49-F238E27FC236}">
              <a16:creationId xmlns:a16="http://schemas.microsoft.com/office/drawing/2014/main" id="{00000000-0008-0000-0600-0000C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3714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196</xdr:row>
      <xdr:rowOff>0</xdr:rowOff>
    </xdr:from>
    <xdr:ext cx="152400" cy="152400"/>
    <xdr:pic>
      <xdr:nvPicPr>
        <xdr:cNvPr id="193" name="Picture 192" descr="Weakness Variant +[@$5F&amp;!.M]">
          <a:extLst>
            <a:ext uri="{FF2B5EF4-FFF2-40B4-BE49-F238E27FC236}">
              <a16:creationId xmlns:a16="http://schemas.microsoft.com/office/drawing/2014/main" id="{00000000-0008-0000-0600-0000C1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3733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197</xdr:row>
      <xdr:rowOff>0</xdr:rowOff>
    </xdr:from>
    <xdr:ext cx="152400" cy="152400"/>
    <xdr:pic>
      <xdr:nvPicPr>
        <xdr:cNvPr id="194" name="Picture 193" descr="Weakness Class +[@$5F&amp;!.N]">
          <a:extLst>
            <a:ext uri="{FF2B5EF4-FFF2-40B4-BE49-F238E27FC236}">
              <a16:creationId xmlns:a16="http://schemas.microsoft.com/office/drawing/2014/main" id="{00000000-0008-0000-0600-0000C2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3752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198</xdr:row>
      <xdr:rowOff>0</xdr:rowOff>
    </xdr:from>
    <xdr:ext cx="152400" cy="152400"/>
    <xdr:pic>
      <xdr:nvPicPr>
        <xdr:cNvPr id="195" name="Picture 194" descr="Weakness Variant +[@$5F&amp;!.O]">
          <a:extLst>
            <a:ext uri="{FF2B5EF4-FFF2-40B4-BE49-F238E27FC236}">
              <a16:creationId xmlns:a16="http://schemas.microsoft.com/office/drawing/2014/main" id="{00000000-0008-0000-0600-0000C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3771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199</xdr:row>
      <xdr:rowOff>0</xdr:rowOff>
    </xdr:from>
    <xdr:ext cx="152400" cy="152400"/>
    <xdr:pic>
      <xdr:nvPicPr>
        <xdr:cNvPr id="196" name="Picture 195" descr="Weakness Variant +[@$5F&amp;!.P]">
          <a:extLst>
            <a:ext uri="{FF2B5EF4-FFF2-40B4-BE49-F238E27FC236}">
              <a16:creationId xmlns:a16="http://schemas.microsoft.com/office/drawing/2014/main" id="{00000000-0008-0000-0600-0000C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3790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200</xdr:row>
      <xdr:rowOff>0</xdr:rowOff>
    </xdr:from>
    <xdr:ext cx="152400" cy="152400"/>
    <xdr:pic>
      <xdr:nvPicPr>
        <xdr:cNvPr id="197" name="Picture 196" descr="Weakness Class +[@$5F&amp;!.Q]">
          <a:extLst>
            <a:ext uri="{FF2B5EF4-FFF2-40B4-BE49-F238E27FC236}">
              <a16:creationId xmlns:a16="http://schemas.microsoft.com/office/drawing/2014/main" id="{00000000-0008-0000-0600-0000C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3810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201</xdr:row>
      <xdr:rowOff>0</xdr:rowOff>
    </xdr:from>
    <xdr:ext cx="152400" cy="152400"/>
    <xdr:pic>
      <xdr:nvPicPr>
        <xdr:cNvPr id="198" name="Picture 197" descr="Category +[@$5F&amp;!.R]">
          <a:extLst>
            <a:ext uri="{FF2B5EF4-FFF2-40B4-BE49-F238E27FC236}">
              <a16:creationId xmlns:a16="http://schemas.microsoft.com/office/drawing/2014/main" id="{00000000-0008-0000-0600-0000C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3829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202</xdr:row>
      <xdr:rowOff>0</xdr:rowOff>
    </xdr:from>
    <xdr:ext cx="152400" cy="152400"/>
    <xdr:pic>
      <xdr:nvPicPr>
        <xdr:cNvPr id="199" name="Picture 198" descr="Category +[@$5F&amp;!.S]">
          <a:extLst>
            <a:ext uri="{FF2B5EF4-FFF2-40B4-BE49-F238E27FC236}">
              <a16:creationId xmlns:a16="http://schemas.microsoft.com/office/drawing/2014/main" id="{00000000-0008-0000-0600-0000C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3848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203</xdr:row>
      <xdr:rowOff>0</xdr:rowOff>
    </xdr:from>
    <xdr:ext cx="152400" cy="152400"/>
    <xdr:pic>
      <xdr:nvPicPr>
        <xdr:cNvPr id="200" name="Picture 199" descr="Category +[@$5F&amp;!.T]">
          <a:extLst>
            <a:ext uri="{FF2B5EF4-FFF2-40B4-BE49-F238E27FC236}">
              <a16:creationId xmlns:a16="http://schemas.microsoft.com/office/drawing/2014/main" id="{00000000-0008-0000-0600-0000C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3867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204</xdr:row>
      <xdr:rowOff>0</xdr:rowOff>
    </xdr:from>
    <xdr:ext cx="152400" cy="152400"/>
    <xdr:pic>
      <xdr:nvPicPr>
        <xdr:cNvPr id="201" name="Picture 200" descr="Weakness Base +[@$5F&amp;!.U]">
          <a:extLst>
            <a:ext uri="{FF2B5EF4-FFF2-40B4-BE49-F238E27FC236}">
              <a16:creationId xmlns:a16="http://schemas.microsoft.com/office/drawing/2014/main" id="{00000000-0008-0000-0600-0000C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886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205</xdr:row>
      <xdr:rowOff>0</xdr:rowOff>
    </xdr:from>
    <xdr:ext cx="152400" cy="152400"/>
    <xdr:pic>
      <xdr:nvPicPr>
        <xdr:cNvPr id="202" name="Picture 201" descr="Weakness Base +[@$5F&amp;!.V]">
          <a:extLst>
            <a:ext uri="{FF2B5EF4-FFF2-40B4-BE49-F238E27FC236}">
              <a16:creationId xmlns:a16="http://schemas.microsoft.com/office/drawing/2014/main" id="{00000000-0008-0000-0600-0000C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905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206</xdr:row>
      <xdr:rowOff>0</xdr:rowOff>
    </xdr:from>
    <xdr:ext cx="152400" cy="152400"/>
    <xdr:pic>
      <xdr:nvPicPr>
        <xdr:cNvPr id="203" name="Picture 202" descr="Weakness Base +[@$5F&amp;!.W]">
          <a:extLst>
            <a:ext uri="{FF2B5EF4-FFF2-40B4-BE49-F238E27FC236}">
              <a16:creationId xmlns:a16="http://schemas.microsoft.com/office/drawing/2014/main" id="{00000000-0008-0000-0600-0000C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924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207</xdr:row>
      <xdr:rowOff>0</xdr:rowOff>
    </xdr:from>
    <xdr:ext cx="152400" cy="152400"/>
    <xdr:pic>
      <xdr:nvPicPr>
        <xdr:cNvPr id="204" name="Picture 203" descr="Weakness Class +[@$5F&amp;!.X]">
          <a:extLst>
            <a:ext uri="{FF2B5EF4-FFF2-40B4-BE49-F238E27FC236}">
              <a16:creationId xmlns:a16="http://schemas.microsoft.com/office/drawing/2014/main" id="{00000000-0008-0000-0600-0000CC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3943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208</xdr:row>
      <xdr:rowOff>0</xdr:rowOff>
    </xdr:from>
    <xdr:ext cx="152400" cy="152400"/>
    <xdr:pic>
      <xdr:nvPicPr>
        <xdr:cNvPr id="205" name="Picture 204" descr="Weakness Base +[@$5F&amp;!.Y]">
          <a:extLst>
            <a:ext uri="{FF2B5EF4-FFF2-40B4-BE49-F238E27FC236}">
              <a16:creationId xmlns:a16="http://schemas.microsoft.com/office/drawing/2014/main" id="{00000000-0008-0000-0600-0000C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962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209</xdr:row>
      <xdr:rowOff>0</xdr:rowOff>
    </xdr:from>
    <xdr:ext cx="152400" cy="152400"/>
    <xdr:pic>
      <xdr:nvPicPr>
        <xdr:cNvPr id="206" name="Picture 205" descr="Weakness Base +[@$5F&amp;!.Z]">
          <a:extLst>
            <a:ext uri="{FF2B5EF4-FFF2-40B4-BE49-F238E27FC236}">
              <a16:creationId xmlns:a16="http://schemas.microsoft.com/office/drawing/2014/main" id="{00000000-0008-0000-0600-0000C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981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210</xdr:row>
      <xdr:rowOff>0</xdr:rowOff>
    </xdr:from>
    <xdr:ext cx="152400" cy="152400"/>
    <xdr:pic>
      <xdr:nvPicPr>
        <xdr:cNvPr id="207" name="Picture 206" descr="Weakness Variant +[@$5F&amp;!.[]">
          <a:extLst>
            <a:ext uri="{FF2B5EF4-FFF2-40B4-BE49-F238E27FC236}">
              <a16:creationId xmlns:a16="http://schemas.microsoft.com/office/drawing/2014/main" id="{00000000-0008-0000-0600-0000C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000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211</xdr:row>
      <xdr:rowOff>0</xdr:rowOff>
    </xdr:from>
    <xdr:ext cx="152400" cy="152400"/>
    <xdr:pic>
      <xdr:nvPicPr>
        <xdr:cNvPr id="208" name="Picture 207" descr="Weakness Base +[@$5F&amp;!.\]">
          <a:extLst>
            <a:ext uri="{FF2B5EF4-FFF2-40B4-BE49-F238E27FC236}">
              <a16:creationId xmlns:a16="http://schemas.microsoft.com/office/drawing/2014/main" id="{00000000-0008-0000-0600-0000D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019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212</xdr:row>
      <xdr:rowOff>0</xdr:rowOff>
    </xdr:from>
    <xdr:ext cx="152400" cy="152400"/>
    <xdr:pic>
      <xdr:nvPicPr>
        <xdr:cNvPr id="209" name="Picture 208" descr="Weakness Variant +[@$5F&amp;!.]]">
          <a:extLst>
            <a:ext uri="{FF2B5EF4-FFF2-40B4-BE49-F238E27FC236}">
              <a16:creationId xmlns:a16="http://schemas.microsoft.com/office/drawing/2014/main" id="{00000000-0008-0000-0600-0000D1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038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213</xdr:row>
      <xdr:rowOff>0</xdr:rowOff>
    </xdr:from>
    <xdr:ext cx="152400" cy="152400"/>
    <xdr:pic>
      <xdr:nvPicPr>
        <xdr:cNvPr id="210" name="Picture 209" descr="Weakness Base +[@$5F&amp;!.^]">
          <a:extLst>
            <a:ext uri="{FF2B5EF4-FFF2-40B4-BE49-F238E27FC236}">
              <a16:creationId xmlns:a16="http://schemas.microsoft.com/office/drawing/2014/main" id="{00000000-0008-0000-0600-0000D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057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214</xdr:row>
      <xdr:rowOff>0</xdr:rowOff>
    </xdr:from>
    <xdr:ext cx="152400" cy="152400"/>
    <xdr:pic>
      <xdr:nvPicPr>
        <xdr:cNvPr id="211" name="Picture 210" descr="Weakness Variant +[@$5F&amp;!._]">
          <a:extLst>
            <a:ext uri="{FF2B5EF4-FFF2-40B4-BE49-F238E27FC236}">
              <a16:creationId xmlns:a16="http://schemas.microsoft.com/office/drawing/2014/main" id="{00000000-0008-0000-0600-0000D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076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215</xdr:row>
      <xdr:rowOff>0</xdr:rowOff>
    </xdr:from>
    <xdr:ext cx="152400" cy="152400"/>
    <xdr:pic>
      <xdr:nvPicPr>
        <xdr:cNvPr id="212" name="Picture 211" descr="Weakness Variant +[@$5F&amp;!.`]">
          <a:extLst>
            <a:ext uri="{FF2B5EF4-FFF2-40B4-BE49-F238E27FC236}">
              <a16:creationId xmlns:a16="http://schemas.microsoft.com/office/drawing/2014/main" id="{00000000-0008-0000-0600-0000D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095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216</xdr:row>
      <xdr:rowOff>0</xdr:rowOff>
    </xdr:from>
    <xdr:ext cx="152400" cy="152400"/>
    <xdr:pic>
      <xdr:nvPicPr>
        <xdr:cNvPr id="213" name="Picture 212" descr="Weakness Variant +[@$5F&amp;!.a]">
          <a:extLst>
            <a:ext uri="{FF2B5EF4-FFF2-40B4-BE49-F238E27FC236}">
              <a16:creationId xmlns:a16="http://schemas.microsoft.com/office/drawing/2014/main" id="{00000000-0008-0000-0600-0000D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114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217</xdr:row>
      <xdr:rowOff>0</xdr:rowOff>
    </xdr:from>
    <xdr:ext cx="152400" cy="152400"/>
    <xdr:pic>
      <xdr:nvPicPr>
        <xdr:cNvPr id="214" name="Picture 213" descr="Weakness Variant +[@$5F&amp;!.b]">
          <a:extLst>
            <a:ext uri="{FF2B5EF4-FFF2-40B4-BE49-F238E27FC236}">
              <a16:creationId xmlns:a16="http://schemas.microsoft.com/office/drawing/2014/main" id="{00000000-0008-0000-0600-0000D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133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218</xdr:row>
      <xdr:rowOff>0</xdr:rowOff>
    </xdr:from>
    <xdr:ext cx="152400" cy="152400"/>
    <xdr:pic>
      <xdr:nvPicPr>
        <xdr:cNvPr id="215" name="Picture 214" descr="Weakness Variant +[@$5F&amp;!.c]">
          <a:extLst>
            <a:ext uri="{FF2B5EF4-FFF2-40B4-BE49-F238E27FC236}">
              <a16:creationId xmlns:a16="http://schemas.microsoft.com/office/drawing/2014/main" id="{00000000-0008-0000-0600-0000D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152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219</xdr:row>
      <xdr:rowOff>0</xdr:rowOff>
    </xdr:from>
    <xdr:ext cx="152400" cy="152400"/>
    <xdr:pic>
      <xdr:nvPicPr>
        <xdr:cNvPr id="216" name="Picture 215" descr="Weakness Base +[@$5F&amp;!.d]">
          <a:extLst>
            <a:ext uri="{FF2B5EF4-FFF2-40B4-BE49-F238E27FC236}">
              <a16:creationId xmlns:a16="http://schemas.microsoft.com/office/drawing/2014/main" id="{00000000-0008-0000-0600-0000D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171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220</xdr:row>
      <xdr:rowOff>0</xdr:rowOff>
    </xdr:from>
    <xdr:ext cx="152400" cy="152400"/>
    <xdr:pic>
      <xdr:nvPicPr>
        <xdr:cNvPr id="217" name="Picture 216" descr="Weakness Class +[@$5F&amp;!.e]">
          <a:extLst>
            <a:ext uri="{FF2B5EF4-FFF2-40B4-BE49-F238E27FC236}">
              <a16:creationId xmlns:a16="http://schemas.microsoft.com/office/drawing/2014/main" id="{00000000-0008-0000-0600-0000D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191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221</xdr:row>
      <xdr:rowOff>0</xdr:rowOff>
    </xdr:from>
    <xdr:ext cx="152400" cy="152400"/>
    <xdr:pic>
      <xdr:nvPicPr>
        <xdr:cNvPr id="218" name="Picture 217" descr="Weakness Variant +[@$5F&amp;!.f]">
          <a:extLst>
            <a:ext uri="{FF2B5EF4-FFF2-40B4-BE49-F238E27FC236}">
              <a16:creationId xmlns:a16="http://schemas.microsoft.com/office/drawing/2014/main" id="{00000000-0008-0000-0600-0000DA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210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222</xdr:row>
      <xdr:rowOff>0</xdr:rowOff>
    </xdr:from>
    <xdr:ext cx="152400" cy="152400"/>
    <xdr:pic>
      <xdr:nvPicPr>
        <xdr:cNvPr id="219" name="Picture 218" descr="Weakness Variant +[@$5F&amp;!.g]">
          <a:extLst>
            <a:ext uri="{FF2B5EF4-FFF2-40B4-BE49-F238E27FC236}">
              <a16:creationId xmlns:a16="http://schemas.microsoft.com/office/drawing/2014/main" id="{00000000-0008-0000-0600-0000DB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229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223</xdr:row>
      <xdr:rowOff>0</xdr:rowOff>
    </xdr:from>
    <xdr:ext cx="152400" cy="152400"/>
    <xdr:pic>
      <xdr:nvPicPr>
        <xdr:cNvPr id="220" name="Picture 219" descr="Weakness Variant +[@$5F&amp;!.h]">
          <a:extLst>
            <a:ext uri="{FF2B5EF4-FFF2-40B4-BE49-F238E27FC236}">
              <a16:creationId xmlns:a16="http://schemas.microsoft.com/office/drawing/2014/main" id="{00000000-0008-0000-0600-0000DC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248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224</xdr:row>
      <xdr:rowOff>0</xdr:rowOff>
    </xdr:from>
    <xdr:ext cx="152400" cy="152400"/>
    <xdr:pic>
      <xdr:nvPicPr>
        <xdr:cNvPr id="221" name="Picture 220" descr="Weakness Variant +[@$5F&amp;!.i]">
          <a:extLst>
            <a:ext uri="{FF2B5EF4-FFF2-40B4-BE49-F238E27FC236}">
              <a16:creationId xmlns:a16="http://schemas.microsoft.com/office/drawing/2014/main" id="{00000000-0008-0000-0600-0000D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267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225</xdr:row>
      <xdr:rowOff>0</xdr:rowOff>
    </xdr:from>
    <xdr:ext cx="152400" cy="152400"/>
    <xdr:pic>
      <xdr:nvPicPr>
        <xdr:cNvPr id="222" name="Picture 221" descr="Category +[@$5F&amp;!.j]">
          <a:extLst>
            <a:ext uri="{FF2B5EF4-FFF2-40B4-BE49-F238E27FC236}">
              <a16:creationId xmlns:a16="http://schemas.microsoft.com/office/drawing/2014/main" id="{00000000-0008-0000-0600-0000D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4286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226</xdr:row>
      <xdr:rowOff>0</xdr:rowOff>
    </xdr:from>
    <xdr:ext cx="152400" cy="152400"/>
    <xdr:pic>
      <xdr:nvPicPr>
        <xdr:cNvPr id="223" name="Picture 222" descr="Weakness Base +[@$5F&amp;!.k]">
          <a:extLst>
            <a:ext uri="{FF2B5EF4-FFF2-40B4-BE49-F238E27FC236}">
              <a16:creationId xmlns:a16="http://schemas.microsoft.com/office/drawing/2014/main" id="{00000000-0008-0000-0600-0000D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305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227</xdr:row>
      <xdr:rowOff>0</xdr:rowOff>
    </xdr:from>
    <xdr:ext cx="152400" cy="152400"/>
    <xdr:pic>
      <xdr:nvPicPr>
        <xdr:cNvPr id="224" name="Picture 223" descr="Weakness Class +[@$5F&amp;!.l]">
          <a:extLst>
            <a:ext uri="{FF2B5EF4-FFF2-40B4-BE49-F238E27FC236}">
              <a16:creationId xmlns:a16="http://schemas.microsoft.com/office/drawing/2014/main" id="{00000000-0008-0000-0600-0000E0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324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228</xdr:row>
      <xdr:rowOff>0</xdr:rowOff>
    </xdr:from>
    <xdr:ext cx="152400" cy="152400"/>
    <xdr:pic>
      <xdr:nvPicPr>
        <xdr:cNvPr id="225" name="Picture 224" descr="Weakness Class +[@$5F&amp;!.m]">
          <a:extLst>
            <a:ext uri="{FF2B5EF4-FFF2-40B4-BE49-F238E27FC236}">
              <a16:creationId xmlns:a16="http://schemas.microsoft.com/office/drawing/2014/main" id="{00000000-0008-0000-0600-0000E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343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229</xdr:row>
      <xdr:rowOff>0</xdr:rowOff>
    </xdr:from>
    <xdr:ext cx="152400" cy="152400"/>
    <xdr:pic>
      <xdr:nvPicPr>
        <xdr:cNvPr id="226" name="Picture 225" descr="Weakness Base +[@$5F&amp;!.n]">
          <a:extLst>
            <a:ext uri="{FF2B5EF4-FFF2-40B4-BE49-F238E27FC236}">
              <a16:creationId xmlns:a16="http://schemas.microsoft.com/office/drawing/2014/main" id="{00000000-0008-0000-0600-0000E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362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230</xdr:row>
      <xdr:rowOff>0</xdr:rowOff>
    </xdr:from>
    <xdr:ext cx="152400" cy="152400"/>
    <xdr:pic>
      <xdr:nvPicPr>
        <xdr:cNvPr id="227" name="Picture 226" descr="Weakness Class +[@$5F&amp;!.o]">
          <a:extLst>
            <a:ext uri="{FF2B5EF4-FFF2-40B4-BE49-F238E27FC236}">
              <a16:creationId xmlns:a16="http://schemas.microsoft.com/office/drawing/2014/main" id="{00000000-0008-0000-0600-0000E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381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231</xdr:row>
      <xdr:rowOff>0</xdr:rowOff>
    </xdr:from>
    <xdr:ext cx="152400" cy="152400"/>
    <xdr:pic>
      <xdr:nvPicPr>
        <xdr:cNvPr id="228" name="Picture 227" descr="Weakness Base +[@$5F&amp;!.p]">
          <a:extLst>
            <a:ext uri="{FF2B5EF4-FFF2-40B4-BE49-F238E27FC236}">
              <a16:creationId xmlns:a16="http://schemas.microsoft.com/office/drawing/2014/main" id="{00000000-0008-0000-0600-0000E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400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232</xdr:row>
      <xdr:rowOff>0</xdr:rowOff>
    </xdr:from>
    <xdr:ext cx="152400" cy="152400"/>
    <xdr:pic>
      <xdr:nvPicPr>
        <xdr:cNvPr id="229" name="Picture 228" descr="Weakness Class +[@$5F&amp;!.q]">
          <a:extLst>
            <a:ext uri="{FF2B5EF4-FFF2-40B4-BE49-F238E27FC236}">
              <a16:creationId xmlns:a16="http://schemas.microsoft.com/office/drawing/2014/main" id="{00000000-0008-0000-0600-0000E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419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233</xdr:row>
      <xdr:rowOff>0</xdr:rowOff>
    </xdr:from>
    <xdr:ext cx="152400" cy="152400"/>
    <xdr:pic>
      <xdr:nvPicPr>
        <xdr:cNvPr id="230" name="Picture 229" descr="Weakness Variant +[@$5F&amp;!.r]">
          <a:extLst>
            <a:ext uri="{FF2B5EF4-FFF2-40B4-BE49-F238E27FC236}">
              <a16:creationId xmlns:a16="http://schemas.microsoft.com/office/drawing/2014/main" id="{00000000-0008-0000-0600-0000E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438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234</xdr:row>
      <xdr:rowOff>0</xdr:rowOff>
    </xdr:from>
    <xdr:ext cx="152400" cy="152400"/>
    <xdr:pic>
      <xdr:nvPicPr>
        <xdr:cNvPr id="231" name="Picture 230" descr="Weakness Variant +[@$5F&amp;!.s]">
          <a:extLst>
            <a:ext uri="{FF2B5EF4-FFF2-40B4-BE49-F238E27FC236}">
              <a16:creationId xmlns:a16="http://schemas.microsoft.com/office/drawing/2014/main" id="{00000000-0008-0000-0600-0000E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457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235</xdr:row>
      <xdr:rowOff>0</xdr:rowOff>
    </xdr:from>
    <xdr:ext cx="152400" cy="152400"/>
    <xdr:pic>
      <xdr:nvPicPr>
        <xdr:cNvPr id="232" name="Picture 231" descr="Weakness Variant +[@$5F&amp;!.t]">
          <a:extLst>
            <a:ext uri="{FF2B5EF4-FFF2-40B4-BE49-F238E27FC236}">
              <a16:creationId xmlns:a16="http://schemas.microsoft.com/office/drawing/2014/main" id="{00000000-0008-0000-0600-0000E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476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236</xdr:row>
      <xdr:rowOff>0</xdr:rowOff>
    </xdr:from>
    <xdr:ext cx="152400" cy="152400"/>
    <xdr:pic>
      <xdr:nvPicPr>
        <xdr:cNvPr id="233" name="Picture 232" descr="Weakness Class +[@$5F&amp;!.u]">
          <a:extLst>
            <a:ext uri="{FF2B5EF4-FFF2-40B4-BE49-F238E27FC236}">
              <a16:creationId xmlns:a16="http://schemas.microsoft.com/office/drawing/2014/main" id="{00000000-0008-0000-0600-0000E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495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237</xdr:row>
      <xdr:rowOff>0</xdr:rowOff>
    </xdr:from>
    <xdr:ext cx="152400" cy="152400"/>
    <xdr:pic>
      <xdr:nvPicPr>
        <xdr:cNvPr id="234" name="Picture 233" descr="Weakness Class +[@$5F&amp;!.v]">
          <a:extLst>
            <a:ext uri="{FF2B5EF4-FFF2-40B4-BE49-F238E27FC236}">
              <a16:creationId xmlns:a16="http://schemas.microsoft.com/office/drawing/2014/main" id="{00000000-0008-0000-0600-0000E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514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238</xdr:row>
      <xdr:rowOff>0</xdr:rowOff>
    </xdr:from>
    <xdr:ext cx="152400" cy="152400"/>
    <xdr:pic>
      <xdr:nvPicPr>
        <xdr:cNvPr id="235" name="Picture 234" descr="Weakness Base +[@$5F&amp;!.w]">
          <a:extLst>
            <a:ext uri="{FF2B5EF4-FFF2-40B4-BE49-F238E27FC236}">
              <a16:creationId xmlns:a16="http://schemas.microsoft.com/office/drawing/2014/main" id="{00000000-0008-0000-0600-0000E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533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239</xdr:row>
      <xdr:rowOff>0</xdr:rowOff>
    </xdr:from>
    <xdr:ext cx="152400" cy="152400"/>
    <xdr:pic>
      <xdr:nvPicPr>
        <xdr:cNvPr id="236" name="Picture 235" descr="Category +[@$5F&amp;!.x]">
          <a:extLst>
            <a:ext uri="{FF2B5EF4-FFF2-40B4-BE49-F238E27FC236}">
              <a16:creationId xmlns:a16="http://schemas.microsoft.com/office/drawing/2014/main" id="{00000000-0008-0000-0600-0000E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4552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240</xdr:row>
      <xdr:rowOff>0</xdr:rowOff>
    </xdr:from>
    <xdr:ext cx="152400" cy="152400"/>
    <xdr:pic>
      <xdr:nvPicPr>
        <xdr:cNvPr id="237" name="Picture 236" descr="Weakness Base +[@$5F&amp;!.y]">
          <a:extLst>
            <a:ext uri="{FF2B5EF4-FFF2-40B4-BE49-F238E27FC236}">
              <a16:creationId xmlns:a16="http://schemas.microsoft.com/office/drawing/2014/main" id="{00000000-0008-0000-0600-0000E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572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241</xdr:row>
      <xdr:rowOff>0</xdr:rowOff>
    </xdr:from>
    <xdr:ext cx="152400" cy="152400"/>
    <xdr:pic>
      <xdr:nvPicPr>
        <xdr:cNvPr id="238" name="Picture 237" descr="Weakness Variant +[@$5F&amp;!.z]">
          <a:extLst>
            <a:ext uri="{FF2B5EF4-FFF2-40B4-BE49-F238E27FC236}">
              <a16:creationId xmlns:a16="http://schemas.microsoft.com/office/drawing/2014/main" id="{00000000-0008-0000-0600-0000EE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591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242</xdr:row>
      <xdr:rowOff>0</xdr:rowOff>
    </xdr:from>
    <xdr:ext cx="152400" cy="152400"/>
    <xdr:pic>
      <xdr:nvPicPr>
        <xdr:cNvPr id="239" name="Picture 238" descr="Weakness Variant +[@$5F&amp;!.{]">
          <a:extLst>
            <a:ext uri="{FF2B5EF4-FFF2-40B4-BE49-F238E27FC236}">
              <a16:creationId xmlns:a16="http://schemas.microsoft.com/office/drawing/2014/main" id="{00000000-0008-0000-0600-0000E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610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243</xdr:row>
      <xdr:rowOff>0</xdr:rowOff>
    </xdr:from>
    <xdr:ext cx="152400" cy="152400"/>
    <xdr:pic>
      <xdr:nvPicPr>
        <xdr:cNvPr id="240" name="Picture 239" descr="Weakness Variant +[@$5F&amp;!.|]">
          <a:extLst>
            <a:ext uri="{FF2B5EF4-FFF2-40B4-BE49-F238E27FC236}">
              <a16:creationId xmlns:a16="http://schemas.microsoft.com/office/drawing/2014/main" id="{00000000-0008-0000-0600-0000F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629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244</xdr:row>
      <xdr:rowOff>0</xdr:rowOff>
    </xdr:from>
    <xdr:ext cx="152400" cy="152400"/>
    <xdr:pic>
      <xdr:nvPicPr>
        <xdr:cNvPr id="241" name="Picture 240" descr="Weakness Variant +[@$5F&amp;!.}]">
          <a:extLst>
            <a:ext uri="{FF2B5EF4-FFF2-40B4-BE49-F238E27FC236}">
              <a16:creationId xmlns:a16="http://schemas.microsoft.com/office/drawing/2014/main" id="{00000000-0008-0000-0600-0000F1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648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245</xdr:row>
      <xdr:rowOff>0</xdr:rowOff>
    </xdr:from>
    <xdr:ext cx="152400" cy="152400"/>
    <xdr:pic>
      <xdr:nvPicPr>
        <xdr:cNvPr id="242" name="Picture 241" descr="Weakness Variant +[@$5F&amp;!.~]">
          <a:extLst>
            <a:ext uri="{FF2B5EF4-FFF2-40B4-BE49-F238E27FC236}">
              <a16:creationId xmlns:a16="http://schemas.microsoft.com/office/drawing/2014/main" id="{00000000-0008-0000-0600-0000F2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667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246</xdr:row>
      <xdr:rowOff>0</xdr:rowOff>
    </xdr:from>
    <xdr:ext cx="152400" cy="152400"/>
    <xdr:pic>
      <xdr:nvPicPr>
        <xdr:cNvPr id="243" name="Picture 242" descr="Weakness Variant +[@$5F&amp;!/#]">
          <a:extLst>
            <a:ext uri="{FF2B5EF4-FFF2-40B4-BE49-F238E27FC236}">
              <a16:creationId xmlns:a16="http://schemas.microsoft.com/office/drawing/2014/main" id="{00000000-0008-0000-0600-0000F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686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247</xdr:row>
      <xdr:rowOff>0</xdr:rowOff>
    </xdr:from>
    <xdr:ext cx="152400" cy="152400"/>
    <xdr:pic>
      <xdr:nvPicPr>
        <xdr:cNvPr id="244" name="Picture 243" descr="Weakness Variant +[@$5F&amp;!/$]">
          <a:extLst>
            <a:ext uri="{FF2B5EF4-FFF2-40B4-BE49-F238E27FC236}">
              <a16:creationId xmlns:a16="http://schemas.microsoft.com/office/drawing/2014/main" id="{00000000-0008-0000-0600-0000F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705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248</xdr:row>
      <xdr:rowOff>0</xdr:rowOff>
    </xdr:from>
    <xdr:ext cx="152400" cy="152400"/>
    <xdr:pic>
      <xdr:nvPicPr>
        <xdr:cNvPr id="245" name="Picture 244" descr="Weakness Variant +[@$5F&amp;!/%]">
          <a:extLst>
            <a:ext uri="{FF2B5EF4-FFF2-40B4-BE49-F238E27FC236}">
              <a16:creationId xmlns:a16="http://schemas.microsoft.com/office/drawing/2014/main" id="{00000000-0008-0000-0600-0000F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724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249</xdr:row>
      <xdr:rowOff>0</xdr:rowOff>
    </xdr:from>
    <xdr:ext cx="152400" cy="152400"/>
    <xdr:pic>
      <xdr:nvPicPr>
        <xdr:cNvPr id="246" name="Picture 245" descr="Weakness Variant +[@$5F&amp;!/&amp;]">
          <a:extLst>
            <a:ext uri="{FF2B5EF4-FFF2-40B4-BE49-F238E27FC236}">
              <a16:creationId xmlns:a16="http://schemas.microsoft.com/office/drawing/2014/main" id="{00000000-0008-0000-0600-0000F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743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250</xdr:row>
      <xdr:rowOff>0</xdr:rowOff>
    </xdr:from>
    <xdr:ext cx="152400" cy="152400"/>
    <xdr:pic>
      <xdr:nvPicPr>
        <xdr:cNvPr id="247" name="Picture 246" descr="Weakness Base +[@$5F&amp;!/']">
          <a:extLst>
            <a:ext uri="{FF2B5EF4-FFF2-40B4-BE49-F238E27FC236}">
              <a16:creationId xmlns:a16="http://schemas.microsoft.com/office/drawing/2014/main" id="{00000000-0008-0000-0600-0000F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762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251</xdr:row>
      <xdr:rowOff>0</xdr:rowOff>
    </xdr:from>
    <xdr:ext cx="152400" cy="152400"/>
    <xdr:pic>
      <xdr:nvPicPr>
        <xdr:cNvPr id="248" name="Picture 247" descr="Weakness Base +[@$5F&amp;!/(]">
          <a:extLst>
            <a:ext uri="{FF2B5EF4-FFF2-40B4-BE49-F238E27FC236}">
              <a16:creationId xmlns:a16="http://schemas.microsoft.com/office/drawing/2014/main" id="{00000000-0008-0000-0600-0000F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781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252</xdr:row>
      <xdr:rowOff>0</xdr:rowOff>
    </xdr:from>
    <xdr:ext cx="152400" cy="152400"/>
    <xdr:pic>
      <xdr:nvPicPr>
        <xdr:cNvPr id="249" name="Picture 248" descr="Category +[@$5F&amp;!/)]">
          <a:extLst>
            <a:ext uri="{FF2B5EF4-FFF2-40B4-BE49-F238E27FC236}">
              <a16:creationId xmlns:a16="http://schemas.microsoft.com/office/drawing/2014/main" id="{00000000-0008-0000-0600-0000F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4800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253</xdr:row>
      <xdr:rowOff>0</xdr:rowOff>
    </xdr:from>
    <xdr:ext cx="152400" cy="152400"/>
    <xdr:pic>
      <xdr:nvPicPr>
        <xdr:cNvPr id="250" name="Picture 249" descr="Weakness Variant +[@$5F&amp;!/.]">
          <a:extLst>
            <a:ext uri="{FF2B5EF4-FFF2-40B4-BE49-F238E27FC236}">
              <a16:creationId xmlns:a16="http://schemas.microsoft.com/office/drawing/2014/main" id="{00000000-0008-0000-0600-0000FA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819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254</xdr:row>
      <xdr:rowOff>0</xdr:rowOff>
    </xdr:from>
    <xdr:ext cx="152400" cy="152400"/>
    <xdr:pic>
      <xdr:nvPicPr>
        <xdr:cNvPr id="251" name="Picture 250" descr="Weakness Class +[@$5F&amp;!//]">
          <a:extLst>
            <a:ext uri="{FF2B5EF4-FFF2-40B4-BE49-F238E27FC236}">
              <a16:creationId xmlns:a16="http://schemas.microsoft.com/office/drawing/2014/main" id="{00000000-0008-0000-0600-0000F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838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255</xdr:row>
      <xdr:rowOff>0</xdr:rowOff>
    </xdr:from>
    <xdr:ext cx="152400" cy="152400"/>
    <xdr:pic>
      <xdr:nvPicPr>
        <xdr:cNvPr id="252" name="Picture 251" descr="Weakness Class +[@$5F&amp;!/0]">
          <a:extLst>
            <a:ext uri="{FF2B5EF4-FFF2-40B4-BE49-F238E27FC236}">
              <a16:creationId xmlns:a16="http://schemas.microsoft.com/office/drawing/2014/main" id="{00000000-0008-0000-0600-0000FC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857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256</xdr:row>
      <xdr:rowOff>0</xdr:rowOff>
    </xdr:from>
    <xdr:ext cx="152400" cy="152400"/>
    <xdr:pic>
      <xdr:nvPicPr>
        <xdr:cNvPr id="253" name="Picture 252" descr="Weakness Class +[@$5F&amp;!/1]">
          <a:extLst>
            <a:ext uri="{FF2B5EF4-FFF2-40B4-BE49-F238E27FC236}">
              <a16:creationId xmlns:a16="http://schemas.microsoft.com/office/drawing/2014/main" id="{00000000-0008-0000-0600-0000F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876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257</xdr:row>
      <xdr:rowOff>0</xdr:rowOff>
    </xdr:from>
    <xdr:ext cx="152400" cy="152400"/>
    <xdr:pic>
      <xdr:nvPicPr>
        <xdr:cNvPr id="254" name="Picture 253" descr="Weakness Variant +[@$5F&amp;!/2]">
          <a:extLst>
            <a:ext uri="{FF2B5EF4-FFF2-40B4-BE49-F238E27FC236}">
              <a16:creationId xmlns:a16="http://schemas.microsoft.com/office/drawing/2014/main" id="{00000000-0008-0000-0600-0000FE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895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258</xdr:row>
      <xdr:rowOff>0</xdr:rowOff>
    </xdr:from>
    <xdr:ext cx="152400" cy="152400"/>
    <xdr:pic>
      <xdr:nvPicPr>
        <xdr:cNvPr id="255" name="Picture 254" descr="Weakness Class +[@$5F&amp;!/3]">
          <a:extLst>
            <a:ext uri="{FF2B5EF4-FFF2-40B4-BE49-F238E27FC236}">
              <a16:creationId xmlns:a16="http://schemas.microsoft.com/office/drawing/2014/main" id="{00000000-0008-0000-0600-0000FF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914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259</xdr:row>
      <xdr:rowOff>0</xdr:rowOff>
    </xdr:from>
    <xdr:ext cx="152400" cy="152400"/>
    <xdr:pic>
      <xdr:nvPicPr>
        <xdr:cNvPr id="256" name="Picture 255" descr="Weakness Class +[@$5F&amp;!/4]">
          <a:extLst>
            <a:ext uri="{FF2B5EF4-FFF2-40B4-BE49-F238E27FC236}">
              <a16:creationId xmlns:a16="http://schemas.microsoft.com/office/drawing/2014/main" id="{00000000-0008-0000-0600-000000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933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260</xdr:row>
      <xdr:rowOff>0</xdr:rowOff>
    </xdr:from>
    <xdr:ext cx="152400" cy="152400"/>
    <xdr:pic>
      <xdr:nvPicPr>
        <xdr:cNvPr id="257" name="Picture 256" descr="Weakness Class +[@$5F&amp;!/5]">
          <a:extLst>
            <a:ext uri="{FF2B5EF4-FFF2-40B4-BE49-F238E27FC236}">
              <a16:creationId xmlns:a16="http://schemas.microsoft.com/office/drawing/2014/main" id="{00000000-0008-0000-0600-000001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953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261</xdr:row>
      <xdr:rowOff>0</xdr:rowOff>
    </xdr:from>
    <xdr:ext cx="152400" cy="152400"/>
    <xdr:pic>
      <xdr:nvPicPr>
        <xdr:cNvPr id="258" name="Picture 257" descr="Weakness Base +[@$5F&amp;!/6]">
          <a:extLst>
            <a:ext uri="{FF2B5EF4-FFF2-40B4-BE49-F238E27FC236}">
              <a16:creationId xmlns:a16="http://schemas.microsoft.com/office/drawing/2014/main" id="{00000000-0008-0000-0600-00000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972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262</xdr:row>
      <xdr:rowOff>0</xdr:rowOff>
    </xdr:from>
    <xdr:ext cx="152400" cy="152400"/>
    <xdr:pic>
      <xdr:nvPicPr>
        <xdr:cNvPr id="259" name="Picture 258" descr="Weakness Variant +[@$5F&amp;!/7]">
          <a:extLst>
            <a:ext uri="{FF2B5EF4-FFF2-40B4-BE49-F238E27FC236}">
              <a16:creationId xmlns:a16="http://schemas.microsoft.com/office/drawing/2014/main" id="{00000000-0008-0000-0600-000003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991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263</xdr:row>
      <xdr:rowOff>0</xdr:rowOff>
    </xdr:from>
    <xdr:ext cx="152400" cy="152400"/>
    <xdr:pic>
      <xdr:nvPicPr>
        <xdr:cNvPr id="260" name="Picture 259" descr="Weakness Base +[@$5F&amp;!/8]">
          <a:extLst>
            <a:ext uri="{FF2B5EF4-FFF2-40B4-BE49-F238E27FC236}">
              <a16:creationId xmlns:a16="http://schemas.microsoft.com/office/drawing/2014/main" id="{00000000-0008-0000-0600-00000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010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264</xdr:row>
      <xdr:rowOff>0</xdr:rowOff>
    </xdr:from>
    <xdr:ext cx="152400" cy="152400"/>
    <xdr:pic>
      <xdr:nvPicPr>
        <xdr:cNvPr id="261" name="Picture 260" descr="Weakness Class +[@$5F&amp;!/9]">
          <a:extLst>
            <a:ext uri="{FF2B5EF4-FFF2-40B4-BE49-F238E27FC236}">
              <a16:creationId xmlns:a16="http://schemas.microsoft.com/office/drawing/2014/main" id="{00000000-0008-0000-0600-000005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029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265</xdr:row>
      <xdr:rowOff>0</xdr:rowOff>
    </xdr:from>
    <xdr:ext cx="152400" cy="152400"/>
    <xdr:pic>
      <xdr:nvPicPr>
        <xdr:cNvPr id="262" name="Picture 261" descr="Weakness Class +[@$5F&amp;!/:]">
          <a:extLst>
            <a:ext uri="{FF2B5EF4-FFF2-40B4-BE49-F238E27FC236}">
              <a16:creationId xmlns:a16="http://schemas.microsoft.com/office/drawing/2014/main" id="{00000000-0008-0000-0600-000006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048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266</xdr:row>
      <xdr:rowOff>0</xdr:rowOff>
    </xdr:from>
    <xdr:ext cx="152400" cy="152400"/>
    <xdr:pic>
      <xdr:nvPicPr>
        <xdr:cNvPr id="263" name="Picture 262" descr="Weakness Variant +[@$5F&amp;!/;]">
          <a:extLst>
            <a:ext uri="{FF2B5EF4-FFF2-40B4-BE49-F238E27FC236}">
              <a16:creationId xmlns:a16="http://schemas.microsoft.com/office/drawing/2014/main" id="{00000000-0008-0000-0600-000007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067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267</xdr:row>
      <xdr:rowOff>0</xdr:rowOff>
    </xdr:from>
    <xdr:ext cx="152400" cy="152400"/>
    <xdr:pic>
      <xdr:nvPicPr>
        <xdr:cNvPr id="264" name="Picture 263" descr="Weakness Variant +[@$5F&amp;!/&lt;]">
          <a:extLst>
            <a:ext uri="{FF2B5EF4-FFF2-40B4-BE49-F238E27FC236}">
              <a16:creationId xmlns:a16="http://schemas.microsoft.com/office/drawing/2014/main" id="{00000000-0008-0000-0600-000008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086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268</xdr:row>
      <xdr:rowOff>0</xdr:rowOff>
    </xdr:from>
    <xdr:ext cx="152400" cy="152400"/>
    <xdr:pic>
      <xdr:nvPicPr>
        <xdr:cNvPr id="265" name="Picture 264" descr="Weakness Class +[@$5F&amp;!/=]">
          <a:extLst>
            <a:ext uri="{FF2B5EF4-FFF2-40B4-BE49-F238E27FC236}">
              <a16:creationId xmlns:a16="http://schemas.microsoft.com/office/drawing/2014/main" id="{00000000-0008-0000-0600-000009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105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269</xdr:row>
      <xdr:rowOff>0</xdr:rowOff>
    </xdr:from>
    <xdr:ext cx="152400" cy="152400"/>
    <xdr:pic>
      <xdr:nvPicPr>
        <xdr:cNvPr id="266" name="Picture 265" descr="Weakness Base +[@$5F&amp;!/&gt;]">
          <a:extLst>
            <a:ext uri="{FF2B5EF4-FFF2-40B4-BE49-F238E27FC236}">
              <a16:creationId xmlns:a16="http://schemas.microsoft.com/office/drawing/2014/main" id="{00000000-0008-0000-0600-00000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124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270</xdr:row>
      <xdr:rowOff>0</xdr:rowOff>
    </xdr:from>
    <xdr:ext cx="152400" cy="152400"/>
    <xdr:pic>
      <xdr:nvPicPr>
        <xdr:cNvPr id="267" name="Picture 266" descr="Weakness Base +[@$5F&amp;!/?]">
          <a:extLst>
            <a:ext uri="{FF2B5EF4-FFF2-40B4-BE49-F238E27FC236}">
              <a16:creationId xmlns:a16="http://schemas.microsoft.com/office/drawing/2014/main" id="{00000000-0008-0000-0600-00000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143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271</xdr:row>
      <xdr:rowOff>0</xdr:rowOff>
    </xdr:from>
    <xdr:ext cx="152400" cy="152400"/>
    <xdr:pic>
      <xdr:nvPicPr>
        <xdr:cNvPr id="268" name="Picture 267" descr="Weakness Class +[@$5F&amp;!/@]">
          <a:extLst>
            <a:ext uri="{FF2B5EF4-FFF2-40B4-BE49-F238E27FC236}">
              <a16:creationId xmlns:a16="http://schemas.microsoft.com/office/drawing/2014/main" id="{00000000-0008-0000-0600-00000C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162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272</xdr:row>
      <xdr:rowOff>0</xdr:rowOff>
    </xdr:from>
    <xdr:ext cx="152400" cy="152400"/>
    <xdr:pic>
      <xdr:nvPicPr>
        <xdr:cNvPr id="269" name="Picture 268" descr="Weakness Base +[@$5F&amp;!/A]">
          <a:extLst>
            <a:ext uri="{FF2B5EF4-FFF2-40B4-BE49-F238E27FC236}">
              <a16:creationId xmlns:a16="http://schemas.microsoft.com/office/drawing/2014/main" id="{00000000-0008-0000-0600-00000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181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273</xdr:row>
      <xdr:rowOff>0</xdr:rowOff>
    </xdr:from>
    <xdr:ext cx="152400" cy="152400"/>
    <xdr:pic>
      <xdr:nvPicPr>
        <xdr:cNvPr id="270" name="Picture 269" descr="Weakness Class +[@$5F&amp;!/B]">
          <a:extLst>
            <a:ext uri="{FF2B5EF4-FFF2-40B4-BE49-F238E27FC236}">
              <a16:creationId xmlns:a16="http://schemas.microsoft.com/office/drawing/2014/main" id="{00000000-0008-0000-0600-00000E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200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274</xdr:row>
      <xdr:rowOff>0</xdr:rowOff>
    </xdr:from>
    <xdr:ext cx="152400" cy="152400"/>
    <xdr:pic>
      <xdr:nvPicPr>
        <xdr:cNvPr id="271" name="Picture 270" descr="Weakness Class +[@$5F&amp;!/C]">
          <a:extLst>
            <a:ext uri="{FF2B5EF4-FFF2-40B4-BE49-F238E27FC236}">
              <a16:creationId xmlns:a16="http://schemas.microsoft.com/office/drawing/2014/main" id="{00000000-0008-0000-0600-00000F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219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275</xdr:row>
      <xdr:rowOff>0</xdr:rowOff>
    </xdr:from>
    <xdr:ext cx="152400" cy="152400"/>
    <xdr:pic>
      <xdr:nvPicPr>
        <xdr:cNvPr id="272" name="Picture 271" descr="Weakness Base +[@$5F&amp;!/D]">
          <a:extLst>
            <a:ext uri="{FF2B5EF4-FFF2-40B4-BE49-F238E27FC236}">
              <a16:creationId xmlns:a16="http://schemas.microsoft.com/office/drawing/2014/main" id="{00000000-0008-0000-0600-00001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238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276</xdr:row>
      <xdr:rowOff>0</xdr:rowOff>
    </xdr:from>
    <xdr:ext cx="152400" cy="152400"/>
    <xdr:pic>
      <xdr:nvPicPr>
        <xdr:cNvPr id="273" name="Picture 272" descr="Weakness Base +[@$5F&amp;!/E]">
          <a:extLst>
            <a:ext uri="{FF2B5EF4-FFF2-40B4-BE49-F238E27FC236}">
              <a16:creationId xmlns:a16="http://schemas.microsoft.com/office/drawing/2014/main" id="{00000000-0008-0000-0600-00001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257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277</xdr:row>
      <xdr:rowOff>0</xdr:rowOff>
    </xdr:from>
    <xdr:ext cx="152400" cy="152400"/>
    <xdr:pic>
      <xdr:nvPicPr>
        <xdr:cNvPr id="274" name="Picture 273" descr="Weakness Class +[@$5F&amp;!/F]">
          <a:extLst>
            <a:ext uri="{FF2B5EF4-FFF2-40B4-BE49-F238E27FC236}">
              <a16:creationId xmlns:a16="http://schemas.microsoft.com/office/drawing/2014/main" id="{00000000-0008-0000-0600-000012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276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278</xdr:row>
      <xdr:rowOff>0</xdr:rowOff>
    </xdr:from>
    <xdr:ext cx="152400" cy="152400"/>
    <xdr:pic>
      <xdr:nvPicPr>
        <xdr:cNvPr id="275" name="Picture 274" descr="Weakness Base +[@$5F&amp;!/G]">
          <a:extLst>
            <a:ext uri="{FF2B5EF4-FFF2-40B4-BE49-F238E27FC236}">
              <a16:creationId xmlns:a16="http://schemas.microsoft.com/office/drawing/2014/main" id="{00000000-0008-0000-0600-00001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295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279</xdr:row>
      <xdr:rowOff>0</xdr:rowOff>
    </xdr:from>
    <xdr:ext cx="152400" cy="152400"/>
    <xdr:pic>
      <xdr:nvPicPr>
        <xdr:cNvPr id="276" name="Picture 275" descr="Weakness Base +[@$5F&amp;!/H]">
          <a:extLst>
            <a:ext uri="{FF2B5EF4-FFF2-40B4-BE49-F238E27FC236}">
              <a16:creationId xmlns:a16="http://schemas.microsoft.com/office/drawing/2014/main" id="{00000000-0008-0000-0600-00001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314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280</xdr:row>
      <xdr:rowOff>0</xdr:rowOff>
    </xdr:from>
    <xdr:ext cx="152400" cy="152400"/>
    <xdr:pic>
      <xdr:nvPicPr>
        <xdr:cNvPr id="277" name="Picture 276" descr="Weakness Class +[@$5F&amp;!/I]">
          <a:extLst>
            <a:ext uri="{FF2B5EF4-FFF2-40B4-BE49-F238E27FC236}">
              <a16:creationId xmlns:a16="http://schemas.microsoft.com/office/drawing/2014/main" id="{00000000-0008-0000-0600-000015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334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281</xdr:row>
      <xdr:rowOff>0</xdr:rowOff>
    </xdr:from>
    <xdr:ext cx="152400" cy="152400"/>
    <xdr:pic>
      <xdr:nvPicPr>
        <xdr:cNvPr id="278" name="Picture 277" descr="Weakness Class +[@$5F&amp;!/J]">
          <a:extLst>
            <a:ext uri="{FF2B5EF4-FFF2-40B4-BE49-F238E27FC236}">
              <a16:creationId xmlns:a16="http://schemas.microsoft.com/office/drawing/2014/main" id="{00000000-0008-0000-0600-000016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353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282</xdr:row>
      <xdr:rowOff>0</xdr:rowOff>
    </xdr:from>
    <xdr:ext cx="152400" cy="152400"/>
    <xdr:pic>
      <xdr:nvPicPr>
        <xdr:cNvPr id="279" name="Picture 278" descr="Weakness Class +[@$5F&amp;!/K]">
          <a:extLst>
            <a:ext uri="{FF2B5EF4-FFF2-40B4-BE49-F238E27FC236}">
              <a16:creationId xmlns:a16="http://schemas.microsoft.com/office/drawing/2014/main" id="{00000000-0008-0000-0600-000017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372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283</xdr:row>
      <xdr:rowOff>0</xdr:rowOff>
    </xdr:from>
    <xdr:ext cx="152400" cy="152400"/>
    <xdr:pic>
      <xdr:nvPicPr>
        <xdr:cNvPr id="280" name="Picture 279" descr="Weakness Base +[@$5F&amp;!/L]">
          <a:extLst>
            <a:ext uri="{FF2B5EF4-FFF2-40B4-BE49-F238E27FC236}">
              <a16:creationId xmlns:a16="http://schemas.microsoft.com/office/drawing/2014/main" id="{00000000-0008-0000-0600-00001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391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284</xdr:row>
      <xdr:rowOff>0</xdr:rowOff>
    </xdr:from>
    <xdr:ext cx="152400" cy="152400"/>
    <xdr:pic>
      <xdr:nvPicPr>
        <xdr:cNvPr id="281" name="Picture 280" descr="Weakness Class +[@$5F&amp;!/M]">
          <a:extLst>
            <a:ext uri="{FF2B5EF4-FFF2-40B4-BE49-F238E27FC236}">
              <a16:creationId xmlns:a16="http://schemas.microsoft.com/office/drawing/2014/main" id="{00000000-0008-0000-0600-000019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410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285</xdr:row>
      <xdr:rowOff>0</xdr:rowOff>
    </xdr:from>
    <xdr:ext cx="152400" cy="152400"/>
    <xdr:pic>
      <xdr:nvPicPr>
        <xdr:cNvPr id="282" name="Picture 281" descr="Weakness Class +[@$5F&amp;!/N]">
          <a:extLst>
            <a:ext uri="{FF2B5EF4-FFF2-40B4-BE49-F238E27FC236}">
              <a16:creationId xmlns:a16="http://schemas.microsoft.com/office/drawing/2014/main" id="{00000000-0008-0000-0600-00001A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429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286</xdr:row>
      <xdr:rowOff>0</xdr:rowOff>
    </xdr:from>
    <xdr:ext cx="152400" cy="152400"/>
    <xdr:pic>
      <xdr:nvPicPr>
        <xdr:cNvPr id="283" name="Picture 282" descr="Weakness Base +[@$5F&amp;!/O]">
          <a:extLst>
            <a:ext uri="{FF2B5EF4-FFF2-40B4-BE49-F238E27FC236}">
              <a16:creationId xmlns:a16="http://schemas.microsoft.com/office/drawing/2014/main" id="{00000000-0008-0000-0600-00001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448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287</xdr:row>
      <xdr:rowOff>0</xdr:rowOff>
    </xdr:from>
    <xdr:ext cx="152400" cy="152400"/>
    <xdr:pic>
      <xdr:nvPicPr>
        <xdr:cNvPr id="284" name="Picture 283" descr="Weakness Variant +[@$5F&amp;!/P]">
          <a:extLst>
            <a:ext uri="{FF2B5EF4-FFF2-40B4-BE49-F238E27FC236}">
              <a16:creationId xmlns:a16="http://schemas.microsoft.com/office/drawing/2014/main" id="{00000000-0008-0000-0600-00001C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467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288</xdr:row>
      <xdr:rowOff>0</xdr:rowOff>
    </xdr:from>
    <xdr:ext cx="152400" cy="152400"/>
    <xdr:pic>
      <xdr:nvPicPr>
        <xdr:cNvPr id="285" name="Picture 284" descr="Weakness Variant +[@$5F&amp;!/Q]">
          <a:extLst>
            <a:ext uri="{FF2B5EF4-FFF2-40B4-BE49-F238E27FC236}">
              <a16:creationId xmlns:a16="http://schemas.microsoft.com/office/drawing/2014/main" id="{00000000-0008-0000-0600-00001D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486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289</xdr:row>
      <xdr:rowOff>0</xdr:rowOff>
    </xdr:from>
    <xdr:ext cx="152400" cy="152400"/>
    <xdr:pic>
      <xdr:nvPicPr>
        <xdr:cNvPr id="286" name="Picture 285" descr="Weakness Base +[@$5F&amp;!/R]">
          <a:extLst>
            <a:ext uri="{FF2B5EF4-FFF2-40B4-BE49-F238E27FC236}">
              <a16:creationId xmlns:a16="http://schemas.microsoft.com/office/drawing/2014/main" id="{00000000-0008-0000-0600-00001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505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290</xdr:row>
      <xdr:rowOff>0</xdr:rowOff>
    </xdr:from>
    <xdr:ext cx="152400" cy="152400"/>
    <xdr:pic>
      <xdr:nvPicPr>
        <xdr:cNvPr id="287" name="Picture 286" descr="Weakness Class +[@$5F&amp;!/S]">
          <a:extLst>
            <a:ext uri="{FF2B5EF4-FFF2-40B4-BE49-F238E27FC236}">
              <a16:creationId xmlns:a16="http://schemas.microsoft.com/office/drawing/2014/main" id="{00000000-0008-0000-0600-00001F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524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291</xdr:row>
      <xdr:rowOff>0</xdr:rowOff>
    </xdr:from>
    <xdr:ext cx="152400" cy="152400"/>
    <xdr:pic>
      <xdr:nvPicPr>
        <xdr:cNvPr id="288" name="Picture 287" descr="Weakness Variant +[@$5F&amp;!/T]">
          <a:extLst>
            <a:ext uri="{FF2B5EF4-FFF2-40B4-BE49-F238E27FC236}">
              <a16:creationId xmlns:a16="http://schemas.microsoft.com/office/drawing/2014/main" id="{00000000-0008-0000-0600-000020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543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292</xdr:row>
      <xdr:rowOff>0</xdr:rowOff>
    </xdr:from>
    <xdr:ext cx="152400" cy="152400"/>
    <xdr:pic>
      <xdr:nvPicPr>
        <xdr:cNvPr id="289" name="Picture 288" descr="Weakness Variant +[@$5F&amp;!/U]">
          <a:extLst>
            <a:ext uri="{FF2B5EF4-FFF2-40B4-BE49-F238E27FC236}">
              <a16:creationId xmlns:a16="http://schemas.microsoft.com/office/drawing/2014/main" id="{00000000-0008-0000-0600-000021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562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293</xdr:row>
      <xdr:rowOff>0</xdr:rowOff>
    </xdr:from>
    <xdr:ext cx="152400" cy="152400"/>
    <xdr:pic>
      <xdr:nvPicPr>
        <xdr:cNvPr id="290" name="Picture 289" descr="Weakness Base +[@$5F&amp;!/V]">
          <a:extLst>
            <a:ext uri="{FF2B5EF4-FFF2-40B4-BE49-F238E27FC236}">
              <a16:creationId xmlns:a16="http://schemas.microsoft.com/office/drawing/2014/main" id="{00000000-0008-0000-0600-00002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581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294</xdr:row>
      <xdr:rowOff>0</xdr:rowOff>
    </xdr:from>
    <xdr:ext cx="152400" cy="152400"/>
    <xdr:pic>
      <xdr:nvPicPr>
        <xdr:cNvPr id="291" name="Picture 290" descr="Weakness Base +[@$5F&amp;!/W]">
          <a:extLst>
            <a:ext uri="{FF2B5EF4-FFF2-40B4-BE49-F238E27FC236}">
              <a16:creationId xmlns:a16="http://schemas.microsoft.com/office/drawing/2014/main" id="{00000000-0008-0000-0600-00002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600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295</xdr:row>
      <xdr:rowOff>0</xdr:rowOff>
    </xdr:from>
    <xdr:ext cx="152400" cy="152400"/>
    <xdr:pic>
      <xdr:nvPicPr>
        <xdr:cNvPr id="292" name="Picture 291" descr="Weakness Variant +[@$5F&amp;!/X]">
          <a:extLst>
            <a:ext uri="{FF2B5EF4-FFF2-40B4-BE49-F238E27FC236}">
              <a16:creationId xmlns:a16="http://schemas.microsoft.com/office/drawing/2014/main" id="{00000000-0008-0000-0600-000024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619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296</xdr:row>
      <xdr:rowOff>0</xdr:rowOff>
    </xdr:from>
    <xdr:ext cx="152400" cy="152400"/>
    <xdr:pic>
      <xdr:nvPicPr>
        <xdr:cNvPr id="293" name="Picture 292" descr="Weakness Base +[@$5F&amp;!/Y]">
          <a:extLst>
            <a:ext uri="{FF2B5EF4-FFF2-40B4-BE49-F238E27FC236}">
              <a16:creationId xmlns:a16="http://schemas.microsoft.com/office/drawing/2014/main" id="{00000000-0008-0000-0600-00002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638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297</xdr:row>
      <xdr:rowOff>0</xdr:rowOff>
    </xdr:from>
    <xdr:ext cx="152400" cy="152400"/>
    <xdr:pic>
      <xdr:nvPicPr>
        <xdr:cNvPr id="294" name="Picture 293" descr="Weakness Variant +[@$5F&amp;!/Z]">
          <a:extLst>
            <a:ext uri="{FF2B5EF4-FFF2-40B4-BE49-F238E27FC236}">
              <a16:creationId xmlns:a16="http://schemas.microsoft.com/office/drawing/2014/main" id="{00000000-0008-0000-0600-000026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657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298</xdr:row>
      <xdr:rowOff>0</xdr:rowOff>
    </xdr:from>
    <xdr:ext cx="152400" cy="152400"/>
    <xdr:pic>
      <xdr:nvPicPr>
        <xdr:cNvPr id="295" name="Picture 294" descr="Weakness Variant +[@$5F&amp;!/[]">
          <a:extLst>
            <a:ext uri="{FF2B5EF4-FFF2-40B4-BE49-F238E27FC236}">
              <a16:creationId xmlns:a16="http://schemas.microsoft.com/office/drawing/2014/main" id="{00000000-0008-0000-0600-000027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676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299</xdr:row>
      <xdr:rowOff>0</xdr:rowOff>
    </xdr:from>
    <xdr:ext cx="152400" cy="152400"/>
    <xdr:pic>
      <xdr:nvPicPr>
        <xdr:cNvPr id="296" name="Picture 295" descr="Weakness Base +[@$5F&amp;!/\]">
          <a:extLst>
            <a:ext uri="{FF2B5EF4-FFF2-40B4-BE49-F238E27FC236}">
              <a16:creationId xmlns:a16="http://schemas.microsoft.com/office/drawing/2014/main" id="{00000000-0008-0000-0600-00002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695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300</xdr:row>
      <xdr:rowOff>0</xdr:rowOff>
    </xdr:from>
    <xdr:ext cx="152400" cy="152400"/>
    <xdr:pic>
      <xdr:nvPicPr>
        <xdr:cNvPr id="297" name="Picture 296" descr="Weakness Base +[@$5F&amp;!/]]">
          <a:extLst>
            <a:ext uri="{FF2B5EF4-FFF2-40B4-BE49-F238E27FC236}">
              <a16:creationId xmlns:a16="http://schemas.microsoft.com/office/drawing/2014/main" id="{00000000-0008-0000-0600-00002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71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301</xdr:row>
      <xdr:rowOff>0</xdr:rowOff>
    </xdr:from>
    <xdr:ext cx="152400" cy="152400"/>
    <xdr:pic>
      <xdr:nvPicPr>
        <xdr:cNvPr id="298" name="Picture 297" descr="Weakness Variant +[@$5F&amp;!/^]">
          <a:extLst>
            <a:ext uri="{FF2B5EF4-FFF2-40B4-BE49-F238E27FC236}">
              <a16:creationId xmlns:a16="http://schemas.microsoft.com/office/drawing/2014/main" id="{00000000-0008-0000-0600-00002A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734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302</xdr:row>
      <xdr:rowOff>0</xdr:rowOff>
    </xdr:from>
    <xdr:ext cx="152400" cy="152400"/>
    <xdr:pic>
      <xdr:nvPicPr>
        <xdr:cNvPr id="299" name="Picture 298" descr="Weakness Base +[@$5F&amp;!/_]">
          <a:extLst>
            <a:ext uri="{FF2B5EF4-FFF2-40B4-BE49-F238E27FC236}">
              <a16:creationId xmlns:a16="http://schemas.microsoft.com/office/drawing/2014/main" id="{00000000-0008-0000-0600-00002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753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303</xdr:row>
      <xdr:rowOff>0</xdr:rowOff>
    </xdr:from>
    <xdr:ext cx="152400" cy="152400"/>
    <xdr:pic>
      <xdr:nvPicPr>
        <xdr:cNvPr id="300" name="Picture 299" descr="Weakness Variant +[@$5F&amp;!/`]">
          <a:extLst>
            <a:ext uri="{FF2B5EF4-FFF2-40B4-BE49-F238E27FC236}">
              <a16:creationId xmlns:a16="http://schemas.microsoft.com/office/drawing/2014/main" id="{00000000-0008-0000-0600-00002C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772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304</xdr:row>
      <xdr:rowOff>0</xdr:rowOff>
    </xdr:from>
    <xdr:ext cx="152400" cy="152400"/>
    <xdr:pic>
      <xdr:nvPicPr>
        <xdr:cNvPr id="301" name="Picture 300" descr="Weakness Variant +[@$5F&amp;!/a]">
          <a:extLst>
            <a:ext uri="{FF2B5EF4-FFF2-40B4-BE49-F238E27FC236}">
              <a16:creationId xmlns:a16="http://schemas.microsoft.com/office/drawing/2014/main" id="{00000000-0008-0000-0600-00002D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791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305</xdr:row>
      <xdr:rowOff>0</xdr:rowOff>
    </xdr:from>
    <xdr:ext cx="152400" cy="152400"/>
    <xdr:pic>
      <xdr:nvPicPr>
        <xdr:cNvPr id="302" name="Picture 301" descr="Weakness Base +[@$5F&amp;!/b]">
          <a:extLst>
            <a:ext uri="{FF2B5EF4-FFF2-40B4-BE49-F238E27FC236}">
              <a16:creationId xmlns:a16="http://schemas.microsoft.com/office/drawing/2014/main" id="{00000000-0008-0000-0600-00002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810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306</xdr:row>
      <xdr:rowOff>0</xdr:rowOff>
    </xdr:from>
    <xdr:ext cx="152400" cy="152400"/>
    <xdr:pic>
      <xdr:nvPicPr>
        <xdr:cNvPr id="303" name="Picture 302" descr="Weakness Base +[@$5F&amp;!/c]">
          <a:extLst>
            <a:ext uri="{FF2B5EF4-FFF2-40B4-BE49-F238E27FC236}">
              <a16:creationId xmlns:a16="http://schemas.microsoft.com/office/drawing/2014/main" id="{00000000-0008-0000-0600-00002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829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307</xdr:row>
      <xdr:rowOff>0</xdr:rowOff>
    </xdr:from>
    <xdr:ext cx="152400" cy="152400"/>
    <xdr:pic>
      <xdr:nvPicPr>
        <xdr:cNvPr id="304" name="Picture 303" descr="Weakness Class +[@$5F&amp;!/d]">
          <a:extLst>
            <a:ext uri="{FF2B5EF4-FFF2-40B4-BE49-F238E27FC236}">
              <a16:creationId xmlns:a16="http://schemas.microsoft.com/office/drawing/2014/main" id="{00000000-0008-0000-0600-000030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848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308</xdr:row>
      <xdr:rowOff>0</xdr:rowOff>
    </xdr:from>
    <xdr:ext cx="152400" cy="152400"/>
    <xdr:pic>
      <xdr:nvPicPr>
        <xdr:cNvPr id="305" name="Picture 304" descr="Weakness Variant +[@$5F&amp;!/e]">
          <a:extLst>
            <a:ext uri="{FF2B5EF4-FFF2-40B4-BE49-F238E27FC236}">
              <a16:creationId xmlns:a16="http://schemas.microsoft.com/office/drawing/2014/main" id="{00000000-0008-0000-0600-000031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867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309</xdr:row>
      <xdr:rowOff>0</xdr:rowOff>
    </xdr:from>
    <xdr:ext cx="152400" cy="152400"/>
    <xdr:pic>
      <xdr:nvPicPr>
        <xdr:cNvPr id="306" name="Picture 305" descr="Weakness Variant +[@$5F&amp;!/f]">
          <a:extLst>
            <a:ext uri="{FF2B5EF4-FFF2-40B4-BE49-F238E27FC236}">
              <a16:creationId xmlns:a16="http://schemas.microsoft.com/office/drawing/2014/main" id="{00000000-0008-0000-0600-000032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886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310</xdr:row>
      <xdr:rowOff>0</xdr:rowOff>
    </xdr:from>
    <xdr:ext cx="152400" cy="152400"/>
    <xdr:pic>
      <xdr:nvPicPr>
        <xdr:cNvPr id="307" name="Picture 306" descr="Weakness Base +[@$5F&amp;!/g]">
          <a:extLst>
            <a:ext uri="{FF2B5EF4-FFF2-40B4-BE49-F238E27FC236}">
              <a16:creationId xmlns:a16="http://schemas.microsoft.com/office/drawing/2014/main" id="{00000000-0008-0000-0600-00003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905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311</xdr:row>
      <xdr:rowOff>0</xdr:rowOff>
    </xdr:from>
    <xdr:ext cx="152400" cy="152400"/>
    <xdr:pic>
      <xdr:nvPicPr>
        <xdr:cNvPr id="308" name="Picture 307" descr="Weakness Variant +[@$5F&amp;!/h]">
          <a:extLst>
            <a:ext uri="{FF2B5EF4-FFF2-40B4-BE49-F238E27FC236}">
              <a16:creationId xmlns:a16="http://schemas.microsoft.com/office/drawing/2014/main" id="{00000000-0008-0000-0600-000034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924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312</xdr:row>
      <xdr:rowOff>0</xdr:rowOff>
    </xdr:from>
    <xdr:ext cx="152400" cy="152400"/>
    <xdr:pic>
      <xdr:nvPicPr>
        <xdr:cNvPr id="309" name="Picture 308" descr="Weakness Variant +[@$5F&amp;!/i]">
          <a:extLst>
            <a:ext uri="{FF2B5EF4-FFF2-40B4-BE49-F238E27FC236}">
              <a16:creationId xmlns:a16="http://schemas.microsoft.com/office/drawing/2014/main" id="{00000000-0008-0000-0600-000035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943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313</xdr:row>
      <xdr:rowOff>0</xdr:rowOff>
    </xdr:from>
    <xdr:ext cx="152400" cy="152400"/>
    <xdr:pic>
      <xdr:nvPicPr>
        <xdr:cNvPr id="310" name="Picture 309" descr="Weakness Base +[@$5F&amp;!/j]">
          <a:extLst>
            <a:ext uri="{FF2B5EF4-FFF2-40B4-BE49-F238E27FC236}">
              <a16:creationId xmlns:a16="http://schemas.microsoft.com/office/drawing/2014/main" id="{00000000-0008-0000-0600-00003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962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314</xdr:row>
      <xdr:rowOff>0</xdr:rowOff>
    </xdr:from>
    <xdr:ext cx="152400" cy="152400"/>
    <xdr:pic>
      <xdr:nvPicPr>
        <xdr:cNvPr id="311" name="Picture 310" descr="Weakness Variant +[@$5F&amp;!/k]">
          <a:extLst>
            <a:ext uri="{FF2B5EF4-FFF2-40B4-BE49-F238E27FC236}">
              <a16:creationId xmlns:a16="http://schemas.microsoft.com/office/drawing/2014/main" id="{00000000-0008-0000-0600-000037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981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315</xdr:row>
      <xdr:rowOff>0</xdr:rowOff>
    </xdr:from>
    <xdr:ext cx="152400" cy="152400"/>
    <xdr:pic>
      <xdr:nvPicPr>
        <xdr:cNvPr id="312" name="Picture 311" descr="Weakness Variant +[@$5F&amp;!/l]">
          <a:extLst>
            <a:ext uri="{FF2B5EF4-FFF2-40B4-BE49-F238E27FC236}">
              <a16:creationId xmlns:a16="http://schemas.microsoft.com/office/drawing/2014/main" id="{00000000-0008-0000-0600-000038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000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316</xdr:row>
      <xdr:rowOff>0</xdr:rowOff>
    </xdr:from>
    <xdr:ext cx="152400" cy="152400"/>
    <xdr:pic>
      <xdr:nvPicPr>
        <xdr:cNvPr id="313" name="Picture 312" descr="Weakness Base +[@$5F&amp;!/m]">
          <a:extLst>
            <a:ext uri="{FF2B5EF4-FFF2-40B4-BE49-F238E27FC236}">
              <a16:creationId xmlns:a16="http://schemas.microsoft.com/office/drawing/2014/main" id="{00000000-0008-0000-0600-00003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019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317</xdr:row>
      <xdr:rowOff>0</xdr:rowOff>
    </xdr:from>
    <xdr:ext cx="152400" cy="152400"/>
    <xdr:pic>
      <xdr:nvPicPr>
        <xdr:cNvPr id="314" name="Picture 313" descr="Weakness Class +[@$5F&amp;!/n]">
          <a:extLst>
            <a:ext uri="{FF2B5EF4-FFF2-40B4-BE49-F238E27FC236}">
              <a16:creationId xmlns:a16="http://schemas.microsoft.com/office/drawing/2014/main" id="{00000000-0008-0000-0600-00003A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6038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318</xdr:row>
      <xdr:rowOff>0</xdr:rowOff>
    </xdr:from>
    <xdr:ext cx="152400" cy="152400"/>
    <xdr:pic>
      <xdr:nvPicPr>
        <xdr:cNvPr id="315" name="Picture 314" descr="Weakness Class +[@$5F&amp;!/o]">
          <a:extLst>
            <a:ext uri="{FF2B5EF4-FFF2-40B4-BE49-F238E27FC236}">
              <a16:creationId xmlns:a16="http://schemas.microsoft.com/office/drawing/2014/main" id="{00000000-0008-0000-0600-00003B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6057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319</xdr:row>
      <xdr:rowOff>0</xdr:rowOff>
    </xdr:from>
    <xdr:ext cx="152400" cy="152400"/>
    <xdr:pic>
      <xdr:nvPicPr>
        <xdr:cNvPr id="316" name="Picture 315" descr="Weakness Base +[@$5F&amp;!/p]">
          <a:extLst>
            <a:ext uri="{FF2B5EF4-FFF2-40B4-BE49-F238E27FC236}">
              <a16:creationId xmlns:a16="http://schemas.microsoft.com/office/drawing/2014/main" id="{00000000-0008-0000-0600-00003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076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320</xdr:row>
      <xdr:rowOff>0</xdr:rowOff>
    </xdr:from>
    <xdr:ext cx="152400" cy="152400"/>
    <xdr:pic>
      <xdr:nvPicPr>
        <xdr:cNvPr id="317" name="Picture 316" descr="Weakness Base +[@$5F&amp;!/q]">
          <a:extLst>
            <a:ext uri="{FF2B5EF4-FFF2-40B4-BE49-F238E27FC236}">
              <a16:creationId xmlns:a16="http://schemas.microsoft.com/office/drawing/2014/main" id="{00000000-0008-0000-0600-00003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096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321</xdr:row>
      <xdr:rowOff>0</xdr:rowOff>
    </xdr:from>
    <xdr:ext cx="152400" cy="152400"/>
    <xdr:pic>
      <xdr:nvPicPr>
        <xdr:cNvPr id="318" name="Picture 317" descr="Weakness Variant +[@$5F&amp;!/r]">
          <a:extLst>
            <a:ext uri="{FF2B5EF4-FFF2-40B4-BE49-F238E27FC236}">
              <a16:creationId xmlns:a16="http://schemas.microsoft.com/office/drawing/2014/main" id="{00000000-0008-0000-0600-00003E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115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322</xdr:row>
      <xdr:rowOff>0</xdr:rowOff>
    </xdr:from>
    <xdr:ext cx="152400" cy="152400"/>
    <xdr:pic>
      <xdr:nvPicPr>
        <xdr:cNvPr id="319" name="Picture 318" descr="Weakness Variant +[@$5F&amp;!/s]">
          <a:extLst>
            <a:ext uri="{FF2B5EF4-FFF2-40B4-BE49-F238E27FC236}">
              <a16:creationId xmlns:a16="http://schemas.microsoft.com/office/drawing/2014/main" id="{00000000-0008-0000-0600-00003F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134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323</xdr:row>
      <xdr:rowOff>0</xdr:rowOff>
    </xdr:from>
    <xdr:ext cx="152400" cy="152400"/>
    <xdr:pic>
      <xdr:nvPicPr>
        <xdr:cNvPr id="320" name="Picture 319" descr="Weakness Base +[@$5F&amp;!/t]">
          <a:extLst>
            <a:ext uri="{FF2B5EF4-FFF2-40B4-BE49-F238E27FC236}">
              <a16:creationId xmlns:a16="http://schemas.microsoft.com/office/drawing/2014/main" id="{00000000-0008-0000-0600-00004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153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324</xdr:row>
      <xdr:rowOff>0</xdr:rowOff>
    </xdr:from>
    <xdr:ext cx="152400" cy="152400"/>
    <xdr:pic>
      <xdr:nvPicPr>
        <xdr:cNvPr id="321" name="Picture 320" descr="Weakness Base +[@$5F&amp;!/u]">
          <a:extLst>
            <a:ext uri="{FF2B5EF4-FFF2-40B4-BE49-F238E27FC236}">
              <a16:creationId xmlns:a16="http://schemas.microsoft.com/office/drawing/2014/main" id="{00000000-0008-0000-0600-00004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172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325</xdr:row>
      <xdr:rowOff>0</xdr:rowOff>
    </xdr:from>
    <xdr:ext cx="152400" cy="152400"/>
    <xdr:pic>
      <xdr:nvPicPr>
        <xdr:cNvPr id="322" name="Picture 321" descr="Weakness Base +[@$5F&amp;!/v]">
          <a:extLst>
            <a:ext uri="{FF2B5EF4-FFF2-40B4-BE49-F238E27FC236}">
              <a16:creationId xmlns:a16="http://schemas.microsoft.com/office/drawing/2014/main" id="{00000000-0008-0000-0600-00004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191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326</xdr:row>
      <xdr:rowOff>0</xdr:rowOff>
    </xdr:from>
    <xdr:ext cx="152400" cy="152400"/>
    <xdr:pic>
      <xdr:nvPicPr>
        <xdr:cNvPr id="323" name="Picture 322" descr="Weakness Base +[@$5F&amp;!/w]">
          <a:extLst>
            <a:ext uri="{FF2B5EF4-FFF2-40B4-BE49-F238E27FC236}">
              <a16:creationId xmlns:a16="http://schemas.microsoft.com/office/drawing/2014/main" id="{00000000-0008-0000-0600-00004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210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327</xdr:row>
      <xdr:rowOff>0</xdr:rowOff>
    </xdr:from>
    <xdr:ext cx="152400" cy="152400"/>
    <xdr:pic>
      <xdr:nvPicPr>
        <xdr:cNvPr id="324" name="Picture 323" descr="Weakness Base +[@$5F&amp;!/x]">
          <a:extLst>
            <a:ext uri="{FF2B5EF4-FFF2-40B4-BE49-F238E27FC236}">
              <a16:creationId xmlns:a16="http://schemas.microsoft.com/office/drawing/2014/main" id="{00000000-0008-0000-0600-00004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229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328</xdr:row>
      <xdr:rowOff>0</xdr:rowOff>
    </xdr:from>
    <xdr:ext cx="152400" cy="152400"/>
    <xdr:pic>
      <xdr:nvPicPr>
        <xdr:cNvPr id="325" name="Picture 324" descr="Weakness Base +[@$5F&amp;!/y]">
          <a:extLst>
            <a:ext uri="{FF2B5EF4-FFF2-40B4-BE49-F238E27FC236}">
              <a16:creationId xmlns:a16="http://schemas.microsoft.com/office/drawing/2014/main" id="{00000000-0008-0000-0600-00004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248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329</xdr:row>
      <xdr:rowOff>0</xdr:rowOff>
    </xdr:from>
    <xdr:ext cx="152400" cy="152400"/>
    <xdr:pic>
      <xdr:nvPicPr>
        <xdr:cNvPr id="326" name="Picture 325" descr="Weakness Base +[@$5F&amp;!/z]">
          <a:extLst>
            <a:ext uri="{FF2B5EF4-FFF2-40B4-BE49-F238E27FC236}">
              <a16:creationId xmlns:a16="http://schemas.microsoft.com/office/drawing/2014/main" id="{00000000-0008-0000-0600-00004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267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330</xdr:row>
      <xdr:rowOff>0</xdr:rowOff>
    </xdr:from>
    <xdr:ext cx="152400" cy="152400"/>
    <xdr:pic>
      <xdr:nvPicPr>
        <xdr:cNvPr id="327" name="Picture 326" descr="Weakness Variant +[@$5F&amp;!/{]">
          <a:extLst>
            <a:ext uri="{FF2B5EF4-FFF2-40B4-BE49-F238E27FC236}">
              <a16:creationId xmlns:a16="http://schemas.microsoft.com/office/drawing/2014/main" id="{00000000-0008-0000-0600-000047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286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331</xdr:row>
      <xdr:rowOff>0</xdr:rowOff>
    </xdr:from>
    <xdr:ext cx="152400" cy="152400"/>
    <xdr:pic>
      <xdr:nvPicPr>
        <xdr:cNvPr id="328" name="Picture 327" descr="Weakness Base +[@$5F&amp;!/|]">
          <a:extLst>
            <a:ext uri="{FF2B5EF4-FFF2-40B4-BE49-F238E27FC236}">
              <a16:creationId xmlns:a16="http://schemas.microsoft.com/office/drawing/2014/main" id="{00000000-0008-0000-0600-00004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305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332</xdr:row>
      <xdr:rowOff>0</xdr:rowOff>
    </xdr:from>
    <xdr:ext cx="152400" cy="152400"/>
    <xdr:pic>
      <xdr:nvPicPr>
        <xdr:cNvPr id="329" name="Picture 328" descr="Weakness Variant +[@$5F&amp;!/}]">
          <a:extLst>
            <a:ext uri="{FF2B5EF4-FFF2-40B4-BE49-F238E27FC236}">
              <a16:creationId xmlns:a16="http://schemas.microsoft.com/office/drawing/2014/main" id="{00000000-0008-0000-0600-000049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324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333</xdr:row>
      <xdr:rowOff>0</xdr:rowOff>
    </xdr:from>
    <xdr:ext cx="152400" cy="152400"/>
    <xdr:pic>
      <xdr:nvPicPr>
        <xdr:cNvPr id="330" name="Picture 329" descr="Weakness Variant +[@$5F&amp;!/~]">
          <a:extLst>
            <a:ext uri="{FF2B5EF4-FFF2-40B4-BE49-F238E27FC236}">
              <a16:creationId xmlns:a16="http://schemas.microsoft.com/office/drawing/2014/main" id="{00000000-0008-0000-0600-00004A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343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334</xdr:row>
      <xdr:rowOff>0</xdr:rowOff>
    </xdr:from>
    <xdr:ext cx="152400" cy="152400"/>
    <xdr:pic>
      <xdr:nvPicPr>
        <xdr:cNvPr id="331" name="Picture 330" descr="Weakness Variant +[@$5F&amp;!0#]">
          <a:extLst>
            <a:ext uri="{FF2B5EF4-FFF2-40B4-BE49-F238E27FC236}">
              <a16:creationId xmlns:a16="http://schemas.microsoft.com/office/drawing/2014/main" id="{00000000-0008-0000-0600-00004B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362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335</xdr:row>
      <xdr:rowOff>0</xdr:rowOff>
    </xdr:from>
    <xdr:ext cx="152400" cy="152400"/>
    <xdr:pic>
      <xdr:nvPicPr>
        <xdr:cNvPr id="332" name="Picture 331" descr="Weakness Base +[@$5F&amp;!0$]">
          <a:extLst>
            <a:ext uri="{FF2B5EF4-FFF2-40B4-BE49-F238E27FC236}">
              <a16:creationId xmlns:a16="http://schemas.microsoft.com/office/drawing/2014/main" id="{00000000-0008-0000-0600-00004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381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336</xdr:row>
      <xdr:rowOff>0</xdr:rowOff>
    </xdr:from>
    <xdr:ext cx="152400" cy="152400"/>
    <xdr:pic>
      <xdr:nvPicPr>
        <xdr:cNvPr id="333" name="Picture 332" descr="Weakness Variant +[@$5F&amp;!0%]">
          <a:extLst>
            <a:ext uri="{FF2B5EF4-FFF2-40B4-BE49-F238E27FC236}">
              <a16:creationId xmlns:a16="http://schemas.microsoft.com/office/drawing/2014/main" id="{00000000-0008-0000-0600-00004D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400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337</xdr:row>
      <xdr:rowOff>0</xdr:rowOff>
    </xdr:from>
    <xdr:ext cx="152400" cy="152400"/>
    <xdr:pic>
      <xdr:nvPicPr>
        <xdr:cNvPr id="334" name="Picture 333" descr="Weakness Variant +[@$5F&amp;!0&amp;]">
          <a:extLst>
            <a:ext uri="{FF2B5EF4-FFF2-40B4-BE49-F238E27FC236}">
              <a16:creationId xmlns:a16="http://schemas.microsoft.com/office/drawing/2014/main" id="{00000000-0008-0000-0600-00004E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41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338</xdr:row>
      <xdr:rowOff>0</xdr:rowOff>
    </xdr:from>
    <xdr:ext cx="152400" cy="152400"/>
    <xdr:pic>
      <xdr:nvPicPr>
        <xdr:cNvPr id="335" name="Picture 334" descr="Weakness Variant +[@$5F&amp;!0']">
          <a:extLst>
            <a:ext uri="{FF2B5EF4-FFF2-40B4-BE49-F238E27FC236}">
              <a16:creationId xmlns:a16="http://schemas.microsoft.com/office/drawing/2014/main" id="{00000000-0008-0000-0600-00004F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438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339</xdr:row>
      <xdr:rowOff>0</xdr:rowOff>
    </xdr:from>
    <xdr:ext cx="152400" cy="152400"/>
    <xdr:pic>
      <xdr:nvPicPr>
        <xdr:cNvPr id="336" name="Picture 335" descr="Weakness Variant +[@$5F&amp;!0(]">
          <a:extLst>
            <a:ext uri="{FF2B5EF4-FFF2-40B4-BE49-F238E27FC236}">
              <a16:creationId xmlns:a16="http://schemas.microsoft.com/office/drawing/2014/main" id="{00000000-0008-0000-0600-000050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457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340</xdr:row>
      <xdr:rowOff>0</xdr:rowOff>
    </xdr:from>
    <xdr:ext cx="152400" cy="152400"/>
    <xdr:pic>
      <xdr:nvPicPr>
        <xdr:cNvPr id="337" name="Picture 336" descr="Weakness Variant +[@$5F&amp;!0)]">
          <a:extLst>
            <a:ext uri="{FF2B5EF4-FFF2-40B4-BE49-F238E27FC236}">
              <a16:creationId xmlns:a16="http://schemas.microsoft.com/office/drawing/2014/main" id="{00000000-0008-0000-0600-000051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477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341</xdr:row>
      <xdr:rowOff>0</xdr:rowOff>
    </xdr:from>
    <xdr:ext cx="152400" cy="152400"/>
    <xdr:pic>
      <xdr:nvPicPr>
        <xdr:cNvPr id="338" name="Picture 337" descr="Weakness Variant +[@$5F&amp;!0.]">
          <a:extLst>
            <a:ext uri="{FF2B5EF4-FFF2-40B4-BE49-F238E27FC236}">
              <a16:creationId xmlns:a16="http://schemas.microsoft.com/office/drawing/2014/main" id="{00000000-0008-0000-0600-000052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496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342</xdr:row>
      <xdr:rowOff>0</xdr:rowOff>
    </xdr:from>
    <xdr:ext cx="152400" cy="152400"/>
    <xdr:pic>
      <xdr:nvPicPr>
        <xdr:cNvPr id="339" name="Picture 338" descr="Weakness Variant +[@$5F&amp;!0/]">
          <a:extLst>
            <a:ext uri="{FF2B5EF4-FFF2-40B4-BE49-F238E27FC236}">
              <a16:creationId xmlns:a16="http://schemas.microsoft.com/office/drawing/2014/main" id="{00000000-0008-0000-0600-000053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515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343</xdr:row>
      <xdr:rowOff>0</xdr:rowOff>
    </xdr:from>
    <xdr:ext cx="152400" cy="152400"/>
    <xdr:pic>
      <xdr:nvPicPr>
        <xdr:cNvPr id="340" name="Picture 339" descr="Weakness Variant +[@$5F&amp;!00]">
          <a:extLst>
            <a:ext uri="{FF2B5EF4-FFF2-40B4-BE49-F238E27FC236}">
              <a16:creationId xmlns:a16="http://schemas.microsoft.com/office/drawing/2014/main" id="{00000000-0008-0000-0600-000054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534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344</xdr:row>
      <xdr:rowOff>0</xdr:rowOff>
    </xdr:from>
    <xdr:ext cx="152400" cy="152400"/>
    <xdr:pic>
      <xdr:nvPicPr>
        <xdr:cNvPr id="341" name="Picture 340" descr="Weakness Variant +[@$5F&amp;!01]">
          <a:extLst>
            <a:ext uri="{FF2B5EF4-FFF2-40B4-BE49-F238E27FC236}">
              <a16:creationId xmlns:a16="http://schemas.microsoft.com/office/drawing/2014/main" id="{00000000-0008-0000-0600-000055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553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345</xdr:row>
      <xdr:rowOff>0</xdr:rowOff>
    </xdr:from>
    <xdr:ext cx="152400" cy="152400"/>
    <xdr:pic>
      <xdr:nvPicPr>
        <xdr:cNvPr id="342" name="Picture 341" descr="Weakness Variant +[@$5F&amp;!02]">
          <a:extLst>
            <a:ext uri="{FF2B5EF4-FFF2-40B4-BE49-F238E27FC236}">
              <a16:creationId xmlns:a16="http://schemas.microsoft.com/office/drawing/2014/main" id="{00000000-0008-0000-0600-000056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572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346</xdr:row>
      <xdr:rowOff>0</xdr:rowOff>
    </xdr:from>
    <xdr:ext cx="152400" cy="152400"/>
    <xdr:pic>
      <xdr:nvPicPr>
        <xdr:cNvPr id="343" name="Picture 342" descr="Weakness Variant +[@$5F&amp;!03]">
          <a:extLst>
            <a:ext uri="{FF2B5EF4-FFF2-40B4-BE49-F238E27FC236}">
              <a16:creationId xmlns:a16="http://schemas.microsoft.com/office/drawing/2014/main" id="{00000000-0008-0000-0600-000057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591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347</xdr:row>
      <xdr:rowOff>0</xdr:rowOff>
    </xdr:from>
    <xdr:ext cx="152400" cy="152400"/>
    <xdr:pic>
      <xdr:nvPicPr>
        <xdr:cNvPr id="344" name="Picture 343" descr="Weakness Variant +[@$5F&amp;!04]">
          <a:extLst>
            <a:ext uri="{FF2B5EF4-FFF2-40B4-BE49-F238E27FC236}">
              <a16:creationId xmlns:a16="http://schemas.microsoft.com/office/drawing/2014/main" id="{00000000-0008-0000-0600-000058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610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348</xdr:row>
      <xdr:rowOff>0</xdr:rowOff>
    </xdr:from>
    <xdr:ext cx="152400" cy="152400"/>
    <xdr:pic>
      <xdr:nvPicPr>
        <xdr:cNvPr id="345" name="Picture 344" descr="Weakness Variant +[@$5F&amp;!05]">
          <a:extLst>
            <a:ext uri="{FF2B5EF4-FFF2-40B4-BE49-F238E27FC236}">
              <a16:creationId xmlns:a16="http://schemas.microsoft.com/office/drawing/2014/main" id="{00000000-0008-0000-0600-000059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629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349</xdr:row>
      <xdr:rowOff>0</xdr:rowOff>
    </xdr:from>
    <xdr:ext cx="152400" cy="152400"/>
    <xdr:pic>
      <xdr:nvPicPr>
        <xdr:cNvPr id="346" name="Picture 345" descr="Weakness Variant +[@$5F&amp;!06]">
          <a:extLst>
            <a:ext uri="{FF2B5EF4-FFF2-40B4-BE49-F238E27FC236}">
              <a16:creationId xmlns:a16="http://schemas.microsoft.com/office/drawing/2014/main" id="{00000000-0008-0000-0600-00005A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648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350</xdr:row>
      <xdr:rowOff>0</xdr:rowOff>
    </xdr:from>
    <xdr:ext cx="152400" cy="152400"/>
    <xdr:pic>
      <xdr:nvPicPr>
        <xdr:cNvPr id="347" name="Picture 346" descr="Weakness Variant +[@$5F&amp;!07]">
          <a:extLst>
            <a:ext uri="{FF2B5EF4-FFF2-40B4-BE49-F238E27FC236}">
              <a16:creationId xmlns:a16="http://schemas.microsoft.com/office/drawing/2014/main" id="{00000000-0008-0000-0600-00005B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667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351</xdr:row>
      <xdr:rowOff>0</xdr:rowOff>
    </xdr:from>
    <xdr:ext cx="152400" cy="152400"/>
    <xdr:pic>
      <xdr:nvPicPr>
        <xdr:cNvPr id="348" name="Picture 347" descr="Weakness Variant +[@$5F&amp;!08]">
          <a:extLst>
            <a:ext uri="{FF2B5EF4-FFF2-40B4-BE49-F238E27FC236}">
              <a16:creationId xmlns:a16="http://schemas.microsoft.com/office/drawing/2014/main" id="{00000000-0008-0000-0600-00005C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686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352</xdr:row>
      <xdr:rowOff>0</xdr:rowOff>
    </xdr:from>
    <xdr:ext cx="152400" cy="152400"/>
    <xdr:pic>
      <xdr:nvPicPr>
        <xdr:cNvPr id="349" name="Picture 348" descr="Weakness Variant +[@$5F&amp;!09]">
          <a:extLst>
            <a:ext uri="{FF2B5EF4-FFF2-40B4-BE49-F238E27FC236}">
              <a16:creationId xmlns:a16="http://schemas.microsoft.com/office/drawing/2014/main" id="{00000000-0008-0000-0600-00005D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705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353</xdr:row>
      <xdr:rowOff>0</xdr:rowOff>
    </xdr:from>
    <xdr:ext cx="152400" cy="152400"/>
    <xdr:pic>
      <xdr:nvPicPr>
        <xdr:cNvPr id="350" name="Picture 349" descr="Weakness Variant +[@$5F&amp;!0:]">
          <a:extLst>
            <a:ext uri="{FF2B5EF4-FFF2-40B4-BE49-F238E27FC236}">
              <a16:creationId xmlns:a16="http://schemas.microsoft.com/office/drawing/2014/main" id="{00000000-0008-0000-0600-00005E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724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354</xdr:row>
      <xdr:rowOff>0</xdr:rowOff>
    </xdr:from>
    <xdr:ext cx="152400" cy="152400"/>
    <xdr:pic>
      <xdr:nvPicPr>
        <xdr:cNvPr id="351" name="Picture 350" descr="Weakness Variant +[@$5F&amp;!0;]">
          <a:extLst>
            <a:ext uri="{FF2B5EF4-FFF2-40B4-BE49-F238E27FC236}">
              <a16:creationId xmlns:a16="http://schemas.microsoft.com/office/drawing/2014/main" id="{00000000-0008-0000-0600-00005F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743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355</xdr:row>
      <xdr:rowOff>0</xdr:rowOff>
    </xdr:from>
    <xdr:ext cx="152400" cy="152400"/>
    <xdr:pic>
      <xdr:nvPicPr>
        <xdr:cNvPr id="352" name="Picture 351" descr="Weakness Variant +[@$5F&amp;!0&lt;]">
          <a:extLst>
            <a:ext uri="{FF2B5EF4-FFF2-40B4-BE49-F238E27FC236}">
              <a16:creationId xmlns:a16="http://schemas.microsoft.com/office/drawing/2014/main" id="{00000000-0008-0000-0600-000060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762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356</xdr:row>
      <xdr:rowOff>0</xdr:rowOff>
    </xdr:from>
    <xdr:ext cx="152400" cy="152400"/>
    <xdr:pic>
      <xdr:nvPicPr>
        <xdr:cNvPr id="353" name="Picture 352" descr="Weakness Class +[@$5F&amp;!0=]">
          <a:extLst>
            <a:ext uri="{FF2B5EF4-FFF2-40B4-BE49-F238E27FC236}">
              <a16:creationId xmlns:a16="http://schemas.microsoft.com/office/drawing/2014/main" id="{00000000-0008-0000-0600-000061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6781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357</xdr:row>
      <xdr:rowOff>0</xdr:rowOff>
    </xdr:from>
    <xdr:ext cx="152400" cy="152400"/>
    <xdr:pic>
      <xdr:nvPicPr>
        <xdr:cNvPr id="354" name="Picture 353" descr="Weakness Class +[@$5F&amp;!0&gt;]">
          <a:extLst>
            <a:ext uri="{FF2B5EF4-FFF2-40B4-BE49-F238E27FC236}">
              <a16:creationId xmlns:a16="http://schemas.microsoft.com/office/drawing/2014/main" id="{00000000-0008-0000-0600-000062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6800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358</xdr:row>
      <xdr:rowOff>0</xdr:rowOff>
    </xdr:from>
    <xdr:ext cx="152400" cy="152400"/>
    <xdr:pic>
      <xdr:nvPicPr>
        <xdr:cNvPr id="355" name="Picture 354" descr="Weakness Class +[@$5F&amp;!0?]">
          <a:extLst>
            <a:ext uri="{FF2B5EF4-FFF2-40B4-BE49-F238E27FC236}">
              <a16:creationId xmlns:a16="http://schemas.microsoft.com/office/drawing/2014/main" id="{00000000-0008-0000-0600-000063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6819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359</xdr:row>
      <xdr:rowOff>0</xdr:rowOff>
    </xdr:from>
    <xdr:ext cx="152400" cy="152400"/>
    <xdr:pic>
      <xdr:nvPicPr>
        <xdr:cNvPr id="356" name="Picture 355" descr="Weakness Base +[@$5F&amp;!0@]">
          <a:extLst>
            <a:ext uri="{FF2B5EF4-FFF2-40B4-BE49-F238E27FC236}">
              <a16:creationId xmlns:a16="http://schemas.microsoft.com/office/drawing/2014/main" id="{00000000-0008-0000-0600-00006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838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360</xdr:row>
      <xdr:rowOff>0</xdr:rowOff>
    </xdr:from>
    <xdr:ext cx="152400" cy="152400"/>
    <xdr:pic>
      <xdr:nvPicPr>
        <xdr:cNvPr id="357" name="Picture 356" descr="Weakness Base +[@$5F&amp;!0A]">
          <a:extLst>
            <a:ext uri="{FF2B5EF4-FFF2-40B4-BE49-F238E27FC236}">
              <a16:creationId xmlns:a16="http://schemas.microsoft.com/office/drawing/2014/main" id="{00000000-0008-0000-0600-00006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858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361</xdr:row>
      <xdr:rowOff>0</xdr:rowOff>
    </xdr:from>
    <xdr:ext cx="152400" cy="152400"/>
    <xdr:pic>
      <xdr:nvPicPr>
        <xdr:cNvPr id="358" name="Picture 357" descr="Weakness Base +[@$5F&amp;!0B]">
          <a:extLst>
            <a:ext uri="{FF2B5EF4-FFF2-40B4-BE49-F238E27FC236}">
              <a16:creationId xmlns:a16="http://schemas.microsoft.com/office/drawing/2014/main" id="{00000000-0008-0000-0600-00006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877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362</xdr:row>
      <xdr:rowOff>0</xdr:rowOff>
    </xdr:from>
    <xdr:ext cx="152400" cy="152400"/>
    <xdr:pic>
      <xdr:nvPicPr>
        <xdr:cNvPr id="359" name="Picture 358" descr="Weakness Base +[@$5F&amp;!0C]">
          <a:extLst>
            <a:ext uri="{FF2B5EF4-FFF2-40B4-BE49-F238E27FC236}">
              <a16:creationId xmlns:a16="http://schemas.microsoft.com/office/drawing/2014/main" id="{00000000-0008-0000-0600-00006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896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363</xdr:row>
      <xdr:rowOff>0</xdr:rowOff>
    </xdr:from>
    <xdr:ext cx="152400" cy="152400"/>
    <xdr:pic>
      <xdr:nvPicPr>
        <xdr:cNvPr id="360" name="Picture 359" descr="Weakness Variant +[@$5F&amp;!0D]">
          <a:extLst>
            <a:ext uri="{FF2B5EF4-FFF2-40B4-BE49-F238E27FC236}">
              <a16:creationId xmlns:a16="http://schemas.microsoft.com/office/drawing/2014/main" id="{00000000-0008-0000-0600-000068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915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364</xdr:row>
      <xdr:rowOff>0</xdr:rowOff>
    </xdr:from>
    <xdr:ext cx="152400" cy="152400"/>
    <xdr:pic>
      <xdr:nvPicPr>
        <xdr:cNvPr id="361" name="Picture 360" descr="Weakness Variant +[@$5F&amp;!0E]">
          <a:extLst>
            <a:ext uri="{FF2B5EF4-FFF2-40B4-BE49-F238E27FC236}">
              <a16:creationId xmlns:a16="http://schemas.microsoft.com/office/drawing/2014/main" id="{00000000-0008-0000-0600-000069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934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365</xdr:row>
      <xdr:rowOff>0</xdr:rowOff>
    </xdr:from>
    <xdr:ext cx="152400" cy="152400"/>
    <xdr:pic>
      <xdr:nvPicPr>
        <xdr:cNvPr id="362" name="Picture 361" descr="Weakness Variant +[@$5F&amp;!0F]">
          <a:extLst>
            <a:ext uri="{FF2B5EF4-FFF2-40B4-BE49-F238E27FC236}">
              <a16:creationId xmlns:a16="http://schemas.microsoft.com/office/drawing/2014/main" id="{00000000-0008-0000-0600-00006A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953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366</xdr:row>
      <xdr:rowOff>0</xdr:rowOff>
    </xdr:from>
    <xdr:ext cx="152400" cy="152400"/>
    <xdr:pic>
      <xdr:nvPicPr>
        <xdr:cNvPr id="363" name="Picture 362" descr="Weakness Variant +[@$5F&amp;!0G]">
          <a:extLst>
            <a:ext uri="{FF2B5EF4-FFF2-40B4-BE49-F238E27FC236}">
              <a16:creationId xmlns:a16="http://schemas.microsoft.com/office/drawing/2014/main" id="{00000000-0008-0000-0600-00006B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972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367</xdr:row>
      <xdr:rowOff>0</xdr:rowOff>
    </xdr:from>
    <xdr:ext cx="152400" cy="152400"/>
    <xdr:pic>
      <xdr:nvPicPr>
        <xdr:cNvPr id="364" name="Picture 363" descr="Weakness Variant +[@$5F&amp;!0H]">
          <a:extLst>
            <a:ext uri="{FF2B5EF4-FFF2-40B4-BE49-F238E27FC236}">
              <a16:creationId xmlns:a16="http://schemas.microsoft.com/office/drawing/2014/main" id="{00000000-0008-0000-0600-00006C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991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368</xdr:row>
      <xdr:rowOff>0</xdr:rowOff>
    </xdr:from>
    <xdr:ext cx="152400" cy="152400"/>
    <xdr:pic>
      <xdr:nvPicPr>
        <xdr:cNvPr id="365" name="Picture 364" descr="Weakness Variant +[@$5F&amp;!0I]">
          <a:extLst>
            <a:ext uri="{FF2B5EF4-FFF2-40B4-BE49-F238E27FC236}">
              <a16:creationId xmlns:a16="http://schemas.microsoft.com/office/drawing/2014/main" id="{00000000-0008-0000-0600-00006D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010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369</xdr:row>
      <xdr:rowOff>0</xdr:rowOff>
    </xdr:from>
    <xdr:ext cx="152400" cy="152400"/>
    <xdr:pic>
      <xdr:nvPicPr>
        <xdr:cNvPr id="366" name="Picture 365" descr="Weakness Base +[@$5F&amp;!0J]">
          <a:extLst>
            <a:ext uri="{FF2B5EF4-FFF2-40B4-BE49-F238E27FC236}">
              <a16:creationId xmlns:a16="http://schemas.microsoft.com/office/drawing/2014/main" id="{00000000-0008-0000-0600-00006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029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370</xdr:row>
      <xdr:rowOff>0</xdr:rowOff>
    </xdr:from>
    <xdr:ext cx="152400" cy="152400"/>
    <xdr:pic>
      <xdr:nvPicPr>
        <xdr:cNvPr id="367" name="Picture 366" descr="Weakness Base +[@$5F&amp;!0K]">
          <a:extLst>
            <a:ext uri="{FF2B5EF4-FFF2-40B4-BE49-F238E27FC236}">
              <a16:creationId xmlns:a16="http://schemas.microsoft.com/office/drawing/2014/main" id="{00000000-0008-0000-0600-00006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048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371</xdr:row>
      <xdr:rowOff>0</xdr:rowOff>
    </xdr:from>
    <xdr:ext cx="152400" cy="152400"/>
    <xdr:pic>
      <xdr:nvPicPr>
        <xdr:cNvPr id="368" name="Picture 367" descr="Weakness Class +[@$5F&amp;!0L]">
          <a:extLst>
            <a:ext uri="{FF2B5EF4-FFF2-40B4-BE49-F238E27FC236}">
              <a16:creationId xmlns:a16="http://schemas.microsoft.com/office/drawing/2014/main" id="{00000000-0008-0000-0600-000070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7067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372</xdr:row>
      <xdr:rowOff>0</xdr:rowOff>
    </xdr:from>
    <xdr:ext cx="152400" cy="152400"/>
    <xdr:pic>
      <xdr:nvPicPr>
        <xdr:cNvPr id="369" name="Picture 368" descr="Weakness Base +[@$5F&amp;!0M]">
          <a:extLst>
            <a:ext uri="{FF2B5EF4-FFF2-40B4-BE49-F238E27FC236}">
              <a16:creationId xmlns:a16="http://schemas.microsoft.com/office/drawing/2014/main" id="{00000000-0008-0000-0600-00007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086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373</xdr:row>
      <xdr:rowOff>0</xdr:rowOff>
    </xdr:from>
    <xdr:ext cx="152400" cy="152400"/>
    <xdr:pic>
      <xdr:nvPicPr>
        <xdr:cNvPr id="370" name="Picture 369" descr="Weakness Base +[@$5F&amp;!0N]">
          <a:extLst>
            <a:ext uri="{FF2B5EF4-FFF2-40B4-BE49-F238E27FC236}">
              <a16:creationId xmlns:a16="http://schemas.microsoft.com/office/drawing/2014/main" id="{00000000-0008-0000-0600-00007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105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374</xdr:row>
      <xdr:rowOff>0</xdr:rowOff>
    </xdr:from>
    <xdr:ext cx="152400" cy="152400"/>
    <xdr:pic>
      <xdr:nvPicPr>
        <xdr:cNvPr id="371" name="Picture 370" descr="Weakness Class +[@$5F&amp;!0O]">
          <a:extLst>
            <a:ext uri="{FF2B5EF4-FFF2-40B4-BE49-F238E27FC236}">
              <a16:creationId xmlns:a16="http://schemas.microsoft.com/office/drawing/2014/main" id="{00000000-0008-0000-0600-000073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7124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375</xdr:row>
      <xdr:rowOff>0</xdr:rowOff>
    </xdr:from>
    <xdr:ext cx="152400" cy="152400"/>
    <xdr:pic>
      <xdr:nvPicPr>
        <xdr:cNvPr id="372" name="Picture 371" descr="Weakness Base +[@$5F&amp;!0P]">
          <a:extLst>
            <a:ext uri="{FF2B5EF4-FFF2-40B4-BE49-F238E27FC236}">
              <a16:creationId xmlns:a16="http://schemas.microsoft.com/office/drawing/2014/main" id="{00000000-0008-0000-0600-00007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143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376</xdr:row>
      <xdr:rowOff>0</xdr:rowOff>
    </xdr:from>
    <xdr:ext cx="152400" cy="152400"/>
    <xdr:pic>
      <xdr:nvPicPr>
        <xdr:cNvPr id="373" name="Picture 372" descr="Weakness Base +[@$5F&amp;!0Q]">
          <a:extLst>
            <a:ext uri="{FF2B5EF4-FFF2-40B4-BE49-F238E27FC236}">
              <a16:creationId xmlns:a16="http://schemas.microsoft.com/office/drawing/2014/main" id="{00000000-0008-0000-0600-00007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162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377</xdr:row>
      <xdr:rowOff>0</xdr:rowOff>
    </xdr:from>
    <xdr:ext cx="152400" cy="152400"/>
    <xdr:pic>
      <xdr:nvPicPr>
        <xdr:cNvPr id="374" name="Picture 373" descr="Weakness Base +[@$5F&amp;!0R]">
          <a:extLst>
            <a:ext uri="{FF2B5EF4-FFF2-40B4-BE49-F238E27FC236}">
              <a16:creationId xmlns:a16="http://schemas.microsoft.com/office/drawing/2014/main" id="{00000000-0008-0000-0600-00007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181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378</xdr:row>
      <xdr:rowOff>0</xdr:rowOff>
    </xdr:from>
    <xdr:ext cx="152400" cy="152400"/>
    <xdr:pic>
      <xdr:nvPicPr>
        <xdr:cNvPr id="375" name="Picture 374" descr="Weakness Base +[@$5F&amp;!0S]">
          <a:extLst>
            <a:ext uri="{FF2B5EF4-FFF2-40B4-BE49-F238E27FC236}">
              <a16:creationId xmlns:a16="http://schemas.microsoft.com/office/drawing/2014/main" id="{00000000-0008-0000-0600-00007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200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379</xdr:row>
      <xdr:rowOff>0</xdr:rowOff>
    </xdr:from>
    <xdr:ext cx="152400" cy="152400"/>
    <xdr:pic>
      <xdr:nvPicPr>
        <xdr:cNvPr id="376" name="Picture 375" descr="Weakness Variant +[@$5F&amp;!0T]">
          <a:extLst>
            <a:ext uri="{FF2B5EF4-FFF2-40B4-BE49-F238E27FC236}">
              <a16:creationId xmlns:a16="http://schemas.microsoft.com/office/drawing/2014/main" id="{00000000-0008-0000-0600-000078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219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380</xdr:row>
      <xdr:rowOff>0</xdr:rowOff>
    </xdr:from>
    <xdr:ext cx="152400" cy="152400"/>
    <xdr:pic>
      <xdr:nvPicPr>
        <xdr:cNvPr id="377" name="Picture 376" descr="Weakness Base +[@$5F&amp;!0U]">
          <a:extLst>
            <a:ext uri="{FF2B5EF4-FFF2-40B4-BE49-F238E27FC236}">
              <a16:creationId xmlns:a16="http://schemas.microsoft.com/office/drawing/2014/main" id="{00000000-0008-0000-0600-00007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239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381</xdr:row>
      <xdr:rowOff>0</xdr:rowOff>
    </xdr:from>
    <xdr:ext cx="152400" cy="152400"/>
    <xdr:pic>
      <xdr:nvPicPr>
        <xdr:cNvPr id="378" name="Picture 377" descr="Weakness Base +[@$5F&amp;!0V]">
          <a:extLst>
            <a:ext uri="{FF2B5EF4-FFF2-40B4-BE49-F238E27FC236}">
              <a16:creationId xmlns:a16="http://schemas.microsoft.com/office/drawing/2014/main" id="{00000000-0008-0000-0600-00007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258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382</xdr:row>
      <xdr:rowOff>0</xdr:rowOff>
    </xdr:from>
    <xdr:ext cx="152400" cy="152400"/>
    <xdr:pic>
      <xdr:nvPicPr>
        <xdr:cNvPr id="379" name="Picture 378" descr="Weakness Class +[@$5F&amp;!0W]">
          <a:extLst>
            <a:ext uri="{FF2B5EF4-FFF2-40B4-BE49-F238E27FC236}">
              <a16:creationId xmlns:a16="http://schemas.microsoft.com/office/drawing/2014/main" id="{00000000-0008-0000-0600-00007B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7277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383</xdr:row>
      <xdr:rowOff>0</xdr:rowOff>
    </xdr:from>
    <xdr:ext cx="152400" cy="152400"/>
    <xdr:pic>
      <xdr:nvPicPr>
        <xdr:cNvPr id="380" name="Picture 379" descr="Weakness Base +[@$5F&amp;!0X]">
          <a:extLst>
            <a:ext uri="{FF2B5EF4-FFF2-40B4-BE49-F238E27FC236}">
              <a16:creationId xmlns:a16="http://schemas.microsoft.com/office/drawing/2014/main" id="{00000000-0008-0000-0600-00007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296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384</xdr:row>
      <xdr:rowOff>0</xdr:rowOff>
    </xdr:from>
    <xdr:ext cx="152400" cy="152400"/>
    <xdr:pic>
      <xdr:nvPicPr>
        <xdr:cNvPr id="381" name="Picture 380" descr="Weakness Variant +[@$5F&amp;!0Y]">
          <a:extLst>
            <a:ext uri="{FF2B5EF4-FFF2-40B4-BE49-F238E27FC236}">
              <a16:creationId xmlns:a16="http://schemas.microsoft.com/office/drawing/2014/main" id="{00000000-0008-0000-0600-00007D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315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385</xdr:row>
      <xdr:rowOff>0</xdr:rowOff>
    </xdr:from>
    <xdr:ext cx="152400" cy="152400"/>
    <xdr:pic>
      <xdr:nvPicPr>
        <xdr:cNvPr id="382" name="Picture 381" descr="Weakness Variant +[@$5F&amp;!0Z]">
          <a:extLst>
            <a:ext uri="{FF2B5EF4-FFF2-40B4-BE49-F238E27FC236}">
              <a16:creationId xmlns:a16="http://schemas.microsoft.com/office/drawing/2014/main" id="{00000000-0008-0000-0600-00007E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334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386</xdr:row>
      <xdr:rowOff>0</xdr:rowOff>
    </xdr:from>
    <xdr:ext cx="152400" cy="152400"/>
    <xdr:pic>
      <xdr:nvPicPr>
        <xdr:cNvPr id="383" name="Picture 382" descr="Weakness Base +[@$5F&amp;!0[]">
          <a:extLst>
            <a:ext uri="{FF2B5EF4-FFF2-40B4-BE49-F238E27FC236}">
              <a16:creationId xmlns:a16="http://schemas.microsoft.com/office/drawing/2014/main" id="{00000000-0008-0000-0600-00007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353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387</xdr:row>
      <xdr:rowOff>0</xdr:rowOff>
    </xdr:from>
    <xdr:ext cx="152400" cy="152400"/>
    <xdr:pic>
      <xdr:nvPicPr>
        <xdr:cNvPr id="384" name="Picture 383" descr="Weakness Base +[@$5F&amp;!0\]">
          <a:extLst>
            <a:ext uri="{FF2B5EF4-FFF2-40B4-BE49-F238E27FC236}">
              <a16:creationId xmlns:a16="http://schemas.microsoft.com/office/drawing/2014/main" id="{00000000-0008-0000-0600-00008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372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388</xdr:row>
      <xdr:rowOff>0</xdr:rowOff>
    </xdr:from>
    <xdr:ext cx="152400" cy="152400"/>
    <xdr:pic>
      <xdr:nvPicPr>
        <xdr:cNvPr id="385" name="Picture 384" descr="Weakness Base +[@$5F&amp;!0]]">
          <a:extLst>
            <a:ext uri="{FF2B5EF4-FFF2-40B4-BE49-F238E27FC236}">
              <a16:creationId xmlns:a16="http://schemas.microsoft.com/office/drawing/2014/main" id="{00000000-0008-0000-0600-00008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391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389</xdr:row>
      <xdr:rowOff>0</xdr:rowOff>
    </xdr:from>
    <xdr:ext cx="152400" cy="152400"/>
    <xdr:pic>
      <xdr:nvPicPr>
        <xdr:cNvPr id="386" name="Picture 385" descr="Weakness Variant +[@$5F&amp;!0^]">
          <a:extLst>
            <a:ext uri="{FF2B5EF4-FFF2-40B4-BE49-F238E27FC236}">
              <a16:creationId xmlns:a16="http://schemas.microsoft.com/office/drawing/2014/main" id="{00000000-0008-0000-0600-000082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410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390</xdr:row>
      <xdr:rowOff>0</xdr:rowOff>
    </xdr:from>
    <xdr:ext cx="152400" cy="152400"/>
    <xdr:pic>
      <xdr:nvPicPr>
        <xdr:cNvPr id="387" name="Picture 386" descr="Weakness Variant +[@$5F&amp;!0_]">
          <a:extLst>
            <a:ext uri="{FF2B5EF4-FFF2-40B4-BE49-F238E27FC236}">
              <a16:creationId xmlns:a16="http://schemas.microsoft.com/office/drawing/2014/main" id="{00000000-0008-0000-0600-000083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429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391</xdr:row>
      <xdr:rowOff>0</xdr:rowOff>
    </xdr:from>
    <xdr:ext cx="152400" cy="152400"/>
    <xdr:pic>
      <xdr:nvPicPr>
        <xdr:cNvPr id="388" name="Picture 387" descr="Weakness Variant +[@$5F&amp;!0`]">
          <a:extLst>
            <a:ext uri="{FF2B5EF4-FFF2-40B4-BE49-F238E27FC236}">
              <a16:creationId xmlns:a16="http://schemas.microsoft.com/office/drawing/2014/main" id="{00000000-0008-0000-0600-000084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448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392</xdr:row>
      <xdr:rowOff>0</xdr:rowOff>
    </xdr:from>
    <xdr:ext cx="152400" cy="152400"/>
    <xdr:pic>
      <xdr:nvPicPr>
        <xdr:cNvPr id="389" name="Picture 388" descr="Weakness Base +[@$5F&amp;!0a]">
          <a:extLst>
            <a:ext uri="{FF2B5EF4-FFF2-40B4-BE49-F238E27FC236}">
              <a16:creationId xmlns:a16="http://schemas.microsoft.com/office/drawing/2014/main" id="{00000000-0008-0000-0600-00008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467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393</xdr:row>
      <xdr:rowOff>0</xdr:rowOff>
    </xdr:from>
    <xdr:ext cx="152400" cy="152400"/>
    <xdr:pic>
      <xdr:nvPicPr>
        <xdr:cNvPr id="390" name="Picture 389" descr="Weakness Base +[@$5F&amp;!0b]">
          <a:extLst>
            <a:ext uri="{FF2B5EF4-FFF2-40B4-BE49-F238E27FC236}">
              <a16:creationId xmlns:a16="http://schemas.microsoft.com/office/drawing/2014/main" id="{00000000-0008-0000-0600-00008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486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394</xdr:row>
      <xdr:rowOff>0</xdr:rowOff>
    </xdr:from>
    <xdr:ext cx="152400" cy="152400"/>
    <xdr:pic>
      <xdr:nvPicPr>
        <xdr:cNvPr id="391" name="Picture 390" descr="Weakness Variant +[@$5F&amp;!0c]">
          <a:extLst>
            <a:ext uri="{FF2B5EF4-FFF2-40B4-BE49-F238E27FC236}">
              <a16:creationId xmlns:a16="http://schemas.microsoft.com/office/drawing/2014/main" id="{00000000-0008-0000-0600-000087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505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395</xdr:row>
      <xdr:rowOff>0</xdr:rowOff>
    </xdr:from>
    <xdr:ext cx="152400" cy="152400"/>
    <xdr:pic>
      <xdr:nvPicPr>
        <xdr:cNvPr id="392" name="Picture 391" descr="Weakness Base +[@$5F&amp;!0d]">
          <a:extLst>
            <a:ext uri="{FF2B5EF4-FFF2-40B4-BE49-F238E27FC236}">
              <a16:creationId xmlns:a16="http://schemas.microsoft.com/office/drawing/2014/main" id="{00000000-0008-0000-0600-00008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524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396</xdr:row>
      <xdr:rowOff>0</xdr:rowOff>
    </xdr:from>
    <xdr:ext cx="152400" cy="152400"/>
    <xdr:pic>
      <xdr:nvPicPr>
        <xdr:cNvPr id="393" name="Picture 392" descr="Weakness Base +[@$5F&amp;!0e]">
          <a:extLst>
            <a:ext uri="{FF2B5EF4-FFF2-40B4-BE49-F238E27FC236}">
              <a16:creationId xmlns:a16="http://schemas.microsoft.com/office/drawing/2014/main" id="{00000000-0008-0000-0600-00008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543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397</xdr:row>
      <xdr:rowOff>0</xdr:rowOff>
    </xdr:from>
    <xdr:ext cx="152400" cy="152400"/>
    <xdr:pic>
      <xdr:nvPicPr>
        <xdr:cNvPr id="394" name="Picture 393" descr="Weakness Class +[@$5F&amp;!0f]">
          <a:extLst>
            <a:ext uri="{FF2B5EF4-FFF2-40B4-BE49-F238E27FC236}">
              <a16:creationId xmlns:a16="http://schemas.microsoft.com/office/drawing/2014/main" id="{00000000-0008-0000-0600-00008A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7562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398</xdr:row>
      <xdr:rowOff>0</xdr:rowOff>
    </xdr:from>
    <xdr:ext cx="152400" cy="152400"/>
    <xdr:pic>
      <xdr:nvPicPr>
        <xdr:cNvPr id="395" name="Picture 394" descr="Category +[@$5F&amp;!0g]">
          <a:extLst>
            <a:ext uri="{FF2B5EF4-FFF2-40B4-BE49-F238E27FC236}">
              <a16:creationId xmlns:a16="http://schemas.microsoft.com/office/drawing/2014/main" id="{00000000-0008-0000-0600-00008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7581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399</xdr:row>
      <xdr:rowOff>0</xdr:rowOff>
    </xdr:from>
    <xdr:ext cx="152400" cy="152400"/>
    <xdr:pic>
      <xdr:nvPicPr>
        <xdr:cNvPr id="396" name="Picture 395" descr="Weakness Base +[@$5F&amp;!0h]">
          <a:extLst>
            <a:ext uri="{FF2B5EF4-FFF2-40B4-BE49-F238E27FC236}">
              <a16:creationId xmlns:a16="http://schemas.microsoft.com/office/drawing/2014/main" id="{00000000-0008-0000-0600-00008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600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400</xdr:row>
      <xdr:rowOff>0</xdr:rowOff>
    </xdr:from>
    <xdr:ext cx="152400" cy="152400"/>
    <xdr:pic>
      <xdr:nvPicPr>
        <xdr:cNvPr id="397" name="Picture 396" descr="Weakness Class +[@$5F&amp;!0i]">
          <a:extLst>
            <a:ext uri="{FF2B5EF4-FFF2-40B4-BE49-F238E27FC236}">
              <a16:creationId xmlns:a16="http://schemas.microsoft.com/office/drawing/2014/main" id="{00000000-0008-0000-0600-00008D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7620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401</xdr:row>
      <xdr:rowOff>0</xdr:rowOff>
    </xdr:from>
    <xdr:ext cx="152400" cy="152400"/>
    <xdr:pic>
      <xdr:nvPicPr>
        <xdr:cNvPr id="398" name="Picture 397" descr="Weakness Base +[@$5F&amp;!0j]">
          <a:extLst>
            <a:ext uri="{FF2B5EF4-FFF2-40B4-BE49-F238E27FC236}">
              <a16:creationId xmlns:a16="http://schemas.microsoft.com/office/drawing/2014/main" id="{00000000-0008-0000-0600-00008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639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402</xdr:row>
      <xdr:rowOff>0</xdr:rowOff>
    </xdr:from>
    <xdr:ext cx="152400" cy="152400"/>
    <xdr:pic>
      <xdr:nvPicPr>
        <xdr:cNvPr id="399" name="Picture 398" descr="Weakness Base +[@$5F&amp;!0k]">
          <a:extLst>
            <a:ext uri="{FF2B5EF4-FFF2-40B4-BE49-F238E27FC236}">
              <a16:creationId xmlns:a16="http://schemas.microsoft.com/office/drawing/2014/main" id="{00000000-0008-0000-0600-00008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658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403</xdr:row>
      <xdr:rowOff>0</xdr:rowOff>
    </xdr:from>
    <xdr:ext cx="285750" cy="95250"/>
    <xdr:pic>
      <xdr:nvPicPr>
        <xdr:cNvPr id="400" name="Picture 399" descr="Compound Element: Chain +[@$5F&amp;!0l]">
          <a:extLst>
            <a:ext uri="{FF2B5EF4-FFF2-40B4-BE49-F238E27FC236}">
              <a16:creationId xmlns:a16="http://schemas.microsoft.com/office/drawing/2014/main" id="{00000000-0008-0000-0600-00009001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43075" y="76771500"/>
          <a:ext cx="2857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404</xdr:row>
      <xdr:rowOff>0</xdr:rowOff>
    </xdr:from>
    <xdr:ext cx="152400" cy="152400"/>
    <xdr:pic>
      <xdr:nvPicPr>
        <xdr:cNvPr id="401" name="Picture 400" descr="Weakness Base +[@$5F&amp;!0m]">
          <a:extLst>
            <a:ext uri="{FF2B5EF4-FFF2-40B4-BE49-F238E27FC236}">
              <a16:creationId xmlns:a16="http://schemas.microsoft.com/office/drawing/2014/main" id="{00000000-0008-0000-0600-00009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696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405</xdr:row>
      <xdr:rowOff>0</xdr:rowOff>
    </xdr:from>
    <xdr:ext cx="152400" cy="152400"/>
    <xdr:pic>
      <xdr:nvPicPr>
        <xdr:cNvPr id="402" name="Picture 401" descr="Weakness Variant +[@$5F&amp;!0n]">
          <a:extLst>
            <a:ext uri="{FF2B5EF4-FFF2-40B4-BE49-F238E27FC236}">
              <a16:creationId xmlns:a16="http://schemas.microsoft.com/office/drawing/2014/main" id="{00000000-0008-0000-0600-000092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715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406</xdr:row>
      <xdr:rowOff>0</xdr:rowOff>
    </xdr:from>
    <xdr:ext cx="152400" cy="152400"/>
    <xdr:pic>
      <xdr:nvPicPr>
        <xdr:cNvPr id="403" name="Picture 402" descr="Weakness Variant +[@$5F&amp;!0o]">
          <a:extLst>
            <a:ext uri="{FF2B5EF4-FFF2-40B4-BE49-F238E27FC236}">
              <a16:creationId xmlns:a16="http://schemas.microsoft.com/office/drawing/2014/main" id="{00000000-0008-0000-0600-000093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734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407</xdr:row>
      <xdr:rowOff>0</xdr:rowOff>
    </xdr:from>
    <xdr:ext cx="152400" cy="152400"/>
    <xdr:pic>
      <xdr:nvPicPr>
        <xdr:cNvPr id="404" name="Picture 403" descr="Weakness Base +[@$5F&amp;!0p]">
          <a:extLst>
            <a:ext uri="{FF2B5EF4-FFF2-40B4-BE49-F238E27FC236}">
              <a16:creationId xmlns:a16="http://schemas.microsoft.com/office/drawing/2014/main" id="{00000000-0008-0000-0600-00009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753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408</xdr:row>
      <xdr:rowOff>0</xdr:rowOff>
    </xdr:from>
    <xdr:ext cx="152400" cy="152400"/>
    <xdr:pic>
      <xdr:nvPicPr>
        <xdr:cNvPr id="405" name="Picture 404" descr="Weakness Variant +[@$5F&amp;!0q]">
          <a:extLst>
            <a:ext uri="{FF2B5EF4-FFF2-40B4-BE49-F238E27FC236}">
              <a16:creationId xmlns:a16="http://schemas.microsoft.com/office/drawing/2014/main" id="{00000000-0008-0000-0600-000095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772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409</xdr:row>
      <xdr:rowOff>0</xdr:rowOff>
    </xdr:from>
    <xdr:ext cx="152400" cy="152400"/>
    <xdr:pic>
      <xdr:nvPicPr>
        <xdr:cNvPr id="406" name="Picture 405" descr="Weakness Base +[@$5F&amp;!0r]">
          <a:extLst>
            <a:ext uri="{FF2B5EF4-FFF2-40B4-BE49-F238E27FC236}">
              <a16:creationId xmlns:a16="http://schemas.microsoft.com/office/drawing/2014/main" id="{00000000-0008-0000-0600-00009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791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410</xdr:row>
      <xdr:rowOff>0</xdr:rowOff>
    </xdr:from>
    <xdr:ext cx="152400" cy="152400"/>
    <xdr:pic>
      <xdr:nvPicPr>
        <xdr:cNvPr id="407" name="Picture 406" descr="Weakness Base +[@$5F&amp;!0s]">
          <a:extLst>
            <a:ext uri="{FF2B5EF4-FFF2-40B4-BE49-F238E27FC236}">
              <a16:creationId xmlns:a16="http://schemas.microsoft.com/office/drawing/2014/main" id="{00000000-0008-0000-0600-00009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810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411</xdr:row>
      <xdr:rowOff>0</xdr:rowOff>
    </xdr:from>
    <xdr:ext cx="152400" cy="152400"/>
    <xdr:pic>
      <xdr:nvPicPr>
        <xdr:cNvPr id="408" name="Picture 407" descr="Weakness Base +[@$5F&amp;!0t]">
          <a:extLst>
            <a:ext uri="{FF2B5EF4-FFF2-40B4-BE49-F238E27FC236}">
              <a16:creationId xmlns:a16="http://schemas.microsoft.com/office/drawing/2014/main" id="{00000000-0008-0000-0600-00009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829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412</xdr:row>
      <xdr:rowOff>0</xdr:rowOff>
    </xdr:from>
    <xdr:ext cx="152400" cy="152400"/>
    <xdr:pic>
      <xdr:nvPicPr>
        <xdr:cNvPr id="409" name="Picture 408" descr="Weakness Class +[@$5F&amp;!0u]">
          <a:extLst>
            <a:ext uri="{FF2B5EF4-FFF2-40B4-BE49-F238E27FC236}">
              <a16:creationId xmlns:a16="http://schemas.microsoft.com/office/drawing/2014/main" id="{00000000-0008-0000-0600-000099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7848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413</xdr:row>
      <xdr:rowOff>0</xdr:rowOff>
    </xdr:from>
    <xdr:ext cx="152400" cy="152400"/>
    <xdr:pic>
      <xdr:nvPicPr>
        <xdr:cNvPr id="410" name="Picture 409" descr="Weakness Class +[@$5F&amp;!0v]">
          <a:extLst>
            <a:ext uri="{FF2B5EF4-FFF2-40B4-BE49-F238E27FC236}">
              <a16:creationId xmlns:a16="http://schemas.microsoft.com/office/drawing/2014/main" id="{00000000-0008-0000-0600-00009A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7867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414</xdr:row>
      <xdr:rowOff>0</xdr:rowOff>
    </xdr:from>
    <xdr:ext cx="152400" cy="152400"/>
    <xdr:pic>
      <xdr:nvPicPr>
        <xdr:cNvPr id="411" name="Picture 410" descr="Weakness Base +[@$5F&amp;!0w]">
          <a:extLst>
            <a:ext uri="{FF2B5EF4-FFF2-40B4-BE49-F238E27FC236}">
              <a16:creationId xmlns:a16="http://schemas.microsoft.com/office/drawing/2014/main" id="{00000000-0008-0000-0600-00009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886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415</xdr:row>
      <xdr:rowOff>0</xdr:rowOff>
    </xdr:from>
    <xdr:ext cx="152400" cy="152400"/>
    <xdr:pic>
      <xdr:nvPicPr>
        <xdr:cNvPr id="412" name="Picture 411" descr="Weakness Base +[@$5F&amp;!0x]">
          <a:extLst>
            <a:ext uri="{FF2B5EF4-FFF2-40B4-BE49-F238E27FC236}">
              <a16:creationId xmlns:a16="http://schemas.microsoft.com/office/drawing/2014/main" id="{00000000-0008-0000-0600-00009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905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416</xdr:row>
      <xdr:rowOff>0</xdr:rowOff>
    </xdr:from>
    <xdr:ext cx="152400" cy="152400"/>
    <xdr:pic>
      <xdr:nvPicPr>
        <xdr:cNvPr id="413" name="Picture 412" descr="Weakness Base +[@$5F&amp;!0y]">
          <a:extLst>
            <a:ext uri="{FF2B5EF4-FFF2-40B4-BE49-F238E27FC236}">
              <a16:creationId xmlns:a16="http://schemas.microsoft.com/office/drawing/2014/main" id="{00000000-0008-0000-0600-00009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924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417</xdr:row>
      <xdr:rowOff>0</xdr:rowOff>
    </xdr:from>
    <xdr:ext cx="152400" cy="152400"/>
    <xdr:pic>
      <xdr:nvPicPr>
        <xdr:cNvPr id="414" name="Picture 413" descr="Weakness Base +[@$5F&amp;!0z]">
          <a:extLst>
            <a:ext uri="{FF2B5EF4-FFF2-40B4-BE49-F238E27FC236}">
              <a16:creationId xmlns:a16="http://schemas.microsoft.com/office/drawing/2014/main" id="{00000000-0008-0000-0600-00009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943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418</xdr:row>
      <xdr:rowOff>0</xdr:rowOff>
    </xdr:from>
    <xdr:ext cx="152400" cy="152400"/>
    <xdr:pic>
      <xdr:nvPicPr>
        <xdr:cNvPr id="415" name="Picture 414" descr="Weakness Base +[@$5F&amp;!0{]">
          <a:extLst>
            <a:ext uri="{FF2B5EF4-FFF2-40B4-BE49-F238E27FC236}">
              <a16:creationId xmlns:a16="http://schemas.microsoft.com/office/drawing/2014/main" id="{00000000-0008-0000-0600-00009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962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419</xdr:row>
      <xdr:rowOff>0</xdr:rowOff>
    </xdr:from>
    <xdr:ext cx="152400" cy="152400"/>
    <xdr:pic>
      <xdr:nvPicPr>
        <xdr:cNvPr id="416" name="Picture 415" descr="Weakness Variant +[@$5F&amp;!0|]">
          <a:extLst>
            <a:ext uri="{FF2B5EF4-FFF2-40B4-BE49-F238E27FC236}">
              <a16:creationId xmlns:a16="http://schemas.microsoft.com/office/drawing/2014/main" id="{00000000-0008-0000-0600-0000A0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981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420</xdr:row>
      <xdr:rowOff>0</xdr:rowOff>
    </xdr:from>
    <xdr:ext cx="152400" cy="152400"/>
    <xdr:pic>
      <xdr:nvPicPr>
        <xdr:cNvPr id="417" name="Picture 416" descr="Weakness Class +[@$5F&amp;!0}]">
          <a:extLst>
            <a:ext uri="{FF2B5EF4-FFF2-40B4-BE49-F238E27FC236}">
              <a16:creationId xmlns:a16="http://schemas.microsoft.com/office/drawing/2014/main" id="{00000000-0008-0000-0600-0000A1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8001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421</xdr:row>
      <xdr:rowOff>0</xdr:rowOff>
    </xdr:from>
    <xdr:ext cx="152400" cy="152400"/>
    <xdr:pic>
      <xdr:nvPicPr>
        <xdr:cNvPr id="418" name="Picture 417" descr="Weakness Base +[@$5F&amp;!0~]">
          <a:extLst>
            <a:ext uri="{FF2B5EF4-FFF2-40B4-BE49-F238E27FC236}">
              <a16:creationId xmlns:a16="http://schemas.microsoft.com/office/drawing/2014/main" id="{00000000-0008-0000-0600-0000A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020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422</xdr:row>
      <xdr:rowOff>0</xdr:rowOff>
    </xdr:from>
    <xdr:ext cx="152400" cy="152400"/>
    <xdr:pic>
      <xdr:nvPicPr>
        <xdr:cNvPr id="419" name="Picture 418" descr="Weakness Base +[@$5F&amp;!1#]">
          <a:extLst>
            <a:ext uri="{FF2B5EF4-FFF2-40B4-BE49-F238E27FC236}">
              <a16:creationId xmlns:a16="http://schemas.microsoft.com/office/drawing/2014/main" id="{00000000-0008-0000-0600-0000A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039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423</xdr:row>
      <xdr:rowOff>0</xdr:rowOff>
    </xdr:from>
    <xdr:ext cx="152400" cy="152400"/>
    <xdr:pic>
      <xdr:nvPicPr>
        <xdr:cNvPr id="420" name="Picture 419" descr="Weakness Base +[@$5F&amp;!1$]">
          <a:extLst>
            <a:ext uri="{FF2B5EF4-FFF2-40B4-BE49-F238E27FC236}">
              <a16:creationId xmlns:a16="http://schemas.microsoft.com/office/drawing/2014/main" id="{00000000-0008-0000-0600-0000A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058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424</xdr:row>
      <xdr:rowOff>0</xdr:rowOff>
    </xdr:from>
    <xdr:ext cx="152400" cy="152400"/>
    <xdr:pic>
      <xdr:nvPicPr>
        <xdr:cNvPr id="421" name="Picture 420" descr="Weakness Class +[@$5F&amp;!1%]">
          <a:extLst>
            <a:ext uri="{FF2B5EF4-FFF2-40B4-BE49-F238E27FC236}">
              <a16:creationId xmlns:a16="http://schemas.microsoft.com/office/drawing/2014/main" id="{00000000-0008-0000-0600-0000A5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8077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425</xdr:row>
      <xdr:rowOff>0</xdr:rowOff>
    </xdr:from>
    <xdr:ext cx="152400" cy="152400"/>
    <xdr:pic>
      <xdr:nvPicPr>
        <xdr:cNvPr id="422" name="Picture 421" descr="Weakness Base +[@$5F&amp;!1&amp;]">
          <a:extLst>
            <a:ext uri="{FF2B5EF4-FFF2-40B4-BE49-F238E27FC236}">
              <a16:creationId xmlns:a16="http://schemas.microsoft.com/office/drawing/2014/main" id="{00000000-0008-0000-0600-0000A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096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426</xdr:row>
      <xdr:rowOff>0</xdr:rowOff>
    </xdr:from>
    <xdr:ext cx="152400" cy="152400"/>
    <xdr:pic>
      <xdr:nvPicPr>
        <xdr:cNvPr id="423" name="Picture 422" descr="Weakness Variant +[@$5F&amp;!1']">
          <a:extLst>
            <a:ext uri="{FF2B5EF4-FFF2-40B4-BE49-F238E27FC236}">
              <a16:creationId xmlns:a16="http://schemas.microsoft.com/office/drawing/2014/main" id="{00000000-0008-0000-0600-0000A7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115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427</xdr:row>
      <xdr:rowOff>0</xdr:rowOff>
    </xdr:from>
    <xdr:ext cx="152400" cy="152400"/>
    <xdr:pic>
      <xdr:nvPicPr>
        <xdr:cNvPr id="424" name="Picture 423" descr="Weakness Variant +[@$5F&amp;!1(]">
          <a:extLst>
            <a:ext uri="{FF2B5EF4-FFF2-40B4-BE49-F238E27FC236}">
              <a16:creationId xmlns:a16="http://schemas.microsoft.com/office/drawing/2014/main" id="{00000000-0008-0000-0600-0000A8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134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428</xdr:row>
      <xdr:rowOff>0</xdr:rowOff>
    </xdr:from>
    <xdr:ext cx="152400" cy="152400"/>
    <xdr:pic>
      <xdr:nvPicPr>
        <xdr:cNvPr id="425" name="Picture 424" descr="Weakness Base +[@$5F&amp;!1)]">
          <a:extLst>
            <a:ext uri="{FF2B5EF4-FFF2-40B4-BE49-F238E27FC236}">
              <a16:creationId xmlns:a16="http://schemas.microsoft.com/office/drawing/2014/main" id="{00000000-0008-0000-0600-0000A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153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429</xdr:row>
      <xdr:rowOff>0</xdr:rowOff>
    </xdr:from>
    <xdr:ext cx="152400" cy="152400"/>
    <xdr:pic>
      <xdr:nvPicPr>
        <xdr:cNvPr id="426" name="Picture 425" descr="Weakness Base +[@$5F&amp;!1.]">
          <a:extLst>
            <a:ext uri="{FF2B5EF4-FFF2-40B4-BE49-F238E27FC236}">
              <a16:creationId xmlns:a16="http://schemas.microsoft.com/office/drawing/2014/main" id="{00000000-0008-0000-0600-0000A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172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430</xdr:row>
      <xdr:rowOff>0</xdr:rowOff>
    </xdr:from>
    <xdr:ext cx="152400" cy="152400"/>
    <xdr:pic>
      <xdr:nvPicPr>
        <xdr:cNvPr id="427" name="Picture 426" descr="Weakness Class +[@$5F&amp;!1/]">
          <a:extLst>
            <a:ext uri="{FF2B5EF4-FFF2-40B4-BE49-F238E27FC236}">
              <a16:creationId xmlns:a16="http://schemas.microsoft.com/office/drawing/2014/main" id="{00000000-0008-0000-0600-0000AB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8191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431</xdr:row>
      <xdr:rowOff>0</xdr:rowOff>
    </xdr:from>
    <xdr:ext cx="152400" cy="152400"/>
    <xdr:pic>
      <xdr:nvPicPr>
        <xdr:cNvPr id="428" name="Picture 427" descr="Weakness Base +[@$5F&amp;!10]">
          <a:extLst>
            <a:ext uri="{FF2B5EF4-FFF2-40B4-BE49-F238E27FC236}">
              <a16:creationId xmlns:a16="http://schemas.microsoft.com/office/drawing/2014/main" id="{00000000-0008-0000-0600-0000A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210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432</xdr:row>
      <xdr:rowOff>0</xdr:rowOff>
    </xdr:from>
    <xdr:ext cx="152400" cy="152400"/>
    <xdr:pic>
      <xdr:nvPicPr>
        <xdr:cNvPr id="429" name="Picture 428" descr="Weakness Base +[@$5F&amp;!11]">
          <a:extLst>
            <a:ext uri="{FF2B5EF4-FFF2-40B4-BE49-F238E27FC236}">
              <a16:creationId xmlns:a16="http://schemas.microsoft.com/office/drawing/2014/main" id="{00000000-0008-0000-0600-0000A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229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433</xdr:row>
      <xdr:rowOff>0</xdr:rowOff>
    </xdr:from>
    <xdr:ext cx="152400" cy="152400"/>
    <xdr:pic>
      <xdr:nvPicPr>
        <xdr:cNvPr id="430" name="Picture 429" descr="Weakness Base +[@$5F&amp;!12]">
          <a:extLst>
            <a:ext uri="{FF2B5EF4-FFF2-40B4-BE49-F238E27FC236}">
              <a16:creationId xmlns:a16="http://schemas.microsoft.com/office/drawing/2014/main" id="{00000000-0008-0000-0600-0000A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248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434</xdr:row>
      <xdr:rowOff>0</xdr:rowOff>
    </xdr:from>
    <xdr:ext cx="152400" cy="152400"/>
    <xdr:pic>
      <xdr:nvPicPr>
        <xdr:cNvPr id="431" name="Picture 430" descr="Weakness Class +[@$5F&amp;!13]">
          <a:extLst>
            <a:ext uri="{FF2B5EF4-FFF2-40B4-BE49-F238E27FC236}">
              <a16:creationId xmlns:a16="http://schemas.microsoft.com/office/drawing/2014/main" id="{00000000-0008-0000-0600-0000AF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8267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435</xdr:row>
      <xdr:rowOff>0</xdr:rowOff>
    </xdr:from>
    <xdr:ext cx="152400" cy="152400"/>
    <xdr:pic>
      <xdr:nvPicPr>
        <xdr:cNvPr id="432" name="Picture 431" descr="Weakness Class +[@$5F&amp;!14]">
          <a:extLst>
            <a:ext uri="{FF2B5EF4-FFF2-40B4-BE49-F238E27FC236}">
              <a16:creationId xmlns:a16="http://schemas.microsoft.com/office/drawing/2014/main" id="{00000000-0008-0000-0600-0000B0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8286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436</xdr:row>
      <xdr:rowOff>0</xdr:rowOff>
    </xdr:from>
    <xdr:ext cx="152400" cy="152400"/>
    <xdr:pic>
      <xdr:nvPicPr>
        <xdr:cNvPr id="433" name="Picture 432" descr="Weakness Base +[@$5F&amp;!15]">
          <a:extLst>
            <a:ext uri="{FF2B5EF4-FFF2-40B4-BE49-F238E27FC236}">
              <a16:creationId xmlns:a16="http://schemas.microsoft.com/office/drawing/2014/main" id="{00000000-0008-0000-0600-0000B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305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437</xdr:row>
      <xdr:rowOff>0</xdr:rowOff>
    </xdr:from>
    <xdr:ext cx="152400" cy="152400"/>
    <xdr:pic>
      <xdr:nvPicPr>
        <xdr:cNvPr id="434" name="Picture 433" descr="Weakness Variant +[@$5F&amp;!16]">
          <a:extLst>
            <a:ext uri="{FF2B5EF4-FFF2-40B4-BE49-F238E27FC236}">
              <a16:creationId xmlns:a16="http://schemas.microsoft.com/office/drawing/2014/main" id="{00000000-0008-0000-0600-0000B2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324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438</xdr:row>
      <xdr:rowOff>0</xdr:rowOff>
    </xdr:from>
    <xdr:ext cx="152400" cy="152400"/>
    <xdr:pic>
      <xdr:nvPicPr>
        <xdr:cNvPr id="435" name="Picture 434" descr="Weakness Base +[@$5F&amp;!17]">
          <a:extLst>
            <a:ext uri="{FF2B5EF4-FFF2-40B4-BE49-F238E27FC236}">
              <a16:creationId xmlns:a16="http://schemas.microsoft.com/office/drawing/2014/main" id="{00000000-0008-0000-0600-0000B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343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439</xdr:row>
      <xdr:rowOff>0</xdr:rowOff>
    </xdr:from>
    <xdr:ext cx="152400" cy="152400"/>
    <xdr:pic>
      <xdr:nvPicPr>
        <xdr:cNvPr id="436" name="Picture 435" descr="Weakness Class +[@$5F&amp;!18]">
          <a:extLst>
            <a:ext uri="{FF2B5EF4-FFF2-40B4-BE49-F238E27FC236}">
              <a16:creationId xmlns:a16="http://schemas.microsoft.com/office/drawing/2014/main" id="{00000000-0008-0000-0600-0000B4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8362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440</xdr:row>
      <xdr:rowOff>0</xdr:rowOff>
    </xdr:from>
    <xdr:ext cx="152400" cy="152400"/>
    <xdr:pic>
      <xdr:nvPicPr>
        <xdr:cNvPr id="437" name="Picture 436" descr="Weakness Base +[@$5F&amp;!19]">
          <a:extLst>
            <a:ext uri="{FF2B5EF4-FFF2-40B4-BE49-F238E27FC236}">
              <a16:creationId xmlns:a16="http://schemas.microsoft.com/office/drawing/2014/main" id="{00000000-0008-0000-0600-0000B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382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441</xdr:row>
      <xdr:rowOff>0</xdr:rowOff>
    </xdr:from>
    <xdr:ext cx="152400" cy="152400"/>
    <xdr:pic>
      <xdr:nvPicPr>
        <xdr:cNvPr id="438" name="Picture 437" descr="Weakness Class +[@$5F&amp;!1:]">
          <a:extLst>
            <a:ext uri="{FF2B5EF4-FFF2-40B4-BE49-F238E27FC236}">
              <a16:creationId xmlns:a16="http://schemas.microsoft.com/office/drawing/2014/main" id="{00000000-0008-0000-0600-0000B6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8401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442</xdr:row>
      <xdr:rowOff>0</xdr:rowOff>
    </xdr:from>
    <xdr:ext cx="152400" cy="152400"/>
    <xdr:pic>
      <xdr:nvPicPr>
        <xdr:cNvPr id="439" name="Picture 438" descr="Weakness Class +[@$5F&amp;!1;]">
          <a:extLst>
            <a:ext uri="{FF2B5EF4-FFF2-40B4-BE49-F238E27FC236}">
              <a16:creationId xmlns:a16="http://schemas.microsoft.com/office/drawing/2014/main" id="{00000000-0008-0000-0600-0000B7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8420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443</xdr:row>
      <xdr:rowOff>0</xdr:rowOff>
    </xdr:from>
    <xdr:ext cx="152400" cy="152400"/>
    <xdr:pic>
      <xdr:nvPicPr>
        <xdr:cNvPr id="440" name="Picture 439" descr="Weakness Class +[@$5F&amp;!1&lt;]">
          <a:extLst>
            <a:ext uri="{FF2B5EF4-FFF2-40B4-BE49-F238E27FC236}">
              <a16:creationId xmlns:a16="http://schemas.microsoft.com/office/drawing/2014/main" id="{00000000-0008-0000-0600-0000B8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8439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444</xdr:row>
      <xdr:rowOff>0</xdr:rowOff>
    </xdr:from>
    <xdr:ext cx="152400" cy="152400"/>
    <xdr:pic>
      <xdr:nvPicPr>
        <xdr:cNvPr id="441" name="Picture 440" descr="Weakness Variant +[@$5F&amp;!1=]">
          <a:extLst>
            <a:ext uri="{FF2B5EF4-FFF2-40B4-BE49-F238E27FC236}">
              <a16:creationId xmlns:a16="http://schemas.microsoft.com/office/drawing/2014/main" id="{00000000-0008-0000-0600-0000B9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458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445</xdr:row>
      <xdr:rowOff>0</xdr:rowOff>
    </xdr:from>
    <xdr:ext cx="152400" cy="152400"/>
    <xdr:pic>
      <xdr:nvPicPr>
        <xdr:cNvPr id="442" name="Picture 441" descr="Weakness Base +[@$5F&amp;!1&gt;]">
          <a:extLst>
            <a:ext uri="{FF2B5EF4-FFF2-40B4-BE49-F238E27FC236}">
              <a16:creationId xmlns:a16="http://schemas.microsoft.com/office/drawing/2014/main" id="{00000000-0008-0000-0600-0000B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477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446</xdr:row>
      <xdr:rowOff>0</xdr:rowOff>
    </xdr:from>
    <xdr:ext cx="152400" cy="152400"/>
    <xdr:pic>
      <xdr:nvPicPr>
        <xdr:cNvPr id="443" name="Picture 442" descr="Weakness Variant +[@$5F&amp;!1?]">
          <a:extLst>
            <a:ext uri="{FF2B5EF4-FFF2-40B4-BE49-F238E27FC236}">
              <a16:creationId xmlns:a16="http://schemas.microsoft.com/office/drawing/2014/main" id="{00000000-0008-0000-0600-0000BB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496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447</xdr:row>
      <xdr:rowOff>0</xdr:rowOff>
    </xdr:from>
    <xdr:ext cx="152400" cy="152400"/>
    <xdr:pic>
      <xdr:nvPicPr>
        <xdr:cNvPr id="444" name="Picture 443" descr="Weakness Base +[@$5F&amp;!1@]">
          <a:extLst>
            <a:ext uri="{FF2B5EF4-FFF2-40B4-BE49-F238E27FC236}">
              <a16:creationId xmlns:a16="http://schemas.microsoft.com/office/drawing/2014/main" id="{00000000-0008-0000-0600-0000B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515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448</xdr:row>
      <xdr:rowOff>0</xdr:rowOff>
    </xdr:from>
    <xdr:ext cx="152400" cy="152400"/>
    <xdr:pic>
      <xdr:nvPicPr>
        <xdr:cNvPr id="445" name="Picture 444" descr="Weakness Variant +[@$5F&amp;!1A]">
          <a:extLst>
            <a:ext uri="{FF2B5EF4-FFF2-40B4-BE49-F238E27FC236}">
              <a16:creationId xmlns:a16="http://schemas.microsoft.com/office/drawing/2014/main" id="{00000000-0008-0000-0600-0000BD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534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449</xdr:row>
      <xdr:rowOff>0</xdr:rowOff>
    </xdr:from>
    <xdr:ext cx="152400" cy="152400"/>
    <xdr:pic>
      <xdr:nvPicPr>
        <xdr:cNvPr id="446" name="Picture 445" descr="Weakness Variant +[@$5F&amp;!1B]">
          <a:extLst>
            <a:ext uri="{FF2B5EF4-FFF2-40B4-BE49-F238E27FC236}">
              <a16:creationId xmlns:a16="http://schemas.microsoft.com/office/drawing/2014/main" id="{00000000-0008-0000-0600-0000BE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553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450</xdr:row>
      <xdr:rowOff>0</xdr:rowOff>
    </xdr:from>
    <xdr:ext cx="152400" cy="152400"/>
    <xdr:pic>
      <xdr:nvPicPr>
        <xdr:cNvPr id="447" name="Picture 446" descr="Weakness Variant +[@$5F&amp;!1C]">
          <a:extLst>
            <a:ext uri="{FF2B5EF4-FFF2-40B4-BE49-F238E27FC236}">
              <a16:creationId xmlns:a16="http://schemas.microsoft.com/office/drawing/2014/main" id="{00000000-0008-0000-0600-0000BF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572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451</xdr:row>
      <xdr:rowOff>0</xdr:rowOff>
    </xdr:from>
    <xdr:ext cx="152400" cy="152400"/>
    <xdr:pic>
      <xdr:nvPicPr>
        <xdr:cNvPr id="448" name="Picture 447" descr="Weakness Variant +[@$5F&amp;!1D]">
          <a:extLst>
            <a:ext uri="{FF2B5EF4-FFF2-40B4-BE49-F238E27FC236}">
              <a16:creationId xmlns:a16="http://schemas.microsoft.com/office/drawing/2014/main" id="{00000000-0008-0000-0600-0000C0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591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452</xdr:row>
      <xdr:rowOff>0</xdr:rowOff>
    </xdr:from>
    <xdr:ext cx="152400" cy="152400"/>
    <xdr:pic>
      <xdr:nvPicPr>
        <xdr:cNvPr id="449" name="Picture 448" descr="Weakness Variant +[@$5F&amp;!1E]">
          <a:extLst>
            <a:ext uri="{FF2B5EF4-FFF2-40B4-BE49-F238E27FC236}">
              <a16:creationId xmlns:a16="http://schemas.microsoft.com/office/drawing/2014/main" id="{00000000-0008-0000-0600-0000C1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610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453</xdr:row>
      <xdr:rowOff>0</xdr:rowOff>
    </xdr:from>
    <xdr:ext cx="152400" cy="152400"/>
    <xdr:pic>
      <xdr:nvPicPr>
        <xdr:cNvPr id="450" name="Picture 449" descr="Weakness Variant +[@$5F&amp;!1F]">
          <a:extLst>
            <a:ext uri="{FF2B5EF4-FFF2-40B4-BE49-F238E27FC236}">
              <a16:creationId xmlns:a16="http://schemas.microsoft.com/office/drawing/2014/main" id="{00000000-0008-0000-0600-0000C2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629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454</xdr:row>
      <xdr:rowOff>0</xdr:rowOff>
    </xdr:from>
    <xdr:ext cx="152400" cy="152400"/>
    <xdr:pic>
      <xdr:nvPicPr>
        <xdr:cNvPr id="451" name="Picture 450" descr="Weakness Variant +[@$5F&amp;!1G]">
          <a:extLst>
            <a:ext uri="{FF2B5EF4-FFF2-40B4-BE49-F238E27FC236}">
              <a16:creationId xmlns:a16="http://schemas.microsoft.com/office/drawing/2014/main" id="{00000000-0008-0000-0600-0000C3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648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455</xdr:row>
      <xdr:rowOff>0</xdr:rowOff>
    </xdr:from>
    <xdr:ext cx="152400" cy="152400"/>
    <xdr:pic>
      <xdr:nvPicPr>
        <xdr:cNvPr id="452" name="Picture 451" descr="Weakness Class +[@$5F&amp;!1H]">
          <a:extLst>
            <a:ext uri="{FF2B5EF4-FFF2-40B4-BE49-F238E27FC236}">
              <a16:creationId xmlns:a16="http://schemas.microsoft.com/office/drawing/2014/main" id="{00000000-0008-0000-0600-0000C4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8667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456</xdr:row>
      <xdr:rowOff>0</xdr:rowOff>
    </xdr:from>
    <xdr:ext cx="152400" cy="152400"/>
    <xdr:pic>
      <xdr:nvPicPr>
        <xdr:cNvPr id="453" name="Picture 452" descr="Weakness Variant +[@$5F&amp;!1I]">
          <a:extLst>
            <a:ext uri="{FF2B5EF4-FFF2-40B4-BE49-F238E27FC236}">
              <a16:creationId xmlns:a16="http://schemas.microsoft.com/office/drawing/2014/main" id="{00000000-0008-0000-0600-0000C5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686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457</xdr:row>
      <xdr:rowOff>0</xdr:rowOff>
    </xdr:from>
    <xdr:ext cx="152400" cy="152400"/>
    <xdr:pic>
      <xdr:nvPicPr>
        <xdr:cNvPr id="454" name="Picture 453" descr="Weakness Base +[@$5F&amp;!1J]">
          <a:extLst>
            <a:ext uri="{FF2B5EF4-FFF2-40B4-BE49-F238E27FC236}">
              <a16:creationId xmlns:a16="http://schemas.microsoft.com/office/drawing/2014/main" id="{00000000-0008-0000-0600-0000C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705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458</xdr:row>
      <xdr:rowOff>0</xdr:rowOff>
    </xdr:from>
    <xdr:ext cx="152400" cy="152400"/>
    <xdr:pic>
      <xdr:nvPicPr>
        <xdr:cNvPr id="455" name="Picture 454" descr="Weakness Variant +[@$5F&amp;!1K]">
          <a:extLst>
            <a:ext uri="{FF2B5EF4-FFF2-40B4-BE49-F238E27FC236}">
              <a16:creationId xmlns:a16="http://schemas.microsoft.com/office/drawing/2014/main" id="{00000000-0008-0000-0600-0000C7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724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459</xdr:row>
      <xdr:rowOff>0</xdr:rowOff>
    </xdr:from>
    <xdr:ext cx="152400" cy="152400"/>
    <xdr:pic>
      <xdr:nvPicPr>
        <xdr:cNvPr id="456" name="Picture 455" descr="Weakness Variant +[@$5F&amp;!1L]">
          <a:extLst>
            <a:ext uri="{FF2B5EF4-FFF2-40B4-BE49-F238E27FC236}">
              <a16:creationId xmlns:a16="http://schemas.microsoft.com/office/drawing/2014/main" id="{00000000-0008-0000-0600-0000C8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743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460</xdr:row>
      <xdr:rowOff>0</xdr:rowOff>
    </xdr:from>
    <xdr:ext cx="152400" cy="152400"/>
    <xdr:pic>
      <xdr:nvPicPr>
        <xdr:cNvPr id="457" name="Picture 456" descr="Weakness Variant +[@$5F&amp;!1M]">
          <a:extLst>
            <a:ext uri="{FF2B5EF4-FFF2-40B4-BE49-F238E27FC236}">
              <a16:creationId xmlns:a16="http://schemas.microsoft.com/office/drawing/2014/main" id="{00000000-0008-0000-0600-0000C9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763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461</xdr:row>
      <xdr:rowOff>0</xdr:rowOff>
    </xdr:from>
    <xdr:ext cx="152400" cy="152400"/>
    <xdr:pic>
      <xdr:nvPicPr>
        <xdr:cNvPr id="458" name="Picture 457" descr="Weakness Variant +[@$5F&amp;!1N]">
          <a:extLst>
            <a:ext uri="{FF2B5EF4-FFF2-40B4-BE49-F238E27FC236}">
              <a16:creationId xmlns:a16="http://schemas.microsoft.com/office/drawing/2014/main" id="{00000000-0008-0000-0600-0000CA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782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462</xdr:row>
      <xdr:rowOff>0</xdr:rowOff>
    </xdr:from>
    <xdr:ext cx="152400" cy="152400"/>
    <xdr:pic>
      <xdr:nvPicPr>
        <xdr:cNvPr id="459" name="Picture 458" descr="Weakness Variant +[@$5F&amp;!1O]">
          <a:extLst>
            <a:ext uri="{FF2B5EF4-FFF2-40B4-BE49-F238E27FC236}">
              <a16:creationId xmlns:a16="http://schemas.microsoft.com/office/drawing/2014/main" id="{00000000-0008-0000-0600-0000CB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801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463</xdr:row>
      <xdr:rowOff>0</xdr:rowOff>
    </xdr:from>
    <xdr:ext cx="152400" cy="152400"/>
    <xdr:pic>
      <xdr:nvPicPr>
        <xdr:cNvPr id="460" name="Picture 459" descr="Weakness Variant +[@$5F&amp;!1P]">
          <a:extLst>
            <a:ext uri="{FF2B5EF4-FFF2-40B4-BE49-F238E27FC236}">
              <a16:creationId xmlns:a16="http://schemas.microsoft.com/office/drawing/2014/main" id="{00000000-0008-0000-0600-0000CC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820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464</xdr:row>
      <xdr:rowOff>0</xdr:rowOff>
    </xdr:from>
    <xdr:ext cx="152400" cy="152400"/>
    <xdr:pic>
      <xdr:nvPicPr>
        <xdr:cNvPr id="461" name="Picture 460" descr="Weakness Variant +[@$5F&amp;!1Q]">
          <a:extLst>
            <a:ext uri="{FF2B5EF4-FFF2-40B4-BE49-F238E27FC236}">
              <a16:creationId xmlns:a16="http://schemas.microsoft.com/office/drawing/2014/main" id="{00000000-0008-0000-0600-0000CD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839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465</xdr:row>
      <xdr:rowOff>0</xdr:rowOff>
    </xdr:from>
    <xdr:ext cx="152400" cy="152400"/>
    <xdr:pic>
      <xdr:nvPicPr>
        <xdr:cNvPr id="462" name="Picture 461" descr="Weakness Base +[@$5F&amp;!1R]">
          <a:extLst>
            <a:ext uri="{FF2B5EF4-FFF2-40B4-BE49-F238E27FC236}">
              <a16:creationId xmlns:a16="http://schemas.microsoft.com/office/drawing/2014/main" id="{00000000-0008-0000-0600-0000C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858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466</xdr:row>
      <xdr:rowOff>0</xdr:rowOff>
    </xdr:from>
    <xdr:ext cx="152400" cy="152400"/>
    <xdr:pic>
      <xdr:nvPicPr>
        <xdr:cNvPr id="463" name="Picture 462" descr="Weakness Variant +[@$5F&amp;!1S]">
          <a:extLst>
            <a:ext uri="{FF2B5EF4-FFF2-40B4-BE49-F238E27FC236}">
              <a16:creationId xmlns:a16="http://schemas.microsoft.com/office/drawing/2014/main" id="{00000000-0008-0000-0600-0000CF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877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467</xdr:row>
      <xdr:rowOff>0</xdr:rowOff>
    </xdr:from>
    <xdr:ext cx="152400" cy="152400"/>
    <xdr:pic>
      <xdr:nvPicPr>
        <xdr:cNvPr id="464" name="Picture 463" descr="Weakness Variant +[@$5F&amp;!1T]">
          <a:extLst>
            <a:ext uri="{FF2B5EF4-FFF2-40B4-BE49-F238E27FC236}">
              <a16:creationId xmlns:a16="http://schemas.microsoft.com/office/drawing/2014/main" id="{00000000-0008-0000-0600-0000D0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896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468</xdr:row>
      <xdr:rowOff>0</xdr:rowOff>
    </xdr:from>
    <xdr:ext cx="152400" cy="152400"/>
    <xdr:pic>
      <xdr:nvPicPr>
        <xdr:cNvPr id="465" name="Picture 464" descr="Weakness Variant +[@$5F&amp;!1U]">
          <a:extLst>
            <a:ext uri="{FF2B5EF4-FFF2-40B4-BE49-F238E27FC236}">
              <a16:creationId xmlns:a16="http://schemas.microsoft.com/office/drawing/2014/main" id="{00000000-0008-0000-0600-0000D1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915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469</xdr:row>
      <xdr:rowOff>0</xdr:rowOff>
    </xdr:from>
    <xdr:ext cx="152400" cy="152400"/>
    <xdr:pic>
      <xdr:nvPicPr>
        <xdr:cNvPr id="466" name="Picture 465" descr="Weakness Variant +[@$5F&amp;!1V]">
          <a:extLst>
            <a:ext uri="{FF2B5EF4-FFF2-40B4-BE49-F238E27FC236}">
              <a16:creationId xmlns:a16="http://schemas.microsoft.com/office/drawing/2014/main" id="{00000000-0008-0000-0600-0000D2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934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470</xdr:row>
      <xdr:rowOff>0</xdr:rowOff>
    </xdr:from>
    <xdr:ext cx="152400" cy="152400"/>
    <xdr:pic>
      <xdr:nvPicPr>
        <xdr:cNvPr id="467" name="Picture 466" descr="Weakness Variant +[@$5F&amp;!1W]">
          <a:extLst>
            <a:ext uri="{FF2B5EF4-FFF2-40B4-BE49-F238E27FC236}">
              <a16:creationId xmlns:a16="http://schemas.microsoft.com/office/drawing/2014/main" id="{00000000-0008-0000-0600-0000D3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953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471</xdr:row>
      <xdr:rowOff>0</xdr:rowOff>
    </xdr:from>
    <xdr:ext cx="152400" cy="152400"/>
    <xdr:pic>
      <xdr:nvPicPr>
        <xdr:cNvPr id="468" name="Picture 467" descr="Weakness Variant +[@$5F&amp;!1X]">
          <a:extLst>
            <a:ext uri="{FF2B5EF4-FFF2-40B4-BE49-F238E27FC236}">
              <a16:creationId xmlns:a16="http://schemas.microsoft.com/office/drawing/2014/main" id="{00000000-0008-0000-0600-0000D4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972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472</xdr:row>
      <xdr:rowOff>0</xdr:rowOff>
    </xdr:from>
    <xdr:ext cx="152400" cy="152400"/>
    <xdr:pic>
      <xdr:nvPicPr>
        <xdr:cNvPr id="469" name="Picture 468" descr="Weakness Variant +[@$5F&amp;!1Y]">
          <a:extLst>
            <a:ext uri="{FF2B5EF4-FFF2-40B4-BE49-F238E27FC236}">
              <a16:creationId xmlns:a16="http://schemas.microsoft.com/office/drawing/2014/main" id="{00000000-0008-0000-0600-0000D5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991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473</xdr:row>
      <xdr:rowOff>0</xdr:rowOff>
    </xdr:from>
    <xdr:ext cx="152400" cy="152400"/>
    <xdr:pic>
      <xdr:nvPicPr>
        <xdr:cNvPr id="470" name="Picture 469" descr="Weakness Base +[@$5F&amp;!1Z]">
          <a:extLst>
            <a:ext uri="{FF2B5EF4-FFF2-40B4-BE49-F238E27FC236}">
              <a16:creationId xmlns:a16="http://schemas.microsoft.com/office/drawing/2014/main" id="{00000000-0008-0000-0600-0000D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010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474</xdr:row>
      <xdr:rowOff>0</xdr:rowOff>
    </xdr:from>
    <xdr:ext cx="152400" cy="152400"/>
    <xdr:pic>
      <xdr:nvPicPr>
        <xdr:cNvPr id="471" name="Picture 470" descr="Weakness Variant +[@$5F&amp;!1[]">
          <a:extLst>
            <a:ext uri="{FF2B5EF4-FFF2-40B4-BE49-F238E27FC236}">
              <a16:creationId xmlns:a16="http://schemas.microsoft.com/office/drawing/2014/main" id="{00000000-0008-0000-0600-0000D7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029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475</xdr:row>
      <xdr:rowOff>0</xdr:rowOff>
    </xdr:from>
    <xdr:ext cx="152400" cy="152400"/>
    <xdr:pic>
      <xdr:nvPicPr>
        <xdr:cNvPr id="472" name="Picture 471" descr="Weakness Class +[@$5F&amp;!1\]">
          <a:extLst>
            <a:ext uri="{FF2B5EF4-FFF2-40B4-BE49-F238E27FC236}">
              <a16:creationId xmlns:a16="http://schemas.microsoft.com/office/drawing/2014/main" id="{00000000-0008-0000-0600-0000D8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9048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476</xdr:row>
      <xdr:rowOff>0</xdr:rowOff>
    </xdr:from>
    <xdr:ext cx="152400" cy="152400"/>
    <xdr:pic>
      <xdr:nvPicPr>
        <xdr:cNvPr id="473" name="Picture 472" descr="Category +[@$5F&amp;!1]]">
          <a:extLst>
            <a:ext uri="{FF2B5EF4-FFF2-40B4-BE49-F238E27FC236}">
              <a16:creationId xmlns:a16="http://schemas.microsoft.com/office/drawing/2014/main" id="{00000000-0008-0000-0600-0000D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9067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477</xdr:row>
      <xdr:rowOff>0</xdr:rowOff>
    </xdr:from>
    <xdr:ext cx="152400" cy="152400"/>
    <xdr:pic>
      <xdr:nvPicPr>
        <xdr:cNvPr id="474" name="Picture 473" descr="Category +[@$5F&amp;!1^]">
          <a:extLst>
            <a:ext uri="{FF2B5EF4-FFF2-40B4-BE49-F238E27FC236}">
              <a16:creationId xmlns:a16="http://schemas.microsoft.com/office/drawing/2014/main" id="{00000000-0008-0000-0600-0000D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9086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478</xdr:row>
      <xdr:rowOff>0</xdr:rowOff>
    </xdr:from>
    <xdr:ext cx="152400" cy="152400"/>
    <xdr:pic>
      <xdr:nvPicPr>
        <xdr:cNvPr id="475" name="Picture 474" descr="Weakness Base +[@$5F&amp;!1_]">
          <a:extLst>
            <a:ext uri="{FF2B5EF4-FFF2-40B4-BE49-F238E27FC236}">
              <a16:creationId xmlns:a16="http://schemas.microsoft.com/office/drawing/2014/main" id="{00000000-0008-0000-0600-0000D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105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479</xdr:row>
      <xdr:rowOff>0</xdr:rowOff>
    </xdr:from>
    <xdr:ext cx="152400" cy="152400"/>
    <xdr:pic>
      <xdr:nvPicPr>
        <xdr:cNvPr id="476" name="Picture 475" descr="Weakness Variant +[@$5F&amp;!1`]">
          <a:extLst>
            <a:ext uri="{FF2B5EF4-FFF2-40B4-BE49-F238E27FC236}">
              <a16:creationId xmlns:a16="http://schemas.microsoft.com/office/drawing/2014/main" id="{00000000-0008-0000-0600-0000DC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124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480</xdr:row>
      <xdr:rowOff>0</xdr:rowOff>
    </xdr:from>
    <xdr:ext cx="152400" cy="152400"/>
    <xdr:pic>
      <xdr:nvPicPr>
        <xdr:cNvPr id="477" name="Picture 476" descr="Weakness Variant +[@$5F&amp;!1a]">
          <a:extLst>
            <a:ext uri="{FF2B5EF4-FFF2-40B4-BE49-F238E27FC236}">
              <a16:creationId xmlns:a16="http://schemas.microsoft.com/office/drawing/2014/main" id="{00000000-0008-0000-0600-0000DD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144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481</xdr:row>
      <xdr:rowOff>0</xdr:rowOff>
    </xdr:from>
    <xdr:ext cx="152400" cy="152400"/>
    <xdr:pic>
      <xdr:nvPicPr>
        <xdr:cNvPr id="478" name="Picture 477" descr="Weakness Class +[@$5F&amp;!1b]">
          <a:extLst>
            <a:ext uri="{FF2B5EF4-FFF2-40B4-BE49-F238E27FC236}">
              <a16:creationId xmlns:a16="http://schemas.microsoft.com/office/drawing/2014/main" id="{00000000-0008-0000-0600-0000DE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9163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482</xdr:row>
      <xdr:rowOff>0</xdr:rowOff>
    </xdr:from>
    <xdr:ext cx="152400" cy="152400"/>
    <xdr:pic>
      <xdr:nvPicPr>
        <xdr:cNvPr id="479" name="Picture 478" descr="Weakness Base +[@$5F&amp;!1c]">
          <a:extLst>
            <a:ext uri="{FF2B5EF4-FFF2-40B4-BE49-F238E27FC236}">
              <a16:creationId xmlns:a16="http://schemas.microsoft.com/office/drawing/2014/main" id="{00000000-0008-0000-0600-0000D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182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483</xdr:row>
      <xdr:rowOff>0</xdr:rowOff>
    </xdr:from>
    <xdr:ext cx="152400" cy="152400"/>
    <xdr:pic>
      <xdr:nvPicPr>
        <xdr:cNvPr id="480" name="Picture 479" descr="Weakness Class +[@$5F&amp;!1d]">
          <a:extLst>
            <a:ext uri="{FF2B5EF4-FFF2-40B4-BE49-F238E27FC236}">
              <a16:creationId xmlns:a16="http://schemas.microsoft.com/office/drawing/2014/main" id="{00000000-0008-0000-0600-0000E0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9201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484</xdr:row>
      <xdr:rowOff>0</xdr:rowOff>
    </xdr:from>
    <xdr:ext cx="152400" cy="152400"/>
    <xdr:pic>
      <xdr:nvPicPr>
        <xdr:cNvPr id="481" name="Picture 480" descr="Weakness Base +[@$5F&amp;!1e]">
          <a:extLst>
            <a:ext uri="{FF2B5EF4-FFF2-40B4-BE49-F238E27FC236}">
              <a16:creationId xmlns:a16="http://schemas.microsoft.com/office/drawing/2014/main" id="{00000000-0008-0000-0600-0000E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220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485</xdr:row>
      <xdr:rowOff>0</xdr:rowOff>
    </xdr:from>
    <xdr:ext cx="152400" cy="152400"/>
    <xdr:pic>
      <xdr:nvPicPr>
        <xdr:cNvPr id="482" name="Picture 481" descr="Weakness Class +[@$5F&amp;!1f]">
          <a:extLst>
            <a:ext uri="{FF2B5EF4-FFF2-40B4-BE49-F238E27FC236}">
              <a16:creationId xmlns:a16="http://schemas.microsoft.com/office/drawing/2014/main" id="{00000000-0008-0000-0600-0000E2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9239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486</xdr:row>
      <xdr:rowOff>0</xdr:rowOff>
    </xdr:from>
    <xdr:ext cx="152400" cy="152400"/>
    <xdr:pic>
      <xdr:nvPicPr>
        <xdr:cNvPr id="483" name="Picture 482" descr="Weakness Base +[@$5F&amp;!1g]">
          <a:extLst>
            <a:ext uri="{FF2B5EF4-FFF2-40B4-BE49-F238E27FC236}">
              <a16:creationId xmlns:a16="http://schemas.microsoft.com/office/drawing/2014/main" id="{00000000-0008-0000-0600-0000E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258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487</xdr:row>
      <xdr:rowOff>0</xdr:rowOff>
    </xdr:from>
    <xdr:ext cx="152400" cy="152400"/>
    <xdr:pic>
      <xdr:nvPicPr>
        <xdr:cNvPr id="484" name="Picture 483" descr="Weakness Class +[@$5F&amp;!1h]">
          <a:extLst>
            <a:ext uri="{FF2B5EF4-FFF2-40B4-BE49-F238E27FC236}">
              <a16:creationId xmlns:a16="http://schemas.microsoft.com/office/drawing/2014/main" id="{00000000-0008-0000-0600-0000E4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9277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488</xdr:row>
      <xdr:rowOff>0</xdr:rowOff>
    </xdr:from>
    <xdr:ext cx="152400" cy="152400"/>
    <xdr:pic>
      <xdr:nvPicPr>
        <xdr:cNvPr id="485" name="Picture 484" descr="Weakness Base +[@$5F&amp;!1i]">
          <a:extLst>
            <a:ext uri="{FF2B5EF4-FFF2-40B4-BE49-F238E27FC236}">
              <a16:creationId xmlns:a16="http://schemas.microsoft.com/office/drawing/2014/main" id="{00000000-0008-0000-0600-0000E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296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489</xdr:row>
      <xdr:rowOff>0</xdr:rowOff>
    </xdr:from>
    <xdr:ext cx="152400" cy="152400"/>
    <xdr:pic>
      <xdr:nvPicPr>
        <xdr:cNvPr id="486" name="Picture 485" descr="Weakness Variant +[@$5F&amp;!1j]">
          <a:extLst>
            <a:ext uri="{FF2B5EF4-FFF2-40B4-BE49-F238E27FC236}">
              <a16:creationId xmlns:a16="http://schemas.microsoft.com/office/drawing/2014/main" id="{00000000-0008-0000-0600-0000E6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315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490</xdr:row>
      <xdr:rowOff>0</xdr:rowOff>
    </xdr:from>
    <xdr:ext cx="152400" cy="152400"/>
    <xdr:pic>
      <xdr:nvPicPr>
        <xdr:cNvPr id="487" name="Picture 486" descr="Weakness Base +[@$5F&amp;!1k]">
          <a:extLst>
            <a:ext uri="{FF2B5EF4-FFF2-40B4-BE49-F238E27FC236}">
              <a16:creationId xmlns:a16="http://schemas.microsoft.com/office/drawing/2014/main" id="{00000000-0008-0000-0600-0000E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334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491</xdr:row>
      <xdr:rowOff>0</xdr:rowOff>
    </xdr:from>
    <xdr:ext cx="152400" cy="152400"/>
    <xdr:pic>
      <xdr:nvPicPr>
        <xdr:cNvPr id="488" name="Picture 487" descr="Weakness Base +[@$5F&amp;!1l]">
          <a:extLst>
            <a:ext uri="{FF2B5EF4-FFF2-40B4-BE49-F238E27FC236}">
              <a16:creationId xmlns:a16="http://schemas.microsoft.com/office/drawing/2014/main" id="{00000000-0008-0000-0600-0000E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353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492</xdr:row>
      <xdr:rowOff>0</xdr:rowOff>
    </xdr:from>
    <xdr:ext cx="152400" cy="152400"/>
    <xdr:pic>
      <xdr:nvPicPr>
        <xdr:cNvPr id="489" name="Picture 488" descr="Weakness Base +[@$5F&amp;!1m]">
          <a:extLst>
            <a:ext uri="{FF2B5EF4-FFF2-40B4-BE49-F238E27FC236}">
              <a16:creationId xmlns:a16="http://schemas.microsoft.com/office/drawing/2014/main" id="{00000000-0008-0000-0600-0000E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372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493</xdr:row>
      <xdr:rowOff>0</xdr:rowOff>
    </xdr:from>
    <xdr:ext cx="152400" cy="152400"/>
    <xdr:pic>
      <xdr:nvPicPr>
        <xdr:cNvPr id="490" name="Picture 489" descr="Weakness Base +[@$5F&amp;!1n]">
          <a:extLst>
            <a:ext uri="{FF2B5EF4-FFF2-40B4-BE49-F238E27FC236}">
              <a16:creationId xmlns:a16="http://schemas.microsoft.com/office/drawing/2014/main" id="{00000000-0008-0000-0600-0000E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391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494</xdr:row>
      <xdr:rowOff>0</xdr:rowOff>
    </xdr:from>
    <xdr:ext cx="152400" cy="152400"/>
    <xdr:pic>
      <xdr:nvPicPr>
        <xdr:cNvPr id="491" name="Picture 490" descr="Weakness Base +[@$5F&amp;!1o]">
          <a:extLst>
            <a:ext uri="{FF2B5EF4-FFF2-40B4-BE49-F238E27FC236}">
              <a16:creationId xmlns:a16="http://schemas.microsoft.com/office/drawing/2014/main" id="{00000000-0008-0000-0600-0000E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410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495</xdr:row>
      <xdr:rowOff>0</xdr:rowOff>
    </xdr:from>
    <xdr:ext cx="152400" cy="152400"/>
    <xdr:pic>
      <xdr:nvPicPr>
        <xdr:cNvPr id="492" name="Picture 491" descr="Weakness Base +[@$5F&amp;!1p]">
          <a:extLst>
            <a:ext uri="{FF2B5EF4-FFF2-40B4-BE49-F238E27FC236}">
              <a16:creationId xmlns:a16="http://schemas.microsoft.com/office/drawing/2014/main" id="{00000000-0008-0000-0600-0000E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429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496</xdr:row>
      <xdr:rowOff>0</xdr:rowOff>
    </xdr:from>
    <xdr:ext cx="152400" cy="152400"/>
    <xdr:pic>
      <xdr:nvPicPr>
        <xdr:cNvPr id="493" name="Picture 492" descr="Weakness Class +[@$5F&amp;!1q]">
          <a:extLst>
            <a:ext uri="{FF2B5EF4-FFF2-40B4-BE49-F238E27FC236}">
              <a16:creationId xmlns:a16="http://schemas.microsoft.com/office/drawing/2014/main" id="{00000000-0008-0000-0600-0000ED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9448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497</xdr:row>
      <xdr:rowOff>0</xdr:rowOff>
    </xdr:from>
    <xdr:ext cx="152400" cy="152400"/>
    <xdr:pic>
      <xdr:nvPicPr>
        <xdr:cNvPr id="494" name="Picture 493" descr="Weakness Base +[@$5F&amp;!1r]">
          <a:extLst>
            <a:ext uri="{FF2B5EF4-FFF2-40B4-BE49-F238E27FC236}">
              <a16:creationId xmlns:a16="http://schemas.microsoft.com/office/drawing/2014/main" id="{00000000-0008-0000-0600-0000E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467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498</xdr:row>
      <xdr:rowOff>0</xdr:rowOff>
    </xdr:from>
    <xdr:ext cx="152400" cy="152400"/>
    <xdr:pic>
      <xdr:nvPicPr>
        <xdr:cNvPr id="495" name="Picture 494" descr="Category +[@$5F&amp;!1s]">
          <a:extLst>
            <a:ext uri="{FF2B5EF4-FFF2-40B4-BE49-F238E27FC236}">
              <a16:creationId xmlns:a16="http://schemas.microsoft.com/office/drawing/2014/main" id="{00000000-0008-0000-0600-0000E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9486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499</xdr:row>
      <xdr:rowOff>0</xdr:rowOff>
    </xdr:from>
    <xdr:ext cx="152400" cy="152400"/>
    <xdr:pic>
      <xdr:nvPicPr>
        <xdr:cNvPr id="496" name="Picture 495" descr="Weakness Base +[@$5F&amp;!1t]">
          <a:extLst>
            <a:ext uri="{FF2B5EF4-FFF2-40B4-BE49-F238E27FC236}">
              <a16:creationId xmlns:a16="http://schemas.microsoft.com/office/drawing/2014/main" id="{00000000-0008-0000-0600-0000F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505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500</xdr:row>
      <xdr:rowOff>0</xdr:rowOff>
    </xdr:from>
    <xdr:ext cx="285750" cy="95250"/>
    <xdr:pic>
      <xdr:nvPicPr>
        <xdr:cNvPr id="497" name="Picture 496" descr="Compound Element: Chain +[@$5F&amp;!1u]">
          <a:extLst>
            <a:ext uri="{FF2B5EF4-FFF2-40B4-BE49-F238E27FC236}">
              <a16:creationId xmlns:a16="http://schemas.microsoft.com/office/drawing/2014/main" id="{00000000-0008-0000-0600-0000F101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43075" y="95250000"/>
          <a:ext cx="2857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501</xdr:row>
      <xdr:rowOff>0</xdr:rowOff>
    </xdr:from>
    <xdr:ext cx="152400" cy="152400"/>
    <xdr:pic>
      <xdr:nvPicPr>
        <xdr:cNvPr id="498" name="Picture 497" descr="Weakness Base +[@$5F&amp;!1v]">
          <a:extLst>
            <a:ext uri="{FF2B5EF4-FFF2-40B4-BE49-F238E27FC236}">
              <a16:creationId xmlns:a16="http://schemas.microsoft.com/office/drawing/2014/main" id="{00000000-0008-0000-0600-0000F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544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502</xdr:row>
      <xdr:rowOff>0</xdr:rowOff>
    </xdr:from>
    <xdr:ext cx="152400" cy="152400"/>
    <xdr:pic>
      <xdr:nvPicPr>
        <xdr:cNvPr id="499" name="Picture 498" descr="Weakness Base +[@$5F&amp;!1w]">
          <a:extLst>
            <a:ext uri="{FF2B5EF4-FFF2-40B4-BE49-F238E27FC236}">
              <a16:creationId xmlns:a16="http://schemas.microsoft.com/office/drawing/2014/main" id="{00000000-0008-0000-0600-0000F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563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503</xdr:row>
      <xdr:rowOff>0</xdr:rowOff>
    </xdr:from>
    <xdr:ext cx="152400" cy="152400"/>
    <xdr:pic>
      <xdr:nvPicPr>
        <xdr:cNvPr id="500" name="Picture 499" descr="Category +[@$5F&amp;!1x]">
          <a:extLst>
            <a:ext uri="{FF2B5EF4-FFF2-40B4-BE49-F238E27FC236}">
              <a16:creationId xmlns:a16="http://schemas.microsoft.com/office/drawing/2014/main" id="{00000000-0008-0000-0600-0000F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9582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504</xdr:row>
      <xdr:rowOff>0</xdr:rowOff>
    </xdr:from>
    <xdr:ext cx="152400" cy="152400"/>
    <xdr:pic>
      <xdr:nvPicPr>
        <xdr:cNvPr id="501" name="Picture 500" descr="Category +[@$5F&amp;!1y]">
          <a:extLst>
            <a:ext uri="{FF2B5EF4-FFF2-40B4-BE49-F238E27FC236}">
              <a16:creationId xmlns:a16="http://schemas.microsoft.com/office/drawing/2014/main" id="{00000000-0008-0000-0600-0000F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9601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505</xdr:row>
      <xdr:rowOff>0</xdr:rowOff>
    </xdr:from>
    <xdr:ext cx="152400" cy="152400"/>
    <xdr:pic>
      <xdr:nvPicPr>
        <xdr:cNvPr id="502" name="Picture 501" descr="Weakness Class +[@$5F&amp;!1z]">
          <a:extLst>
            <a:ext uri="{FF2B5EF4-FFF2-40B4-BE49-F238E27FC236}">
              <a16:creationId xmlns:a16="http://schemas.microsoft.com/office/drawing/2014/main" id="{00000000-0008-0000-0600-0000F6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9620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506</xdr:row>
      <xdr:rowOff>0</xdr:rowOff>
    </xdr:from>
    <xdr:ext cx="152400" cy="152400"/>
    <xdr:pic>
      <xdr:nvPicPr>
        <xdr:cNvPr id="503" name="Picture 502" descr="Weakness Base +[@$5F&amp;!1{]">
          <a:extLst>
            <a:ext uri="{FF2B5EF4-FFF2-40B4-BE49-F238E27FC236}">
              <a16:creationId xmlns:a16="http://schemas.microsoft.com/office/drawing/2014/main" id="{00000000-0008-0000-0600-0000F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639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507</xdr:row>
      <xdr:rowOff>0</xdr:rowOff>
    </xdr:from>
    <xdr:ext cx="152400" cy="152400"/>
    <xdr:pic>
      <xdr:nvPicPr>
        <xdr:cNvPr id="504" name="Picture 503" descr="Weakness Variant +[@$5F&amp;!1|]">
          <a:extLst>
            <a:ext uri="{FF2B5EF4-FFF2-40B4-BE49-F238E27FC236}">
              <a16:creationId xmlns:a16="http://schemas.microsoft.com/office/drawing/2014/main" id="{00000000-0008-0000-0600-0000F8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658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508</xdr:row>
      <xdr:rowOff>0</xdr:rowOff>
    </xdr:from>
    <xdr:ext cx="152400" cy="152400"/>
    <xdr:pic>
      <xdr:nvPicPr>
        <xdr:cNvPr id="505" name="Picture 504" descr="Weakness Variant +[@$5F&amp;!1}]">
          <a:extLst>
            <a:ext uri="{FF2B5EF4-FFF2-40B4-BE49-F238E27FC236}">
              <a16:creationId xmlns:a16="http://schemas.microsoft.com/office/drawing/2014/main" id="{00000000-0008-0000-0600-0000F9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677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509</xdr:row>
      <xdr:rowOff>0</xdr:rowOff>
    </xdr:from>
    <xdr:ext cx="152400" cy="152400"/>
    <xdr:pic>
      <xdr:nvPicPr>
        <xdr:cNvPr id="506" name="Picture 505" descr="Weakness Variant +[@$5F&amp;!1~]">
          <a:extLst>
            <a:ext uri="{FF2B5EF4-FFF2-40B4-BE49-F238E27FC236}">
              <a16:creationId xmlns:a16="http://schemas.microsoft.com/office/drawing/2014/main" id="{00000000-0008-0000-0600-0000FA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696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510</xdr:row>
      <xdr:rowOff>0</xdr:rowOff>
    </xdr:from>
    <xdr:ext cx="152400" cy="152400"/>
    <xdr:pic>
      <xdr:nvPicPr>
        <xdr:cNvPr id="507" name="Picture 506" descr="Weakness Variant +[@$5F&amp;!2#]">
          <a:extLst>
            <a:ext uri="{FF2B5EF4-FFF2-40B4-BE49-F238E27FC236}">
              <a16:creationId xmlns:a16="http://schemas.microsoft.com/office/drawing/2014/main" id="{00000000-0008-0000-0600-0000FB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715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511</xdr:row>
      <xdr:rowOff>0</xdr:rowOff>
    </xdr:from>
    <xdr:ext cx="152400" cy="152400"/>
    <xdr:pic>
      <xdr:nvPicPr>
        <xdr:cNvPr id="508" name="Picture 507" descr="Weakness Variant +[@$5F&amp;!2$]">
          <a:extLst>
            <a:ext uri="{FF2B5EF4-FFF2-40B4-BE49-F238E27FC236}">
              <a16:creationId xmlns:a16="http://schemas.microsoft.com/office/drawing/2014/main" id="{00000000-0008-0000-0600-0000FC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734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512</xdr:row>
      <xdr:rowOff>0</xdr:rowOff>
    </xdr:from>
    <xdr:ext cx="152400" cy="152400"/>
    <xdr:pic>
      <xdr:nvPicPr>
        <xdr:cNvPr id="509" name="Picture 508" descr="Category +[@$5F&amp;!2%]">
          <a:extLst>
            <a:ext uri="{FF2B5EF4-FFF2-40B4-BE49-F238E27FC236}">
              <a16:creationId xmlns:a16="http://schemas.microsoft.com/office/drawing/2014/main" id="{00000000-0008-0000-0600-0000F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9753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513</xdr:row>
      <xdr:rowOff>0</xdr:rowOff>
    </xdr:from>
    <xdr:ext cx="152400" cy="152400"/>
    <xdr:pic>
      <xdr:nvPicPr>
        <xdr:cNvPr id="510" name="Picture 509" descr="Weakness Variant +[@$5F&amp;!2&amp;]">
          <a:extLst>
            <a:ext uri="{FF2B5EF4-FFF2-40B4-BE49-F238E27FC236}">
              <a16:creationId xmlns:a16="http://schemas.microsoft.com/office/drawing/2014/main" id="{00000000-0008-0000-0600-0000FE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772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514</xdr:row>
      <xdr:rowOff>0</xdr:rowOff>
    </xdr:from>
    <xdr:ext cx="152400" cy="152400"/>
    <xdr:pic>
      <xdr:nvPicPr>
        <xdr:cNvPr id="511" name="Picture 510" descr="Weakness Variant +[@$5F&amp;!2']">
          <a:extLst>
            <a:ext uri="{FF2B5EF4-FFF2-40B4-BE49-F238E27FC236}">
              <a16:creationId xmlns:a16="http://schemas.microsoft.com/office/drawing/2014/main" id="{00000000-0008-0000-0600-0000FF0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791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515</xdr:row>
      <xdr:rowOff>0</xdr:rowOff>
    </xdr:from>
    <xdr:ext cx="152400" cy="152400"/>
    <xdr:pic>
      <xdr:nvPicPr>
        <xdr:cNvPr id="512" name="Picture 511" descr="Weakness Variant +[@$5F&amp;!2(]">
          <a:extLst>
            <a:ext uri="{FF2B5EF4-FFF2-40B4-BE49-F238E27FC236}">
              <a16:creationId xmlns:a16="http://schemas.microsoft.com/office/drawing/2014/main" id="{00000000-0008-0000-0600-000000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810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516</xdr:row>
      <xdr:rowOff>0</xdr:rowOff>
    </xdr:from>
    <xdr:ext cx="152400" cy="152400"/>
    <xdr:pic>
      <xdr:nvPicPr>
        <xdr:cNvPr id="513" name="Picture 512" descr="Weakness Variant +[@$5F&amp;!2)]">
          <a:extLst>
            <a:ext uri="{FF2B5EF4-FFF2-40B4-BE49-F238E27FC236}">
              <a16:creationId xmlns:a16="http://schemas.microsoft.com/office/drawing/2014/main" id="{00000000-0008-0000-0600-000001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829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517</xdr:row>
      <xdr:rowOff>0</xdr:rowOff>
    </xdr:from>
    <xdr:ext cx="152400" cy="152400"/>
    <xdr:pic>
      <xdr:nvPicPr>
        <xdr:cNvPr id="514" name="Picture 513" descr="Weakness Variant +[@$5F&amp;!2.]">
          <a:extLst>
            <a:ext uri="{FF2B5EF4-FFF2-40B4-BE49-F238E27FC236}">
              <a16:creationId xmlns:a16="http://schemas.microsoft.com/office/drawing/2014/main" id="{00000000-0008-0000-0600-000002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848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518</xdr:row>
      <xdr:rowOff>0</xdr:rowOff>
    </xdr:from>
    <xdr:ext cx="152400" cy="152400"/>
    <xdr:pic>
      <xdr:nvPicPr>
        <xdr:cNvPr id="515" name="Picture 514" descr="Weakness Variant +[@$5F&amp;!2/]">
          <a:extLst>
            <a:ext uri="{FF2B5EF4-FFF2-40B4-BE49-F238E27FC236}">
              <a16:creationId xmlns:a16="http://schemas.microsoft.com/office/drawing/2014/main" id="{00000000-0008-0000-0600-000003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867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519</xdr:row>
      <xdr:rowOff>0</xdr:rowOff>
    </xdr:from>
    <xdr:ext cx="152400" cy="152400"/>
    <xdr:pic>
      <xdr:nvPicPr>
        <xdr:cNvPr id="516" name="Picture 515" descr="Weakness Variant +[@$5F&amp;!20]">
          <a:extLst>
            <a:ext uri="{FF2B5EF4-FFF2-40B4-BE49-F238E27FC236}">
              <a16:creationId xmlns:a16="http://schemas.microsoft.com/office/drawing/2014/main" id="{00000000-0008-0000-0600-000004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886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520</xdr:row>
      <xdr:rowOff>0</xdr:rowOff>
    </xdr:from>
    <xdr:ext cx="152400" cy="152400"/>
    <xdr:pic>
      <xdr:nvPicPr>
        <xdr:cNvPr id="517" name="Picture 516" descr="Category +[@$5F&amp;!21]">
          <a:extLst>
            <a:ext uri="{FF2B5EF4-FFF2-40B4-BE49-F238E27FC236}">
              <a16:creationId xmlns:a16="http://schemas.microsoft.com/office/drawing/2014/main" id="{00000000-0008-0000-0600-000005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9906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521</xdr:row>
      <xdr:rowOff>0</xdr:rowOff>
    </xdr:from>
    <xdr:ext cx="152400" cy="152400"/>
    <xdr:pic>
      <xdr:nvPicPr>
        <xdr:cNvPr id="518" name="Picture 517" descr="Weakness Base +[@$5F&amp;!22]">
          <a:extLst>
            <a:ext uri="{FF2B5EF4-FFF2-40B4-BE49-F238E27FC236}">
              <a16:creationId xmlns:a16="http://schemas.microsoft.com/office/drawing/2014/main" id="{00000000-0008-0000-0600-00000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925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522</xdr:row>
      <xdr:rowOff>0</xdr:rowOff>
    </xdr:from>
    <xdr:ext cx="152400" cy="152400"/>
    <xdr:pic>
      <xdr:nvPicPr>
        <xdr:cNvPr id="519" name="Picture 518" descr="Category +[@$5F&amp;!23]">
          <a:extLst>
            <a:ext uri="{FF2B5EF4-FFF2-40B4-BE49-F238E27FC236}">
              <a16:creationId xmlns:a16="http://schemas.microsoft.com/office/drawing/2014/main" id="{00000000-0008-0000-0600-000007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9944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523</xdr:row>
      <xdr:rowOff>0</xdr:rowOff>
    </xdr:from>
    <xdr:ext cx="152400" cy="152400"/>
    <xdr:pic>
      <xdr:nvPicPr>
        <xdr:cNvPr id="520" name="Picture 519" descr="Weakness Class +[@$5F&amp;!24]">
          <a:extLst>
            <a:ext uri="{FF2B5EF4-FFF2-40B4-BE49-F238E27FC236}">
              <a16:creationId xmlns:a16="http://schemas.microsoft.com/office/drawing/2014/main" id="{00000000-0008-0000-0600-000008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9963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524</xdr:row>
      <xdr:rowOff>0</xdr:rowOff>
    </xdr:from>
    <xdr:ext cx="152400" cy="152400"/>
    <xdr:pic>
      <xdr:nvPicPr>
        <xdr:cNvPr id="521" name="Picture 520" descr="Weakness Base +[@$5F&amp;!25]">
          <a:extLst>
            <a:ext uri="{FF2B5EF4-FFF2-40B4-BE49-F238E27FC236}">
              <a16:creationId xmlns:a16="http://schemas.microsoft.com/office/drawing/2014/main" id="{00000000-0008-0000-0600-00000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982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525</xdr:row>
      <xdr:rowOff>0</xdr:rowOff>
    </xdr:from>
    <xdr:ext cx="152400" cy="152400"/>
    <xdr:pic>
      <xdr:nvPicPr>
        <xdr:cNvPr id="522" name="Picture 521" descr="Weakness Base +[@$5F&amp;!26]">
          <a:extLst>
            <a:ext uri="{FF2B5EF4-FFF2-40B4-BE49-F238E27FC236}">
              <a16:creationId xmlns:a16="http://schemas.microsoft.com/office/drawing/2014/main" id="{00000000-0008-0000-0600-00000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001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526</xdr:row>
      <xdr:rowOff>0</xdr:rowOff>
    </xdr:from>
    <xdr:ext cx="152400" cy="152400"/>
    <xdr:pic>
      <xdr:nvPicPr>
        <xdr:cNvPr id="523" name="Picture 522" descr="Category +[@$5F&amp;!27]">
          <a:extLst>
            <a:ext uri="{FF2B5EF4-FFF2-40B4-BE49-F238E27FC236}">
              <a16:creationId xmlns:a16="http://schemas.microsoft.com/office/drawing/2014/main" id="{00000000-0008-0000-0600-00000B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0020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527</xdr:row>
      <xdr:rowOff>0</xdr:rowOff>
    </xdr:from>
    <xdr:ext cx="152400" cy="152400"/>
    <xdr:pic>
      <xdr:nvPicPr>
        <xdr:cNvPr id="524" name="Picture 523" descr="Weakness Base +[@$5F&amp;!28]">
          <a:extLst>
            <a:ext uri="{FF2B5EF4-FFF2-40B4-BE49-F238E27FC236}">
              <a16:creationId xmlns:a16="http://schemas.microsoft.com/office/drawing/2014/main" id="{00000000-0008-0000-0600-00000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039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528</xdr:row>
      <xdr:rowOff>0</xdr:rowOff>
    </xdr:from>
    <xdr:ext cx="152400" cy="152400"/>
    <xdr:pic>
      <xdr:nvPicPr>
        <xdr:cNvPr id="525" name="Picture 524" descr="Weakness Base +[@$5F&amp;!29]">
          <a:extLst>
            <a:ext uri="{FF2B5EF4-FFF2-40B4-BE49-F238E27FC236}">
              <a16:creationId xmlns:a16="http://schemas.microsoft.com/office/drawing/2014/main" id="{00000000-0008-0000-0600-00000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058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529</xdr:row>
      <xdr:rowOff>0</xdr:rowOff>
    </xdr:from>
    <xdr:ext cx="152400" cy="152400"/>
    <xdr:pic>
      <xdr:nvPicPr>
        <xdr:cNvPr id="526" name="Picture 525" descr="Weakness Base +[@$5F&amp;!2:]">
          <a:extLst>
            <a:ext uri="{FF2B5EF4-FFF2-40B4-BE49-F238E27FC236}">
              <a16:creationId xmlns:a16="http://schemas.microsoft.com/office/drawing/2014/main" id="{00000000-0008-0000-0600-00000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077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530</xdr:row>
      <xdr:rowOff>0</xdr:rowOff>
    </xdr:from>
    <xdr:ext cx="152400" cy="152400"/>
    <xdr:pic>
      <xdr:nvPicPr>
        <xdr:cNvPr id="527" name="Picture 526" descr="Category +[@$5F&amp;!2;]">
          <a:extLst>
            <a:ext uri="{FF2B5EF4-FFF2-40B4-BE49-F238E27FC236}">
              <a16:creationId xmlns:a16="http://schemas.microsoft.com/office/drawing/2014/main" id="{00000000-0008-0000-0600-00000F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0096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531</xdr:row>
      <xdr:rowOff>0</xdr:rowOff>
    </xdr:from>
    <xdr:ext cx="152400" cy="152400"/>
    <xdr:pic>
      <xdr:nvPicPr>
        <xdr:cNvPr id="528" name="Picture 527" descr="Weakness Base +[@$5F&amp;!2&lt;]">
          <a:extLst>
            <a:ext uri="{FF2B5EF4-FFF2-40B4-BE49-F238E27FC236}">
              <a16:creationId xmlns:a16="http://schemas.microsoft.com/office/drawing/2014/main" id="{00000000-0008-0000-0600-00001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115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532</xdr:row>
      <xdr:rowOff>0</xdr:rowOff>
    </xdr:from>
    <xdr:ext cx="152400" cy="152400"/>
    <xdr:pic>
      <xdr:nvPicPr>
        <xdr:cNvPr id="529" name="Picture 528" descr="Weakness Variant +[@$5F&amp;!2=]">
          <a:extLst>
            <a:ext uri="{FF2B5EF4-FFF2-40B4-BE49-F238E27FC236}">
              <a16:creationId xmlns:a16="http://schemas.microsoft.com/office/drawing/2014/main" id="{00000000-0008-0000-0600-000011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134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533</xdr:row>
      <xdr:rowOff>0</xdr:rowOff>
    </xdr:from>
    <xdr:ext cx="152400" cy="152400"/>
    <xdr:pic>
      <xdr:nvPicPr>
        <xdr:cNvPr id="530" name="Picture 529" descr="Weakness Variant +[@$5F&amp;!2&gt;]">
          <a:extLst>
            <a:ext uri="{FF2B5EF4-FFF2-40B4-BE49-F238E27FC236}">
              <a16:creationId xmlns:a16="http://schemas.microsoft.com/office/drawing/2014/main" id="{00000000-0008-0000-0600-000012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153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534</xdr:row>
      <xdr:rowOff>0</xdr:rowOff>
    </xdr:from>
    <xdr:ext cx="152400" cy="152400"/>
    <xdr:pic>
      <xdr:nvPicPr>
        <xdr:cNvPr id="531" name="Picture 530" descr="Weakness Class +[@$5F&amp;!2?]">
          <a:extLst>
            <a:ext uri="{FF2B5EF4-FFF2-40B4-BE49-F238E27FC236}">
              <a16:creationId xmlns:a16="http://schemas.microsoft.com/office/drawing/2014/main" id="{00000000-0008-0000-0600-000013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0172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535</xdr:row>
      <xdr:rowOff>0</xdr:rowOff>
    </xdr:from>
    <xdr:ext cx="152400" cy="152400"/>
    <xdr:pic>
      <xdr:nvPicPr>
        <xdr:cNvPr id="532" name="Picture 531" descr="Weakness Base +[@$5F&amp;!2@]">
          <a:extLst>
            <a:ext uri="{FF2B5EF4-FFF2-40B4-BE49-F238E27FC236}">
              <a16:creationId xmlns:a16="http://schemas.microsoft.com/office/drawing/2014/main" id="{00000000-0008-0000-0600-00001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191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536</xdr:row>
      <xdr:rowOff>0</xdr:rowOff>
    </xdr:from>
    <xdr:ext cx="152400" cy="152400"/>
    <xdr:pic>
      <xdr:nvPicPr>
        <xdr:cNvPr id="533" name="Picture 532" descr="Weakness Base +[@$5F&amp;!2A]">
          <a:extLst>
            <a:ext uri="{FF2B5EF4-FFF2-40B4-BE49-F238E27FC236}">
              <a16:creationId xmlns:a16="http://schemas.microsoft.com/office/drawing/2014/main" id="{00000000-0008-0000-0600-00001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210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537</xdr:row>
      <xdr:rowOff>0</xdr:rowOff>
    </xdr:from>
    <xdr:ext cx="152400" cy="152400"/>
    <xdr:pic>
      <xdr:nvPicPr>
        <xdr:cNvPr id="534" name="Picture 533" descr="Weakness Class +[@$5F&amp;!2B]">
          <a:extLst>
            <a:ext uri="{FF2B5EF4-FFF2-40B4-BE49-F238E27FC236}">
              <a16:creationId xmlns:a16="http://schemas.microsoft.com/office/drawing/2014/main" id="{00000000-0008-0000-0600-000016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022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538</xdr:row>
      <xdr:rowOff>0</xdr:rowOff>
    </xdr:from>
    <xdr:ext cx="152400" cy="152400"/>
    <xdr:pic>
      <xdr:nvPicPr>
        <xdr:cNvPr id="535" name="Picture 534" descr="Weakness Variant +[@$5F&amp;!2C]">
          <a:extLst>
            <a:ext uri="{FF2B5EF4-FFF2-40B4-BE49-F238E27FC236}">
              <a16:creationId xmlns:a16="http://schemas.microsoft.com/office/drawing/2014/main" id="{00000000-0008-0000-0600-000017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248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539</xdr:row>
      <xdr:rowOff>0</xdr:rowOff>
    </xdr:from>
    <xdr:ext cx="152400" cy="152400"/>
    <xdr:pic>
      <xdr:nvPicPr>
        <xdr:cNvPr id="536" name="Picture 535" descr="Weakness Base +[@$5F&amp;!2D]">
          <a:extLst>
            <a:ext uri="{FF2B5EF4-FFF2-40B4-BE49-F238E27FC236}">
              <a16:creationId xmlns:a16="http://schemas.microsoft.com/office/drawing/2014/main" id="{00000000-0008-0000-0600-00001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267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540</xdr:row>
      <xdr:rowOff>0</xdr:rowOff>
    </xdr:from>
    <xdr:ext cx="152400" cy="152400"/>
    <xdr:pic>
      <xdr:nvPicPr>
        <xdr:cNvPr id="537" name="Picture 536" descr="Weakness Base +[@$5F&amp;!2E]">
          <a:extLst>
            <a:ext uri="{FF2B5EF4-FFF2-40B4-BE49-F238E27FC236}">
              <a16:creationId xmlns:a16="http://schemas.microsoft.com/office/drawing/2014/main" id="{00000000-0008-0000-0600-00001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287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541</xdr:row>
      <xdr:rowOff>0</xdr:rowOff>
    </xdr:from>
    <xdr:ext cx="152400" cy="152400"/>
    <xdr:pic>
      <xdr:nvPicPr>
        <xdr:cNvPr id="538" name="Picture 537" descr="Weakness Base +[@$5F&amp;!2F]">
          <a:extLst>
            <a:ext uri="{FF2B5EF4-FFF2-40B4-BE49-F238E27FC236}">
              <a16:creationId xmlns:a16="http://schemas.microsoft.com/office/drawing/2014/main" id="{00000000-0008-0000-0600-00001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306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542</xdr:row>
      <xdr:rowOff>0</xdr:rowOff>
    </xdr:from>
    <xdr:ext cx="152400" cy="152400"/>
    <xdr:pic>
      <xdr:nvPicPr>
        <xdr:cNvPr id="539" name="Picture 538" descr="Weakness Base +[@$5F&amp;!2G]">
          <a:extLst>
            <a:ext uri="{FF2B5EF4-FFF2-40B4-BE49-F238E27FC236}">
              <a16:creationId xmlns:a16="http://schemas.microsoft.com/office/drawing/2014/main" id="{00000000-0008-0000-0600-00001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325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543</xdr:row>
      <xdr:rowOff>0</xdr:rowOff>
    </xdr:from>
    <xdr:ext cx="152400" cy="152400"/>
    <xdr:pic>
      <xdr:nvPicPr>
        <xdr:cNvPr id="540" name="Picture 539" descr="Weakness Base +[@$5F&amp;!2H]">
          <a:extLst>
            <a:ext uri="{FF2B5EF4-FFF2-40B4-BE49-F238E27FC236}">
              <a16:creationId xmlns:a16="http://schemas.microsoft.com/office/drawing/2014/main" id="{00000000-0008-0000-0600-00001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344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544</xdr:row>
      <xdr:rowOff>0</xdr:rowOff>
    </xdr:from>
    <xdr:ext cx="152400" cy="152400"/>
    <xdr:pic>
      <xdr:nvPicPr>
        <xdr:cNvPr id="541" name="Picture 540" descr="Weakness Variant +[@$5F&amp;!2I]">
          <a:extLst>
            <a:ext uri="{FF2B5EF4-FFF2-40B4-BE49-F238E27FC236}">
              <a16:creationId xmlns:a16="http://schemas.microsoft.com/office/drawing/2014/main" id="{00000000-0008-0000-0600-00001D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363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545</xdr:row>
      <xdr:rowOff>0</xdr:rowOff>
    </xdr:from>
    <xdr:ext cx="152400" cy="152400"/>
    <xdr:pic>
      <xdr:nvPicPr>
        <xdr:cNvPr id="542" name="Picture 541" descr="Weakness Base +[@$5F&amp;!2J]">
          <a:extLst>
            <a:ext uri="{FF2B5EF4-FFF2-40B4-BE49-F238E27FC236}">
              <a16:creationId xmlns:a16="http://schemas.microsoft.com/office/drawing/2014/main" id="{00000000-0008-0000-0600-00001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382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546</xdr:row>
      <xdr:rowOff>0</xdr:rowOff>
    </xdr:from>
    <xdr:ext cx="152400" cy="152400"/>
    <xdr:pic>
      <xdr:nvPicPr>
        <xdr:cNvPr id="543" name="Picture 542" descr="Weakness Variant +[@$5F&amp;!2K]">
          <a:extLst>
            <a:ext uri="{FF2B5EF4-FFF2-40B4-BE49-F238E27FC236}">
              <a16:creationId xmlns:a16="http://schemas.microsoft.com/office/drawing/2014/main" id="{00000000-0008-0000-0600-00001F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401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547</xdr:row>
      <xdr:rowOff>0</xdr:rowOff>
    </xdr:from>
    <xdr:ext cx="152400" cy="152400"/>
    <xdr:pic>
      <xdr:nvPicPr>
        <xdr:cNvPr id="544" name="Picture 543" descr="Weakness Variant +[@$5F&amp;!2L]">
          <a:extLst>
            <a:ext uri="{FF2B5EF4-FFF2-40B4-BE49-F238E27FC236}">
              <a16:creationId xmlns:a16="http://schemas.microsoft.com/office/drawing/2014/main" id="{00000000-0008-0000-0600-000020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420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548</xdr:row>
      <xdr:rowOff>0</xdr:rowOff>
    </xdr:from>
    <xdr:ext cx="152400" cy="152400"/>
    <xdr:pic>
      <xdr:nvPicPr>
        <xdr:cNvPr id="545" name="Picture 544" descr="Weakness Base +[@$5F&amp;!2M]">
          <a:extLst>
            <a:ext uri="{FF2B5EF4-FFF2-40B4-BE49-F238E27FC236}">
              <a16:creationId xmlns:a16="http://schemas.microsoft.com/office/drawing/2014/main" id="{00000000-0008-0000-0600-00002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439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549</xdr:row>
      <xdr:rowOff>0</xdr:rowOff>
    </xdr:from>
    <xdr:ext cx="152400" cy="152400"/>
    <xdr:pic>
      <xdr:nvPicPr>
        <xdr:cNvPr id="546" name="Picture 545" descr="Weakness Base +[@$5F&amp;!2N]">
          <a:extLst>
            <a:ext uri="{FF2B5EF4-FFF2-40B4-BE49-F238E27FC236}">
              <a16:creationId xmlns:a16="http://schemas.microsoft.com/office/drawing/2014/main" id="{00000000-0008-0000-0600-00002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458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550</xdr:row>
      <xdr:rowOff>0</xdr:rowOff>
    </xdr:from>
    <xdr:ext cx="152400" cy="152400"/>
    <xdr:pic>
      <xdr:nvPicPr>
        <xdr:cNvPr id="547" name="Picture 546" descr="Weakness Base +[@$5F&amp;!2O]">
          <a:extLst>
            <a:ext uri="{FF2B5EF4-FFF2-40B4-BE49-F238E27FC236}">
              <a16:creationId xmlns:a16="http://schemas.microsoft.com/office/drawing/2014/main" id="{00000000-0008-0000-0600-00002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477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551</xdr:row>
      <xdr:rowOff>0</xdr:rowOff>
    </xdr:from>
    <xdr:ext cx="152400" cy="152400"/>
    <xdr:pic>
      <xdr:nvPicPr>
        <xdr:cNvPr id="548" name="Picture 547" descr="Weakness Base +[@$5F&amp;!2P]">
          <a:extLst>
            <a:ext uri="{FF2B5EF4-FFF2-40B4-BE49-F238E27FC236}">
              <a16:creationId xmlns:a16="http://schemas.microsoft.com/office/drawing/2014/main" id="{00000000-0008-0000-0600-00002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496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552</xdr:row>
      <xdr:rowOff>0</xdr:rowOff>
    </xdr:from>
    <xdr:ext cx="152400" cy="152400"/>
    <xdr:pic>
      <xdr:nvPicPr>
        <xdr:cNvPr id="549" name="Picture 548" descr="Weakness Base +[@$5F&amp;!2Q]">
          <a:extLst>
            <a:ext uri="{FF2B5EF4-FFF2-40B4-BE49-F238E27FC236}">
              <a16:creationId xmlns:a16="http://schemas.microsoft.com/office/drawing/2014/main" id="{00000000-0008-0000-0600-00002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515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553</xdr:row>
      <xdr:rowOff>0</xdr:rowOff>
    </xdr:from>
    <xdr:ext cx="152400" cy="152400"/>
    <xdr:pic>
      <xdr:nvPicPr>
        <xdr:cNvPr id="550" name="Picture 549" descr="Weakness Base +[@$5F&amp;!2R]">
          <a:extLst>
            <a:ext uri="{FF2B5EF4-FFF2-40B4-BE49-F238E27FC236}">
              <a16:creationId xmlns:a16="http://schemas.microsoft.com/office/drawing/2014/main" id="{00000000-0008-0000-0600-00002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534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554</xdr:row>
      <xdr:rowOff>0</xdr:rowOff>
    </xdr:from>
    <xdr:ext cx="152400" cy="152400"/>
    <xdr:pic>
      <xdr:nvPicPr>
        <xdr:cNvPr id="551" name="Picture 550" descr="Weakness Variant +[@$5F&amp;!2S]">
          <a:extLst>
            <a:ext uri="{FF2B5EF4-FFF2-40B4-BE49-F238E27FC236}">
              <a16:creationId xmlns:a16="http://schemas.microsoft.com/office/drawing/2014/main" id="{00000000-0008-0000-0600-000027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553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555</xdr:row>
      <xdr:rowOff>0</xdr:rowOff>
    </xdr:from>
    <xdr:ext cx="152400" cy="152400"/>
    <xdr:pic>
      <xdr:nvPicPr>
        <xdr:cNvPr id="552" name="Picture 551" descr="Weakness Base +[@$5F&amp;!2T]">
          <a:extLst>
            <a:ext uri="{FF2B5EF4-FFF2-40B4-BE49-F238E27FC236}">
              <a16:creationId xmlns:a16="http://schemas.microsoft.com/office/drawing/2014/main" id="{00000000-0008-0000-0600-00002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572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556</xdr:row>
      <xdr:rowOff>0</xdr:rowOff>
    </xdr:from>
    <xdr:ext cx="152400" cy="152400"/>
    <xdr:pic>
      <xdr:nvPicPr>
        <xdr:cNvPr id="553" name="Picture 552" descr="Category +[@$5F&amp;!2U]">
          <a:extLst>
            <a:ext uri="{FF2B5EF4-FFF2-40B4-BE49-F238E27FC236}">
              <a16:creationId xmlns:a16="http://schemas.microsoft.com/office/drawing/2014/main" id="{00000000-0008-0000-0600-000029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0591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557</xdr:row>
      <xdr:rowOff>0</xdr:rowOff>
    </xdr:from>
    <xdr:ext cx="152400" cy="152400"/>
    <xdr:pic>
      <xdr:nvPicPr>
        <xdr:cNvPr id="554" name="Picture 553" descr="Weakness Base +[@$5F&amp;!2V]">
          <a:extLst>
            <a:ext uri="{FF2B5EF4-FFF2-40B4-BE49-F238E27FC236}">
              <a16:creationId xmlns:a16="http://schemas.microsoft.com/office/drawing/2014/main" id="{00000000-0008-0000-0600-00002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610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558</xdr:row>
      <xdr:rowOff>0</xdr:rowOff>
    </xdr:from>
    <xdr:ext cx="152400" cy="152400"/>
    <xdr:pic>
      <xdr:nvPicPr>
        <xdr:cNvPr id="555" name="Picture 554" descr="Category +[@$5F&amp;!2W]">
          <a:extLst>
            <a:ext uri="{FF2B5EF4-FFF2-40B4-BE49-F238E27FC236}">
              <a16:creationId xmlns:a16="http://schemas.microsoft.com/office/drawing/2014/main" id="{00000000-0008-0000-0600-00002B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0629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559</xdr:row>
      <xdr:rowOff>0</xdr:rowOff>
    </xdr:from>
    <xdr:ext cx="152400" cy="152400"/>
    <xdr:pic>
      <xdr:nvPicPr>
        <xdr:cNvPr id="556" name="Picture 555" descr="Weakness Base +[@$5F&amp;!2X]">
          <a:extLst>
            <a:ext uri="{FF2B5EF4-FFF2-40B4-BE49-F238E27FC236}">
              <a16:creationId xmlns:a16="http://schemas.microsoft.com/office/drawing/2014/main" id="{00000000-0008-0000-0600-00002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648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560</xdr:row>
      <xdr:rowOff>0</xdr:rowOff>
    </xdr:from>
    <xdr:ext cx="152400" cy="152400"/>
    <xdr:pic>
      <xdr:nvPicPr>
        <xdr:cNvPr id="557" name="Picture 556" descr="Weakness Base +[@$5F&amp;!2Y]">
          <a:extLst>
            <a:ext uri="{FF2B5EF4-FFF2-40B4-BE49-F238E27FC236}">
              <a16:creationId xmlns:a16="http://schemas.microsoft.com/office/drawing/2014/main" id="{00000000-0008-0000-0600-00002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668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561</xdr:row>
      <xdr:rowOff>0</xdr:rowOff>
    </xdr:from>
    <xdr:ext cx="152400" cy="152400"/>
    <xdr:pic>
      <xdr:nvPicPr>
        <xdr:cNvPr id="558" name="Picture 557" descr="Weakness Variant +[@$5F&amp;!2Z]">
          <a:extLst>
            <a:ext uri="{FF2B5EF4-FFF2-40B4-BE49-F238E27FC236}">
              <a16:creationId xmlns:a16="http://schemas.microsoft.com/office/drawing/2014/main" id="{00000000-0008-0000-0600-00002E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687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562</xdr:row>
      <xdr:rowOff>0</xdr:rowOff>
    </xdr:from>
    <xdr:ext cx="152400" cy="152400"/>
    <xdr:pic>
      <xdr:nvPicPr>
        <xdr:cNvPr id="559" name="Picture 558" descr="Weakness Variant +[@$5F&amp;!2[]">
          <a:extLst>
            <a:ext uri="{FF2B5EF4-FFF2-40B4-BE49-F238E27FC236}">
              <a16:creationId xmlns:a16="http://schemas.microsoft.com/office/drawing/2014/main" id="{00000000-0008-0000-0600-00002F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706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563</xdr:row>
      <xdr:rowOff>0</xdr:rowOff>
    </xdr:from>
    <xdr:ext cx="152400" cy="152400"/>
    <xdr:pic>
      <xdr:nvPicPr>
        <xdr:cNvPr id="560" name="Picture 559" descr="View +[@$5F&amp;!2\]">
          <a:extLst>
            <a:ext uri="{FF2B5EF4-FFF2-40B4-BE49-F238E27FC236}">
              <a16:creationId xmlns:a16="http://schemas.microsoft.com/office/drawing/2014/main" id="{00000000-0008-0000-0600-00003002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0725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564</xdr:row>
      <xdr:rowOff>0</xdr:rowOff>
    </xdr:from>
    <xdr:ext cx="152400" cy="152400"/>
    <xdr:pic>
      <xdr:nvPicPr>
        <xdr:cNvPr id="561" name="Picture 560" descr="Category +[@$5F&amp;!2]]">
          <a:extLst>
            <a:ext uri="{FF2B5EF4-FFF2-40B4-BE49-F238E27FC236}">
              <a16:creationId xmlns:a16="http://schemas.microsoft.com/office/drawing/2014/main" id="{00000000-0008-0000-0600-000031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0744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565</xdr:row>
      <xdr:rowOff>0</xdr:rowOff>
    </xdr:from>
    <xdr:ext cx="152400" cy="152400"/>
    <xdr:pic>
      <xdr:nvPicPr>
        <xdr:cNvPr id="562" name="Picture 561" descr="Weakness Variant +[@$5F&amp;!2^]">
          <a:extLst>
            <a:ext uri="{FF2B5EF4-FFF2-40B4-BE49-F238E27FC236}">
              <a16:creationId xmlns:a16="http://schemas.microsoft.com/office/drawing/2014/main" id="{00000000-0008-0000-0600-000032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763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566</xdr:row>
      <xdr:rowOff>0</xdr:rowOff>
    </xdr:from>
    <xdr:ext cx="152400" cy="152400"/>
    <xdr:pic>
      <xdr:nvPicPr>
        <xdr:cNvPr id="563" name="Picture 562" descr="Weakness Base +[@$5F&amp;!2_]">
          <a:extLst>
            <a:ext uri="{FF2B5EF4-FFF2-40B4-BE49-F238E27FC236}">
              <a16:creationId xmlns:a16="http://schemas.microsoft.com/office/drawing/2014/main" id="{00000000-0008-0000-0600-00003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782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567</xdr:row>
      <xdr:rowOff>0</xdr:rowOff>
    </xdr:from>
    <xdr:ext cx="152400" cy="152400"/>
    <xdr:pic>
      <xdr:nvPicPr>
        <xdr:cNvPr id="564" name="Picture 563" descr="Weakness Base +[@$5F&amp;!2`]">
          <a:extLst>
            <a:ext uri="{FF2B5EF4-FFF2-40B4-BE49-F238E27FC236}">
              <a16:creationId xmlns:a16="http://schemas.microsoft.com/office/drawing/2014/main" id="{00000000-0008-0000-0600-00003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801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568</xdr:row>
      <xdr:rowOff>0</xdr:rowOff>
    </xdr:from>
    <xdr:ext cx="152400" cy="152400"/>
    <xdr:pic>
      <xdr:nvPicPr>
        <xdr:cNvPr id="565" name="Picture 564" descr="Weakness Class +[@$5F&amp;!2a]">
          <a:extLst>
            <a:ext uri="{FF2B5EF4-FFF2-40B4-BE49-F238E27FC236}">
              <a16:creationId xmlns:a16="http://schemas.microsoft.com/office/drawing/2014/main" id="{00000000-0008-0000-0600-000035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0820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569</xdr:row>
      <xdr:rowOff>0</xdr:rowOff>
    </xdr:from>
    <xdr:ext cx="152400" cy="152400"/>
    <xdr:pic>
      <xdr:nvPicPr>
        <xdr:cNvPr id="566" name="Picture 565" descr="Weakness Variant +[@$5F&amp;!2b]">
          <a:extLst>
            <a:ext uri="{FF2B5EF4-FFF2-40B4-BE49-F238E27FC236}">
              <a16:creationId xmlns:a16="http://schemas.microsoft.com/office/drawing/2014/main" id="{00000000-0008-0000-0600-000036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839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570</xdr:row>
      <xdr:rowOff>0</xdr:rowOff>
    </xdr:from>
    <xdr:ext cx="152400" cy="152400"/>
    <xdr:pic>
      <xdr:nvPicPr>
        <xdr:cNvPr id="567" name="Picture 566" descr="Weakness Class +[@$5F&amp;!2c]">
          <a:extLst>
            <a:ext uri="{FF2B5EF4-FFF2-40B4-BE49-F238E27FC236}">
              <a16:creationId xmlns:a16="http://schemas.microsoft.com/office/drawing/2014/main" id="{00000000-0008-0000-0600-000037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0858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571</xdr:row>
      <xdr:rowOff>0</xdr:rowOff>
    </xdr:from>
    <xdr:ext cx="152400" cy="152400"/>
    <xdr:pic>
      <xdr:nvPicPr>
        <xdr:cNvPr id="568" name="Picture 567" descr="Weakness Variant +[@$5F&amp;!2d]">
          <a:extLst>
            <a:ext uri="{FF2B5EF4-FFF2-40B4-BE49-F238E27FC236}">
              <a16:creationId xmlns:a16="http://schemas.microsoft.com/office/drawing/2014/main" id="{00000000-0008-0000-0600-000038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877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572</xdr:row>
      <xdr:rowOff>0</xdr:rowOff>
    </xdr:from>
    <xdr:ext cx="152400" cy="152400"/>
    <xdr:pic>
      <xdr:nvPicPr>
        <xdr:cNvPr id="569" name="Picture 568" descr="Weakness Variant +[@$5F&amp;!2e]">
          <a:extLst>
            <a:ext uri="{FF2B5EF4-FFF2-40B4-BE49-F238E27FC236}">
              <a16:creationId xmlns:a16="http://schemas.microsoft.com/office/drawing/2014/main" id="{00000000-0008-0000-0600-000039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896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573</xdr:row>
      <xdr:rowOff>0</xdr:rowOff>
    </xdr:from>
    <xdr:ext cx="152400" cy="152400"/>
    <xdr:pic>
      <xdr:nvPicPr>
        <xdr:cNvPr id="570" name="Picture 569" descr="Weakness Base +[@$5F&amp;!2f]">
          <a:extLst>
            <a:ext uri="{FF2B5EF4-FFF2-40B4-BE49-F238E27FC236}">
              <a16:creationId xmlns:a16="http://schemas.microsoft.com/office/drawing/2014/main" id="{00000000-0008-0000-0600-00003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915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574</xdr:row>
      <xdr:rowOff>0</xdr:rowOff>
    </xdr:from>
    <xdr:ext cx="152400" cy="152400"/>
    <xdr:pic>
      <xdr:nvPicPr>
        <xdr:cNvPr id="571" name="Picture 570" descr="Category +[@$5F&amp;!2g]">
          <a:extLst>
            <a:ext uri="{FF2B5EF4-FFF2-40B4-BE49-F238E27FC236}">
              <a16:creationId xmlns:a16="http://schemas.microsoft.com/office/drawing/2014/main" id="{00000000-0008-0000-0600-00003B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0934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575</xdr:row>
      <xdr:rowOff>0</xdr:rowOff>
    </xdr:from>
    <xdr:ext cx="152400" cy="152400"/>
    <xdr:pic>
      <xdr:nvPicPr>
        <xdr:cNvPr id="572" name="Picture 571" descr="Weakness Base +[@$5F&amp;!2h]">
          <a:extLst>
            <a:ext uri="{FF2B5EF4-FFF2-40B4-BE49-F238E27FC236}">
              <a16:creationId xmlns:a16="http://schemas.microsoft.com/office/drawing/2014/main" id="{00000000-0008-0000-0600-00003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953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576</xdr:row>
      <xdr:rowOff>0</xdr:rowOff>
    </xdr:from>
    <xdr:ext cx="152400" cy="152400"/>
    <xdr:pic>
      <xdr:nvPicPr>
        <xdr:cNvPr id="573" name="Picture 572" descr="Weakness Base +[@$5F&amp;!2i]">
          <a:extLst>
            <a:ext uri="{FF2B5EF4-FFF2-40B4-BE49-F238E27FC236}">
              <a16:creationId xmlns:a16="http://schemas.microsoft.com/office/drawing/2014/main" id="{00000000-0008-0000-0600-00003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972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577</xdr:row>
      <xdr:rowOff>0</xdr:rowOff>
    </xdr:from>
    <xdr:ext cx="152400" cy="152400"/>
    <xdr:pic>
      <xdr:nvPicPr>
        <xdr:cNvPr id="574" name="Picture 573" descr="Weakness Base +[@$5F&amp;!2j]">
          <a:extLst>
            <a:ext uri="{FF2B5EF4-FFF2-40B4-BE49-F238E27FC236}">
              <a16:creationId xmlns:a16="http://schemas.microsoft.com/office/drawing/2014/main" id="{00000000-0008-0000-0600-00003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991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578</xdr:row>
      <xdr:rowOff>0</xdr:rowOff>
    </xdr:from>
    <xdr:ext cx="152400" cy="152400"/>
    <xdr:pic>
      <xdr:nvPicPr>
        <xdr:cNvPr id="575" name="Picture 574" descr="Weakness Base +[@$5F&amp;!2k]">
          <a:extLst>
            <a:ext uri="{FF2B5EF4-FFF2-40B4-BE49-F238E27FC236}">
              <a16:creationId xmlns:a16="http://schemas.microsoft.com/office/drawing/2014/main" id="{00000000-0008-0000-0600-00003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010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579</xdr:row>
      <xdr:rowOff>0</xdr:rowOff>
    </xdr:from>
    <xdr:ext cx="152400" cy="152400"/>
    <xdr:pic>
      <xdr:nvPicPr>
        <xdr:cNvPr id="576" name="Picture 575" descr="Weakness Base +[@$5F&amp;!2l]">
          <a:extLst>
            <a:ext uri="{FF2B5EF4-FFF2-40B4-BE49-F238E27FC236}">
              <a16:creationId xmlns:a16="http://schemas.microsoft.com/office/drawing/2014/main" id="{00000000-0008-0000-0600-00004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029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580</xdr:row>
      <xdr:rowOff>0</xdr:rowOff>
    </xdr:from>
    <xdr:ext cx="152400" cy="152400"/>
    <xdr:pic>
      <xdr:nvPicPr>
        <xdr:cNvPr id="577" name="Picture 576" descr="Weakness Base +[@$5F&amp;!2m]">
          <a:extLst>
            <a:ext uri="{FF2B5EF4-FFF2-40B4-BE49-F238E27FC236}">
              <a16:creationId xmlns:a16="http://schemas.microsoft.com/office/drawing/2014/main" id="{00000000-0008-0000-0600-00004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049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581</xdr:row>
      <xdr:rowOff>0</xdr:rowOff>
    </xdr:from>
    <xdr:ext cx="152400" cy="152400"/>
    <xdr:pic>
      <xdr:nvPicPr>
        <xdr:cNvPr id="578" name="Picture 577" descr="Category +[@$5F&amp;!2n]">
          <a:extLst>
            <a:ext uri="{FF2B5EF4-FFF2-40B4-BE49-F238E27FC236}">
              <a16:creationId xmlns:a16="http://schemas.microsoft.com/office/drawing/2014/main" id="{00000000-0008-0000-0600-00004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068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582</xdr:row>
      <xdr:rowOff>0</xdr:rowOff>
    </xdr:from>
    <xdr:ext cx="152400" cy="152400"/>
    <xdr:pic>
      <xdr:nvPicPr>
        <xdr:cNvPr id="579" name="Picture 578" descr="Category +[@$5F&amp;!2o]">
          <a:extLst>
            <a:ext uri="{FF2B5EF4-FFF2-40B4-BE49-F238E27FC236}">
              <a16:creationId xmlns:a16="http://schemas.microsoft.com/office/drawing/2014/main" id="{00000000-0008-0000-0600-000043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087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583</xdr:row>
      <xdr:rowOff>0</xdr:rowOff>
    </xdr:from>
    <xdr:ext cx="152400" cy="152400"/>
    <xdr:pic>
      <xdr:nvPicPr>
        <xdr:cNvPr id="580" name="Picture 579" descr="Weakness Base +[@$5F&amp;!2p]">
          <a:extLst>
            <a:ext uri="{FF2B5EF4-FFF2-40B4-BE49-F238E27FC236}">
              <a16:creationId xmlns:a16="http://schemas.microsoft.com/office/drawing/2014/main" id="{00000000-0008-0000-0600-00004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106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584</xdr:row>
      <xdr:rowOff>0</xdr:rowOff>
    </xdr:from>
    <xdr:ext cx="152400" cy="152400"/>
    <xdr:pic>
      <xdr:nvPicPr>
        <xdr:cNvPr id="581" name="Picture 580" descr="Weakness Base +[@$5F&amp;!2q]">
          <a:extLst>
            <a:ext uri="{FF2B5EF4-FFF2-40B4-BE49-F238E27FC236}">
              <a16:creationId xmlns:a16="http://schemas.microsoft.com/office/drawing/2014/main" id="{00000000-0008-0000-0600-00004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125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585</xdr:row>
      <xdr:rowOff>0</xdr:rowOff>
    </xdr:from>
    <xdr:ext cx="152400" cy="152400"/>
    <xdr:pic>
      <xdr:nvPicPr>
        <xdr:cNvPr id="582" name="Picture 581" descr="Weakness Variant +[@$5F&amp;!2r]">
          <a:extLst>
            <a:ext uri="{FF2B5EF4-FFF2-40B4-BE49-F238E27FC236}">
              <a16:creationId xmlns:a16="http://schemas.microsoft.com/office/drawing/2014/main" id="{00000000-0008-0000-0600-000046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1144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586</xdr:row>
      <xdr:rowOff>0</xdr:rowOff>
    </xdr:from>
    <xdr:ext cx="152400" cy="152400"/>
    <xdr:pic>
      <xdr:nvPicPr>
        <xdr:cNvPr id="583" name="Picture 582" descr="Weakness Base +[@$5F&amp;!2s]">
          <a:extLst>
            <a:ext uri="{FF2B5EF4-FFF2-40B4-BE49-F238E27FC236}">
              <a16:creationId xmlns:a16="http://schemas.microsoft.com/office/drawing/2014/main" id="{00000000-0008-0000-0600-00004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163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587</xdr:row>
      <xdr:rowOff>0</xdr:rowOff>
    </xdr:from>
    <xdr:ext cx="152400" cy="152400"/>
    <xdr:pic>
      <xdr:nvPicPr>
        <xdr:cNvPr id="584" name="Picture 583" descr="Weakness Variant +[@$5F&amp;!2t]">
          <a:extLst>
            <a:ext uri="{FF2B5EF4-FFF2-40B4-BE49-F238E27FC236}">
              <a16:creationId xmlns:a16="http://schemas.microsoft.com/office/drawing/2014/main" id="{00000000-0008-0000-0600-000048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1182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588</xdr:row>
      <xdr:rowOff>0</xdr:rowOff>
    </xdr:from>
    <xdr:ext cx="152400" cy="152400"/>
    <xdr:pic>
      <xdr:nvPicPr>
        <xdr:cNvPr id="585" name="Picture 584" descr="Weakness Variant +[@$5F&amp;!2u]">
          <a:extLst>
            <a:ext uri="{FF2B5EF4-FFF2-40B4-BE49-F238E27FC236}">
              <a16:creationId xmlns:a16="http://schemas.microsoft.com/office/drawing/2014/main" id="{00000000-0008-0000-0600-000049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1201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589</xdr:row>
      <xdr:rowOff>0</xdr:rowOff>
    </xdr:from>
    <xdr:ext cx="152400" cy="152400"/>
    <xdr:pic>
      <xdr:nvPicPr>
        <xdr:cNvPr id="586" name="Picture 585" descr="Weakness Base +[@$5F&amp;!2v]">
          <a:extLst>
            <a:ext uri="{FF2B5EF4-FFF2-40B4-BE49-F238E27FC236}">
              <a16:creationId xmlns:a16="http://schemas.microsoft.com/office/drawing/2014/main" id="{00000000-0008-0000-0600-00004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220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590</xdr:row>
      <xdr:rowOff>0</xdr:rowOff>
    </xdr:from>
    <xdr:ext cx="152400" cy="152400"/>
    <xdr:pic>
      <xdr:nvPicPr>
        <xdr:cNvPr id="587" name="Picture 586" descr="Weakness Base +[@$5F&amp;!2w]">
          <a:extLst>
            <a:ext uri="{FF2B5EF4-FFF2-40B4-BE49-F238E27FC236}">
              <a16:creationId xmlns:a16="http://schemas.microsoft.com/office/drawing/2014/main" id="{00000000-0008-0000-0600-00004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239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591</xdr:row>
      <xdr:rowOff>0</xdr:rowOff>
    </xdr:from>
    <xdr:ext cx="152400" cy="152400"/>
    <xdr:pic>
      <xdr:nvPicPr>
        <xdr:cNvPr id="588" name="Picture 587" descr="Weakness Variant +[@$5F&amp;!2x]">
          <a:extLst>
            <a:ext uri="{FF2B5EF4-FFF2-40B4-BE49-F238E27FC236}">
              <a16:creationId xmlns:a16="http://schemas.microsoft.com/office/drawing/2014/main" id="{00000000-0008-0000-0600-00004C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1258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592</xdr:row>
      <xdr:rowOff>0</xdr:rowOff>
    </xdr:from>
    <xdr:ext cx="152400" cy="152400"/>
    <xdr:pic>
      <xdr:nvPicPr>
        <xdr:cNvPr id="589" name="Picture 588" descr="Weakness Base +[@$5F&amp;!2y]">
          <a:extLst>
            <a:ext uri="{FF2B5EF4-FFF2-40B4-BE49-F238E27FC236}">
              <a16:creationId xmlns:a16="http://schemas.microsoft.com/office/drawing/2014/main" id="{00000000-0008-0000-0600-00004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277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593</xdr:row>
      <xdr:rowOff>0</xdr:rowOff>
    </xdr:from>
    <xdr:ext cx="152400" cy="152400"/>
    <xdr:pic>
      <xdr:nvPicPr>
        <xdr:cNvPr id="590" name="Picture 589" descr="Category +[@$5F&amp;!2z]">
          <a:extLst>
            <a:ext uri="{FF2B5EF4-FFF2-40B4-BE49-F238E27FC236}">
              <a16:creationId xmlns:a16="http://schemas.microsoft.com/office/drawing/2014/main" id="{00000000-0008-0000-0600-00004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296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594</xdr:row>
      <xdr:rowOff>0</xdr:rowOff>
    </xdr:from>
    <xdr:ext cx="152400" cy="152400"/>
    <xdr:pic>
      <xdr:nvPicPr>
        <xdr:cNvPr id="591" name="Picture 590" descr="Weakness Base +[@$5F&amp;!2{]">
          <a:extLst>
            <a:ext uri="{FF2B5EF4-FFF2-40B4-BE49-F238E27FC236}">
              <a16:creationId xmlns:a16="http://schemas.microsoft.com/office/drawing/2014/main" id="{00000000-0008-0000-0600-00004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315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595</xdr:row>
      <xdr:rowOff>0</xdr:rowOff>
    </xdr:from>
    <xdr:ext cx="152400" cy="152400"/>
    <xdr:pic>
      <xdr:nvPicPr>
        <xdr:cNvPr id="592" name="Picture 591" descr="Weakness Base +[@$5F&amp;!2|]">
          <a:extLst>
            <a:ext uri="{FF2B5EF4-FFF2-40B4-BE49-F238E27FC236}">
              <a16:creationId xmlns:a16="http://schemas.microsoft.com/office/drawing/2014/main" id="{00000000-0008-0000-0600-00005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334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596</xdr:row>
      <xdr:rowOff>0</xdr:rowOff>
    </xdr:from>
    <xdr:ext cx="152400" cy="152400"/>
    <xdr:pic>
      <xdr:nvPicPr>
        <xdr:cNvPr id="593" name="Picture 592" descr="Weakness Base +[@$5F&amp;!2}]">
          <a:extLst>
            <a:ext uri="{FF2B5EF4-FFF2-40B4-BE49-F238E27FC236}">
              <a16:creationId xmlns:a16="http://schemas.microsoft.com/office/drawing/2014/main" id="{00000000-0008-0000-0600-00005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353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597</xdr:row>
      <xdr:rowOff>0</xdr:rowOff>
    </xdr:from>
    <xdr:ext cx="152400" cy="152400"/>
    <xdr:pic>
      <xdr:nvPicPr>
        <xdr:cNvPr id="594" name="Picture 593" descr="Weakness Base +[@$5F&amp;!2~]">
          <a:extLst>
            <a:ext uri="{FF2B5EF4-FFF2-40B4-BE49-F238E27FC236}">
              <a16:creationId xmlns:a16="http://schemas.microsoft.com/office/drawing/2014/main" id="{00000000-0008-0000-0600-00005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372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598</xdr:row>
      <xdr:rowOff>0</xdr:rowOff>
    </xdr:from>
    <xdr:ext cx="152400" cy="152400"/>
    <xdr:pic>
      <xdr:nvPicPr>
        <xdr:cNvPr id="595" name="Picture 594" descr="Category +[@$5F&amp;!3#]">
          <a:extLst>
            <a:ext uri="{FF2B5EF4-FFF2-40B4-BE49-F238E27FC236}">
              <a16:creationId xmlns:a16="http://schemas.microsoft.com/office/drawing/2014/main" id="{00000000-0008-0000-0600-000053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391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599</xdr:row>
      <xdr:rowOff>0</xdr:rowOff>
    </xdr:from>
    <xdr:ext cx="152400" cy="152400"/>
    <xdr:pic>
      <xdr:nvPicPr>
        <xdr:cNvPr id="596" name="Picture 595" descr="Category +[@$5F&amp;!3$]">
          <a:extLst>
            <a:ext uri="{FF2B5EF4-FFF2-40B4-BE49-F238E27FC236}">
              <a16:creationId xmlns:a16="http://schemas.microsoft.com/office/drawing/2014/main" id="{00000000-0008-0000-0600-00005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410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600</xdr:row>
      <xdr:rowOff>0</xdr:rowOff>
    </xdr:from>
    <xdr:ext cx="152400" cy="152400"/>
    <xdr:pic>
      <xdr:nvPicPr>
        <xdr:cNvPr id="597" name="Picture 596" descr="Category +[@$5F&amp;!3%]">
          <a:extLst>
            <a:ext uri="{FF2B5EF4-FFF2-40B4-BE49-F238E27FC236}">
              <a16:creationId xmlns:a16="http://schemas.microsoft.com/office/drawing/2014/main" id="{00000000-0008-0000-0600-000055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430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601</xdr:row>
      <xdr:rowOff>0</xdr:rowOff>
    </xdr:from>
    <xdr:ext cx="152400" cy="152400"/>
    <xdr:pic>
      <xdr:nvPicPr>
        <xdr:cNvPr id="598" name="Picture 597" descr="Category +[@$5F&amp;!3&amp;]">
          <a:extLst>
            <a:ext uri="{FF2B5EF4-FFF2-40B4-BE49-F238E27FC236}">
              <a16:creationId xmlns:a16="http://schemas.microsoft.com/office/drawing/2014/main" id="{00000000-0008-0000-0600-00005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449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602</xdr:row>
      <xdr:rowOff>0</xdr:rowOff>
    </xdr:from>
    <xdr:ext cx="152400" cy="152400"/>
    <xdr:pic>
      <xdr:nvPicPr>
        <xdr:cNvPr id="599" name="Picture 598" descr="Category +[@$5F&amp;!3']">
          <a:extLst>
            <a:ext uri="{FF2B5EF4-FFF2-40B4-BE49-F238E27FC236}">
              <a16:creationId xmlns:a16="http://schemas.microsoft.com/office/drawing/2014/main" id="{00000000-0008-0000-0600-000057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468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603</xdr:row>
      <xdr:rowOff>0</xdr:rowOff>
    </xdr:from>
    <xdr:ext cx="152400" cy="152400"/>
    <xdr:pic>
      <xdr:nvPicPr>
        <xdr:cNvPr id="600" name="Picture 599" descr="Category +[@$5F&amp;!3(]">
          <a:extLst>
            <a:ext uri="{FF2B5EF4-FFF2-40B4-BE49-F238E27FC236}">
              <a16:creationId xmlns:a16="http://schemas.microsoft.com/office/drawing/2014/main" id="{00000000-0008-0000-0600-00005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487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604</xdr:row>
      <xdr:rowOff>0</xdr:rowOff>
    </xdr:from>
    <xdr:ext cx="152400" cy="152400"/>
    <xdr:pic>
      <xdr:nvPicPr>
        <xdr:cNvPr id="601" name="Picture 600" descr="Category +[@$5F&amp;!3)]">
          <a:extLst>
            <a:ext uri="{FF2B5EF4-FFF2-40B4-BE49-F238E27FC236}">
              <a16:creationId xmlns:a16="http://schemas.microsoft.com/office/drawing/2014/main" id="{00000000-0008-0000-0600-000059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506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605</xdr:row>
      <xdr:rowOff>0</xdr:rowOff>
    </xdr:from>
    <xdr:ext cx="152400" cy="152400"/>
    <xdr:pic>
      <xdr:nvPicPr>
        <xdr:cNvPr id="602" name="Picture 601" descr="Category +[@$5F&amp;!3.]">
          <a:extLst>
            <a:ext uri="{FF2B5EF4-FFF2-40B4-BE49-F238E27FC236}">
              <a16:creationId xmlns:a16="http://schemas.microsoft.com/office/drawing/2014/main" id="{00000000-0008-0000-0600-00005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525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606</xdr:row>
      <xdr:rowOff>0</xdr:rowOff>
    </xdr:from>
    <xdr:ext cx="152400" cy="152400"/>
    <xdr:pic>
      <xdr:nvPicPr>
        <xdr:cNvPr id="603" name="Picture 602" descr="Category +[@$5F&amp;!3/]">
          <a:extLst>
            <a:ext uri="{FF2B5EF4-FFF2-40B4-BE49-F238E27FC236}">
              <a16:creationId xmlns:a16="http://schemas.microsoft.com/office/drawing/2014/main" id="{00000000-0008-0000-0600-00005B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544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607</xdr:row>
      <xdr:rowOff>0</xdr:rowOff>
    </xdr:from>
    <xdr:ext cx="152400" cy="152400"/>
    <xdr:pic>
      <xdr:nvPicPr>
        <xdr:cNvPr id="604" name="Picture 603" descr="Category +[@$5F&amp;!30]">
          <a:extLst>
            <a:ext uri="{FF2B5EF4-FFF2-40B4-BE49-F238E27FC236}">
              <a16:creationId xmlns:a16="http://schemas.microsoft.com/office/drawing/2014/main" id="{00000000-0008-0000-0600-00005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563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608</xdr:row>
      <xdr:rowOff>0</xdr:rowOff>
    </xdr:from>
    <xdr:ext cx="152400" cy="152400"/>
    <xdr:pic>
      <xdr:nvPicPr>
        <xdr:cNvPr id="605" name="Picture 604" descr="Category +[@$5F&amp;!31]">
          <a:extLst>
            <a:ext uri="{FF2B5EF4-FFF2-40B4-BE49-F238E27FC236}">
              <a16:creationId xmlns:a16="http://schemas.microsoft.com/office/drawing/2014/main" id="{00000000-0008-0000-0600-00005D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582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609</xdr:row>
      <xdr:rowOff>0</xdr:rowOff>
    </xdr:from>
    <xdr:ext cx="152400" cy="152400"/>
    <xdr:pic>
      <xdr:nvPicPr>
        <xdr:cNvPr id="606" name="Picture 605" descr="Category +[@$5F&amp;!32]">
          <a:extLst>
            <a:ext uri="{FF2B5EF4-FFF2-40B4-BE49-F238E27FC236}">
              <a16:creationId xmlns:a16="http://schemas.microsoft.com/office/drawing/2014/main" id="{00000000-0008-0000-0600-00005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601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610</xdr:row>
      <xdr:rowOff>0</xdr:rowOff>
    </xdr:from>
    <xdr:ext cx="152400" cy="152400"/>
    <xdr:pic>
      <xdr:nvPicPr>
        <xdr:cNvPr id="607" name="Picture 606" descr="Category +[@$5F&amp;!33]">
          <a:extLst>
            <a:ext uri="{FF2B5EF4-FFF2-40B4-BE49-F238E27FC236}">
              <a16:creationId xmlns:a16="http://schemas.microsoft.com/office/drawing/2014/main" id="{00000000-0008-0000-0600-00005F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620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611</xdr:row>
      <xdr:rowOff>0</xdr:rowOff>
    </xdr:from>
    <xdr:ext cx="152400" cy="152400"/>
    <xdr:pic>
      <xdr:nvPicPr>
        <xdr:cNvPr id="608" name="Picture 607" descr="Category +[@$5F&amp;!34]">
          <a:extLst>
            <a:ext uri="{FF2B5EF4-FFF2-40B4-BE49-F238E27FC236}">
              <a16:creationId xmlns:a16="http://schemas.microsoft.com/office/drawing/2014/main" id="{00000000-0008-0000-0600-00006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639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612</xdr:row>
      <xdr:rowOff>0</xdr:rowOff>
    </xdr:from>
    <xdr:ext cx="152400" cy="152400"/>
    <xdr:pic>
      <xdr:nvPicPr>
        <xdr:cNvPr id="609" name="Picture 608" descr="Category +[@$5F&amp;!35]">
          <a:extLst>
            <a:ext uri="{FF2B5EF4-FFF2-40B4-BE49-F238E27FC236}">
              <a16:creationId xmlns:a16="http://schemas.microsoft.com/office/drawing/2014/main" id="{00000000-0008-0000-0600-000061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658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613</xdr:row>
      <xdr:rowOff>0</xdr:rowOff>
    </xdr:from>
    <xdr:ext cx="152400" cy="152400"/>
    <xdr:pic>
      <xdr:nvPicPr>
        <xdr:cNvPr id="610" name="Picture 609" descr="Category +[@$5F&amp;!36]">
          <a:extLst>
            <a:ext uri="{FF2B5EF4-FFF2-40B4-BE49-F238E27FC236}">
              <a16:creationId xmlns:a16="http://schemas.microsoft.com/office/drawing/2014/main" id="{00000000-0008-0000-0600-00006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677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614</xdr:row>
      <xdr:rowOff>0</xdr:rowOff>
    </xdr:from>
    <xdr:ext cx="152400" cy="152400"/>
    <xdr:pic>
      <xdr:nvPicPr>
        <xdr:cNvPr id="611" name="Picture 610" descr="Category +[@$5F&amp;!37]">
          <a:extLst>
            <a:ext uri="{FF2B5EF4-FFF2-40B4-BE49-F238E27FC236}">
              <a16:creationId xmlns:a16="http://schemas.microsoft.com/office/drawing/2014/main" id="{00000000-0008-0000-0600-000063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696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615</xdr:row>
      <xdr:rowOff>0</xdr:rowOff>
    </xdr:from>
    <xdr:ext cx="152400" cy="152400"/>
    <xdr:pic>
      <xdr:nvPicPr>
        <xdr:cNvPr id="612" name="Picture 611" descr="Category +[@$5F&amp;!38]">
          <a:extLst>
            <a:ext uri="{FF2B5EF4-FFF2-40B4-BE49-F238E27FC236}">
              <a16:creationId xmlns:a16="http://schemas.microsoft.com/office/drawing/2014/main" id="{00000000-0008-0000-0600-00006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715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616</xdr:row>
      <xdr:rowOff>0</xdr:rowOff>
    </xdr:from>
    <xdr:ext cx="152400" cy="152400"/>
    <xdr:pic>
      <xdr:nvPicPr>
        <xdr:cNvPr id="613" name="Picture 612" descr="Category +[@$5F&amp;!39]">
          <a:extLst>
            <a:ext uri="{FF2B5EF4-FFF2-40B4-BE49-F238E27FC236}">
              <a16:creationId xmlns:a16="http://schemas.microsoft.com/office/drawing/2014/main" id="{00000000-0008-0000-0600-000065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734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617</xdr:row>
      <xdr:rowOff>0</xdr:rowOff>
    </xdr:from>
    <xdr:ext cx="152400" cy="152400"/>
    <xdr:pic>
      <xdr:nvPicPr>
        <xdr:cNvPr id="614" name="Picture 613" descr="Category +[@$5F&amp;!3:]">
          <a:extLst>
            <a:ext uri="{FF2B5EF4-FFF2-40B4-BE49-F238E27FC236}">
              <a16:creationId xmlns:a16="http://schemas.microsoft.com/office/drawing/2014/main" id="{00000000-0008-0000-0600-00006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753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618</xdr:row>
      <xdr:rowOff>0</xdr:rowOff>
    </xdr:from>
    <xdr:ext cx="152400" cy="152400"/>
    <xdr:pic>
      <xdr:nvPicPr>
        <xdr:cNvPr id="615" name="Picture 614" descr="Category +[@$5F&amp;!3;]">
          <a:extLst>
            <a:ext uri="{FF2B5EF4-FFF2-40B4-BE49-F238E27FC236}">
              <a16:creationId xmlns:a16="http://schemas.microsoft.com/office/drawing/2014/main" id="{00000000-0008-0000-0600-000067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772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619</xdr:row>
      <xdr:rowOff>0</xdr:rowOff>
    </xdr:from>
    <xdr:ext cx="152400" cy="152400"/>
    <xdr:pic>
      <xdr:nvPicPr>
        <xdr:cNvPr id="616" name="Picture 615" descr="Category +[@$5F&amp;!3&lt;]">
          <a:extLst>
            <a:ext uri="{FF2B5EF4-FFF2-40B4-BE49-F238E27FC236}">
              <a16:creationId xmlns:a16="http://schemas.microsoft.com/office/drawing/2014/main" id="{00000000-0008-0000-0600-00006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791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620</xdr:row>
      <xdr:rowOff>0</xdr:rowOff>
    </xdr:from>
    <xdr:ext cx="152400" cy="152400"/>
    <xdr:pic>
      <xdr:nvPicPr>
        <xdr:cNvPr id="617" name="Picture 616" descr="Category +[@$5F&amp;!3=]">
          <a:extLst>
            <a:ext uri="{FF2B5EF4-FFF2-40B4-BE49-F238E27FC236}">
              <a16:creationId xmlns:a16="http://schemas.microsoft.com/office/drawing/2014/main" id="{00000000-0008-0000-0600-000069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811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621</xdr:row>
      <xdr:rowOff>0</xdr:rowOff>
    </xdr:from>
    <xdr:ext cx="152400" cy="152400"/>
    <xdr:pic>
      <xdr:nvPicPr>
        <xdr:cNvPr id="618" name="Picture 617" descr="Category +[@$5F&amp;!3&gt;]">
          <a:extLst>
            <a:ext uri="{FF2B5EF4-FFF2-40B4-BE49-F238E27FC236}">
              <a16:creationId xmlns:a16="http://schemas.microsoft.com/office/drawing/2014/main" id="{00000000-0008-0000-0600-00006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830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622</xdr:row>
      <xdr:rowOff>0</xdr:rowOff>
    </xdr:from>
    <xdr:ext cx="152400" cy="152400"/>
    <xdr:pic>
      <xdr:nvPicPr>
        <xdr:cNvPr id="619" name="Picture 618" descr="Category +[@$5F&amp;!3?]">
          <a:extLst>
            <a:ext uri="{FF2B5EF4-FFF2-40B4-BE49-F238E27FC236}">
              <a16:creationId xmlns:a16="http://schemas.microsoft.com/office/drawing/2014/main" id="{00000000-0008-0000-0600-00006B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849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623</xdr:row>
      <xdr:rowOff>0</xdr:rowOff>
    </xdr:from>
    <xdr:ext cx="152400" cy="152400"/>
    <xdr:pic>
      <xdr:nvPicPr>
        <xdr:cNvPr id="620" name="Picture 619" descr="Category +[@$5F&amp;!3@]">
          <a:extLst>
            <a:ext uri="{FF2B5EF4-FFF2-40B4-BE49-F238E27FC236}">
              <a16:creationId xmlns:a16="http://schemas.microsoft.com/office/drawing/2014/main" id="{00000000-0008-0000-0600-00006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868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624</xdr:row>
      <xdr:rowOff>0</xdr:rowOff>
    </xdr:from>
    <xdr:ext cx="152400" cy="152400"/>
    <xdr:pic>
      <xdr:nvPicPr>
        <xdr:cNvPr id="621" name="Picture 620" descr="Category +[@$5F&amp;!3A]">
          <a:extLst>
            <a:ext uri="{FF2B5EF4-FFF2-40B4-BE49-F238E27FC236}">
              <a16:creationId xmlns:a16="http://schemas.microsoft.com/office/drawing/2014/main" id="{00000000-0008-0000-0600-00006D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887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625</xdr:row>
      <xdr:rowOff>0</xdr:rowOff>
    </xdr:from>
    <xdr:ext cx="152400" cy="152400"/>
    <xdr:pic>
      <xdr:nvPicPr>
        <xdr:cNvPr id="622" name="Picture 621" descr="Category +[@$5F&amp;!3B]">
          <a:extLst>
            <a:ext uri="{FF2B5EF4-FFF2-40B4-BE49-F238E27FC236}">
              <a16:creationId xmlns:a16="http://schemas.microsoft.com/office/drawing/2014/main" id="{00000000-0008-0000-0600-00006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906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626</xdr:row>
      <xdr:rowOff>0</xdr:rowOff>
    </xdr:from>
    <xdr:ext cx="152400" cy="152400"/>
    <xdr:pic>
      <xdr:nvPicPr>
        <xdr:cNvPr id="623" name="Picture 622" descr="Category +[@$5F&amp;!3C]">
          <a:extLst>
            <a:ext uri="{FF2B5EF4-FFF2-40B4-BE49-F238E27FC236}">
              <a16:creationId xmlns:a16="http://schemas.microsoft.com/office/drawing/2014/main" id="{00000000-0008-0000-0600-00006F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925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627</xdr:row>
      <xdr:rowOff>0</xdr:rowOff>
    </xdr:from>
    <xdr:ext cx="152400" cy="152400"/>
    <xdr:pic>
      <xdr:nvPicPr>
        <xdr:cNvPr id="624" name="Picture 623" descr="Category +[@$5F&amp;!3D]">
          <a:extLst>
            <a:ext uri="{FF2B5EF4-FFF2-40B4-BE49-F238E27FC236}">
              <a16:creationId xmlns:a16="http://schemas.microsoft.com/office/drawing/2014/main" id="{00000000-0008-0000-0600-00007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944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628</xdr:row>
      <xdr:rowOff>0</xdr:rowOff>
    </xdr:from>
    <xdr:ext cx="152400" cy="152400"/>
    <xdr:pic>
      <xdr:nvPicPr>
        <xdr:cNvPr id="625" name="Picture 624" descr="Category +[@$5F&amp;!3E]">
          <a:extLst>
            <a:ext uri="{FF2B5EF4-FFF2-40B4-BE49-F238E27FC236}">
              <a16:creationId xmlns:a16="http://schemas.microsoft.com/office/drawing/2014/main" id="{00000000-0008-0000-0600-000071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963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629</xdr:row>
      <xdr:rowOff>0</xdr:rowOff>
    </xdr:from>
    <xdr:ext cx="152400" cy="152400"/>
    <xdr:pic>
      <xdr:nvPicPr>
        <xdr:cNvPr id="626" name="Picture 625" descr="Category +[@$5F&amp;!3F]">
          <a:extLst>
            <a:ext uri="{FF2B5EF4-FFF2-40B4-BE49-F238E27FC236}">
              <a16:creationId xmlns:a16="http://schemas.microsoft.com/office/drawing/2014/main" id="{00000000-0008-0000-0600-00007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982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630</xdr:row>
      <xdr:rowOff>0</xdr:rowOff>
    </xdr:from>
    <xdr:ext cx="152400" cy="152400"/>
    <xdr:pic>
      <xdr:nvPicPr>
        <xdr:cNvPr id="627" name="Picture 626" descr="Category +[@$5F&amp;!3G]">
          <a:extLst>
            <a:ext uri="{FF2B5EF4-FFF2-40B4-BE49-F238E27FC236}">
              <a16:creationId xmlns:a16="http://schemas.microsoft.com/office/drawing/2014/main" id="{00000000-0008-0000-0600-000073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001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631</xdr:row>
      <xdr:rowOff>0</xdr:rowOff>
    </xdr:from>
    <xdr:ext cx="152400" cy="152400"/>
    <xdr:pic>
      <xdr:nvPicPr>
        <xdr:cNvPr id="628" name="Picture 627" descr="Category +[@$5F&amp;!3H]">
          <a:extLst>
            <a:ext uri="{FF2B5EF4-FFF2-40B4-BE49-F238E27FC236}">
              <a16:creationId xmlns:a16="http://schemas.microsoft.com/office/drawing/2014/main" id="{00000000-0008-0000-0600-00007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020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632</xdr:row>
      <xdr:rowOff>0</xdr:rowOff>
    </xdr:from>
    <xdr:ext cx="152400" cy="152400"/>
    <xdr:pic>
      <xdr:nvPicPr>
        <xdr:cNvPr id="629" name="Picture 628" descr="Category +[@$5F&amp;!3I]">
          <a:extLst>
            <a:ext uri="{FF2B5EF4-FFF2-40B4-BE49-F238E27FC236}">
              <a16:creationId xmlns:a16="http://schemas.microsoft.com/office/drawing/2014/main" id="{00000000-0008-0000-0600-000075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039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633</xdr:row>
      <xdr:rowOff>0</xdr:rowOff>
    </xdr:from>
    <xdr:ext cx="152400" cy="152400"/>
    <xdr:pic>
      <xdr:nvPicPr>
        <xdr:cNvPr id="630" name="Picture 629" descr="Category +[@$5F&amp;!3J]">
          <a:extLst>
            <a:ext uri="{FF2B5EF4-FFF2-40B4-BE49-F238E27FC236}">
              <a16:creationId xmlns:a16="http://schemas.microsoft.com/office/drawing/2014/main" id="{00000000-0008-0000-0600-00007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058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634</xdr:row>
      <xdr:rowOff>0</xdr:rowOff>
    </xdr:from>
    <xdr:ext cx="152400" cy="152400"/>
    <xdr:pic>
      <xdr:nvPicPr>
        <xdr:cNvPr id="631" name="Picture 630" descr="Category +[@$5F&amp;!3K]">
          <a:extLst>
            <a:ext uri="{FF2B5EF4-FFF2-40B4-BE49-F238E27FC236}">
              <a16:creationId xmlns:a16="http://schemas.microsoft.com/office/drawing/2014/main" id="{00000000-0008-0000-0600-000077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077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635</xdr:row>
      <xdr:rowOff>0</xdr:rowOff>
    </xdr:from>
    <xdr:ext cx="152400" cy="152400"/>
    <xdr:pic>
      <xdr:nvPicPr>
        <xdr:cNvPr id="632" name="Picture 631" descr="Category +[@$5F&amp;!3L]">
          <a:extLst>
            <a:ext uri="{FF2B5EF4-FFF2-40B4-BE49-F238E27FC236}">
              <a16:creationId xmlns:a16="http://schemas.microsoft.com/office/drawing/2014/main" id="{00000000-0008-0000-0600-00007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096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636</xdr:row>
      <xdr:rowOff>0</xdr:rowOff>
    </xdr:from>
    <xdr:ext cx="152400" cy="152400"/>
    <xdr:pic>
      <xdr:nvPicPr>
        <xdr:cNvPr id="633" name="Picture 632" descr="Category +[@$5F&amp;!3M]">
          <a:extLst>
            <a:ext uri="{FF2B5EF4-FFF2-40B4-BE49-F238E27FC236}">
              <a16:creationId xmlns:a16="http://schemas.microsoft.com/office/drawing/2014/main" id="{00000000-0008-0000-0600-000079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115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637</xdr:row>
      <xdr:rowOff>0</xdr:rowOff>
    </xdr:from>
    <xdr:ext cx="152400" cy="152400"/>
    <xdr:pic>
      <xdr:nvPicPr>
        <xdr:cNvPr id="634" name="Picture 633" descr="Category +[@$5F&amp;!3N]">
          <a:extLst>
            <a:ext uri="{FF2B5EF4-FFF2-40B4-BE49-F238E27FC236}">
              <a16:creationId xmlns:a16="http://schemas.microsoft.com/office/drawing/2014/main" id="{00000000-0008-0000-0600-00007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134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638</xdr:row>
      <xdr:rowOff>0</xdr:rowOff>
    </xdr:from>
    <xdr:ext cx="152400" cy="152400"/>
    <xdr:pic>
      <xdr:nvPicPr>
        <xdr:cNvPr id="635" name="Picture 634" descr="Weakness Base +[@$5F&amp;!3O]">
          <a:extLst>
            <a:ext uri="{FF2B5EF4-FFF2-40B4-BE49-F238E27FC236}">
              <a16:creationId xmlns:a16="http://schemas.microsoft.com/office/drawing/2014/main" id="{00000000-0008-0000-0600-00007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2153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639</xdr:row>
      <xdr:rowOff>0</xdr:rowOff>
    </xdr:from>
    <xdr:ext cx="152400" cy="152400"/>
    <xdr:pic>
      <xdr:nvPicPr>
        <xdr:cNvPr id="636" name="Picture 635" descr="Weakness Base +[@$5F&amp;!3P]">
          <a:extLst>
            <a:ext uri="{FF2B5EF4-FFF2-40B4-BE49-F238E27FC236}">
              <a16:creationId xmlns:a16="http://schemas.microsoft.com/office/drawing/2014/main" id="{00000000-0008-0000-0600-00007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2172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640</xdr:row>
      <xdr:rowOff>0</xdr:rowOff>
    </xdr:from>
    <xdr:ext cx="152400" cy="152400"/>
    <xdr:pic>
      <xdr:nvPicPr>
        <xdr:cNvPr id="637" name="Picture 636" descr="Weakness Base +[@$5F&amp;!3Q]">
          <a:extLst>
            <a:ext uri="{FF2B5EF4-FFF2-40B4-BE49-F238E27FC236}">
              <a16:creationId xmlns:a16="http://schemas.microsoft.com/office/drawing/2014/main" id="{00000000-0008-0000-0600-00007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2192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641</xdr:row>
      <xdr:rowOff>0</xdr:rowOff>
    </xdr:from>
    <xdr:ext cx="152400" cy="152400"/>
    <xdr:pic>
      <xdr:nvPicPr>
        <xdr:cNvPr id="638" name="Picture 637" descr="Weakness Variant +[@$5F&amp;!3R]">
          <a:extLst>
            <a:ext uri="{FF2B5EF4-FFF2-40B4-BE49-F238E27FC236}">
              <a16:creationId xmlns:a16="http://schemas.microsoft.com/office/drawing/2014/main" id="{00000000-0008-0000-0600-00007E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211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642</xdr:row>
      <xdr:rowOff>0</xdr:rowOff>
    </xdr:from>
    <xdr:ext cx="152400" cy="152400"/>
    <xdr:pic>
      <xdr:nvPicPr>
        <xdr:cNvPr id="639" name="Picture 638" descr="Weakness Variant +[@$5F&amp;!3S]">
          <a:extLst>
            <a:ext uri="{FF2B5EF4-FFF2-40B4-BE49-F238E27FC236}">
              <a16:creationId xmlns:a16="http://schemas.microsoft.com/office/drawing/2014/main" id="{00000000-0008-0000-0600-00007F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230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643</xdr:row>
      <xdr:rowOff>0</xdr:rowOff>
    </xdr:from>
    <xdr:ext cx="152400" cy="152400"/>
    <xdr:pic>
      <xdr:nvPicPr>
        <xdr:cNvPr id="640" name="Picture 639" descr="Weakness Variant +[@$5F&amp;!3T]">
          <a:extLst>
            <a:ext uri="{FF2B5EF4-FFF2-40B4-BE49-F238E27FC236}">
              <a16:creationId xmlns:a16="http://schemas.microsoft.com/office/drawing/2014/main" id="{00000000-0008-0000-0600-000080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249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644</xdr:row>
      <xdr:rowOff>0</xdr:rowOff>
    </xdr:from>
    <xdr:ext cx="152400" cy="152400"/>
    <xdr:pic>
      <xdr:nvPicPr>
        <xdr:cNvPr id="641" name="Picture 640" descr="Weakness Variant +[@$5F&amp;!3U]">
          <a:extLst>
            <a:ext uri="{FF2B5EF4-FFF2-40B4-BE49-F238E27FC236}">
              <a16:creationId xmlns:a16="http://schemas.microsoft.com/office/drawing/2014/main" id="{00000000-0008-0000-0600-000081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268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645</xdr:row>
      <xdr:rowOff>0</xdr:rowOff>
    </xdr:from>
    <xdr:ext cx="152400" cy="152400"/>
    <xdr:pic>
      <xdr:nvPicPr>
        <xdr:cNvPr id="642" name="Picture 641" descr="Weakness Variant +[@$5F&amp;!3V]">
          <a:extLst>
            <a:ext uri="{FF2B5EF4-FFF2-40B4-BE49-F238E27FC236}">
              <a16:creationId xmlns:a16="http://schemas.microsoft.com/office/drawing/2014/main" id="{00000000-0008-0000-0600-000082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287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646</xdr:row>
      <xdr:rowOff>0</xdr:rowOff>
    </xdr:from>
    <xdr:ext cx="152400" cy="152400"/>
    <xdr:pic>
      <xdr:nvPicPr>
        <xdr:cNvPr id="643" name="Picture 642" descr="Weakness Variant +[@$5F&amp;!3W]">
          <a:extLst>
            <a:ext uri="{FF2B5EF4-FFF2-40B4-BE49-F238E27FC236}">
              <a16:creationId xmlns:a16="http://schemas.microsoft.com/office/drawing/2014/main" id="{00000000-0008-0000-0600-000083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306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647</xdr:row>
      <xdr:rowOff>0</xdr:rowOff>
    </xdr:from>
    <xdr:ext cx="152400" cy="152400"/>
    <xdr:pic>
      <xdr:nvPicPr>
        <xdr:cNvPr id="644" name="Picture 643" descr="Weakness Variant +[@$5F&amp;!3X]">
          <a:extLst>
            <a:ext uri="{FF2B5EF4-FFF2-40B4-BE49-F238E27FC236}">
              <a16:creationId xmlns:a16="http://schemas.microsoft.com/office/drawing/2014/main" id="{00000000-0008-0000-0600-000084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325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648</xdr:row>
      <xdr:rowOff>0</xdr:rowOff>
    </xdr:from>
    <xdr:ext cx="152400" cy="152400"/>
    <xdr:pic>
      <xdr:nvPicPr>
        <xdr:cNvPr id="645" name="Picture 644" descr="Weakness Variant +[@$5F&amp;!3Y]">
          <a:extLst>
            <a:ext uri="{FF2B5EF4-FFF2-40B4-BE49-F238E27FC236}">
              <a16:creationId xmlns:a16="http://schemas.microsoft.com/office/drawing/2014/main" id="{00000000-0008-0000-0600-000085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344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649</xdr:row>
      <xdr:rowOff>0</xdr:rowOff>
    </xdr:from>
    <xdr:ext cx="152400" cy="152400"/>
    <xdr:pic>
      <xdr:nvPicPr>
        <xdr:cNvPr id="646" name="Picture 645" descr="Weakness Variant +[@$5F&amp;!3Z]">
          <a:extLst>
            <a:ext uri="{FF2B5EF4-FFF2-40B4-BE49-F238E27FC236}">
              <a16:creationId xmlns:a16="http://schemas.microsoft.com/office/drawing/2014/main" id="{00000000-0008-0000-0600-000086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363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650</xdr:row>
      <xdr:rowOff>0</xdr:rowOff>
    </xdr:from>
    <xdr:ext cx="152400" cy="152400"/>
    <xdr:pic>
      <xdr:nvPicPr>
        <xdr:cNvPr id="647" name="Picture 646" descr="Weakness Variant +[@$5F&amp;!3[]">
          <a:extLst>
            <a:ext uri="{FF2B5EF4-FFF2-40B4-BE49-F238E27FC236}">
              <a16:creationId xmlns:a16="http://schemas.microsoft.com/office/drawing/2014/main" id="{00000000-0008-0000-0600-000087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382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651</xdr:row>
      <xdr:rowOff>0</xdr:rowOff>
    </xdr:from>
    <xdr:ext cx="152400" cy="152400"/>
    <xdr:pic>
      <xdr:nvPicPr>
        <xdr:cNvPr id="648" name="Picture 647" descr="Weakness Variant +[@$5F&amp;!3\]">
          <a:extLst>
            <a:ext uri="{FF2B5EF4-FFF2-40B4-BE49-F238E27FC236}">
              <a16:creationId xmlns:a16="http://schemas.microsoft.com/office/drawing/2014/main" id="{00000000-0008-0000-0600-000088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401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652</xdr:row>
      <xdr:rowOff>0</xdr:rowOff>
    </xdr:from>
    <xdr:ext cx="152400" cy="152400"/>
    <xdr:pic>
      <xdr:nvPicPr>
        <xdr:cNvPr id="649" name="Picture 648" descr="Weakness Variant +[@$5F&amp;!3]]">
          <a:extLst>
            <a:ext uri="{FF2B5EF4-FFF2-40B4-BE49-F238E27FC236}">
              <a16:creationId xmlns:a16="http://schemas.microsoft.com/office/drawing/2014/main" id="{00000000-0008-0000-0600-000089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420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653</xdr:row>
      <xdr:rowOff>0</xdr:rowOff>
    </xdr:from>
    <xdr:ext cx="152400" cy="152400"/>
    <xdr:pic>
      <xdr:nvPicPr>
        <xdr:cNvPr id="650" name="Picture 649" descr="Weakness Variant +[@$5F&amp;!3^]">
          <a:extLst>
            <a:ext uri="{FF2B5EF4-FFF2-40B4-BE49-F238E27FC236}">
              <a16:creationId xmlns:a16="http://schemas.microsoft.com/office/drawing/2014/main" id="{00000000-0008-0000-0600-00008A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439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654</xdr:row>
      <xdr:rowOff>0</xdr:rowOff>
    </xdr:from>
    <xdr:ext cx="152400" cy="152400"/>
    <xdr:pic>
      <xdr:nvPicPr>
        <xdr:cNvPr id="651" name="Picture 650" descr="Weakness Variant +[@$5F&amp;!3_]">
          <a:extLst>
            <a:ext uri="{FF2B5EF4-FFF2-40B4-BE49-F238E27FC236}">
              <a16:creationId xmlns:a16="http://schemas.microsoft.com/office/drawing/2014/main" id="{00000000-0008-0000-0600-00008B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458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655</xdr:row>
      <xdr:rowOff>0</xdr:rowOff>
    </xdr:from>
    <xdr:ext cx="152400" cy="152400"/>
    <xdr:pic>
      <xdr:nvPicPr>
        <xdr:cNvPr id="652" name="Picture 651" descr="Weakness Variant +[@$5F&amp;!3`]">
          <a:extLst>
            <a:ext uri="{FF2B5EF4-FFF2-40B4-BE49-F238E27FC236}">
              <a16:creationId xmlns:a16="http://schemas.microsoft.com/office/drawing/2014/main" id="{00000000-0008-0000-0600-00008C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477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656</xdr:row>
      <xdr:rowOff>0</xdr:rowOff>
    </xdr:from>
    <xdr:ext cx="152400" cy="152400"/>
    <xdr:pic>
      <xdr:nvPicPr>
        <xdr:cNvPr id="653" name="Picture 652" descr="Weakness Variant +[@$5F&amp;!3a]">
          <a:extLst>
            <a:ext uri="{FF2B5EF4-FFF2-40B4-BE49-F238E27FC236}">
              <a16:creationId xmlns:a16="http://schemas.microsoft.com/office/drawing/2014/main" id="{00000000-0008-0000-0600-00008D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496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657</xdr:row>
      <xdr:rowOff>0</xdr:rowOff>
    </xdr:from>
    <xdr:ext cx="152400" cy="152400"/>
    <xdr:pic>
      <xdr:nvPicPr>
        <xdr:cNvPr id="654" name="Picture 653" descr="Weakness Variant +[@$5F&amp;!3b]">
          <a:extLst>
            <a:ext uri="{FF2B5EF4-FFF2-40B4-BE49-F238E27FC236}">
              <a16:creationId xmlns:a16="http://schemas.microsoft.com/office/drawing/2014/main" id="{00000000-0008-0000-0600-00008E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515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658</xdr:row>
      <xdr:rowOff>0</xdr:rowOff>
    </xdr:from>
    <xdr:ext cx="152400" cy="152400"/>
    <xdr:pic>
      <xdr:nvPicPr>
        <xdr:cNvPr id="655" name="Picture 654" descr="Weakness Variant +[@$5F&amp;!3c]">
          <a:extLst>
            <a:ext uri="{FF2B5EF4-FFF2-40B4-BE49-F238E27FC236}">
              <a16:creationId xmlns:a16="http://schemas.microsoft.com/office/drawing/2014/main" id="{00000000-0008-0000-0600-00008F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534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659</xdr:row>
      <xdr:rowOff>0</xdr:rowOff>
    </xdr:from>
    <xdr:ext cx="152400" cy="152400"/>
    <xdr:pic>
      <xdr:nvPicPr>
        <xdr:cNvPr id="656" name="Picture 655" descr="Weakness Variant +[@$5F&amp;!3d]">
          <a:extLst>
            <a:ext uri="{FF2B5EF4-FFF2-40B4-BE49-F238E27FC236}">
              <a16:creationId xmlns:a16="http://schemas.microsoft.com/office/drawing/2014/main" id="{00000000-0008-0000-0600-000090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553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660</xdr:row>
      <xdr:rowOff>0</xdr:rowOff>
    </xdr:from>
    <xdr:ext cx="152400" cy="152400"/>
    <xdr:pic>
      <xdr:nvPicPr>
        <xdr:cNvPr id="657" name="Picture 656" descr="Weakness Variant +[@$5F&amp;!3e]">
          <a:extLst>
            <a:ext uri="{FF2B5EF4-FFF2-40B4-BE49-F238E27FC236}">
              <a16:creationId xmlns:a16="http://schemas.microsoft.com/office/drawing/2014/main" id="{00000000-0008-0000-0600-000091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573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661</xdr:row>
      <xdr:rowOff>0</xdr:rowOff>
    </xdr:from>
    <xdr:ext cx="152400" cy="152400"/>
    <xdr:pic>
      <xdr:nvPicPr>
        <xdr:cNvPr id="658" name="Picture 657" descr="Weakness Variant +[@$5F&amp;!3f]">
          <a:extLst>
            <a:ext uri="{FF2B5EF4-FFF2-40B4-BE49-F238E27FC236}">
              <a16:creationId xmlns:a16="http://schemas.microsoft.com/office/drawing/2014/main" id="{00000000-0008-0000-0600-000092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592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662</xdr:row>
      <xdr:rowOff>0</xdr:rowOff>
    </xdr:from>
    <xdr:ext cx="152400" cy="152400"/>
    <xdr:pic>
      <xdr:nvPicPr>
        <xdr:cNvPr id="659" name="Picture 658" descr="Weakness Variant +[@$5F&amp;!3g]">
          <a:extLst>
            <a:ext uri="{FF2B5EF4-FFF2-40B4-BE49-F238E27FC236}">
              <a16:creationId xmlns:a16="http://schemas.microsoft.com/office/drawing/2014/main" id="{00000000-0008-0000-0600-000093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611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663</xdr:row>
      <xdr:rowOff>0</xdr:rowOff>
    </xdr:from>
    <xdr:ext cx="152400" cy="152400"/>
    <xdr:pic>
      <xdr:nvPicPr>
        <xdr:cNvPr id="660" name="Picture 659" descr="Weakness Variant +[@$5F&amp;!3h]">
          <a:extLst>
            <a:ext uri="{FF2B5EF4-FFF2-40B4-BE49-F238E27FC236}">
              <a16:creationId xmlns:a16="http://schemas.microsoft.com/office/drawing/2014/main" id="{00000000-0008-0000-0600-000094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630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664</xdr:row>
      <xdr:rowOff>0</xdr:rowOff>
    </xdr:from>
    <xdr:ext cx="152400" cy="152400"/>
    <xdr:pic>
      <xdr:nvPicPr>
        <xdr:cNvPr id="661" name="Picture 660" descr="Weakness Variant +[@$5F&amp;!3i]">
          <a:extLst>
            <a:ext uri="{FF2B5EF4-FFF2-40B4-BE49-F238E27FC236}">
              <a16:creationId xmlns:a16="http://schemas.microsoft.com/office/drawing/2014/main" id="{00000000-0008-0000-0600-000095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649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665</xdr:row>
      <xdr:rowOff>0</xdr:rowOff>
    </xdr:from>
    <xdr:ext cx="152400" cy="152400"/>
    <xdr:pic>
      <xdr:nvPicPr>
        <xdr:cNvPr id="662" name="Picture 661" descr="Weakness Variant +[@$5F&amp;!3j]">
          <a:extLst>
            <a:ext uri="{FF2B5EF4-FFF2-40B4-BE49-F238E27FC236}">
              <a16:creationId xmlns:a16="http://schemas.microsoft.com/office/drawing/2014/main" id="{00000000-0008-0000-0600-000096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668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666</xdr:row>
      <xdr:rowOff>0</xdr:rowOff>
    </xdr:from>
    <xdr:ext cx="152400" cy="152400"/>
    <xdr:pic>
      <xdr:nvPicPr>
        <xdr:cNvPr id="663" name="Picture 662" descr="Weakness Variant +[@$5F&amp;!3k]">
          <a:extLst>
            <a:ext uri="{FF2B5EF4-FFF2-40B4-BE49-F238E27FC236}">
              <a16:creationId xmlns:a16="http://schemas.microsoft.com/office/drawing/2014/main" id="{00000000-0008-0000-0600-000097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687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667</xdr:row>
      <xdr:rowOff>0</xdr:rowOff>
    </xdr:from>
    <xdr:ext cx="152400" cy="152400"/>
    <xdr:pic>
      <xdr:nvPicPr>
        <xdr:cNvPr id="664" name="Picture 663" descr="Weakness Variant +[@$5F&amp;!3l]">
          <a:extLst>
            <a:ext uri="{FF2B5EF4-FFF2-40B4-BE49-F238E27FC236}">
              <a16:creationId xmlns:a16="http://schemas.microsoft.com/office/drawing/2014/main" id="{00000000-0008-0000-0600-000098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706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668</xdr:row>
      <xdr:rowOff>0</xdr:rowOff>
    </xdr:from>
    <xdr:ext cx="152400" cy="152400"/>
    <xdr:pic>
      <xdr:nvPicPr>
        <xdr:cNvPr id="665" name="Picture 664" descr="Weakness Variant +[@$5F&amp;!3m]">
          <a:extLst>
            <a:ext uri="{FF2B5EF4-FFF2-40B4-BE49-F238E27FC236}">
              <a16:creationId xmlns:a16="http://schemas.microsoft.com/office/drawing/2014/main" id="{00000000-0008-0000-0600-000099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725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669</xdr:row>
      <xdr:rowOff>0</xdr:rowOff>
    </xdr:from>
    <xdr:ext cx="152400" cy="152400"/>
    <xdr:pic>
      <xdr:nvPicPr>
        <xdr:cNvPr id="666" name="Picture 665" descr="Weakness Variant +[@$5F&amp;!3n]">
          <a:extLst>
            <a:ext uri="{FF2B5EF4-FFF2-40B4-BE49-F238E27FC236}">
              <a16:creationId xmlns:a16="http://schemas.microsoft.com/office/drawing/2014/main" id="{00000000-0008-0000-0600-00009A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744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670</xdr:row>
      <xdr:rowOff>0</xdr:rowOff>
    </xdr:from>
    <xdr:ext cx="152400" cy="152400"/>
    <xdr:pic>
      <xdr:nvPicPr>
        <xdr:cNvPr id="667" name="Picture 666" descr="Weakness Variant +[@$5F&amp;!3o]">
          <a:extLst>
            <a:ext uri="{FF2B5EF4-FFF2-40B4-BE49-F238E27FC236}">
              <a16:creationId xmlns:a16="http://schemas.microsoft.com/office/drawing/2014/main" id="{00000000-0008-0000-0600-00009B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763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671</xdr:row>
      <xdr:rowOff>0</xdr:rowOff>
    </xdr:from>
    <xdr:ext cx="152400" cy="152400"/>
    <xdr:pic>
      <xdr:nvPicPr>
        <xdr:cNvPr id="668" name="Picture 667" descr="Weakness Variant +[@$5F&amp;!3p]">
          <a:extLst>
            <a:ext uri="{FF2B5EF4-FFF2-40B4-BE49-F238E27FC236}">
              <a16:creationId xmlns:a16="http://schemas.microsoft.com/office/drawing/2014/main" id="{00000000-0008-0000-0600-00009C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782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672</xdr:row>
      <xdr:rowOff>0</xdr:rowOff>
    </xdr:from>
    <xdr:ext cx="152400" cy="152400"/>
    <xdr:pic>
      <xdr:nvPicPr>
        <xdr:cNvPr id="669" name="Picture 668" descr="Weakness Variant +[@$5F&amp;!3q]">
          <a:extLst>
            <a:ext uri="{FF2B5EF4-FFF2-40B4-BE49-F238E27FC236}">
              <a16:creationId xmlns:a16="http://schemas.microsoft.com/office/drawing/2014/main" id="{00000000-0008-0000-0600-00009D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801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673</xdr:row>
      <xdr:rowOff>0</xdr:rowOff>
    </xdr:from>
    <xdr:ext cx="152400" cy="152400"/>
    <xdr:pic>
      <xdr:nvPicPr>
        <xdr:cNvPr id="670" name="Picture 669" descr="Weakness Variant +[@$5F&amp;!3r]">
          <a:extLst>
            <a:ext uri="{FF2B5EF4-FFF2-40B4-BE49-F238E27FC236}">
              <a16:creationId xmlns:a16="http://schemas.microsoft.com/office/drawing/2014/main" id="{00000000-0008-0000-0600-00009E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820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674</xdr:row>
      <xdr:rowOff>0</xdr:rowOff>
    </xdr:from>
    <xdr:ext cx="152400" cy="152400"/>
    <xdr:pic>
      <xdr:nvPicPr>
        <xdr:cNvPr id="671" name="Picture 670" descr="Weakness Variant +[@$5F&amp;!3s]">
          <a:extLst>
            <a:ext uri="{FF2B5EF4-FFF2-40B4-BE49-F238E27FC236}">
              <a16:creationId xmlns:a16="http://schemas.microsoft.com/office/drawing/2014/main" id="{00000000-0008-0000-0600-00009F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839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675</xdr:row>
      <xdr:rowOff>0</xdr:rowOff>
    </xdr:from>
    <xdr:ext cx="152400" cy="152400"/>
    <xdr:pic>
      <xdr:nvPicPr>
        <xdr:cNvPr id="672" name="Picture 671" descr="Category +[@$5F&amp;!3t]">
          <a:extLst>
            <a:ext uri="{FF2B5EF4-FFF2-40B4-BE49-F238E27FC236}">
              <a16:creationId xmlns:a16="http://schemas.microsoft.com/office/drawing/2014/main" id="{00000000-0008-0000-0600-0000A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858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676</xdr:row>
      <xdr:rowOff>0</xdr:rowOff>
    </xdr:from>
    <xdr:ext cx="152400" cy="152400"/>
    <xdr:pic>
      <xdr:nvPicPr>
        <xdr:cNvPr id="673" name="Picture 672" descr="Category +[@$5F&amp;!3u]">
          <a:extLst>
            <a:ext uri="{FF2B5EF4-FFF2-40B4-BE49-F238E27FC236}">
              <a16:creationId xmlns:a16="http://schemas.microsoft.com/office/drawing/2014/main" id="{00000000-0008-0000-0600-0000A1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877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677</xdr:row>
      <xdr:rowOff>0</xdr:rowOff>
    </xdr:from>
    <xdr:ext cx="142875" cy="133350"/>
    <xdr:pic>
      <xdr:nvPicPr>
        <xdr:cNvPr id="674" name="Picture 673" descr="Compound Element: Composite +[@$5F&amp;!3v]">
          <a:extLst>
            <a:ext uri="{FF2B5EF4-FFF2-40B4-BE49-F238E27FC236}">
              <a16:creationId xmlns:a16="http://schemas.microsoft.com/office/drawing/2014/main" id="{00000000-0008-0000-0600-0000A202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43075" y="128968500"/>
          <a:ext cx="142875"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678</xdr:row>
      <xdr:rowOff>0</xdr:rowOff>
    </xdr:from>
    <xdr:ext cx="152400" cy="152400"/>
    <xdr:pic>
      <xdr:nvPicPr>
        <xdr:cNvPr id="675" name="Picture 674" descr="Category +[@$5F&amp;!3w]">
          <a:extLst>
            <a:ext uri="{FF2B5EF4-FFF2-40B4-BE49-F238E27FC236}">
              <a16:creationId xmlns:a16="http://schemas.microsoft.com/office/drawing/2014/main" id="{00000000-0008-0000-0600-0000A3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915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679</xdr:row>
      <xdr:rowOff>0</xdr:rowOff>
    </xdr:from>
    <xdr:ext cx="152400" cy="152400"/>
    <xdr:pic>
      <xdr:nvPicPr>
        <xdr:cNvPr id="676" name="Picture 675" descr="Weakness Base +[@$5F&amp;!3x]">
          <a:extLst>
            <a:ext uri="{FF2B5EF4-FFF2-40B4-BE49-F238E27FC236}">
              <a16:creationId xmlns:a16="http://schemas.microsoft.com/office/drawing/2014/main" id="{00000000-0008-0000-0600-0000A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2934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680</xdr:row>
      <xdr:rowOff>0</xdr:rowOff>
    </xdr:from>
    <xdr:ext cx="152400" cy="152400"/>
    <xdr:pic>
      <xdr:nvPicPr>
        <xdr:cNvPr id="677" name="Picture 676" descr="Weakness Base +[@$5F&amp;!3y]">
          <a:extLst>
            <a:ext uri="{FF2B5EF4-FFF2-40B4-BE49-F238E27FC236}">
              <a16:creationId xmlns:a16="http://schemas.microsoft.com/office/drawing/2014/main" id="{00000000-0008-0000-0600-0000A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2954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681</xdr:row>
      <xdr:rowOff>0</xdr:rowOff>
    </xdr:from>
    <xdr:ext cx="152400" cy="152400"/>
    <xdr:pic>
      <xdr:nvPicPr>
        <xdr:cNvPr id="678" name="Picture 677" descr="Weakness Variant +[@$5F&amp;!3z]">
          <a:extLst>
            <a:ext uri="{FF2B5EF4-FFF2-40B4-BE49-F238E27FC236}">
              <a16:creationId xmlns:a16="http://schemas.microsoft.com/office/drawing/2014/main" id="{00000000-0008-0000-0600-0000A6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973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682</xdr:row>
      <xdr:rowOff>0</xdr:rowOff>
    </xdr:from>
    <xdr:ext cx="152400" cy="152400"/>
    <xdr:pic>
      <xdr:nvPicPr>
        <xdr:cNvPr id="679" name="Picture 678" descr="Weakness Base +[@$5F&amp;!3{]">
          <a:extLst>
            <a:ext uri="{FF2B5EF4-FFF2-40B4-BE49-F238E27FC236}">
              <a16:creationId xmlns:a16="http://schemas.microsoft.com/office/drawing/2014/main" id="{00000000-0008-0000-0600-0000A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2992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683</xdr:row>
      <xdr:rowOff>0</xdr:rowOff>
    </xdr:from>
    <xdr:ext cx="152400" cy="152400"/>
    <xdr:pic>
      <xdr:nvPicPr>
        <xdr:cNvPr id="680" name="Picture 679" descr="Weakness Variant +[@$5F&amp;!3|]">
          <a:extLst>
            <a:ext uri="{FF2B5EF4-FFF2-40B4-BE49-F238E27FC236}">
              <a16:creationId xmlns:a16="http://schemas.microsoft.com/office/drawing/2014/main" id="{00000000-0008-0000-0600-0000A8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011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684</xdr:row>
      <xdr:rowOff>0</xdr:rowOff>
    </xdr:from>
    <xdr:ext cx="152400" cy="152400"/>
    <xdr:pic>
      <xdr:nvPicPr>
        <xdr:cNvPr id="681" name="Picture 680" descr="Category +[@$5F&amp;!3}]">
          <a:extLst>
            <a:ext uri="{FF2B5EF4-FFF2-40B4-BE49-F238E27FC236}">
              <a16:creationId xmlns:a16="http://schemas.microsoft.com/office/drawing/2014/main" id="{00000000-0008-0000-0600-0000A9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3030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685</xdr:row>
      <xdr:rowOff>0</xdr:rowOff>
    </xdr:from>
    <xdr:ext cx="152400" cy="152400"/>
    <xdr:pic>
      <xdr:nvPicPr>
        <xdr:cNvPr id="682" name="Picture 681" descr="Weakness Class +[@$5F&amp;!3~]">
          <a:extLst>
            <a:ext uri="{FF2B5EF4-FFF2-40B4-BE49-F238E27FC236}">
              <a16:creationId xmlns:a16="http://schemas.microsoft.com/office/drawing/2014/main" id="{00000000-0008-0000-0600-0000AA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3049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686</xdr:row>
      <xdr:rowOff>0</xdr:rowOff>
    </xdr:from>
    <xdr:ext cx="152400" cy="152400"/>
    <xdr:pic>
      <xdr:nvPicPr>
        <xdr:cNvPr id="683" name="Picture 682" descr="Weakness Base +[@$5F&amp;!4#]">
          <a:extLst>
            <a:ext uri="{FF2B5EF4-FFF2-40B4-BE49-F238E27FC236}">
              <a16:creationId xmlns:a16="http://schemas.microsoft.com/office/drawing/2014/main" id="{00000000-0008-0000-0600-0000A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068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687</xdr:row>
      <xdr:rowOff>0</xdr:rowOff>
    </xdr:from>
    <xdr:ext cx="152400" cy="152400"/>
    <xdr:pic>
      <xdr:nvPicPr>
        <xdr:cNvPr id="684" name="Picture 683" descr="Weakness Base +[@$5F&amp;!4$]">
          <a:extLst>
            <a:ext uri="{FF2B5EF4-FFF2-40B4-BE49-F238E27FC236}">
              <a16:creationId xmlns:a16="http://schemas.microsoft.com/office/drawing/2014/main" id="{00000000-0008-0000-0600-0000A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087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688</xdr:row>
      <xdr:rowOff>0</xdr:rowOff>
    </xdr:from>
    <xdr:ext cx="152400" cy="152400"/>
    <xdr:pic>
      <xdr:nvPicPr>
        <xdr:cNvPr id="685" name="Picture 684" descr="Weakness Base +[@$5F&amp;!4%]">
          <a:extLst>
            <a:ext uri="{FF2B5EF4-FFF2-40B4-BE49-F238E27FC236}">
              <a16:creationId xmlns:a16="http://schemas.microsoft.com/office/drawing/2014/main" id="{00000000-0008-0000-0600-0000A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106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689</xdr:row>
      <xdr:rowOff>0</xdr:rowOff>
    </xdr:from>
    <xdr:ext cx="152400" cy="152400"/>
    <xdr:pic>
      <xdr:nvPicPr>
        <xdr:cNvPr id="686" name="Picture 685" descr="Weakness Base +[@$5F&amp;!4&amp;]">
          <a:extLst>
            <a:ext uri="{FF2B5EF4-FFF2-40B4-BE49-F238E27FC236}">
              <a16:creationId xmlns:a16="http://schemas.microsoft.com/office/drawing/2014/main" id="{00000000-0008-0000-0600-0000A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125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690</xdr:row>
      <xdr:rowOff>0</xdr:rowOff>
    </xdr:from>
    <xdr:ext cx="152400" cy="152400"/>
    <xdr:pic>
      <xdr:nvPicPr>
        <xdr:cNvPr id="687" name="Picture 686" descr="Weakness Base +[@$5F&amp;!4']">
          <a:extLst>
            <a:ext uri="{FF2B5EF4-FFF2-40B4-BE49-F238E27FC236}">
              <a16:creationId xmlns:a16="http://schemas.microsoft.com/office/drawing/2014/main" id="{00000000-0008-0000-0600-0000A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144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691</xdr:row>
      <xdr:rowOff>0</xdr:rowOff>
    </xdr:from>
    <xdr:ext cx="152400" cy="152400"/>
    <xdr:pic>
      <xdr:nvPicPr>
        <xdr:cNvPr id="688" name="Picture 687" descr="Weakness Class +[@$5F&amp;!4(]">
          <a:extLst>
            <a:ext uri="{FF2B5EF4-FFF2-40B4-BE49-F238E27FC236}">
              <a16:creationId xmlns:a16="http://schemas.microsoft.com/office/drawing/2014/main" id="{00000000-0008-0000-0600-0000B0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3163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692</xdr:row>
      <xdr:rowOff>0</xdr:rowOff>
    </xdr:from>
    <xdr:ext cx="152400" cy="152400"/>
    <xdr:pic>
      <xdr:nvPicPr>
        <xdr:cNvPr id="689" name="Picture 688" descr="Weakness Variant +[@$5F&amp;!4)]">
          <a:extLst>
            <a:ext uri="{FF2B5EF4-FFF2-40B4-BE49-F238E27FC236}">
              <a16:creationId xmlns:a16="http://schemas.microsoft.com/office/drawing/2014/main" id="{00000000-0008-0000-0600-0000B1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182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693</xdr:row>
      <xdr:rowOff>0</xdr:rowOff>
    </xdr:from>
    <xdr:ext cx="152400" cy="152400"/>
    <xdr:pic>
      <xdr:nvPicPr>
        <xdr:cNvPr id="690" name="Picture 689" descr="Category +[@$5F&amp;!4.]">
          <a:extLst>
            <a:ext uri="{FF2B5EF4-FFF2-40B4-BE49-F238E27FC236}">
              <a16:creationId xmlns:a16="http://schemas.microsoft.com/office/drawing/2014/main" id="{00000000-0008-0000-0600-0000B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3201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694</xdr:row>
      <xdr:rowOff>0</xdr:rowOff>
    </xdr:from>
    <xdr:ext cx="152400" cy="152400"/>
    <xdr:pic>
      <xdr:nvPicPr>
        <xdr:cNvPr id="691" name="Picture 690" descr="Weakness Base +[@$5F&amp;!4/]">
          <a:extLst>
            <a:ext uri="{FF2B5EF4-FFF2-40B4-BE49-F238E27FC236}">
              <a16:creationId xmlns:a16="http://schemas.microsoft.com/office/drawing/2014/main" id="{00000000-0008-0000-0600-0000B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220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695</xdr:row>
      <xdr:rowOff>0</xdr:rowOff>
    </xdr:from>
    <xdr:ext cx="152400" cy="152400"/>
    <xdr:pic>
      <xdr:nvPicPr>
        <xdr:cNvPr id="692" name="Picture 691" descr="Weakness Base +[@$5F&amp;!40]">
          <a:extLst>
            <a:ext uri="{FF2B5EF4-FFF2-40B4-BE49-F238E27FC236}">
              <a16:creationId xmlns:a16="http://schemas.microsoft.com/office/drawing/2014/main" id="{00000000-0008-0000-0600-0000B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239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696</xdr:row>
      <xdr:rowOff>0</xdr:rowOff>
    </xdr:from>
    <xdr:ext cx="152400" cy="152400"/>
    <xdr:pic>
      <xdr:nvPicPr>
        <xdr:cNvPr id="693" name="Picture 692" descr="Weakness Base +[@$5F&amp;!41]">
          <a:extLst>
            <a:ext uri="{FF2B5EF4-FFF2-40B4-BE49-F238E27FC236}">
              <a16:creationId xmlns:a16="http://schemas.microsoft.com/office/drawing/2014/main" id="{00000000-0008-0000-0600-0000B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258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697</xdr:row>
      <xdr:rowOff>0</xdr:rowOff>
    </xdr:from>
    <xdr:ext cx="152400" cy="152400"/>
    <xdr:pic>
      <xdr:nvPicPr>
        <xdr:cNvPr id="694" name="Picture 693" descr="Weakness Class +[@$5F&amp;!42]">
          <a:extLst>
            <a:ext uri="{FF2B5EF4-FFF2-40B4-BE49-F238E27FC236}">
              <a16:creationId xmlns:a16="http://schemas.microsoft.com/office/drawing/2014/main" id="{00000000-0008-0000-0600-0000B6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3277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698</xdr:row>
      <xdr:rowOff>0</xdr:rowOff>
    </xdr:from>
    <xdr:ext cx="152400" cy="152400"/>
    <xdr:pic>
      <xdr:nvPicPr>
        <xdr:cNvPr id="695" name="Picture 694" descr="Weakness Class +[@$5F&amp;!43]">
          <a:extLst>
            <a:ext uri="{FF2B5EF4-FFF2-40B4-BE49-F238E27FC236}">
              <a16:creationId xmlns:a16="http://schemas.microsoft.com/office/drawing/2014/main" id="{00000000-0008-0000-0600-0000B7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3296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699</xdr:row>
      <xdr:rowOff>0</xdr:rowOff>
    </xdr:from>
    <xdr:ext cx="152400" cy="152400"/>
    <xdr:pic>
      <xdr:nvPicPr>
        <xdr:cNvPr id="696" name="Picture 695" descr="Weakness Base +[@$5F&amp;!44]">
          <a:extLst>
            <a:ext uri="{FF2B5EF4-FFF2-40B4-BE49-F238E27FC236}">
              <a16:creationId xmlns:a16="http://schemas.microsoft.com/office/drawing/2014/main" id="{00000000-0008-0000-0600-0000B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315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700</xdr:row>
      <xdr:rowOff>0</xdr:rowOff>
    </xdr:from>
    <xdr:ext cx="152400" cy="152400"/>
    <xdr:pic>
      <xdr:nvPicPr>
        <xdr:cNvPr id="697" name="Picture 696" descr="Weakness Base +[@$5F&amp;!45]">
          <a:extLst>
            <a:ext uri="{FF2B5EF4-FFF2-40B4-BE49-F238E27FC236}">
              <a16:creationId xmlns:a16="http://schemas.microsoft.com/office/drawing/2014/main" id="{00000000-0008-0000-0600-0000B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33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701</xdr:row>
      <xdr:rowOff>0</xdr:rowOff>
    </xdr:from>
    <xdr:ext cx="152400" cy="152400"/>
    <xdr:pic>
      <xdr:nvPicPr>
        <xdr:cNvPr id="698" name="Picture 697" descr="Weakness Class +[@$5F&amp;!46]">
          <a:extLst>
            <a:ext uri="{FF2B5EF4-FFF2-40B4-BE49-F238E27FC236}">
              <a16:creationId xmlns:a16="http://schemas.microsoft.com/office/drawing/2014/main" id="{00000000-0008-0000-0600-0000BA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3354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702</xdr:row>
      <xdr:rowOff>0</xdr:rowOff>
    </xdr:from>
    <xdr:ext cx="152400" cy="152400"/>
    <xdr:pic>
      <xdr:nvPicPr>
        <xdr:cNvPr id="699" name="Picture 698" descr="Weakness Variant +[@$5F&amp;!47]">
          <a:extLst>
            <a:ext uri="{FF2B5EF4-FFF2-40B4-BE49-F238E27FC236}">
              <a16:creationId xmlns:a16="http://schemas.microsoft.com/office/drawing/2014/main" id="{00000000-0008-0000-0600-0000BB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373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703</xdr:row>
      <xdr:rowOff>0</xdr:rowOff>
    </xdr:from>
    <xdr:ext cx="152400" cy="152400"/>
    <xdr:pic>
      <xdr:nvPicPr>
        <xdr:cNvPr id="700" name="Picture 699" descr="Weakness Variant +[@$5F&amp;!48]">
          <a:extLst>
            <a:ext uri="{FF2B5EF4-FFF2-40B4-BE49-F238E27FC236}">
              <a16:creationId xmlns:a16="http://schemas.microsoft.com/office/drawing/2014/main" id="{00000000-0008-0000-0600-0000BC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392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704</xdr:row>
      <xdr:rowOff>0</xdr:rowOff>
    </xdr:from>
    <xdr:ext cx="152400" cy="152400"/>
    <xdr:pic>
      <xdr:nvPicPr>
        <xdr:cNvPr id="701" name="Picture 700" descr="Weakness Variant +[@$5F&amp;!49]">
          <a:extLst>
            <a:ext uri="{FF2B5EF4-FFF2-40B4-BE49-F238E27FC236}">
              <a16:creationId xmlns:a16="http://schemas.microsoft.com/office/drawing/2014/main" id="{00000000-0008-0000-0600-0000BD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411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705</xdr:row>
      <xdr:rowOff>0</xdr:rowOff>
    </xdr:from>
    <xdr:ext cx="152400" cy="152400"/>
    <xdr:pic>
      <xdr:nvPicPr>
        <xdr:cNvPr id="702" name="Picture 701" descr="Weakness Variant +[@$5F&amp;!4:]">
          <a:extLst>
            <a:ext uri="{FF2B5EF4-FFF2-40B4-BE49-F238E27FC236}">
              <a16:creationId xmlns:a16="http://schemas.microsoft.com/office/drawing/2014/main" id="{00000000-0008-0000-0600-0000BE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430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706</xdr:row>
      <xdr:rowOff>0</xdr:rowOff>
    </xdr:from>
    <xdr:ext cx="152400" cy="152400"/>
    <xdr:pic>
      <xdr:nvPicPr>
        <xdr:cNvPr id="703" name="Picture 702" descr="Weakness Base +[@$5F&amp;!4;]">
          <a:extLst>
            <a:ext uri="{FF2B5EF4-FFF2-40B4-BE49-F238E27FC236}">
              <a16:creationId xmlns:a16="http://schemas.microsoft.com/office/drawing/2014/main" id="{00000000-0008-0000-0600-0000B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449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707</xdr:row>
      <xdr:rowOff>0</xdr:rowOff>
    </xdr:from>
    <xdr:ext cx="152400" cy="152400"/>
    <xdr:pic>
      <xdr:nvPicPr>
        <xdr:cNvPr id="704" name="Picture 703" descr="Weakness Base +[@$5F&amp;!4&lt;]">
          <a:extLst>
            <a:ext uri="{FF2B5EF4-FFF2-40B4-BE49-F238E27FC236}">
              <a16:creationId xmlns:a16="http://schemas.microsoft.com/office/drawing/2014/main" id="{00000000-0008-0000-0600-0000C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468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708</xdr:row>
      <xdr:rowOff>0</xdr:rowOff>
    </xdr:from>
    <xdr:ext cx="152400" cy="152400"/>
    <xdr:pic>
      <xdr:nvPicPr>
        <xdr:cNvPr id="705" name="Picture 704" descr="Weakness Base +[@$5F&amp;!4=]">
          <a:extLst>
            <a:ext uri="{FF2B5EF4-FFF2-40B4-BE49-F238E27FC236}">
              <a16:creationId xmlns:a16="http://schemas.microsoft.com/office/drawing/2014/main" id="{00000000-0008-0000-0600-0000C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487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709</xdr:row>
      <xdr:rowOff>0</xdr:rowOff>
    </xdr:from>
    <xdr:ext cx="152400" cy="152400"/>
    <xdr:pic>
      <xdr:nvPicPr>
        <xdr:cNvPr id="706" name="Picture 705" descr="Weakness Base +[@$5F&amp;!4&gt;]">
          <a:extLst>
            <a:ext uri="{FF2B5EF4-FFF2-40B4-BE49-F238E27FC236}">
              <a16:creationId xmlns:a16="http://schemas.microsoft.com/office/drawing/2014/main" id="{00000000-0008-0000-0600-0000C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506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710</xdr:row>
      <xdr:rowOff>0</xdr:rowOff>
    </xdr:from>
    <xdr:ext cx="152400" cy="152400"/>
    <xdr:pic>
      <xdr:nvPicPr>
        <xdr:cNvPr id="707" name="Picture 706" descr="Weakness Variant +[@$5F&amp;!4?]">
          <a:extLst>
            <a:ext uri="{FF2B5EF4-FFF2-40B4-BE49-F238E27FC236}">
              <a16:creationId xmlns:a16="http://schemas.microsoft.com/office/drawing/2014/main" id="{00000000-0008-0000-0600-0000C3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525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711</xdr:row>
      <xdr:rowOff>0</xdr:rowOff>
    </xdr:from>
    <xdr:ext cx="152400" cy="152400"/>
    <xdr:pic>
      <xdr:nvPicPr>
        <xdr:cNvPr id="708" name="Picture 707" descr="Weakness Variant +[@$5F&amp;!4@]">
          <a:extLst>
            <a:ext uri="{FF2B5EF4-FFF2-40B4-BE49-F238E27FC236}">
              <a16:creationId xmlns:a16="http://schemas.microsoft.com/office/drawing/2014/main" id="{00000000-0008-0000-0600-0000C4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544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712</xdr:row>
      <xdr:rowOff>0</xdr:rowOff>
    </xdr:from>
    <xdr:ext cx="152400" cy="152400"/>
    <xdr:pic>
      <xdr:nvPicPr>
        <xdr:cNvPr id="709" name="Picture 708" descr="Weakness Variant +[@$5F&amp;!4A]">
          <a:extLst>
            <a:ext uri="{FF2B5EF4-FFF2-40B4-BE49-F238E27FC236}">
              <a16:creationId xmlns:a16="http://schemas.microsoft.com/office/drawing/2014/main" id="{00000000-0008-0000-0600-0000C5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563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713</xdr:row>
      <xdr:rowOff>0</xdr:rowOff>
    </xdr:from>
    <xdr:ext cx="152400" cy="152400"/>
    <xdr:pic>
      <xdr:nvPicPr>
        <xdr:cNvPr id="710" name="Picture 709" descr="Weakness Base +[@$5F&amp;!4B]">
          <a:extLst>
            <a:ext uri="{FF2B5EF4-FFF2-40B4-BE49-F238E27FC236}">
              <a16:creationId xmlns:a16="http://schemas.microsoft.com/office/drawing/2014/main" id="{00000000-0008-0000-0600-0000C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582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714</xdr:row>
      <xdr:rowOff>0</xdr:rowOff>
    </xdr:from>
    <xdr:ext cx="152400" cy="152400"/>
    <xdr:pic>
      <xdr:nvPicPr>
        <xdr:cNvPr id="711" name="Picture 710" descr="Weakness Base +[@$5F&amp;!4C]">
          <a:extLst>
            <a:ext uri="{FF2B5EF4-FFF2-40B4-BE49-F238E27FC236}">
              <a16:creationId xmlns:a16="http://schemas.microsoft.com/office/drawing/2014/main" id="{00000000-0008-0000-0600-0000C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601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715</xdr:row>
      <xdr:rowOff>0</xdr:rowOff>
    </xdr:from>
    <xdr:ext cx="152400" cy="152400"/>
    <xdr:pic>
      <xdr:nvPicPr>
        <xdr:cNvPr id="712" name="Picture 711" descr="Weakness Base +[@$5F&amp;!4D]">
          <a:extLst>
            <a:ext uri="{FF2B5EF4-FFF2-40B4-BE49-F238E27FC236}">
              <a16:creationId xmlns:a16="http://schemas.microsoft.com/office/drawing/2014/main" id="{00000000-0008-0000-0600-0000C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620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716</xdr:row>
      <xdr:rowOff>0</xdr:rowOff>
    </xdr:from>
    <xdr:ext cx="152400" cy="152400"/>
    <xdr:pic>
      <xdr:nvPicPr>
        <xdr:cNvPr id="713" name="Picture 712" descr="Weakness Base +[@$5F&amp;!4E]">
          <a:extLst>
            <a:ext uri="{FF2B5EF4-FFF2-40B4-BE49-F238E27FC236}">
              <a16:creationId xmlns:a16="http://schemas.microsoft.com/office/drawing/2014/main" id="{00000000-0008-0000-0600-0000C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639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717</xdr:row>
      <xdr:rowOff>0</xdr:rowOff>
    </xdr:from>
    <xdr:ext cx="152400" cy="152400"/>
    <xdr:pic>
      <xdr:nvPicPr>
        <xdr:cNvPr id="714" name="Picture 713" descr="Weakness Variant +[@$5F&amp;!4F]">
          <a:extLst>
            <a:ext uri="{FF2B5EF4-FFF2-40B4-BE49-F238E27FC236}">
              <a16:creationId xmlns:a16="http://schemas.microsoft.com/office/drawing/2014/main" id="{00000000-0008-0000-0600-0000CA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658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718</xdr:row>
      <xdr:rowOff>0</xdr:rowOff>
    </xdr:from>
    <xdr:ext cx="152400" cy="152400"/>
    <xdr:pic>
      <xdr:nvPicPr>
        <xdr:cNvPr id="715" name="Picture 714" descr="Weakness Base +[@$5F&amp;!4G]">
          <a:extLst>
            <a:ext uri="{FF2B5EF4-FFF2-40B4-BE49-F238E27FC236}">
              <a16:creationId xmlns:a16="http://schemas.microsoft.com/office/drawing/2014/main" id="{00000000-0008-0000-0600-0000C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677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719</xdr:row>
      <xdr:rowOff>0</xdr:rowOff>
    </xdr:from>
    <xdr:ext cx="152400" cy="152400"/>
    <xdr:pic>
      <xdr:nvPicPr>
        <xdr:cNvPr id="716" name="Picture 715" descr="Weakness Variant +[@$5F&amp;!4H]">
          <a:extLst>
            <a:ext uri="{FF2B5EF4-FFF2-40B4-BE49-F238E27FC236}">
              <a16:creationId xmlns:a16="http://schemas.microsoft.com/office/drawing/2014/main" id="{00000000-0008-0000-0600-0000CC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696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720</xdr:row>
      <xdr:rowOff>0</xdr:rowOff>
    </xdr:from>
    <xdr:ext cx="152400" cy="152400"/>
    <xdr:pic>
      <xdr:nvPicPr>
        <xdr:cNvPr id="717" name="Picture 716" descr="Weakness Variant +[@$5F&amp;!4I]">
          <a:extLst>
            <a:ext uri="{FF2B5EF4-FFF2-40B4-BE49-F238E27FC236}">
              <a16:creationId xmlns:a16="http://schemas.microsoft.com/office/drawing/2014/main" id="{00000000-0008-0000-0600-0000CD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716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721</xdr:row>
      <xdr:rowOff>0</xdr:rowOff>
    </xdr:from>
    <xdr:ext cx="152400" cy="152400"/>
    <xdr:pic>
      <xdr:nvPicPr>
        <xdr:cNvPr id="718" name="Picture 717" descr="Weakness Base +[@$5F&amp;!4J]">
          <a:extLst>
            <a:ext uri="{FF2B5EF4-FFF2-40B4-BE49-F238E27FC236}">
              <a16:creationId xmlns:a16="http://schemas.microsoft.com/office/drawing/2014/main" id="{00000000-0008-0000-0600-0000C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735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722</xdr:row>
      <xdr:rowOff>0</xdr:rowOff>
    </xdr:from>
    <xdr:ext cx="152400" cy="152400"/>
    <xdr:pic>
      <xdr:nvPicPr>
        <xdr:cNvPr id="719" name="Picture 718" descr="Weakness Variant +[@$5F&amp;!4K]">
          <a:extLst>
            <a:ext uri="{FF2B5EF4-FFF2-40B4-BE49-F238E27FC236}">
              <a16:creationId xmlns:a16="http://schemas.microsoft.com/office/drawing/2014/main" id="{00000000-0008-0000-0600-0000CF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754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723</xdr:row>
      <xdr:rowOff>0</xdr:rowOff>
    </xdr:from>
    <xdr:ext cx="152400" cy="152400"/>
    <xdr:pic>
      <xdr:nvPicPr>
        <xdr:cNvPr id="720" name="Picture 719" descr="Weakness Variant +[@$5F&amp;!4L]">
          <a:extLst>
            <a:ext uri="{FF2B5EF4-FFF2-40B4-BE49-F238E27FC236}">
              <a16:creationId xmlns:a16="http://schemas.microsoft.com/office/drawing/2014/main" id="{00000000-0008-0000-0600-0000D0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773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724</xdr:row>
      <xdr:rowOff>0</xdr:rowOff>
    </xdr:from>
    <xdr:ext cx="152400" cy="152400"/>
    <xdr:pic>
      <xdr:nvPicPr>
        <xdr:cNvPr id="721" name="Picture 720" descr="Weakness Base +[@$5F&amp;!4M]">
          <a:extLst>
            <a:ext uri="{FF2B5EF4-FFF2-40B4-BE49-F238E27FC236}">
              <a16:creationId xmlns:a16="http://schemas.microsoft.com/office/drawing/2014/main" id="{00000000-0008-0000-0600-0000D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792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725</xdr:row>
      <xdr:rowOff>0</xdr:rowOff>
    </xdr:from>
    <xdr:ext cx="152400" cy="152400"/>
    <xdr:pic>
      <xdr:nvPicPr>
        <xdr:cNvPr id="722" name="Picture 721" descr="Weakness Class +[@$5F&amp;!4N]">
          <a:extLst>
            <a:ext uri="{FF2B5EF4-FFF2-40B4-BE49-F238E27FC236}">
              <a16:creationId xmlns:a16="http://schemas.microsoft.com/office/drawing/2014/main" id="{00000000-0008-0000-0600-0000D2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3811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726</xdr:row>
      <xdr:rowOff>0</xdr:rowOff>
    </xdr:from>
    <xdr:ext cx="152400" cy="152400"/>
    <xdr:pic>
      <xdr:nvPicPr>
        <xdr:cNvPr id="723" name="Picture 722" descr="Weakness Base +[@$5F&amp;!4O]">
          <a:extLst>
            <a:ext uri="{FF2B5EF4-FFF2-40B4-BE49-F238E27FC236}">
              <a16:creationId xmlns:a16="http://schemas.microsoft.com/office/drawing/2014/main" id="{00000000-0008-0000-0600-0000D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830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727</xdr:row>
      <xdr:rowOff>0</xdr:rowOff>
    </xdr:from>
    <xdr:ext cx="152400" cy="152400"/>
    <xdr:pic>
      <xdr:nvPicPr>
        <xdr:cNvPr id="724" name="Picture 723" descr="Weakness Base +[@$5F&amp;!4P]">
          <a:extLst>
            <a:ext uri="{FF2B5EF4-FFF2-40B4-BE49-F238E27FC236}">
              <a16:creationId xmlns:a16="http://schemas.microsoft.com/office/drawing/2014/main" id="{00000000-0008-0000-0600-0000D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849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728</xdr:row>
      <xdr:rowOff>0</xdr:rowOff>
    </xdr:from>
    <xdr:ext cx="152400" cy="152400"/>
    <xdr:pic>
      <xdr:nvPicPr>
        <xdr:cNvPr id="725" name="Picture 724" descr="Category +[@$5F&amp;!4Q]">
          <a:extLst>
            <a:ext uri="{FF2B5EF4-FFF2-40B4-BE49-F238E27FC236}">
              <a16:creationId xmlns:a16="http://schemas.microsoft.com/office/drawing/2014/main" id="{00000000-0008-0000-0600-0000D5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3868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729</xdr:row>
      <xdr:rowOff>0</xdr:rowOff>
    </xdr:from>
    <xdr:ext cx="152400" cy="152400"/>
    <xdr:pic>
      <xdr:nvPicPr>
        <xdr:cNvPr id="726" name="Picture 725" descr="View +[@$5F&amp;!4R]">
          <a:extLst>
            <a:ext uri="{FF2B5EF4-FFF2-40B4-BE49-F238E27FC236}">
              <a16:creationId xmlns:a16="http://schemas.microsoft.com/office/drawing/2014/main" id="{00000000-0008-0000-0600-0000D602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3887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730</xdr:row>
      <xdr:rowOff>0</xdr:rowOff>
    </xdr:from>
    <xdr:ext cx="152400" cy="152400"/>
    <xdr:pic>
      <xdr:nvPicPr>
        <xdr:cNvPr id="727" name="Picture 726" descr="Category +[@$5F&amp;!4S]">
          <a:extLst>
            <a:ext uri="{FF2B5EF4-FFF2-40B4-BE49-F238E27FC236}">
              <a16:creationId xmlns:a16="http://schemas.microsoft.com/office/drawing/2014/main" id="{00000000-0008-0000-0600-0000D7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3906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731</xdr:row>
      <xdr:rowOff>0</xdr:rowOff>
    </xdr:from>
    <xdr:ext cx="152400" cy="152400"/>
    <xdr:pic>
      <xdr:nvPicPr>
        <xdr:cNvPr id="728" name="Picture 727" descr="Category +[@$5F&amp;!4T]">
          <a:extLst>
            <a:ext uri="{FF2B5EF4-FFF2-40B4-BE49-F238E27FC236}">
              <a16:creationId xmlns:a16="http://schemas.microsoft.com/office/drawing/2014/main" id="{00000000-0008-0000-0600-0000D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3925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732</xdr:row>
      <xdr:rowOff>0</xdr:rowOff>
    </xdr:from>
    <xdr:ext cx="152400" cy="152400"/>
    <xdr:pic>
      <xdr:nvPicPr>
        <xdr:cNvPr id="729" name="Picture 728" descr="View +[@$5F&amp;!4U]">
          <a:extLst>
            <a:ext uri="{FF2B5EF4-FFF2-40B4-BE49-F238E27FC236}">
              <a16:creationId xmlns:a16="http://schemas.microsoft.com/office/drawing/2014/main" id="{00000000-0008-0000-0600-0000D902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3944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733</xdr:row>
      <xdr:rowOff>0</xdr:rowOff>
    </xdr:from>
    <xdr:ext cx="152400" cy="152400"/>
    <xdr:pic>
      <xdr:nvPicPr>
        <xdr:cNvPr id="730" name="Picture 729" descr="Weakness Base +[@$5F&amp;!4V]">
          <a:extLst>
            <a:ext uri="{FF2B5EF4-FFF2-40B4-BE49-F238E27FC236}">
              <a16:creationId xmlns:a16="http://schemas.microsoft.com/office/drawing/2014/main" id="{00000000-0008-0000-0600-0000D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963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734</xdr:row>
      <xdr:rowOff>0</xdr:rowOff>
    </xdr:from>
    <xdr:ext cx="152400" cy="152400"/>
    <xdr:pic>
      <xdr:nvPicPr>
        <xdr:cNvPr id="731" name="Picture 730" descr="Weakness Base +[@$5F&amp;!4W]">
          <a:extLst>
            <a:ext uri="{FF2B5EF4-FFF2-40B4-BE49-F238E27FC236}">
              <a16:creationId xmlns:a16="http://schemas.microsoft.com/office/drawing/2014/main" id="{00000000-0008-0000-0600-0000D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982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735</xdr:row>
      <xdr:rowOff>0</xdr:rowOff>
    </xdr:from>
    <xdr:ext cx="152400" cy="152400"/>
    <xdr:pic>
      <xdr:nvPicPr>
        <xdr:cNvPr id="732" name="Picture 731" descr="Weakness Base +[@$5F&amp;!4X]">
          <a:extLst>
            <a:ext uri="{FF2B5EF4-FFF2-40B4-BE49-F238E27FC236}">
              <a16:creationId xmlns:a16="http://schemas.microsoft.com/office/drawing/2014/main" id="{00000000-0008-0000-0600-0000D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001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736</xdr:row>
      <xdr:rowOff>0</xdr:rowOff>
    </xdr:from>
    <xdr:ext cx="152400" cy="152400"/>
    <xdr:pic>
      <xdr:nvPicPr>
        <xdr:cNvPr id="733" name="Picture 732" descr="Weakness Base +[@$5F&amp;!4Y]">
          <a:extLst>
            <a:ext uri="{FF2B5EF4-FFF2-40B4-BE49-F238E27FC236}">
              <a16:creationId xmlns:a16="http://schemas.microsoft.com/office/drawing/2014/main" id="{00000000-0008-0000-0600-0000D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020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737</xdr:row>
      <xdr:rowOff>0</xdr:rowOff>
    </xdr:from>
    <xdr:ext cx="152400" cy="152400"/>
    <xdr:pic>
      <xdr:nvPicPr>
        <xdr:cNvPr id="734" name="Picture 733" descr="Weakness Base +[@$5F&amp;!4Z]">
          <a:extLst>
            <a:ext uri="{FF2B5EF4-FFF2-40B4-BE49-F238E27FC236}">
              <a16:creationId xmlns:a16="http://schemas.microsoft.com/office/drawing/2014/main" id="{00000000-0008-0000-0600-0000D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03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738</xdr:row>
      <xdr:rowOff>0</xdr:rowOff>
    </xdr:from>
    <xdr:ext cx="152400" cy="152400"/>
    <xdr:pic>
      <xdr:nvPicPr>
        <xdr:cNvPr id="735" name="Picture 734" descr="Weakness Base +[@$5F&amp;!4[]">
          <a:extLst>
            <a:ext uri="{FF2B5EF4-FFF2-40B4-BE49-F238E27FC236}">
              <a16:creationId xmlns:a16="http://schemas.microsoft.com/office/drawing/2014/main" id="{00000000-0008-0000-0600-0000D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058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739</xdr:row>
      <xdr:rowOff>0</xdr:rowOff>
    </xdr:from>
    <xdr:ext cx="152400" cy="152400"/>
    <xdr:pic>
      <xdr:nvPicPr>
        <xdr:cNvPr id="736" name="Picture 735" descr="Weakness Base +[@$5F&amp;!4\]">
          <a:extLst>
            <a:ext uri="{FF2B5EF4-FFF2-40B4-BE49-F238E27FC236}">
              <a16:creationId xmlns:a16="http://schemas.microsoft.com/office/drawing/2014/main" id="{00000000-0008-0000-0600-0000E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077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740</xdr:row>
      <xdr:rowOff>0</xdr:rowOff>
    </xdr:from>
    <xdr:ext cx="152400" cy="152400"/>
    <xdr:pic>
      <xdr:nvPicPr>
        <xdr:cNvPr id="737" name="Picture 736" descr="Weakness Base +[@$5F&amp;!4]]">
          <a:extLst>
            <a:ext uri="{FF2B5EF4-FFF2-40B4-BE49-F238E27FC236}">
              <a16:creationId xmlns:a16="http://schemas.microsoft.com/office/drawing/2014/main" id="{00000000-0008-0000-0600-0000E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097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741</xdr:row>
      <xdr:rowOff>0</xdr:rowOff>
    </xdr:from>
    <xdr:ext cx="152400" cy="152400"/>
    <xdr:pic>
      <xdr:nvPicPr>
        <xdr:cNvPr id="738" name="Picture 737" descr="Weakness Base +[@$5F&amp;!4^]">
          <a:extLst>
            <a:ext uri="{FF2B5EF4-FFF2-40B4-BE49-F238E27FC236}">
              <a16:creationId xmlns:a16="http://schemas.microsoft.com/office/drawing/2014/main" id="{00000000-0008-0000-0600-0000E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116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742</xdr:row>
      <xdr:rowOff>0</xdr:rowOff>
    </xdr:from>
    <xdr:ext cx="152400" cy="152400"/>
    <xdr:pic>
      <xdr:nvPicPr>
        <xdr:cNvPr id="739" name="Picture 738" descr="Category +[@$5F&amp;!4_]">
          <a:extLst>
            <a:ext uri="{FF2B5EF4-FFF2-40B4-BE49-F238E27FC236}">
              <a16:creationId xmlns:a16="http://schemas.microsoft.com/office/drawing/2014/main" id="{00000000-0008-0000-0600-0000E3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135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743</xdr:row>
      <xdr:rowOff>0</xdr:rowOff>
    </xdr:from>
    <xdr:ext cx="152400" cy="152400"/>
    <xdr:pic>
      <xdr:nvPicPr>
        <xdr:cNvPr id="740" name="Picture 739" descr="Weakness Class +[@$5F&amp;!4`]">
          <a:extLst>
            <a:ext uri="{FF2B5EF4-FFF2-40B4-BE49-F238E27FC236}">
              <a16:creationId xmlns:a16="http://schemas.microsoft.com/office/drawing/2014/main" id="{00000000-0008-0000-0600-0000E4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4154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744</xdr:row>
      <xdr:rowOff>0</xdr:rowOff>
    </xdr:from>
    <xdr:ext cx="152400" cy="152400"/>
    <xdr:pic>
      <xdr:nvPicPr>
        <xdr:cNvPr id="741" name="Picture 740" descr="Weakness Variant +[@$5F&amp;!4a]">
          <a:extLst>
            <a:ext uri="{FF2B5EF4-FFF2-40B4-BE49-F238E27FC236}">
              <a16:creationId xmlns:a16="http://schemas.microsoft.com/office/drawing/2014/main" id="{00000000-0008-0000-0600-0000E5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4173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745</xdr:row>
      <xdr:rowOff>0</xdr:rowOff>
    </xdr:from>
    <xdr:ext cx="152400" cy="152400"/>
    <xdr:pic>
      <xdr:nvPicPr>
        <xdr:cNvPr id="742" name="Picture 741" descr="Weakness Variant +[@$5F&amp;!4b]">
          <a:extLst>
            <a:ext uri="{FF2B5EF4-FFF2-40B4-BE49-F238E27FC236}">
              <a16:creationId xmlns:a16="http://schemas.microsoft.com/office/drawing/2014/main" id="{00000000-0008-0000-0600-0000E6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4192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746</xdr:row>
      <xdr:rowOff>0</xdr:rowOff>
    </xdr:from>
    <xdr:ext cx="152400" cy="152400"/>
    <xdr:pic>
      <xdr:nvPicPr>
        <xdr:cNvPr id="743" name="Picture 742" descr="Weakness Variant +[@$5F&amp;!4c]">
          <a:extLst>
            <a:ext uri="{FF2B5EF4-FFF2-40B4-BE49-F238E27FC236}">
              <a16:creationId xmlns:a16="http://schemas.microsoft.com/office/drawing/2014/main" id="{00000000-0008-0000-0600-0000E7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4211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747</xdr:row>
      <xdr:rowOff>0</xdr:rowOff>
    </xdr:from>
    <xdr:ext cx="152400" cy="152400"/>
    <xdr:pic>
      <xdr:nvPicPr>
        <xdr:cNvPr id="744" name="Picture 743" descr="Weakness Variant +[@$5F&amp;!4d]">
          <a:extLst>
            <a:ext uri="{FF2B5EF4-FFF2-40B4-BE49-F238E27FC236}">
              <a16:creationId xmlns:a16="http://schemas.microsoft.com/office/drawing/2014/main" id="{00000000-0008-0000-0600-0000E8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4230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748</xdr:row>
      <xdr:rowOff>0</xdr:rowOff>
    </xdr:from>
    <xdr:ext cx="152400" cy="152400"/>
    <xdr:pic>
      <xdr:nvPicPr>
        <xdr:cNvPr id="745" name="Picture 744" descr="Weakness Base +[@$5F&amp;!4e]">
          <a:extLst>
            <a:ext uri="{FF2B5EF4-FFF2-40B4-BE49-F238E27FC236}">
              <a16:creationId xmlns:a16="http://schemas.microsoft.com/office/drawing/2014/main" id="{00000000-0008-0000-0600-0000E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249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749</xdr:row>
      <xdr:rowOff>0</xdr:rowOff>
    </xdr:from>
    <xdr:ext cx="152400" cy="152400"/>
    <xdr:pic>
      <xdr:nvPicPr>
        <xdr:cNvPr id="746" name="Picture 745" descr="Weakness Variant +[@$5F&amp;!4f]">
          <a:extLst>
            <a:ext uri="{FF2B5EF4-FFF2-40B4-BE49-F238E27FC236}">
              <a16:creationId xmlns:a16="http://schemas.microsoft.com/office/drawing/2014/main" id="{00000000-0008-0000-0600-0000EA0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4268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750</xdr:row>
      <xdr:rowOff>0</xdr:rowOff>
    </xdr:from>
    <xdr:ext cx="152400" cy="152400"/>
    <xdr:pic>
      <xdr:nvPicPr>
        <xdr:cNvPr id="747" name="Picture 746" descr="Weakness Base +[@$5F&amp;!4g]">
          <a:extLst>
            <a:ext uri="{FF2B5EF4-FFF2-40B4-BE49-F238E27FC236}">
              <a16:creationId xmlns:a16="http://schemas.microsoft.com/office/drawing/2014/main" id="{00000000-0008-0000-0600-0000E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287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751</xdr:row>
      <xdr:rowOff>0</xdr:rowOff>
    </xdr:from>
    <xdr:ext cx="142875" cy="133350"/>
    <xdr:pic>
      <xdr:nvPicPr>
        <xdr:cNvPr id="748" name="Picture 747" descr="Compound Element: Composite +[@$5F&amp;!4h]">
          <a:extLst>
            <a:ext uri="{FF2B5EF4-FFF2-40B4-BE49-F238E27FC236}">
              <a16:creationId xmlns:a16="http://schemas.microsoft.com/office/drawing/2014/main" id="{00000000-0008-0000-0600-0000EC02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43075" y="143065500"/>
          <a:ext cx="142875"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752</xdr:row>
      <xdr:rowOff>0</xdr:rowOff>
    </xdr:from>
    <xdr:ext cx="152400" cy="152400"/>
    <xdr:pic>
      <xdr:nvPicPr>
        <xdr:cNvPr id="749" name="Picture 748" descr="View +[@$5F&amp;!4i]">
          <a:extLst>
            <a:ext uri="{FF2B5EF4-FFF2-40B4-BE49-F238E27FC236}">
              <a16:creationId xmlns:a16="http://schemas.microsoft.com/office/drawing/2014/main" id="{00000000-0008-0000-0600-0000ED02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4325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753</xdr:row>
      <xdr:rowOff>0</xdr:rowOff>
    </xdr:from>
    <xdr:ext cx="152400" cy="152400"/>
    <xdr:pic>
      <xdr:nvPicPr>
        <xdr:cNvPr id="750" name="Picture 749" descr="Category +[@$5F&amp;!4j]">
          <a:extLst>
            <a:ext uri="{FF2B5EF4-FFF2-40B4-BE49-F238E27FC236}">
              <a16:creationId xmlns:a16="http://schemas.microsoft.com/office/drawing/2014/main" id="{00000000-0008-0000-0600-0000E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344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754</xdr:row>
      <xdr:rowOff>0</xdr:rowOff>
    </xdr:from>
    <xdr:ext cx="152400" cy="152400"/>
    <xdr:pic>
      <xdr:nvPicPr>
        <xdr:cNvPr id="751" name="Picture 750" descr="Category +[@$5F&amp;!4k]">
          <a:extLst>
            <a:ext uri="{FF2B5EF4-FFF2-40B4-BE49-F238E27FC236}">
              <a16:creationId xmlns:a16="http://schemas.microsoft.com/office/drawing/2014/main" id="{00000000-0008-0000-0600-0000EF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363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755</xdr:row>
      <xdr:rowOff>0</xdr:rowOff>
    </xdr:from>
    <xdr:ext cx="152400" cy="152400"/>
    <xdr:pic>
      <xdr:nvPicPr>
        <xdr:cNvPr id="752" name="Picture 751" descr="Category +[@$5F&amp;!4l]">
          <a:extLst>
            <a:ext uri="{FF2B5EF4-FFF2-40B4-BE49-F238E27FC236}">
              <a16:creationId xmlns:a16="http://schemas.microsoft.com/office/drawing/2014/main" id="{00000000-0008-0000-0600-0000F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382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756</xdr:row>
      <xdr:rowOff>0</xdr:rowOff>
    </xdr:from>
    <xdr:ext cx="152400" cy="152400"/>
    <xdr:pic>
      <xdr:nvPicPr>
        <xdr:cNvPr id="753" name="Picture 752" descr="Category +[@$5F&amp;!4m]">
          <a:extLst>
            <a:ext uri="{FF2B5EF4-FFF2-40B4-BE49-F238E27FC236}">
              <a16:creationId xmlns:a16="http://schemas.microsoft.com/office/drawing/2014/main" id="{00000000-0008-0000-0600-0000F1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401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757</xdr:row>
      <xdr:rowOff>0</xdr:rowOff>
    </xdr:from>
    <xdr:ext cx="152400" cy="152400"/>
    <xdr:pic>
      <xdr:nvPicPr>
        <xdr:cNvPr id="754" name="Picture 753" descr="Category +[@$5F&amp;!4n]">
          <a:extLst>
            <a:ext uri="{FF2B5EF4-FFF2-40B4-BE49-F238E27FC236}">
              <a16:creationId xmlns:a16="http://schemas.microsoft.com/office/drawing/2014/main" id="{00000000-0008-0000-0600-0000F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420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758</xdr:row>
      <xdr:rowOff>0</xdr:rowOff>
    </xdr:from>
    <xdr:ext cx="152400" cy="152400"/>
    <xdr:pic>
      <xdr:nvPicPr>
        <xdr:cNvPr id="755" name="Picture 754" descr="Category +[@$5F&amp;!4o]">
          <a:extLst>
            <a:ext uri="{FF2B5EF4-FFF2-40B4-BE49-F238E27FC236}">
              <a16:creationId xmlns:a16="http://schemas.microsoft.com/office/drawing/2014/main" id="{00000000-0008-0000-0600-0000F3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439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759</xdr:row>
      <xdr:rowOff>0</xdr:rowOff>
    </xdr:from>
    <xdr:ext cx="152400" cy="152400"/>
    <xdr:pic>
      <xdr:nvPicPr>
        <xdr:cNvPr id="756" name="Picture 755" descr="Category +[@$5F&amp;!4p]">
          <a:extLst>
            <a:ext uri="{FF2B5EF4-FFF2-40B4-BE49-F238E27FC236}">
              <a16:creationId xmlns:a16="http://schemas.microsoft.com/office/drawing/2014/main" id="{00000000-0008-0000-0600-0000F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458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760</xdr:row>
      <xdr:rowOff>0</xdr:rowOff>
    </xdr:from>
    <xdr:ext cx="152400" cy="152400"/>
    <xdr:pic>
      <xdr:nvPicPr>
        <xdr:cNvPr id="757" name="Picture 756" descr="Category +[@$5F&amp;!4q]">
          <a:extLst>
            <a:ext uri="{FF2B5EF4-FFF2-40B4-BE49-F238E27FC236}">
              <a16:creationId xmlns:a16="http://schemas.microsoft.com/office/drawing/2014/main" id="{00000000-0008-0000-0600-0000F5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478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761</xdr:row>
      <xdr:rowOff>0</xdr:rowOff>
    </xdr:from>
    <xdr:ext cx="152400" cy="152400"/>
    <xdr:pic>
      <xdr:nvPicPr>
        <xdr:cNvPr id="758" name="Picture 757" descr="Category +[@$5F&amp;!4r]">
          <a:extLst>
            <a:ext uri="{FF2B5EF4-FFF2-40B4-BE49-F238E27FC236}">
              <a16:creationId xmlns:a16="http://schemas.microsoft.com/office/drawing/2014/main" id="{00000000-0008-0000-0600-0000F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497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762</xdr:row>
      <xdr:rowOff>0</xdr:rowOff>
    </xdr:from>
    <xdr:ext cx="152400" cy="152400"/>
    <xdr:pic>
      <xdr:nvPicPr>
        <xdr:cNvPr id="759" name="Picture 758" descr="Category +[@$5F&amp;!4s]">
          <a:extLst>
            <a:ext uri="{FF2B5EF4-FFF2-40B4-BE49-F238E27FC236}">
              <a16:creationId xmlns:a16="http://schemas.microsoft.com/office/drawing/2014/main" id="{00000000-0008-0000-0600-0000F7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516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763</xdr:row>
      <xdr:rowOff>0</xdr:rowOff>
    </xdr:from>
    <xdr:ext cx="152400" cy="152400"/>
    <xdr:pic>
      <xdr:nvPicPr>
        <xdr:cNvPr id="760" name="Picture 759" descr="Category +[@$5F&amp;!4t]">
          <a:extLst>
            <a:ext uri="{FF2B5EF4-FFF2-40B4-BE49-F238E27FC236}">
              <a16:creationId xmlns:a16="http://schemas.microsoft.com/office/drawing/2014/main" id="{00000000-0008-0000-0600-0000F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535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764</xdr:row>
      <xdr:rowOff>0</xdr:rowOff>
    </xdr:from>
    <xdr:ext cx="152400" cy="152400"/>
    <xdr:pic>
      <xdr:nvPicPr>
        <xdr:cNvPr id="761" name="Picture 760" descr="Category +[@$5F&amp;!4u]">
          <a:extLst>
            <a:ext uri="{FF2B5EF4-FFF2-40B4-BE49-F238E27FC236}">
              <a16:creationId xmlns:a16="http://schemas.microsoft.com/office/drawing/2014/main" id="{00000000-0008-0000-0600-0000F9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554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765</xdr:row>
      <xdr:rowOff>0</xdr:rowOff>
    </xdr:from>
    <xdr:ext cx="152400" cy="152400"/>
    <xdr:pic>
      <xdr:nvPicPr>
        <xdr:cNvPr id="762" name="Picture 761" descr="Category +[@$5F&amp;!4v]">
          <a:extLst>
            <a:ext uri="{FF2B5EF4-FFF2-40B4-BE49-F238E27FC236}">
              <a16:creationId xmlns:a16="http://schemas.microsoft.com/office/drawing/2014/main" id="{00000000-0008-0000-0600-0000F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573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766</xdr:row>
      <xdr:rowOff>0</xdr:rowOff>
    </xdr:from>
    <xdr:ext cx="152400" cy="152400"/>
    <xdr:pic>
      <xdr:nvPicPr>
        <xdr:cNvPr id="763" name="Picture 762" descr="Category +[@$5F&amp;!4w]">
          <a:extLst>
            <a:ext uri="{FF2B5EF4-FFF2-40B4-BE49-F238E27FC236}">
              <a16:creationId xmlns:a16="http://schemas.microsoft.com/office/drawing/2014/main" id="{00000000-0008-0000-0600-0000FB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592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767</xdr:row>
      <xdr:rowOff>0</xdr:rowOff>
    </xdr:from>
    <xdr:ext cx="152400" cy="152400"/>
    <xdr:pic>
      <xdr:nvPicPr>
        <xdr:cNvPr id="764" name="Picture 763" descr="Category +[@$5F&amp;!4x]">
          <a:extLst>
            <a:ext uri="{FF2B5EF4-FFF2-40B4-BE49-F238E27FC236}">
              <a16:creationId xmlns:a16="http://schemas.microsoft.com/office/drawing/2014/main" id="{00000000-0008-0000-0600-0000F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611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768</xdr:row>
      <xdr:rowOff>0</xdr:rowOff>
    </xdr:from>
    <xdr:ext cx="152400" cy="152400"/>
    <xdr:pic>
      <xdr:nvPicPr>
        <xdr:cNvPr id="765" name="Picture 764" descr="Category +[@$5F&amp;!4y]">
          <a:extLst>
            <a:ext uri="{FF2B5EF4-FFF2-40B4-BE49-F238E27FC236}">
              <a16:creationId xmlns:a16="http://schemas.microsoft.com/office/drawing/2014/main" id="{00000000-0008-0000-0600-0000FD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630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769</xdr:row>
      <xdr:rowOff>0</xdr:rowOff>
    </xdr:from>
    <xdr:ext cx="152400" cy="152400"/>
    <xdr:pic>
      <xdr:nvPicPr>
        <xdr:cNvPr id="766" name="Picture 765" descr="Category +[@$5F&amp;!4z]">
          <a:extLst>
            <a:ext uri="{FF2B5EF4-FFF2-40B4-BE49-F238E27FC236}">
              <a16:creationId xmlns:a16="http://schemas.microsoft.com/office/drawing/2014/main" id="{00000000-0008-0000-0600-0000F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649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770</xdr:row>
      <xdr:rowOff>0</xdr:rowOff>
    </xdr:from>
    <xdr:ext cx="152400" cy="152400"/>
    <xdr:pic>
      <xdr:nvPicPr>
        <xdr:cNvPr id="767" name="Picture 766" descr="Category +[@$5F&amp;!4{]">
          <a:extLst>
            <a:ext uri="{FF2B5EF4-FFF2-40B4-BE49-F238E27FC236}">
              <a16:creationId xmlns:a16="http://schemas.microsoft.com/office/drawing/2014/main" id="{00000000-0008-0000-0600-0000FF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668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771</xdr:row>
      <xdr:rowOff>0</xdr:rowOff>
    </xdr:from>
    <xdr:ext cx="152400" cy="152400"/>
    <xdr:pic>
      <xdr:nvPicPr>
        <xdr:cNvPr id="768" name="Picture 767" descr="Category +[@$5F&amp;!4|]">
          <a:extLst>
            <a:ext uri="{FF2B5EF4-FFF2-40B4-BE49-F238E27FC236}">
              <a16:creationId xmlns:a16="http://schemas.microsoft.com/office/drawing/2014/main" id="{00000000-0008-0000-0600-000000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687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772</xdr:row>
      <xdr:rowOff>0</xdr:rowOff>
    </xdr:from>
    <xdr:ext cx="152400" cy="152400"/>
    <xdr:pic>
      <xdr:nvPicPr>
        <xdr:cNvPr id="769" name="Picture 768" descr="Category +[@$5F&amp;!4}]">
          <a:extLst>
            <a:ext uri="{FF2B5EF4-FFF2-40B4-BE49-F238E27FC236}">
              <a16:creationId xmlns:a16="http://schemas.microsoft.com/office/drawing/2014/main" id="{00000000-0008-0000-0600-000001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706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773</xdr:row>
      <xdr:rowOff>0</xdr:rowOff>
    </xdr:from>
    <xdr:ext cx="152400" cy="152400"/>
    <xdr:pic>
      <xdr:nvPicPr>
        <xdr:cNvPr id="770" name="Picture 769" descr="Category +[@$5F&amp;!4~]">
          <a:extLst>
            <a:ext uri="{FF2B5EF4-FFF2-40B4-BE49-F238E27FC236}">
              <a16:creationId xmlns:a16="http://schemas.microsoft.com/office/drawing/2014/main" id="{00000000-0008-0000-0600-000002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725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774</xdr:row>
      <xdr:rowOff>0</xdr:rowOff>
    </xdr:from>
    <xdr:ext cx="152400" cy="152400"/>
    <xdr:pic>
      <xdr:nvPicPr>
        <xdr:cNvPr id="771" name="Picture 770" descr="Category +[@$5F&amp;!5#]">
          <a:extLst>
            <a:ext uri="{FF2B5EF4-FFF2-40B4-BE49-F238E27FC236}">
              <a16:creationId xmlns:a16="http://schemas.microsoft.com/office/drawing/2014/main" id="{00000000-0008-0000-0600-000003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744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775</xdr:row>
      <xdr:rowOff>0</xdr:rowOff>
    </xdr:from>
    <xdr:ext cx="152400" cy="152400"/>
    <xdr:pic>
      <xdr:nvPicPr>
        <xdr:cNvPr id="772" name="Picture 771" descr="Weakness Base +[@$5F&amp;!5$]">
          <a:extLst>
            <a:ext uri="{FF2B5EF4-FFF2-40B4-BE49-F238E27FC236}">
              <a16:creationId xmlns:a16="http://schemas.microsoft.com/office/drawing/2014/main" id="{00000000-0008-0000-0600-00000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763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776</xdr:row>
      <xdr:rowOff>0</xdr:rowOff>
    </xdr:from>
    <xdr:ext cx="152400" cy="152400"/>
    <xdr:pic>
      <xdr:nvPicPr>
        <xdr:cNvPr id="773" name="Picture 772" descr="Weakness Base +[@$5F&amp;!5%]">
          <a:extLst>
            <a:ext uri="{FF2B5EF4-FFF2-40B4-BE49-F238E27FC236}">
              <a16:creationId xmlns:a16="http://schemas.microsoft.com/office/drawing/2014/main" id="{00000000-0008-0000-0600-00000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782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777</xdr:row>
      <xdr:rowOff>0</xdr:rowOff>
    </xdr:from>
    <xdr:ext cx="152400" cy="152400"/>
    <xdr:pic>
      <xdr:nvPicPr>
        <xdr:cNvPr id="774" name="Picture 773" descr="Weakness Variant +[@$5F&amp;!5&amp;]">
          <a:extLst>
            <a:ext uri="{FF2B5EF4-FFF2-40B4-BE49-F238E27FC236}">
              <a16:creationId xmlns:a16="http://schemas.microsoft.com/office/drawing/2014/main" id="{00000000-0008-0000-0600-000006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4801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778</xdr:row>
      <xdr:rowOff>0</xdr:rowOff>
    </xdr:from>
    <xdr:ext cx="152400" cy="152400"/>
    <xdr:pic>
      <xdr:nvPicPr>
        <xdr:cNvPr id="775" name="Picture 774" descr="Weakness Base +[@$5F&amp;!5']">
          <a:extLst>
            <a:ext uri="{FF2B5EF4-FFF2-40B4-BE49-F238E27FC236}">
              <a16:creationId xmlns:a16="http://schemas.microsoft.com/office/drawing/2014/main" id="{00000000-0008-0000-0600-00000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820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779</xdr:row>
      <xdr:rowOff>0</xdr:rowOff>
    </xdr:from>
    <xdr:ext cx="152400" cy="152400"/>
    <xdr:pic>
      <xdr:nvPicPr>
        <xdr:cNvPr id="776" name="Picture 775" descr="Weakness Variant +[@$5F&amp;!5(]">
          <a:extLst>
            <a:ext uri="{FF2B5EF4-FFF2-40B4-BE49-F238E27FC236}">
              <a16:creationId xmlns:a16="http://schemas.microsoft.com/office/drawing/2014/main" id="{00000000-0008-0000-0600-000008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4839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780</xdr:row>
      <xdr:rowOff>0</xdr:rowOff>
    </xdr:from>
    <xdr:ext cx="152400" cy="152400"/>
    <xdr:pic>
      <xdr:nvPicPr>
        <xdr:cNvPr id="777" name="Picture 776" descr="Weakness Base +[@$5F&amp;!5)]">
          <a:extLst>
            <a:ext uri="{FF2B5EF4-FFF2-40B4-BE49-F238E27FC236}">
              <a16:creationId xmlns:a16="http://schemas.microsoft.com/office/drawing/2014/main" id="{00000000-0008-0000-0600-00000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859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781</xdr:row>
      <xdr:rowOff>0</xdr:rowOff>
    </xdr:from>
    <xdr:ext cx="152400" cy="152400"/>
    <xdr:pic>
      <xdr:nvPicPr>
        <xdr:cNvPr id="778" name="Picture 777" descr="Weakness Base +[@$5F&amp;!5.]">
          <a:extLst>
            <a:ext uri="{FF2B5EF4-FFF2-40B4-BE49-F238E27FC236}">
              <a16:creationId xmlns:a16="http://schemas.microsoft.com/office/drawing/2014/main" id="{00000000-0008-0000-0600-00000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878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782</xdr:row>
      <xdr:rowOff>0</xdr:rowOff>
    </xdr:from>
    <xdr:ext cx="152400" cy="152400"/>
    <xdr:pic>
      <xdr:nvPicPr>
        <xdr:cNvPr id="779" name="Picture 778" descr="View +[@$5F&amp;!5/]">
          <a:extLst>
            <a:ext uri="{FF2B5EF4-FFF2-40B4-BE49-F238E27FC236}">
              <a16:creationId xmlns:a16="http://schemas.microsoft.com/office/drawing/2014/main" id="{00000000-0008-0000-0600-00000B03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4897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783</xdr:row>
      <xdr:rowOff>0</xdr:rowOff>
    </xdr:from>
    <xdr:ext cx="152400" cy="152400"/>
    <xdr:pic>
      <xdr:nvPicPr>
        <xdr:cNvPr id="780" name="Picture 779" descr="Category +[@$5F&amp;!50]">
          <a:extLst>
            <a:ext uri="{FF2B5EF4-FFF2-40B4-BE49-F238E27FC236}">
              <a16:creationId xmlns:a16="http://schemas.microsoft.com/office/drawing/2014/main" id="{00000000-0008-0000-0600-00000C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916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784</xdr:row>
      <xdr:rowOff>0</xdr:rowOff>
    </xdr:from>
    <xdr:ext cx="152400" cy="152400"/>
    <xdr:pic>
      <xdr:nvPicPr>
        <xdr:cNvPr id="781" name="Picture 780" descr="Weakness Base +[@$5F&amp;!51]">
          <a:extLst>
            <a:ext uri="{FF2B5EF4-FFF2-40B4-BE49-F238E27FC236}">
              <a16:creationId xmlns:a16="http://schemas.microsoft.com/office/drawing/2014/main" id="{00000000-0008-0000-0600-00000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935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785</xdr:row>
      <xdr:rowOff>0</xdr:rowOff>
    </xdr:from>
    <xdr:ext cx="152400" cy="152400"/>
    <xdr:pic>
      <xdr:nvPicPr>
        <xdr:cNvPr id="782" name="Picture 781" descr="Weakness Variant +[@$5F&amp;!52]">
          <a:extLst>
            <a:ext uri="{FF2B5EF4-FFF2-40B4-BE49-F238E27FC236}">
              <a16:creationId xmlns:a16="http://schemas.microsoft.com/office/drawing/2014/main" id="{00000000-0008-0000-0600-00000E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4954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786</xdr:row>
      <xdr:rowOff>0</xdr:rowOff>
    </xdr:from>
    <xdr:ext cx="152400" cy="152400"/>
    <xdr:pic>
      <xdr:nvPicPr>
        <xdr:cNvPr id="783" name="Picture 782" descr="Weakness Variant +[@$5F&amp;!53]">
          <a:extLst>
            <a:ext uri="{FF2B5EF4-FFF2-40B4-BE49-F238E27FC236}">
              <a16:creationId xmlns:a16="http://schemas.microsoft.com/office/drawing/2014/main" id="{00000000-0008-0000-0600-00000F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4973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787</xdr:row>
      <xdr:rowOff>0</xdr:rowOff>
    </xdr:from>
    <xdr:ext cx="152400" cy="152400"/>
    <xdr:pic>
      <xdr:nvPicPr>
        <xdr:cNvPr id="784" name="Picture 783" descr="Category +[@$5F&amp;!54]">
          <a:extLst>
            <a:ext uri="{FF2B5EF4-FFF2-40B4-BE49-F238E27FC236}">
              <a16:creationId xmlns:a16="http://schemas.microsoft.com/office/drawing/2014/main" id="{00000000-0008-0000-0600-000010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992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788</xdr:row>
      <xdr:rowOff>0</xdr:rowOff>
    </xdr:from>
    <xdr:ext cx="152400" cy="152400"/>
    <xdr:pic>
      <xdr:nvPicPr>
        <xdr:cNvPr id="785" name="Picture 784" descr="Weakness Base +[@$5F&amp;!55]">
          <a:extLst>
            <a:ext uri="{FF2B5EF4-FFF2-40B4-BE49-F238E27FC236}">
              <a16:creationId xmlns:a16="http://schemas.microsoft.com/office/drawing/2014/main" id="{00000000-0008-0000-0600-00001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011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789</xdr:row>
      <xdr:rowOff>0</xdr:rowOff>
    </xdr:from>
    <xdr:ext cx="152400" cy="152400"/>
    <xdr:pic>
      <xdr:nvPicPr>
        <xdr:cNvPr id="786" name="Picture 785" descr="Weakness Base +[@$5F&amp;!56]">
          <a:extLst>
            <a:ext uri="{FF2B5EF4-FFF2-40B4-BE49-F238E27FC236}">
              <a16:creationId xmlns:a16="http://schemas.microsoft.com/office/drawing/2014/main" id="{00000000-0008-0000-0600-00001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030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790</xdr:row>
      <xdr:rowOff>0</xdr:rowOff>
    </xdr:from>
    <xdr:ext cx="152400" cy="152400"/>
    <xdr:pic>
      <xdr:nvPicPr>
        <xdr:cNvPr id="787" name="Picture 786" descr="Category +[@$5F&amp;!57]">
          <a:extLst>
            <a:ext uri="{FF2B5EF4-FFF2-40B4-BE49-F238E27FC236}">
              <a16:creationId xmlns:a16="http://schemas.microsoft.com/office/drawing/2014/main" id="{00000000-0008-0000-0600-000013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049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791</xdr:row>
      <xdr:rowOff>0</xdr:rowOff>
    </xdr:from>
    <xdr:ext cx="152400" cy="152400"/>
    <xdr:pic>
      <xdr:nvPicPr>
        <xdr:cNvPr id="788" name="Picture 787" descr="Category +[@$5F&amp;!58]">
          <a:extLst>
            <a:ext uri="{FF2B5EF4-FFF2-40B4-BE49-F238E27FC236}">
              <a16:creationId xmlns:a16="http://schemas.microsoft.com/office/drawing/2014/main" id="{00000000-0008-0000-0600-000014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068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792</xdr:row>
      <xdr:rowOff>0</xdr:rowOff>
    </xdr:from>
    <xdr:ext cx="152400" cy="152400"/>
    <xdr:pic>
      <xdr:nvPicPr>
        <xdr:cNvPr id="789" name="Picture 788" descr="Weakness Variant +[@$5F&amp;!59]">
          <a:extLst>
            <a:ext uri="{FF2B5EF4-FFF2-40B4-BE49-F238E27FC236}">
              <a16:creationId xmlns:a16="http://schemas.microsoft.com/office/drawing/2014/main" id="{00000000-0008-0000-0600-000015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087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793</xdr:row>
      <xdr:rowOff>0</xdr:rowOff>
    </xdr:from>
    <xdr:ext cx="152400" cy="152400"/>
    <xdr:pic>
      <xdr:nvPicPr>
        <xdr:cNvPr id="790" name="Picture 789" descr="Weakness Variant +[@$5F&amp;!5:]">
          <a:extLst>
            <a:ext uri="{FF2B5EF4-FFF2-40B4-BE49-F238E27FC236}">
              <a16:creationId xmlns:a16="http://schemas.microsoft.com/office/drawing/2014/main" id="{00000000-0008-0000-0600-000016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106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794</xdr:row>
      <xdr:rowOff>0</xdr:rowOff>
    </xdr:from>
    <xdr:ext cx="152400" cy="152400"/>
    <xdr:pic>
      <xdr:nvPicPr>
        <xdr:cNvPr id="791" name="Picture 790" descr="Weakness Variant +[@$5F&amp;!5;]">
          <a:extLst>
            <a:ext uri="{FF2B5EF4-FFF2-40B4-BE49-F238E27FC236}">
              <a16:creationId xmlns:a16="http://schemas.microsoft.com/office/drawing/2014/main" id="{00000000-0008-0000-0600-000017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125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795</xdr:row>
      <xdr:rowOff>0</xdr:rowOff>
    </xdr:from>
    <xdr:ext cx="152400" cy="152400"/>
    <xdr:pic>
      <xdr:nvPicPr>
        <xdr:cNvPr id="792" name="Picture 791" descr="Weakness Variant +[@$5F&amp;!5&lt;]">
          <a:extLst>
            <a:ext uri="{FF2B5EF4-FFF2-40B4-BE49-F238E27FC236}">
              <a16:creationId xmlns:a16="http://schemas.microsoft.com/office/drawing/2014/main" id="{00000000-0008-0000-0600-000018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144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796</xdr:row>
      <xdr:rowOff>0</xdr:rowOff>
    </xdr:from>
    <xdr:ext cx="152400" cy="152400"/>
    <xdr:pic>
      <xdr:nvPicPr>
        <xdr:cNvPr id="793" name="Picture 792" descr="Weakness Variant +[@$5F&amp;!5=]">
          <a:extLst>
            <a:ext uri="{FF2B5EF4-FFF2-40B4-BE49-F238E27FC236}">
              <a16:creationId xmlns:a16="http://schemas.microsoft.com/office/drawing/2014/main" id="{00000000-0008-0000-0600-000019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163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797</xdr:row>
      <xdr:rowOff>0</xdr:rowOff>
    </xdr:from>
    <xdr:ext cx="152400" cy="152400"/>
    <xdr:pic>
      <xdr:nvPicPr>
        <xdr:cNvPr id="794" name="Picture 793" descr="Weakness Variant +[@$5F&amp;!5&gt;]">
          <a:extLst>
            <a:ext uri="{FF2B5EF4-FFF2-40B4-BE49-F238E27FC236}">
              <a16:creationId xmlns:a16="http://schemas.microsoft.com/office/drawing/2014/main" id="{00000000-0008-0000-0600-00001A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182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798</xdr:row>
      <xdr:rowOff>0</xdr:rowOff>
    </xdr:from>
    <xdr:ext cx="152400" cy="152400"/>
    <xdr:pic>
      <xdr:nvPicPr>
        <xdr:cNvPr id="795" name="Picture 794" descr="Weakness Variant +[@$5F&amp;!5?]">
          <a:extLst>
            <a:ext uri="{FF2B5EF4-FFF2-40B4-BE49-F238E27FC236}">
              <a16:creationId xmlns:a16="http://schemas.microsoft.com/office/drawing/2014/main" id="{00000000-0008-0000-0600-00001B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201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799</xdr:row>
      <xdr:rowOff>0</xdr:rowOff>
    </xdr:from>
    <xdr:ext cx="152400" cy="152400"/>
    <xdr:pic>
      <xdr:nvPicPr>
        <xdr:cNvPr id="796" name="Picture 795" descr="Weakness Variant +[@$5F&amp;!5@]">
          <a:extLst>
            <a:ext uri="{FF2B5EF4-FFF2-40B4-BE49-F238E27FC236}">
              <a16:creationId xmlns:a16="http://schemas.microsoft.com/office/drawing/2014/main" id="{00000000-0008-0000-0600-00001C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220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800</xdr:row>
      <xdr:rowOff>0</xdr:rowOff>
    </xdr:from>
    <xdr:ext cx="152400" cy="152400"/>
    <xdr:pic>
      <xdr:nvPicPr>
        <xdr:cNvPr id="797" name="Picture 796" descr="Weakness Variant +[@$5F&amp;!5A]">
          <a:extLst>
            <a:ext uri="{FF2B5EF4-FFF2-40B4-BE49-F238E27FC236}">
              <a16:creationId xmlns:a16="http://schemas.microsoft.com/office/drawing/2014/main" id="{00000000-0008-0000-0600-00001D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240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801</xdr:row>
      <xdr:rowOff>0</xdr:rowOff>
    </xdr:from>
    <xdr:ext cx="152400" cy="152400"/>
    <xdr:pic>
      <xdr:nvPicPr>
        <xdr:cNvPr id="798" name="Picture 797" descr="Weakness Variant +[@$5F&amp;!5B]">
          <a:extLst>
            <a:ext uri="{FF2B5EF4-FFF2-40B4-BE49-F238E27FC236}">
              <a16:creationId xmlns:a16="http://schemas.microsoft.com/office/drawing/2014/main" id="{00000000-0008-0000-0600-00001E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259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802</xdr:row>
      <xdr:rowOff>0</xdr:rowOff>
    </xdr:from>
    <xdr:ext cx="152400" cy="152400"/>
    <xdr:pic>
      <xdr:nvPicPr>
        <xdr:cNvPr id="799" name="Picture 798" descr="Weakness Variant +[@$5F&amp;!5C]">
          <a:extLst>
            <a:ext uri="{FF2B5EF4-FFF2-40B4-BE49-F238E27FC236}">
              <a16:creationId xmlns:a16="http://schemas.microsoft.com/office/drawing/2014/main" id="{00000000-0008-0000-0600-00001F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278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803</xdr:row>
      <xdr:rowOff>0</xdr:rowOff>
    </xdr:from>
    <xdr:ext cx="152400" cy="152400"/>
    <xdr:pic>
      <xdr:nvPicPr>
        <xdr:cNvPr id="800" name="Picture 799" descr="Weakness Base +[@$5F&amp;!5D]">
          <a:extLst>
            <a:ext uri="{FF2B5EF4-FFF2-40B4-BE49-F238E27FC236}">
              <a16:creationId xmlns:a16="http://schemas.microsoft.com/office/drawing/2014/main" id="{00000000-0008-0000-0600-00002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297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804</xdr:row>
      <xdr:rowOff>0</xdr:rowOff>
    </xdr:from>
    <xdr:ext cx="152400" cy="152400"/>
    <xdr:pic>
      <xdr:nvPicPr>
        <xdr:cNvPr id="801" name="Picture 800" descr="Category +[@$5F&amp;!5E]">
          <a:extLst>
            <a:ext uri="{FF2B5EF4-FFF2-40B4-BE49-F238E27FC236}">
              <a16:creationId xmlns:a16="http://schemas.microsoft.com/office/drawing/2014/main" id="{00000000-0008-0000-0600-000021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316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805</xdr:row>
      <xdr:rowOff>0</xdr:rowOff>
    </xdr:from>
    <xdr:ext cx="152400" cy="152400"/>
    <xdr:pic>
      <xdr:nvPicPr>
        <xdr:cNvPr id="802" name="Picture 801" descr="Category +[@$5F&amp;!5F]">
          <a:extLst>
            <a:ext uri="{FF2B5EF4-FFF2-40B4-BE49-F238E27FC236}">
              <a16:creationId xmlns:a16="http://schemas.microsoft.com/office/drawing/2014/main" id="{00000000-0008-0000-0600-000022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335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806</xdr:row>
      <xdr:rowOff>0</xdr:rowOff>
    </xdr:from>
    <xdr:ext cx="152400" cy="152400"/>
    <xdr:pic>
      <xdr:nvPicPr>
        <xdr:cNvPr id="803" name="Picture 802" descr="Category +[@$5F&amp;!5G]">
          <a:extLst>
            <a:ext uri="{FF2B5EF4-FFF2-40B4-BE49-F238E27FC236}">
              <a16:creationId xmlns:a16="http://schemas.microsoft.com/office/drawing/2014/main" id="{00000000-0008-0000-0600-000023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354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807</xdr:row>
      <xdr:rowOff>0</xdr:rowOff>
    </xdr:from>
    <xdr:ext cx="152400" cy="152400"/>
    <xdr:pic>
      <xdr:nvPicPr>
        <xdr:cNvPr id="804" name="Picture 803" descr="Category +[@$5F&amp;!5H]">
          <a:extLst>
            <a:ext uri="{FF2B5EF4-FFF2-40B4-BE49-F238E27FC236}">
              <a16:creationId xmlns:a16="http://schemas.microsoft.com/office/drawing/2014/main" id="{00000000-0008-0000-0600-000024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373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808</xdr:row>
      <xdr:rowOff>0</xdr:rowOff>
    </xdr:from>
    <xdr:ext cx="152400" cy="152400"/>
    <xdr:pic>
      <xdr:nvPicPr>
        <xdr:cNvPr id="805" name="Picture 804" descr="Category +[@$5F&amp;!5I]">
          <a:extLst>
            <a:ext uri="{FF2B5EF4-FFF2-40B4-BE49-F238E27FC236}">
              <a16:creationId xmlns:a16="http://schemas.microsoft.com/office/drawing/2014/main" id="{00000000-0008-0000-0600-000025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392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809</xdr:row>
      <xdr:rowOff>0</xdr:rowOff>
    </xdr:from>
    <xdr:ext cx="152400" cy="152400"/>
    <xdr:pic>
      <xdr:nvPicPr>
        <xdr:cNvPr id="806" name="Picture 805" descr="Weakness Base +[@$5F&amp;!5J]">
          <a:extLst>
            <a:ext uri="{FF2B5EF4-FFF2-40B4-BE49-F238E27FC236}">
              <a16:creationId xmlns:a16="http://schemas.microsoft.com/office/drawing/2014/main" id="{00000000-0008-0000-0600-00002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411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810</xdr:row>
      <xdr:rowOff>0</xdr:rowOff>
    </xdr:from>
    <xdr:ext cx="152400" cy="152400"/>
    <xdr:pic>
      <xdr:nvPicPr>
        <xdr:cNvPr id="807" name="Picture 806" descr="Category +[@$5F&amp;!5K]">
          <a:extLst>
            <a:ext uri="{FF2B5EF4-FFF2-40B4-BE49-F238E27FC236}">
              <a16:creationId xmlns:a16="http://schemas.microsoft.com/office/drawing/2014/main" id="{00000000-0008-0000-0600-000027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430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811</xdr:row>
      <xdr:rowOff>0</xdr:rowOff>
    </xdr:from>
    <xdr:ext cx="152400" cy="152400"/>
    <xdr:pic>
      <xdr:nvPicPr>
        <xdr:cNvPr id="808" name="Picture 807" descr="Weakness Base +[@$5F&amp;!5L]">
          <a:extLst>
            <a:ext uri="{FF2B5EF4-FFF2-40B4-BE49-F238E27FC236}">
              <a16:creationId xmlns:a16="http://schemas.microsoft.com/office/drawing/2014/main" id="{00000000-0008-0000-0600-000028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449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812</xdr:row>
      <xdr:rowOff>0</xdr:rowOff>
    </xdr:from>
    <xdr:ext cx="152400" cy="152400"/>
    <xdr:pic>
      <xdr:nvPicPr>
        <xdr:cNvPr id="809" name="Picture 808" descr="Weakness Class +[@$5F&amp;!5M]">
          <a:extLst>
            <a:ext uri="{FF2B5EF4-FFF2-40B4-BE49-F238E27FC236}">
              <a16:creationId xmlns:a16="http://schemas.microsoft.com/office/drawing/2014/main" id="{00000000-0008-0000-0600-000029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5468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813</xdr:row>
      <xdr:rowOff>0</xdr:rowOff>
    </xdr:from>
    <xdr:ext cx="152400" cy="152400"/>
    <xdr:pic>
      <xdr:nvPicPr>
        <xdr:cNvPr id="810" name="Picture 809" descr="Weakness Base +[@$5F&amp;!5N]">
          <a:extLst>
            <a:ext uri="{FF2B5EF4-FFF2-40B4-BE49-F238E27FC236}">
              <a16:creationId xmlns:a16="http://schemas.microsoft.com/office/drawing/2014/main" id="{00000000-0008-0000-0600-00002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487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814</xdr:row>
      <xdr:rowOff>0</xdr:rowOff>
    </xdr:from>
    <xdr:ext cx="152400" cy="152400"/>
    <xdr:pic>
      <xdr:nvPicPr>
        <xdr:cNvPr id="811" name="Picture 810" descr="Weakness Base +[@$5F&amp;!5O]">
          <a:extLst>
            <a:ext uri="{FF2B5EF4-FFF2-40B4-BE49-F238E27FC236}">
              <a16:creationId xmlns:a16="http://schemas.microsoft.com/office/drawing/2014/main" id="{00000000-0008-0000-0600-00002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506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815</xdr:row>
      <xdr:rowOff>0</xdr:rowOff>
    </xdr:from>
    <xdr:ext cx="152400" cy="152400"/>
    <xdr:pic>
      <xdr:nvPicPr>
        <xdr:cNvPr id="812" name="Picture 811" descr="Weakness Base +[@$5F&amp;!5P]">
          <a:extLst>
            <a:ext uri="{FF2B5EF4-FFF2-40B4-BE49-F238E27FC236}">
              <a16:creationId xmlns:a16="http://schemas.microsoft.com/office/drawing/2014/main" id="{00000000-0008-0000-0600-00002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525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816</xdr:row>
      <xdr:rowOff>0</xdr:rowOff>
    </xdr:from>
    <xdr:ext cx="152400" cy="152400"/>
    <xdr:pic>
      <xdr:nvPicPr>
        <xdr:cNvPr id="813" name="Picture 812" descr="Weakness Base +[@$5F&amp;!5Q]">
          <a:extLst>
            <a:ext uri="{FF2B5EF4-FFF2-40B4-BE49-F238E27FC236}">
              <a16:creationId xmlns:a16="http://schemas.microsoft.com/office/drawing/2014/main" id="{00000000-0008-0000-0600-00002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544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817</xdr:row>
      <xdr:rowOff>0</xdr:rowOff>
    </xdr:from>
    <xdr:ext cx="152400" cy="152400"/>
    <xdr:pic>
      <xdr:nvPicPr>
        <xdr:cNvPr id="814" name="Picture 813" descr="Weakness Base +[@$5F&amp;!5R]">
          <a:extLst>
            <a:ext uri="{FF2B5EF4-FFF2-40B4-BE49-F238E27FC236}">
              <a16:creationId xmlns:a16="http://schemas.microsoft.com/office/drawing/2014/main" id="{00000000-0008-0000-0600-00002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563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818</xdr:row>
      <xdr:rowOff>0</xdr:rowOff>
    </xdr:from>
    <xdr:ext cx="152400" cy="152400"/>
    <xdr:pic>
      <xdr:nvPicPr>
        <xdr:cNvPr id="815" name="Picture 814" descr="Weakness Variant +[@$5F&amp;!5S]">
          <a:extLst>
            <a:ext uri="{FF2B5EF4-FFF2-40B4-BE49-F238E27FC236}">
              <a16:creationId xmlns:a16="http://schemas.microsoft.com/office/drawing/2014/main" id="{00000000-0008-0000-0600-00002F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582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819</xdr:row>
      <xdr:rowOff>0</xdr:rowOff>
    </xdr:from>
    <xdr:ext cx="152400" cy="152400"/>
    <xdr:pic>
      <xdr:nvPicPr>
        <xdr:cNvPr id="816" name="Picture 815" descr="Category +[@$5F&amp;!5T]">
          <a:extLst>
            <a:ext uri="{FF2B5EF4-FFF2-40B4-BE49-F238E27FC236}">
              <a16:creationId xmlns:a16="http://schemas.microsoft.com/office/drawing/2014/main" id="{00000000-0008-0000-0600-000030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601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820</xdr:row>
      <xdr:rowOff>0</xdr:rowOff>
    </xdr:from>
    <xdr:ext cx="152400" cy="152400"/>
    <xdr:pic>
      <xdr:nvPicPr>
        <xdr:cNvPr id="817" name="Picture 816" descr="Weakness Base +[@$5F&amp;!5U]">
          <a:extLst>
            <a:ext uri="{FF2B5EF4-FFF2-40B4-BE49-F238E27FC236}">
              <a16:creationId xmlns:a16="http://schemas.microsoft.com/office/drawing/2014/main" id="{00000000-0008-0000-0600-00003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621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821</xdr:row>
      <xdr:rowOff>0</xdr:rowOff>
    </xdr:from>
    <xdr:ext cx="152400" cy="152400"/>
    <xdr:pic>
      <xdr:nvPicPr>
        <xdr:cNvPr id="818" name="Picture 817" descr="Weakness Base +[@$5F&amp;!5V]">
          <a:extLst>
            <a:ext uri="{FF2B5EF4-FFF2-40B4-BE49-F238E27FC236}">
              <a16:creationId xmlns:a16="http://schemas.microsoft.com/office/drawing/2014/main" id="{00000000-0008-0000-0600-00003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640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822</xdr:row>
      <xdr:rowOff>0</xdr:rowOff>
    </xdr:from>
    <xdr:ext cx="152400" cy="152400"/>
    <xdr:pic>
      <xdr:nvPicPr>
        <xdr:cNvPr id="819" name="Picture 818" descr="Weakness Base +[@$5F&amp;!5W]">
          <a:extLst>
            <a:ext uri="{FF2B5EF4-FFF2-40B4-BE49-F238E27FC236}">
              <a16:creationId xmlns:a16="http://schemas.microsoft.com/office/drawing/2014/main" id="{00000000-0008-0000-0600-00003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659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823</xdr:row>
      <xdr:rowOff>0</xdr:rowOff>
    </xdr:from>
    <xdr:ext cx="152400" cy="152400"/>
    <xdr:pic>
      <xdr:nvPicPr>
        <xdr:cNvPr id="820" name="Picture 819" descr="Weakness Base +[@$5F&amp;!5X]">
          <a:extLst>
            <a:ext uri="{FF2B5EF4-FFF2-40B4-BE49-F238E27FC236}">
              <a16:creationId xmlns:a16="http://schemas.microsoft.com/office/drawing/2014/main" id="{00000000-0008-0000-0600-00003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678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824</xdr:row>
      <xdr:rowOff>0</xdr:rowOff>
    </xdr:from>
    <xdr:ext cx="152400" cy="152400"/>
    <xdr:pic>
      <xdr:nvPicPr>
        <xdr:cNvPr id="821" name="Picture 820" descr="Weakness Base +[@$5F&amp;!5Y]">
          <a:extLst>
            <a:ext uri="{FF2B5EF4-FFF2-40B4-BE49-F238E27FC236}">
              <a16:creationId xmlns:a16="http://schemas.microsoft.com/office/drawing/2014/main" id="{00000000-0008-0000-0600-00003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697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825</xdr:row>
      <xdr:rowOff>0</xdr:rowOff>
    </xdr:from>
    <xdr:ext cx="152400" cy="152400"/>
    <xdr:pic>
      <xdr:nvPicPr>
        <xdr:cNvPr id="822" name="Picture 821" descr="Weakness Base +[@$5F&amp;!5Z]">
          <a:extLst>
            <a:ext uri="{FF2B5EF4-FFF2-40B4-BE49-F238E27FC236}">
              <a16:creationId xmlns:a16="http://schemas.microsoft.com/office/drawing/2014/main" id="{00000000-0008-0000-0600-00003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716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826</xdr:row>
      <xdr:rowOff>0</xdr:rowOff>
    </xdr:from>
    <xdr:ext cx="152400" cy="152400"/>
    <xdr:pic>
      <xdr:nvPicPr>
        <xdr:cNvPr id="823" name="Picture 822" descr="Weakness Base +[@$5F&amp;!5[]">
          <a:extLst>
            <a:ext uri="{FF2B5EF4-FFF2-40B4-BE49-F238E27FC236}">
              <a16:creationId xmlns:a16="http://schemas.microsoft.com/office/drawing/2014/main" id="{00000000-0008-0000-0600-00003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735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827</xdr:row>
      <xdr:rowOff>0</xdr:rowOff>
    </xdr:from>
    <xdr:ext cx="285750" cy="95250"/>
    <xdr:pic>
      <xdr:nvPicPr>
        <xdr:cNvPr id="824" name="Picture 823" descr="Compound Element: Chain +[@$5F&amp;!5\]">
          <a:extLst>
            <a:ext uri="{FF2B5EF4-FFF2-40B4-BE49-F238E27FC236}">
              <a16:creationId xmlns:a16="http://schemas.microsoft.com/office/drawing/2014/main" id="{00000000-0008-0000-0600-00003803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43075" y="157543500"/>
          <a:ext cx="2857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828</xdr:row>
      <xdr:rowOff>0</xdr:rowOff>
    </xdr:from>
    <xdr:ext cx="152400" cy="152400"/>
    <xdr:pic>
      <xdr:nvPicPr>
        <xdr:cNvPr id="825" name="Picture 824" descr="Weakness Base +[@$5F&amp;!5]]">
          <a:extLst>
            <a:ext uri="{FF2B5EF4-FFF2-40B4-BE49-F238E27FC236}">
              <a16:creationId xmlns:a16="http://schemas.microsoft.com/office/drawing/2014/main" id="{00000000-0008-0000-0600-00003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773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829</xdr:row>
      <xdr:rowOff>0</xdr:rowOff>
    </xdr:from>
    <xdr:ext cx="152400" cy="152400"/>
    <xdr:pic>
      <xdr:nvPicPr>
        <xdr:cNvPr id="826" name="Picture 825" descr="Weakness Variant +[@$5F&amp;!5^]">
          <a:extLst>
            <a:ext uri="{FF2B5EF4-FFF2-40B4-BE49-F238E27FC236}">
              <a16:creationId xmlns:a16="http://schemas.microsoft.com/office/drawing/2014/main" id="{00000000-0008-0000-0600-00003A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792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830</xdr:row>
      <xdr:rowOff>0</xdr:rowOff>
    </xdr:from>
    <xdr:ext cx="152400" cy="152400"/>
    <xdr:pic>
      <xdr:nvPicPr>
        <xdr:cNvPr id="827" name="Picture 826" descr="Weakness Base +[@$5F&amp;!5_]">
          <a:extLst>
            <a:ext uri="{FF2B5EF4-FFF2-40B4-BE49-F238E27FC236}">
              <a16:creationId xmlns:a16="http://schemas.microsoft.com/office/drawing/2014/main" id="{00000000-0008-0000-0600-00003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811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831</xdr:row>
      <xdr:rowOff>0</xdr:rowOff>
    </xdr:from>
    <xdr:ext cx="152400" cy="152400"/>
    <xdr:pic>
      <xdr:nvPicPr>
        <xdr:cNvPr id="828" name="Picture 827" descr="Weakness Base +[@$5F&amp;!5`]">
          <a:extLst>
            <a:ext uri="{FF2B5EF4-FFF2-40B4-BE49-F238E27FC236}">
              <a16:creationId xmlns:a16="http://schemas.microsoft.com/office/drawing/2014/main" id="{00000000-0008-0000-0600-00003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830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832</xdr:row>
      <xdr:rowOff>0</xdr:rowOff>
    </xdr:from>
    <xdr:ext cx="152400" cy="152400"/>
    <xdr:pic>
      <xdr:nvPicPr>
        <xdr:cNvPr id="829" name="Picture 828" descr="Weakness Base +[@$5F&amp;!5a]">
          <a:extLst>
            <a:ext uri="{FF2B5EF4-FFF2-40B4-BE49-F238E27FC236}">
              <a16:creationId xmlns:a16="http://schemas.microsoft.com/office/drawing/2014/main" id="{00000000-0008-0000-0600-00003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849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833</xdr:row>
      <xdr:rowOff>0</xdr:rowOff>
    </xdr:from>
    <xdr:ext cx="152400" cy="152400"/>
    <xdr:pic>
      <xdr:nvPicPr>
        <xdr:cNvPr id="830" name="Picture 829" descr="Weakness Base +[@$5F&amp;!5b]">
          <a:extLst>
            <a:ext uri="{FF2B5EF4-FFF2-40B4-BE49-F238E27FC236}">
              <a16:creationId xmlns:a16="http://schemas.microsoft.com/office/drawing/2014/main" id="{00000000-0008-0000-0600-00003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868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834</xdr:row>
      <xdr:rowOff>0</xdr:rowOff>
    </xdr:from>
    <xdr:ext cx="152400" cy="152400"/>
    <xdr:pic>
      <xdr:nvPicPr>
        <xdr:cNvPr id="831" name="Picture 830" descr="Weakness Base +[@$5F&amp;!5c]">
          <a:extLst>
            <a:ext uri="{FF2B5EF4-FFF2-40B4-BE49-F238E27FC236}">
              <a16:creationId xmlns:a16="http://schemas.microsoft.com/office/drawing/2014/main" id="{00000000-0008-0000-0600-00003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887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835</xdr:row>
      <xdr:rowOff>0</xdr:rowOff>
    </xdr:from>
    <xdr:ext cx="152400" cy="152400"/>
    <xdr:pic>
      <xdr:nvPicPr>
        <xdr:cNvPr id="832" name="Picture 831" descr="Weakness Base +[@$5F&amp;!5d]">
          <a:extLst>
            <a:ext uri="{FF2B5EF4-FFF2-40B4-BE49-F238E27FC236}">
              <a16:creationId xmlns:a16="http://schemas.microsoft.com/office/drawing/2014/main" id="{00000000-0008-0000-0600-00004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906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836</xdr:row>
      <xdr:rowOff>0</xdr:rowOff>
    </xdr:from>
    <xdr:ext cx="152400" cy="152400"/>
    <xdr:pic>
      <xdr:nvPicPr>
        <xdr:cNvPr id="833" name="Picture 832" descr="Weakness Base +[@$5F&amp;!5e]">
          <a:extLst>
            <a:ext uri="{FF2B5EF4-FFF2-40B4-BE49-F238E27FC236}">
              <a16:creationId xmlns:a16="http://schemas.microsoft.com/office/drawing/2014/main" id="{00000000-0008-0000-0600-00004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925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837</xdr:row>
      <xdr:rowOff>0</xdr:rowOff>
    </xdr:from>
    <xdr:ext cx="152400" cy="152400"/>
    <xdr:pic>
      <xdr:nvPicPr>
        <xdr:cNvPr id="834" name="Picture 833" descr="Weakness Class +[@$5F&amp;!5f]">
          <a:extLst>
            <a:ext uri="{FF2B5EF4-FFF2-40B4-BE49-F238E27FC236}">
              <a16:creationId xmlns:a16="http://schemas.microsoft.com/office/drawing/2014/main" id="{00000000-0008-0000-0600-000042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5944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838</xdr:row>
      <xdr:rowOff>0</xdr:rowOff>
    </xdr:from>
    <xdr:ext cx="152400" cy="152400"/>
    <xdr:pic>
      <xdr:nvPicPr>
        <xdr:cNvPr id="835" name="Picture 834" descr="Weakness Variant +[@$5F&amp;!5g]">
          <a:extLst>
            <a:ext uri="{FF2B5EF4-FFF2-40B4-BE49-F238E27FC236}">
              <a16:creationId xmlns:a16="http://schemas.microsoft.com/office/drawing/2014/main" id="{00000000-0008-0000-0600-000043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963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839</xdr:row>
      <xdr:rowOff>0</xdr:rowOff>
    </xdr:from>
    <xdr:ext cx="152400" cy="152400"/>
    <xdr:pic>
      <xdr:nvPicPr>
        <xdr:cNvPr id="836" name="Picture 835" descr="Category +[@$5F&amp;!5h]">
          <a:extLst>
            <a:ext uri="{FF2B5EF4-FFF2-40B4-BE49-F238E27FC236}">
              <a16:creationId xmlns:a16="http://schemas.microsoft.com/office/drawing/2014/main" id="{00000000-0008-0000-0600-000044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982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840</xdr:row>
      <xdr:rowOff>0</xdr:rowOff>
    </xdr:from>
    <xdr:ext cx="142875" cy="133350"/>
    <xdr:pic>
      <xdr:nvPicPr>
        <xdr:cNvPr id="837" name="Picture 836" descr="Compound Element: Composite +[@$5F&amp;!5i]">
          <a:extLst>
            <a:ext uri="{FF2B5EF4-FFF2-40B4-BE49-F238E27FC236}">
              <a16:creationId xmlns:a16="http://schemas.microsoft.com/office/drawing/2014/main" id="{00000000-0008-0000-0600-00004503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43075" y="160020000"/>
          <a:ext cx="142875"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841</xdr:row>
      <xdr:rowOff>0</xdr:rowOff>
    </xdr:from>
    <xdr:ext cx="152400" cy="152400"/>
    <xdr:pic>
      <xdr:nvPicPr>
        <xdr:cNvPr id="838" name="Picture 837" descr="Weakness Base +[@$5F&amp;!5j]">
          <a:extLst>
            <a:ext uri="{FF2B5EF4-FFF2-40B4-BE49-F238E27FC236}">
              <a16:creationId xmlns:a16="http://schemas.microsoft.com/office/drawing/2014/main" id="{00000000-0008-0000-0600-00004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021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842</xdr:row>
      <xdr:rowOff>0</xdr:rowOff>
    </xdr:from>
    <xdr:ext cx="152400" cy="152400"/>
    <xdr:pic>
      <xdr:nvPicPr>
        <xdr:cNvPr id="839" name="Picture 838" descr="Weakness Class +[@$5F&amp;!5k]">
          <a:extLst>
            <a:ext uri="{FF2B5EF4-FFF2-40B4-BE49-F238E27FC236}">
              <a16:creationId xmlns:a16="http://schemas.microsoft.com/office/drawing/2014/main" id="{00000000-0008-0000-0600-000047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6040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843</xdr:row>
      <xdr:rowOff>0</xdr:rowOff>
    </xdr:from>
    <xdr:ext cx="152400" cy="152400"/>
    <xdr:pic>
      <xdr:nvPicPr>
        <xdr:cNvPr id="840" name="Picture 839" descr="Weakness Variant +[@$5F&amp;!5l]">
          <a:extLst>
            <a:ext uri="{FF2B5EF4-FFF2-40B4-BE49-F238E27FC236}">
              <a16:creationId xmlns:a16="http://schemas.microsoft.com/office/drawing/2014/main" id="{00000000-0008-0000-0600-000048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059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844</xdr:row>
      <xdr:rowOff>0</xdr:rowOff>
    </xdr:from>
    <xdr:ext cx="152400" cy="152400"/>
    <xdr:pic>
      <xdr:nvPicPr>
        <xdr:cNvPr id="841" name="Picture 840" descr="Weakness Base +[@$5F&amp;!5m]">
          <a:extLst>
            <a:ext uri="{FF2B5EF4-FFF2-40B4-BE49-F238E27FC236}">
              <a16:creationId xmlns:a16="http://schemas.microsoft.com/office/drawing/2014/main" id="{00000000-0008-0000-0600-00004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078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845</xdr:row>
      <xdr:rowOff>0</xdr:rowOff>
    </xdr:from>
    <xdr:ext cx="152400" cy="152400"/>
    <xdr:pic>
      <xdr:nvPicPr>
        <xdr:cNvPr id="842" name="Picture 841" descr="Weakness Base +[@$5F&amp;!5n]">
          <a:extLst>
            <a:ext uri="{FF2B5EF4-FFF2-40B4-BE49-F238E27FC236}">
              <a16:creationId xmlns:a16="http://schemas.microsoft.com/office/drawing/2014/main" id="{00000000-0008-0000-0600-00004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097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846</xdr:row>
      <xdr:rowOff>0</xdr:rowOff>
    </xdr:from>
    <xdr:ext cx="152400" cy="152400"/>
    <xdr:pic>
      <xdr:nvPicPr>
        <xdr:cNvPr id="843" name="Picture 842" descr="Weakness Variant +[@$5F&amp;!5o]">
          <a:extLst>
            <a:ext uri="{FF2B5EF4-FFF2-40B4-BE49-F238E27FC236}">
              <a16:creationId xmlns:a16="http://schemas.microsoft.com/office/drawing/2014/main" id="{00000000-0008-0000-0600-00004B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116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847</xdr:row>
      <xdr:rowOff>0</xdr:rowOff>
    </xdr:from>
    <xdr:ext cx="152400" cy="152400"/>
    <xdr:pic>
      <xdr:nvPicPr>
        <xdr:cNvPr id="844" name="Picture 843" descr="Weakness Variant +[@$5F&amp;!5p]">
          <a:extLst>
            <a:ext uri="{FF2B5EF4-FFF2-40B4-BE49-F238E27FC236}">
              <a16:creationId xmlns:a16="http://schemas.microsoft.com/office/drawing/2014/main" id="{00000000-0008-0000-0600-00004C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135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848</xdr:row>
      <xdr:rowOff>0</xdr:rowOff>
    </xdr:from>
    <xdr:ext cx="152400" cy="152400"/>
    <xdr:pic>
      <xdr:nvPicPr>
        <xdr:cNvPr id="845" name="Picture 844" descr="Weakness Base +[@$5F&amp;!5q]">
          <a:extLst>
            <a:ext uri="{FF2B5EF4-FFF2-40B4-BE49-F238E27FC236}">
              <a16:creationId xmlns:a16="http://schemas.microsoft.com/office/drawing/2014/main" id="{00000000-0008-0000-0600-00004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154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849</xdr:row>
      <xdr:rowOff>0</xdr:rowOff>
    </xdr:from>
    <xdr:ext cx="152400" cy="152400"/>
    <xdr:pic>
      <xdr:nvPicPr>
        <xdr:cNvPr id="846" name="Picture 845" descr="Weakness Base +[@$5F&amp;!5r]">
          <a:extLst>
            <a:ext uri="{FF2B5EF4-FFF2-40B4-BE49-F238E27FC236}">
              <a16:creationId xmlns:a16="http://schemas.microsoft.com/office/drawing/2014/main" id="{00000000-0008-0000-0600-00004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173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850</xdr:row>
      <xdr:rowOff>0</xdr:rowOff>
    </xdr:from>
    <xdr:ext cx="152400" cy="152400"/>
    <xdr:pic>
      <xdr:nvPicPr>
        <xdr:cNvPr id="847" name="Picture 846" descr="Weakness Base +[@$5F&amp;!5s]">
          <a:extLst>
            <a:ext uri="{FF2B5EF4-FFF2-40B4-BE49-F238E27FC236}">
              <a16:creationId xmlns:a16="http://schemas.microsoft.com/office/drawing/2014/main" id="{00000000-0008-0000-0600-00004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192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851</xdr:row>
      <xdr:rowOff>0</xdr:rowOff>
    </xdr:from>
    <xdr:ext cx="152400" cy="152400"/>
    <xdr:pic>
      <xdr:nvPicPr>
        <xdr:cNvPr id="848" name="Picture 847" descr="Weakness Variant +[@$5F&amp;!5t]">
          <a:extLst>
            <a:ext uri="{FF2B5EF4-FFF2-40B4-BE49-F238E27FC236}">
              <a16:creationId xmlns:a16="http://schemas.microsoft.com/office/drawing/2014/main" id="{00000000-0008-0000-0600-000050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211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852</xdr:row>
      <xdr:rowOff>0</xdr:rowOff>
    </xdr:from>
    <xdr:ext cx="152400" cy="152400"/>
    <xdr:pic>
      <xdr:nvPicPr>
        <xdr:cNvPr id="849" name="Picture 848" descr="Weakness Variant +[@$5F&amp;!5u]">
          <a:extLst>
            <a:ext uri="{FF2B5EF4-FFF2-40B4-BE49-F238E27FC236}">
              <a16:creationId xmlns:a16="http://schemas.microsoft.com/office/drawing/2014/main" id="{00000000-0008-0000-0600-000051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230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853</xdr:row>
      <xdr:rowOff>0</xdr:rowOff>
    </xdr:from>
    <xdr:ext cx="152400" cy="152400"/>
    <xdr:pic>
      <xdr:nvPicPr>
        <xdr:cNvPr id="850" name="Picture 849" descr="Weakness Base +[@$5F&amp;!5v]">
          <a:extLst>
            <a:ext uri="{FF2B5EF4-FFF2-40B4-BE49-F238E27FC236}">
              <a16:creationId xmlns:a16="http://schemas.microsoft.com/office/drawing/2014/main" id="{00000000-0008-0000-0600-00005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249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854</xdr:row>
      <xdr:rowOff>0</xdr:rowOff>
    </xdr:from>
    <xdr:ext cx="152400" cy="152400"/>
    <xdr:pic>
      <xdr:nvPicPr>
        <xdr:cNvPr id="851" name="Picture 850" descr="Weakness Base +[@$5F&amp;!5w]">
          <a:extLst>
            <a:ext uri="{FF2B5EF4-FFF2-40B4-BE49-F238E27FC236}">
              <a16:creationId xmlns:a16="http://schemas.microsoft.com/office/drawing/2014/main" id="{00000000-0008-0000-0600-00005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268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855</xdr:row>
      <xdr:rowOff>0</xdr:rowOff>
    </xdr:from>
    <xdr:ext cx="142875" cy="133350"/>
    <xdr:pic>
      <xdr:nvPicPr>
        <xdr:cNvPr id="852" name="Picture 851" descr="Compound Element: Composite +[@$5F&amp;!5x]">
          <a:extLst>
            <a:ext uri="{FF2B5EF4-FFF2-40B4-BE49-F238E27FC236}">
              <a16:creationId xmlns:a16="http://schemas.microsoft.com/office/drawing/2014/main" id="{00000000-0008-0000-0600-00005403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43075" y="162877500"/>
          <a:ext cx="142875"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856</xdr:row>
      <xdr:rowOff>0</xdr:rowOff>
    </xdr:from>
    <xdr:ext cx="152400" cy="152400"/>
    <xdr:pic>
      <xdr:nvPicPr>
        <xdr:cNvPr id="853" name="Picture 852" descr="Weakness Variant +[@$5F&amp;!5y]">
          <a:extLst>
            <a:ext uri="{FF2B5EF4-FFF2-40B4-BE49-F238E27FC236}">
              <a16:creationId xmlns:a16="http://schemas.microsoft.com/office/drawing/2014/main" id="{00000000-0008-0000-0600-000055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306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857</xdr:row>
      <xdr:rowOff>0</xdr:rowOff>
    </xdr:from>
    <xdr:ext cx="152400" cy="152400"/>
    <xdr:pic>
      <xdr:nvPicPr>
        <xdr:cNvPr id="854" name="Picture 853" descr="Weakness Base +[@$5F&amp;!5z]">
          <a:extLst>
            <a:ext uri="{FF2B5EF4-FFF2-40B4-BE49-F238E27FC236}">
              <a16:creationId xmlns:a16="http://schemas.microsoft.com/office/drawing/2014/main" id="{00000000-0008-0000-0600-00005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325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858</xdr:row>
      <xdr:rowOff>0</xdr:rowOff>
    </xdr:from>
    <xdr:ext cx="152400" cy="152400"/>
    <xdr:pic>
      <xdr:nvPicPr>
        <xdr:cNvPr id="855" name="Picture 854" descr="Weakness Variant +[@$5F&amp;!5{]">
          <a:extLst>
            <a:ext uri="{FF2B5EF4-FFF2-40B4-BE49-F238E27FC236}">
              <a16:creationId xmlns:a16="http://schemas.microsoft.com/office/drawing/2014/main" id="{00000000-0008-0000-0600-000057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344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859</xdr:row>
      <xdr:rowOff>0</xdr:rowOff>
    </xdr:from>
    <xdr:ext cx="152400" cy="152400"/>
    <xdr:pic>
      <xdr:nvPicPr>
        <xdr:cNvPr id="856" name="Picture 855" descr="Weakness Variant +[@$5F&amp;!5|]">
          <a:extLst>
            <a:ext uri="{FF2B5EF4-FFF2-40B4-BE49-F238E27FC236}">
              <a16:creationId xmlns:a16="http://schemas.microsoft.com/office/drawing/2014/main" id="{00000000-0008-0000-0600-000058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363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860</xdr:row>
      <xdr:rowOff>0</xdr:rowOff>
    </xdr:from>
    <xdr:ext cx="152400" cy="152400"/>
    <xdr:pic>
      <xdr:nvPicPr>
        <xdr:cNvPr id="857" name="Picture 856" descr="Weakness Base +[@$5F&amp;!5}]">
          <a:extLst>
            <a:ext uri="{FF2B5EF4-FFF2-40B4-BE49-F238E27FC236}">
              <a16:creationId xmlns:a16="http://schemas.microsoft.com/office/drawing/2014/main" id="{00000000-0008-0000-0600-00005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383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861</xdr:row>
      <xdr:rowOff>0</xdr:rowOff>
    </xdr:from>
    <xdr:ext cx="152400" cy="152400"/>
    <xdr:pic>
      <xdr:nvPicPr>
        <xdr:cNvPr id="858" name="Picture 857" descr="Weakness Base +[@$5F&amp;!5~]">
          <a:extLst>
            <a:ext uri="{FF2B5EF4-FFF2-40B4-BE49-F238E27FC236}">
              <a16:creationId xmlns:a16="http://schemas.microsoft.com/office/drawing/2014/main" id="{00000000-0008-0000-0600-00005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402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862</xdr:row>
      <xdr:rowOff>0</xdr:rowOff>
    </xdr:from>
    <xdr:ext cx="152400" cy="152400"/>
    <xdr:pic>
      <xdr:nvPicPr>
        <xdr:cNvPr id="859" name="Picture 858" descr="Weakness Base +[@$5F&amp;!6#]">
          <a:extLst>
            <a:ext uri="{FF2B5EF4-FFF2-40B4-BE49-F238E27FC236}">
              <a16:creationId xmlns:a16="http://schemas.microsoft.com/office/drawing/2014/main" id="{00000000-0008-0000-0600-00005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421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863</xdr:row>
      <xdr:rowOff>0</xdr:rowOff>
    </xdr:from>
    <xdr:ext cx="152400" cy="152400"/>
    <xdr:pic>
      <xdr:nvPicPr>
        <xdr:cNvPr id="860" name="Picture 859" descr="Weakness Base +[@$5F&amp;!6$]">
          <a:extLst>
            <a:ext uri="{FF2B5EF4-FFF2-40B4-BE49-F238E27FC236}">
              <a16:creationId xmlns:a16="http://schemas.microsoft.com/office/drawing/2014/main" id="{00000000-0008-0000-0600-00005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440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864</xdr:row>
      <xdr:rowOff>0</xdr:rowOff>
    </xdr:from>
    <xdr:ext cx="152400" cy="152400"/>
    <xdr:pic>
      <xdr:nvPicPr>
        <xdr:cNvPr id="861" name="Picture 860" descr="Weakness Base +[@$5F&amp;!6%]">
          <a:extLst>
            <a:ext uri="{FF2B5EF4-FFF2-40B4-BE49-F238E27FC236}">
              <a16:creationId xmlns:a16="http://schemas.microsoft.com/office/drawing/2014/main" id="{00000000-0008-0000-0600-00005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459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865</xdr:row>
      <xdr:rowOff>0</xdr:rowOff>
    </xdr:from>
    <xdr:ext cx="152400" cy="152400"/>
    <xdr:pic>
      <xdr:nvPicPr>
        <xdr:cNvPr id="862" name="Picture 861" descr="Weakness Base +[@$5F&amp;!6&amp;]">
          <a:extLst>
            <a:ext uri="{FF2B5EF4-FFF2-40B4-BE49-F238E27FC236}">
              <a16:creationId xmlns:a16="http://schemas.microsoft.com/office/drawing/2014/main" id="{00000000-0008-0000-0600-00005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478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866</xdr:row>
      <xdr:rowOff>0</xdr:rowOff>
    </xdr:from>
    <xdr:ext cx="152400" cy="152400"/>
    <xdr:pic>
      <xdr:nvPicPr>
        <xdr:cNvPr id="863" name="Picture 862" descr="Weakness Base +[@$5F&amp;!6']">
          <a:extLst>
            <a:ext uri="{FF2B5EF4-FFF2-40B4-BE49-F238E27FC236}">
              <a16:creationId xmlns:a16="http://schemas.microsoft.com/office/drawing/2014/main" id="{00000000-0008-0000-0600-00005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497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867</xdr:row>
      <xdr:rowOff>0</xdr:rowOff>
    </xdr:from>
    <xdr:ext cx="152400" cy="152400"/>
    <xdr:pic>
      <xdr:nvPicPr>
        <xdr:cNvPr id="864" name="Picture 863" descr="Weakness Base +[@$5F&amp;!6(]">
          <a:extLst>
            <a:ext uri="{FF2B5EF4-FFF2-40B4-BE49-F238E27FC236}">
              <a16:creationId xmlns:a16="http://schemas.microsoft.com/office/drawing/2014/main" id="{00000000-0008-0000-0600-00006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516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868</xdr:row>
      <xdr:rowOff>0</xdr:rowOff>
    </xdr:from>
    <xdr:ext cx="152400" cy="152400"/>
    <xdr:pic>
      <xdr:nvPicPr>
        <xdr:cNvPr id="865" name="Picture 864" descr="Weakness Variant +[@$5F&amp;!6)]">
          <a:extLst>
            <a:ext uri="{FF2B5EF4-FFF2-40B4-BE49-F238E27FC236}">
              <a16:creationId xmlns:a16="http://schemas.microsoft.com/office/drawing/2014/main" id="{00000000-0008-0000-0600-000061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535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869</xdr:row>
      <xdr:rowOff>0</xdr:rowOff>
    </xdr:from>
    <xdr:ext cx="152400" cy="152400"/>
    <xdr:pic>
      <xdr:nvPicPr>
        <xdr:cNvPr id="866" name="Picture 865" descr="Weakness Base +[@$5F&amp;!6.]">
          <a:extLst>
            <a:ext uri="{FF2B5EF4-FFF2-40B4-BE49-F238E27FC236}">
              <a16:creationId xmlns:a16="http://schemas.microsoft.com/office/drawing/2014/main" id="{00000000-0008-0000-0600-00006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554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870</xdr:row>
      <xdr:rowOff>0</xdr:rowOff>
    </xdr:from>
    <xdr:ext cx="152400" cy="152400"/>
    <xdr:pic>
      <xdr:nvPicPr>
        <xdr:cNvPr id="867" name="Picture 866" descr="Weakness Base +[@$5F&amp;!6/]">
          <a:extLst>
            <a:ext uri="{FF2B5EF4-FFF2-40B4-BE49-F238E27FC236}">
              <a16:creationId xmlns:a16="http://schemas.microsoft.com/office/drawing/2014/main" id="{00000000-0008-0000-0600-00006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573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871</xdr:row>
      <xdr:rowOff>0</xdr:rowOff>
    </xdr:from>
    <xdr:ext cx="152400" cy="152400"/>
    <xdr:pic>
      <xdr:nvPicPr>
        <xdr:cNvPr id="868" name="Picture 867" descr="Weakness Base +[@$5F&amp;!60]">
          <a:extLst>
            <a:ext uri="{FF2B5EF4-FFF2-40B4-BE49-F238E27FC236}">
              <a16:creationId xmlns:a16="http://schemas.microsoft.com/office/drawing/2014/main" id="{00000000-0008-0000-0600-00006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592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872</xdr:row>
      <xdr:rowOff>0</xdr:rowOff>
    </xdr:from>
    <xdr:ext cx="152400" cy="152400"/>
    <xdr:pic>
      <xdr:nvPicPr>
        <xdr:cNvPr id="869" name="Picture 868" descr="Weakness Variant +[@$5F&amp;!61]">
          <a:extLst>
            <a:ext uri="{FF2B5EF4-FFF2-40B4-BE49-F238E27FC236}">
              <a16:creationId xmlns:a16="http://schemas.microsoft.com/office/drawing/2014/main" id="{00000000-0008-0000-0600-000065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611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873</xdr:row>
      <xdr:rowOff>0</xdr:rowOff>
    </xdr:from>
    <xdr:ext cx="152400" cy="152400"/>
    <xdr:pic>
      <xdr:nvPicPr>
        <xdr:cNvPr id="870" name="Picture 869" descr="Weakness Base +[@$5F&amp;!62]">
          <a:extLst>
            <a:ext uri="{FF2B5EF4-FFF2-40B4-BE49-F238E27FC236}">
              <a16:creationId xmlns:a16="http://schemas.microsoft.com/office/drawing/2014/main" id="{00000000-0008-0000-0600-00006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630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874</xdr:row>
      <xdr:rowOff>0</xdr:rowOff>
    </xdr:from>
    <xdr:ext cx="152400" cy="152400"/>
    <xdr:pic>
      <xdr:nvPicPr>
        <xdr:cNvPr id="871" name="Picture 870" descr="Weakness Base +[@$5F&amp;!63]">
          <a:extLst>
            <a:ext uri="{FF2B5EF4-FFF2-40B4-BE49-F238E27FC236}">
              <a16:creationId xmlns:a16="http://schemas.microsoft.com/office/drawing/2014/main" id="{00000000-0008-0000-0600-00006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649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875</xdr:row>
      <xdr:rowOff>0</xdr:rowOff>
    </xdr:from>
    <xdr:ext cx="152400" cy="152400"/>
    <xdr:pic>
      <xdr:nvPicPr>
        <xdr:cNvPr id="872" name="Picture 871" descr="Weakness Base +[@$5F&amp;!64]">
          <a:extLst>
            <a:ext uri="{FF2B5EF4-FFF2-40B4-BE49-F238E27FC236}">
              <a16:creationId xmlns:a16="http://schemas.microsoft.com/office/drawing/2014/main" id="{00000000-0008-0000-0600-000068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668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876</xdr:row>
      <xdr:rowOff>0</xdr:rowOff>
    </xdr:from>
    <xdr:ext cx="152400" cy="152400"/>
    <xdr:pic>
      <xdr:nvPicPr>
        <xdr:cNvPr id="873" name="Picture 872" descr="Weakness Variant +[@$5F&amp;!65]">
          <a:extLst>
            <a:ext uri="{FF2B5EF4-FFF2-40B4-BE49-F238E27FC236}">
              <a16:creationId xmlns:a16="http://schemas.microsoft.com/office/drawing/2014/main" id="{00000000-0008-0000-0600-000069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687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877</xdr:row>
      <xdr:rowOff>0</xdr:rowOff>
    </xdr:from>
    <xdr:ext cx="152400" cy="152400"/>
    <xdr:pic>
      <xdr:nvPicPr>
        <xdr:cNvPr id="874" name="Picture 873" descr="Weakness Variant +[@$5F&amp;!66]">
          <a:extLst>
            <a:ext uri="{FF2B5EF4-FFF2-40B4-BE49-F238E27FC236}">
              <a16:creationId xmlns:a16="http://schemas.microsoft.com/office/drawing/2014/main" id="{00000000-0008-0000-0600-00006A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706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878</xdr:row>
      <xdr:rowOff>0</xdr:rowOff>
    </xdr:from>
    <xdr:ext cx="152400" cy="152400"/>
    <xdr:pic>
      <xdr:nvPicPr>
        <xdr:cNvPr id="875" name="Picture 874" descr="Weakness Base +[@$5F&amp;!67]">
          <a:extLst>
            <a:ext uri="{FF2B5EF4-FFF2-40B4-BE49-F238E27FC236}">
              <a16:creationId xmlns:a16="http://schemas.microsoft.com/office/drawing/2014/main" id="{00000000-0008-0000-0600-00006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725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879</xdr:row>
      <xdr:rowOff>0</xdr:rowOff>
    </xdr:from>
    <xdr:ext cx="152400" cy="152400"/>
    <xdr:pic>
      <xdr:nvPicPr>
        <xdr:cNvPr id="876" name="Picture 875" descr="Weakness Base +[@$5F&amp;!68]">
          <a:extLst>
            <a:ext uri="{FF2B5EF4-FFF2-40B4-BE49-F238E27FC236}">
              <a16:creationId xmlns:a16="http://schemas.microsoft.com/office/drawing/2014/main" id="{00000000-0008-0000-0600-00006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744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880</xdr:row>
      <xdr:rowOff>0</xdr:rowOff>
    </xdr:from>
    <xdr:ext cx="152400" cy="152400"/>
    <xdr:pic>
      <xdr:nvPicPr>
        <xdr:cNvPr id="877" name="Picture 876" descr="Weakness Class +[@$5F&amp;!69]">
          <a:extLst>
            <a:ext uri="{FF2B5EF4-FFF2-40B4-BE49-F238E27FC236}">
              <a16:creationId xmlns:a16="http://schemas.microsoft.com/office/drawing/2014/main" id="{00000000-0008-0000-0600-00006D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6764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881</xdr:row>
      <xdr:rowOff>0</xdr:rowOff>
    </xdr:from>
    <xdr:ext cx="152400" cy="152400"/>
    <xdr:pic>
      <xdr:nvPicPr>
        <xdr:cNvPr id="878" name="Picture 877" descr="Weakness Base +[@$5F&amp;!6:]">
          <a:extLst>
            <a:ext uri="{FF2B5EF4-FFF2-40B4-BE49-F238E27FC236}">
              <a16:creationId xmlns:a16="http://schemas.microsoft.com/office/drawing/2014/main" id="{00000000-0008-0000-0600-00006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783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882</xdr:row>
      <xdr:rowOff>0</xdr:rowOff>
    </xdr:from>
    <xdr:ext cx="152400" cy="152400"/>
    <xdr:pic>
      <xdr:nvPicPr>
        <xdr:cNvPr id="879" name="Picture 878" descr="Weakness Variant +[@$5F&amp;!6;]">
          <a:extLst>
            <a:ext uri="{FF2B5EF4-FFF2-40B4-BE49-F238E27FC236}">
              <a16:creationId xmlns:a16="http://schemas.microsoft.com/office/drawing/2014/main" id="{00000000-0008-0000-0600-00006F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802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883</xdr:row>
      <xdr:rowOff>0</xdr:rowOff>
    </xdr:from>
    <xdr:ext cx="152400" cy="152400"/>
    <xdr:pic>
      <xdr:nvPicPr>
        <xdr:cNvPr id="880" name="Picture 879" descr="Weakness Class +[@$5F&amp;!6&lt;]">
          <a:extLst>
            <a:ext uri="{FF2B5EF4-FFF2-40B4-BE49-F238E27FC236}">
              <a16:creationId xmlns:a16="http://schemas.microsoft.com/office/drawing/2014/main" id="{00000000-0008-0000-0600-000070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6821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884</xdr:row>
      <xdr:rowOff>0</xdr:rowOff>
    </xdr:from>
    <xdr:ext cx="152400" cy="152400"/>
    <xdr:pic>
      <xdr:nvPicPr>
        <xdr:cNvPr id="881" name="Picture 880" descr="Weakness Base +[@$5F&amp;!6=]">
          <a:extLst>
            <a:ext uri="{FF2B5EF4-FFF2-40B4-BE49-F238E27FC236}">
              <a16:creationId xmlns:a16="http://schemas.microsoft.com/office/drawing/2014/main" id="{00000000-0008-0000-0600-00007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840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885</xdr:row>
      <xdr:rowOff>0</xdr:rowOff>
    </xdr:from>
    <xdr:ext cx="152400" cy="152400"/>
    <xdr:pic>
      <xdr:nvPicPr>
        <xdr:cNvPr id="882" name="Picture 881" descr="Weakness Base +[@$5F&amp;!6&gt;]">
          <a:extLst>
            <a:ext uri="{FF2B5EF4-FFF2-40B4-BE49-F238E27FC236}">
              <a16:creationId xmlns:a16="http://schemas.microsoft.com/office/drawing/2014/main" id="{00000000-0008-0000-0600-00007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859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886</xdr:row>
      <xdr:rowOff>0</xdr:rowOff>
    </xdr:from>
    <xdr:ext cx="152400" cy="152400"/>
    <xdr:pic>
      <xdr:nvPicPr>
        <xdr:cNvPr id="883" name="Picture 882" descr="Weakness Base +[@$5F&amp;!6?]">
          <a:extLst>
            <a:ext uri="{FF2B5EF4-FFF2-40B4-BE49-F238E27FC236}">
              <a16:creationId xmlns:a16="http://schemas.microsoft.com/office/drawing/2014/main" id="{00000000-0008-0000-0600-00007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878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887</xdr:row>
      <xdr:rowOff>0</xdr:rowOff>
    </xdr:from>
    <xdr:ext cx="152400" cy="152400"/>
    <xdr:pic>
      <xdr:nvPicPr>
        <xdr:cNvPr id="884" name="Picture 883" descr="Weakness Base +[@$5F&amp;!6@]">
          <a:extLst>
            <a:ext uri="{FF2B5EF4-FFF2-40B4-BE49-F238E27FC236}">
              <a16:creationId xmlns:a16="http://schemas.microsoft.com/office/drawing/2014/main" id="{00000000-0008-0000-0600-00007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897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888</xdr:row>
      <xdr:rowOff>0</xdr:rowOff>
    </xdr:from>
    <xdr:ext cx="152400" cy="152400"/>
    <xdr:pic>
      <xdr:nvPicPr>
        <xdr:cNvPr id="885" name="Picture 884" descr="Weakness Variant +[@$5F&amp;!6A]">
          <a:extLst>
            <a:ext uri="{FF2B5EF4-FFF2-40B4-BE49-F238E27FC236}">
              <a16:creationId xmlns:a16="http://schemas.microsoft.com/office/drawing/2014/main" id="{00000000-0008-0000-0600-000075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916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889</xdr:row>
      <xdr:rowOff>0</xdr:rowOff>
    </xdr:from>
    <xdr:ext cx="152400" cy="152400"/>
    <xdr:pic>
      <xdr:nvPicPr>
        <xdr:cNvPr id="886" name="Picture 885" descr="Weakness Base +[@$5F&amp;!6B]">
          <a:extLst>
            <a:ext uri="{FF2B5EF4-FFF2-40B4-BE49-F238E27FC236}">
              <a16:creationId xmlns:a16="http://schemas.microsoft.com/office/drawing/2014/main" id="{00000000-0008-0000-0600-00007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935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890</xdr:row>
      <xdr:rowOff>0</xdr:rowOff>
    </xdr:from>
    <xdr:ext cx="152400" cy="152400"/>
    <xdr:pic>
      <xdr:nvPicPr>
        <xdr:cNvPr id="887" name="Picture 886" descr="Weakness Base +[@$5F&amp;!6C]">
          <a:extLst>
            <a:ext uri="{FF2B5EF4-FFF2-40B4-BE49-F238E27FC236}">
              <a16:creationId xmlns:a16="http://schemas.microsoft.com/office/drawing/2014/main" id="{00000000-0008-0000-0600-00007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954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891</xdr:row>
      <xdr:rowOff>0</xdr:rowOff>
    </xdr:from>
    <xdr:ext cx="152400" cy="152400"/>
    <xdr:pic>
      <xdr:nvPicPr>
        <xdr:cNvPr id="888" name="Picture 887" descr="Weakness Base +[@$5F&amp;!6D]">
          <a:extLst>
            <a:ext uri="{FF2B5EF4-FFF2-40B4-BE49-F238E27FC236}">
              <a16:creationId xmlns:a16="http://schemas.microsoft.com/office/drawing/2014/main" id="{00000000-0008-0000-0600-000078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973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892</xdr:row>
      <xdr:rowOff>0</xdr:rowOff>
    </xdr:from>
    <xdr:ext cx="152400" cy="152400"/>
    <xdr:pic>
      <xdr:nvPicPr>
        <xdr:cNvPr id="889" name="Picture 888" descr="Weakness Base +[@$5F&amp;!6E]">
          <a:extLst>
            <a:ext uri="{FF2B5EF4-FFF2-40B4-BE49-F238E27FC236}">
              <a16:creationId xmlns:a16="http://schemas.microsoft.com/office/drawing/2014/main" id="{00000000-0008-0000-0600-00007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992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893</xdr:row>
      <xdr:rowOff>0</xdr:rowOff>
    </xdr:from>
    <xdr:ext cx="152400" cy="152400"/>
    <xdr:pic>
      <xdr:nvPicPr>
        <xdr:cNvPr id="890" name="Picture 889" descr="Weakness Base +[@$5F&amp;!6F]">
          <a:extLst>
            <a:ext uri="{FF2B5EF4-FFF2-40B4-BE49-F238E27FC236}">
              <a16:creationId xmlns:a16="http://schemas.microsoft.com/office/drawing/2014/main" id="{00000000-0008-0000-0600-00007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011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894</xdr:row>
      <xdr:rowOff>0</xdr:rowOff>
    </xdr:from>
    <xdr:ext cx="152400" cy="152400"/>
    <xdr:pic>
      <xdr:nvPicPr>
        <xdr:cNvPr id="891" name="Picture 890" descr="Weakness Base +[@$5F&amp;!6G]">
          <a:extLst>
            <a:ext uri="{FF2B5EF4-FFF2-40B4-BE49-F238E27FC236}">
              <a16:creationId xmlns:a16="http://schemas.microsoft.com/office/drawing/2014/main" id="{00000000-0008-0000-0600-00007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030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895</xdr:row>
      <xdr:rowOff>0</xdr:rowOff>
    </xdr:from>
    <xdr:ext cx="152400" cy="152400"/>
    <xdr:pic>
      <xdr:nvPicPr>
        <xdr:cNvPr id="892" name="Picture 891" descr="Weakness Variant +[@$5F&amp;!6H]">
          <a:extLst>
            <a:ext uri="{FF2B5EF4-FFF2-40B4-BE49-F238E27FC236}">
              <a16:creationId xmlns:a16="http://schemas.microsoft.com/office/drawing/2014/main" id="{00000000-0008-0000-0600-00007C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7049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896</xdr:row>
      <xdr:rowOff>0</xdr:rowOff>
    </xdr:from>
    <xdr:ext cx="152400" cy="152400"/>
    <xdr:pic>
      <xdr:nvPicPr>
        <xdr:cNvPr id="893" name="Picture 892" descr="Weakness Base +[@$5F&amp;!6I]">
          <a:extLst>
            <a:ext uri="{FF2B5EF4-FFF2-40B4-BE49-F238E27FC236}">
              <a16:creationId xmlns:a16="http://schemas.microsoft.com/office/drawing/2014/main" id="{00000000-0008-0000-0600-00007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068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897</xdr:row>
      <xdr:rowOff>0</xdr:rowOff>
    </xdr:from>
    <xdr:ext cx="152400" cy="152400"/>
    <xdr:pic>
      <xdr:nvPicPr>
        <xdr:cNvPr id="894" name="Picture 893" descr="Weakness Base +[@$5F&amp;!6J]">
          <a:extLst>
            <a:ext uri="{FF2B5EF4-FFF2-40B4-BE49-F238E27FC236}">
              <a16:creationId xmlns:a16="http://schemas.microsoft.com/office/drawing/2014/main" id="{00000000-0008-0000-0600-00007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087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898</xdr:row>
      <xdr:rowOff>0</xdr:rowOff>
    </xdr:from>
    <xdr:ext cx="152400" cy="152400"/>
    <xdr:pic>
      <xdr:nvPicPr>
        <xdr:cNvPr id="895" name="Picture 894" descr="Weakness Variant +[@$5F&amp;!6K]">
          <a:extLst>
            <a:ext uri="{FF2B5EF4-FFF2-40B4-BE49-F238E27FC236}">
              <a16:creationId xmlns:a16="http://schemas.microsoft.com/office/drawing/2014/main" id="{00000000-0008-0000-0600-00007F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7106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899</xdr:row>
      <xdr:rowOff>0</xdr:rowOff>
    </xdr:from>
    <xdr:ext cx="152400" cy="152400"/>
    <xdr:pic>
      <xdr:nvPicPr>
        <xdr:cNvPr id="896" name="Picture 895" descr="Weakness Base +[@$5F&amp;!6L]">
          <a:extLst>
            <a:ext uri="{FF2B5EF4-FFF2-40B4-BE49-F238E27FC236}">
              <a16:creationId xmlns:a16="http://schemas.microsoft.com/office/drawing/2014/main" id="{00000000-0008-0000-0600-00008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125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900</xdr:row>
      <xdr:rowOff>0</xdr:rowOff>
    </xdr:from>
    <xdr:ext cx="152400" cy="152400"/>
    <xdr:pic>
      <xdr:nvPicPr>
        <xdr:cNvPr id="897" name="Picture 896" descr="Weakness Variant +[@$5F&amp;!6M]">
          <a:extLst>
            <a:ext uri="{FF2B5EF4-FFF2-40B4-BE49-F238E27FC236}">
              <a16:creationId xmlns:a16="http://schemas.microsoft.com/office/drawing/2014/main" id="{00000000-0008-0000-0600-000081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714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901</xdr:row>
      <xdr:rowOff>0</xdr:rowOff>
    </xdr:from>
    <xdr:ext cx="152400" cy="152400"/>
    <xdr:pic>
      <xdr:nvPicPr>
        <xdr:cNvPr id="898" name="Picture 897" descr="Weakness Variant +[@$5F&amp;!6N]">
          <a:extLst>
            <a:ext uri="{FF2B5EF4-FFF2-40B4-BE49-F238E27FC236}">
              <a16:creationId xmlns:a16="http://schemas.microsoft.com/office/drawing/2014/main" id="{00000000-0008-0000-0600-000082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7164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902</xdr:row>
      <xdr:rowOff>0</xdr:rowOff>
    </xdr:from>
    <xdr:ext cx="152400" cy="152400"/>
    <xdr:pic>
      <xdr:nvPicPr>
        <xdr:cNvPr id="899" name="Picture 898" descr="Weakness Variant +[@$5F&amp;!6O]">
          <a:extLst>
            <a:ext uri="{FF2B5EF4-FFF2-40B4-BE49-F238E27FC236}">
              <a16:creationId xmlns:a16="http://schemas.microsoft.com/office/drawing/2014/main" id="{00000000-0008-0000-0600-000083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7183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903</xdr:row>
      <xdr:rowOff>0</xdr:rowOff>
    </xdr:from>
    <xdr:ext cx="152400" cy="152400"/>
    <xdr:pic>
      <xdr:nvPicPr>
        <xdr:cNvPr id="900" name="Picture 899" descr="Weakness Base +[@$5F&amp;!6P]">
          <a:extLst>
            <a:ext uri="{FF2B5EF4-FFF2-40B4-BE49-F238E27FC236}">
              <a16:creationId xmlns:a16="http://schemas.microsoft.com/office/drawing/2014/main" id="{00000000-0008-0000-0600-00008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202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904</xdr:row>
      <xdr:rowOff>0</xdr:rowOff>
    </xdr:from>
    <xdr:ext cx="152400" cy="152400"/>
    <xdr:pic>
      <xdr:nvPicPr>
        <xdr:cNvPr id="901" name="Picture 900" descr="Weakness Variant +[@$5F&amp;!6Q]">
          <a:extLst>
            <a:ext uri="{FF2B5EF4-FFF2-40B4-BE49-F238E27FC236}">
              <a16:creationId xmlns:a16="http://schemas.microsoft.com/office/drawing/2014/main" id="{00000000-0008-0000-0600-000085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7221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905</xdr:row>
      <xdr:rowOff>0</xdr:rowOff>
    </xdr:from>
    <xdr:ext cx="152400" cy="152400"/>
    <xdr:pic>
      <xdr:nvPicPr>
        <xdr:cNvPr id="902" name="Picture 901" descr="Weakness Variant +[@$5F&amp;!6R]">
          <a:extLst>
            <a:ext uri="{FF2B5EF4-FFF2-40B4-BE49-F238E27FC236}">
              <a16:creationId xmlns:a16="http://schemas.microsoft.com/office/drawing/2014/main" id="{00000000-0008-0000-0600-000086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7240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906</xdr:row>
      <xdr:rowOff>0</xdr:rowOff>
    </xdr:from>
    <xdr:ext cx="152400" cy="152400"/>
    <xdr:pic>
      <xdr:nvPicPr>
        <xdr:cNvPr id="903" name="Picture 902" descr="Category +[@$5F&amp;!6S]">
          <a:extLst>
            <a:ext uri="{FF2B5EF4-FFF2-40B4-BE49-F238E27FC236}">
              <a16:creationId xmlns:a16="http://schemas.microsoft.com/office/drawing/2014/main" id="{00000000-0008-0000-0600-000087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259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907</xdr:row>
      <xdr:rowOff>0</xdr:rowOff>
    </xdr:from>
    <xdr:ext cx="152400" cy="152400"/>
    <xdr:pic>
      <xdr:nvPicPr>
        <xdr:cNvPr id="904" name="Picture 903" descr="Category +[@$5F&amp;!6T]">
          <a:extLst>
            <a:ext uri="{FF2B5EF4-FFF2-40B4-BE49-F238E27FC236}">
              <a16:creationId xmlns:a16="http://schemas.microsoft.com/office/drawing/2014/main" id="{00000000-0008-0000-0600-000088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278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908</xdr:row>
      <xdr:rowOff>0</xdr:rowOff>
    </xdr:from>
    <xdr:ext cx="152400" cy="152400"/>
    <xdr:pic>
      <xdr:nvPicPr>
        <xdr:cNvPr id="905" name="Picture 904" descr="Weakness Variant +[@$5F&amp;!6U]">
          <a:extLst>
            <a:ext uri="{FF2B5EF4-FFF2-40B4-BE49-F238E27FC236}">
              <a16:creationId xmlns:a16="http://schemas.microsoft.com/office/drawing/2014/main" id="{00000000-0008-0000-0600-000089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7297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909</xdr:row>
      <xdr:rowOff>0</xdr:rowOff>
    </xdr:from>
    <xdr:ext cx="152400" cy="152400"/>
    <xdr:pic>
      <xdr:nvPicPr>
        <xdr:cNvPr id="906" name="Picture 905" descr="Weakness Base +[@$5F&amp;!6V]">
          <a:extLst>
            <a:ext uri="{FF2B5EF4-FFF2-40B4-BE49-F238E27FC236}">
              <a16:creationId xmlns:a16="http://schemas.microsoft.com/office/drawing/2014/main" id="{00000000-0008-0000-0600-00008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316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910</xdr:row>
      <xdr:rowOff>0</xdr:rowOff>
    </xdr:from>
    <xdr:ext cx="152400" cy="152400"/>
    <xdr:pic>
      <xdr:nvPicPr>
        <xdr:cNvPr id="907" name="Picture 906" descr="Weakness Class +[@$5F&amp;!6W]">
          <a:extLst>
            <a:ext uri="{FF2B5EF4-FFF2-40B4-BE49-F238E27FC236}">
              <a16:creationId xmlns:a16="http://schemas.microsoft.com/office/drawing/2014/main" id="{00000000-0008-0000-0600-00008B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7335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911</xdr:row>
      <xdr:rowOff>0</xdr:rowOff>
    </xdr:from>
    <xdr:ext cx="152400" cy="152400"/>
    <xdr:pic>
      <xdr:nvPicPr>
        <xdr:cNvPr id="908" name="Picture 907" descr="Weakness Variant +[@$5F&amp;!6X]">
          <a:extLst>
            <a:ext uri="{FF2B5EF4-FFF2-40B4-BE49-F238E27FC236}">
              <a16:creationId xmlns:a16="http://schemas.microsoft.com/office/drawing/2014/main" id="{00000000-0008-0000-0600-00008C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7354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912</xdr:row>
      <xdr:rowOff>0</xdr:rowOff>
    </xdr:from>
    <xdr:ext cx="152400" cy="152400"/>
    <xdr:pic>
      <xdr:nvPicPr>
        <xdr:cNvPr id="909" name="Picture 908" descr="Weakness Base +[@$5F&amp;!6Y]">
          <a:extLst>
            <a:ext uri="{FF2B5EF4-FFF2-40B4-BE49-F238E27FC236}">
              <a16:creationId xmlns:a16="http://schemas.microsoft.com/office/drawing/2014/main" id="{00000000-0008-0000-0600-00008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373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913</xdr:row>
      <xdr:rowOff>0</xdr:rowOff>
    </xdr:from>
    <xdr:ext cx="152400" cy="152400"/>
    <xdr:pic>
      <xdr:nvPicPr>
        <xdr:cNvPr id="910" name="Picture 909" descr="Weakness Base +[@$5F&amp;!6Z]">
          <a:extLst>
            <a:ext uri="{FF2B5EF4-FFF2-40B4-BE49-F238E27FC236}">
              <a16:creationId xmlns:a16="http://schemas.microsoft.com/office/drawing/2014/main" id="{00000000-0008-0000-0600-00008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392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914</xdr:row>
      <xdr:rowOff>0</xdr:rowOff>
    </xdr:from>
    <xdr:ext cx="152400" cy="152400"/>
    <xdr:pic>
      <xdr:nvPicPr>
        <xdr:cNvPr id="911" name="Picture 910" descr="View +[@$5F&amp;!6[]">
          <a:extLst>
            <a:ext uri="{FF2B5EF4-FFF2-40B4-BE49-F238E27FC236}">
              <a16:creationId xmlns:a16="http://schemas.microsoft.com/office/drawing/2014/main" id="{00000000-0008-0000-0600-00008F03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411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915</xdr:row>
      <xdr:rowOff>0</xdr:rowOff>
    </xdr:from>
    <xdr:ext cx="152400" cy="152400"/>
    <xdr:pic>
      <xdr:nvPicPr>
        <xdr:cNvPr id="912" name="Picture 911" descr="View +[@$5F&amp;!6\]">
          <a:extLst>
            <a:ext uri="{FF2B5EF4-FFF2-40B4-BE49-F238E27FC236}">
              <a16:creationId xmlns:a16="http://schemas.microsoft.com/office/drawing/2014/main" id="{00000000-0008-0000-0600-00009003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430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916</xdr:row>
      <xdr:rowOff>0</xdr:rowOff>
    </xdr:from>
    <xdr:ext cx="152400" cy="152400"/>
    <xdr:pic>
      <xdr:nvPicPr>
        <xdr:cNvPr id="913" name="Picture 912" descr="View +[@$5F&amp;!6]]">
          <a:extLst>
            <a:ext uri="{FF2B5EF4-FFF2-40B4-BE49-F238E27FC236}">
              <a16:creationId xmlns:a16="http://schemas.microsoft.com/office/drawing/2014/main" id="{00000000-0008-0000-0600-00009103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449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917</xdr:row>
      <xdr:rowOff>0</xdr:rowOff>
    </xdr:from>
    <xdr:ext cx="152400" cy="152400"/>
    <xdr:pic>
      <xdr:nvPicPr>
        <xdr:cNvPr id="914" name="Picture 913" descr="View +[@$5F&amp;!6^]">
          <a:extLst>
            <a:ext uri="{FF2B5EF4-FFF2-40B4-BE49-F238E27FC236}">
              <a16:creationId xmlns:a16="http://schemas.microsoft.com/office/drawing/2014/main" id="{00000000-0008-0000-0600-00009203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468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918</xdr:row>
      <xdr:rowOff>0</xdr:rowOff>
    </xdr:from>
    <xdr:ext cx="152400" cy="152400"/>
    <xdr:pic>
      <xdr:nvPicPr>
        <xdr:cNvPr id="915" name="Picture 914" descr="View +[@$5F&amp;!6_]">
          <a:extLst>
            <a:ext uri="{FF2B5EF4-FFF2-40B4-BE49-F238E27FC236}">
              <a16:creationId xmlns:a16="http://schemas.microsoft.com/office/drawing/2014/main" id="{00000000-0008-0000-0600-00009303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487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919</xdr:row>
      <xdr:rowOff>0</xdr:rowOff>
    </xdr:from>
    <xdr:ext cx="152400" cy="152400"/>
    <xdr:pic>
      <xdr:nvPicPr>
        <xdr:cNvPr id="916" name="Picture 915" descr="View +[@$5F&amp;!6`]">
          <a:extLst>
            <a:ext uri="{FF2B5EF4-FFF2-40B4-BE49-F238E27FC236}">
              <a16:creationId xmlns:a16="http://schemas.microsoft.com/office/drawing/2014/main" id="{00000000-0008-0000-0600-00009403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506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920</xdr:row>
      <xdr:rowOff>0</xdr:rowOff>
    </xdr:from>
    <xdr:ext cx="152400" cy="152400"/>
    <xdr:pic>
      <xdr:nvPicPr>
        <xdr:cNvPr id="917" name="Picture 916" descr="View +[@$5F&amp;!6a]">
          <a:extLst>
            <a:ext uri="{FF2B5EF4-FFF2-40B4-BE49-F238E27FC236}">
              <a16:creationId xmlns:a16="http://schemas.microsoft.com/office/drawing/2014/main" id="{00000000-0008-0000-0600-00009503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526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921</xdr:row>
      <xdr:rowOff>0</xdr:rowOff>
    </xdr:from>
    <xdr:ext cx="152400" cy="152400"/>
    <xdr:pic>
      <xdr:nvPicPr>
        <xdr:cNvPr id="918" name="Picture 917" descr="View +[@$5F&amp;!6b]">
          <a:extLst>
            <a:ext uri="{FF2B5EF4-FFF2-40B4-BE49-F238E27FC236}">
              <a16:creationId xmlns:a16="http://schemas.microsoft.com/office/drawing/2014/main" id="{00000000-0008-0000-0600-00009603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545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922</xdr:row>
      <xdr:rowOff>0</xdr:rowOff>
    </xdr:from>
    <xdr:ext cx="152400" cy="152400"/>
    <xdr:pic>
      <xdr:nvPicPr>
        <xdr:cNvPr id="919" name="Picture 918" descr="View +[@$5F&amp;!6c]">
          <a:extLst>
            <a:ext uri="{FF2B5EF4-FFF2-40B4-BE49-F238E27FC236}">
              <a16:creationId xmlns:a16="http://schemas.microsoft.com/office/drawing/2014/main" id="{00000000-0008-0000-0600-00009703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564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923</xdr:row>
      <xdr:rowOff>0</xdr:rowOff>
    </xdr:from>
    <xdr:ext cx="152400" cy="152400"/>
    <xdr:pic>
      <xdr:nvPicPr>
        <xdr:cNvPr id="920" name="Picture 919" descr="View +[@$5F&amp;!6d]">
          <a:extLst>
            <a:ext uri="{FF2B5EF4-FFF2-40B4-BE49-F238E27FC236}">
              <a16:creationId xmlns:a16="http://schemas.microsoft.com/office/drawing/2014/main" id="{00000000-0008-0000-0600-00009803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583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924</xdr:row>
      <xdr:rowOff>0</xdr:rowOff>
    </xdr:from>
    <xdr:ext cx="152400" cy="152400"/>
    <xdr:pic>
      <xdr:nvPicPr>
        <xdr:cNvPr id="921" name="Picture 920" descr="View +[@$5F&amp;!6e]">
          <a:extLst>
            <a:ext uri="{FF2B5EF4-FFF2-40B4-BE49-F238E27FC236}">
              <a16:creationId xmlns:a16="http://schemas.microsoft.com/office/drawing/2014/main" id="{00000000-0008-0000-0600-00009903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602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925</xdr:row>
      <xdr:rowOff>0</xdr:rowOff>
    </xdr:from>
    <xdr:ext cx="152400" cy="152400"/>
    <xdr:pic>
      <xdr:nvPicPr>
        <xdr:cNvPr id="922" name="Picture 921" descr="View +[@$5F&amp;!6f]">
          <a:extLst>
            <a:ext uri="{FF2B5EF4-FFF2-40B4-BE49-F238E27FC236}">
              <a16:creationId xmlns:a16="http://schemas.microsoft.com/office/drawing/2014/main" id="{00000000-0008-0000-0600-00009A03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621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926</xdr:row>
      <xdr:rowOff>0</xdr:rowOff>
    </xdr:from>
    <xdr:ext cx="152400" cy="152400"/>
    <xdr:pic>
      <xdr:nvPicPr>
        <xdr:cNvPr id="923" name="Picture 922" descr="View +[@$5F&amp;!6g]">
          <a:extLst>
            <a:ext uri="{FF2B5EF4-FFF2-40B4-BE49-F238E27FC236}">
              <a16:creationId xmlns:a16="http://schemas.microsoft.com/office/drawing/2014/main" id="{00000000-0008-0000-0600-00009B03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640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927</xdr:row>
      <xdr:rowOff>0</xdr:rowOff>
    </xdr:from>
    <xdr:ext cx="152400" cy="152400"/>
    <xdr:pic>
      <xdr:nvPicPr>
        <xdr:cNvPr id="924" name="Picture 923" descr="View +[@$5F&amp;!6h]">
          <a:extLst>
            <a:ext uri="{FF2B5EF4-FFF2-40B4-BE49-F238E27FC236}">
              <a16:creationId xmlns:a16="http://schemas.microsoft.com/office/drawing/2014/main" id="{00000000-0008-0000-0600-00009C03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659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928</xdr:row>
      <xdr:rowOff>0</xdr:rowOff>
    </xdr:from>
    <xdr:ext cx="152400" cy="152400"/>
    <xdr:pic>
      <xdr:nvPicPr>
        <xdr:cNvPr id="925" name="Picture 924" descr="View +[@$5F&amp;!6i]">
          <a:extLst>
            <a:ext uri="{FF2B5EF4-FFF2-40B4-BE49-F238E27FC236}">
              <a16:creationId xmlns:a16="http://schemas.microsoft.com/office/drawing/2014/main" id="{00000000-0008-0000-0600-00009D03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678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929</xdr:row>
      <xdr:rowOff>0</xdr:rowOff>
    </xdr:from>
    <xdr:ext cx="152400" cy="152400"/>
    <xdr:pic>
      <xdr:nvPicPr>
        <xdr:cNvPr id="926" name="Picture 925" descr="View +[@$5F&amp;!6j]">
          <a:extLst>
            <a:ext uri="{FF2B5EF4-FFF2-40B4-BE49-F238E27FC236}">
              <a16:creationId xmlns:a16="http://schemas.microsoft.com/office/drawing/2014/main" id="{00000000-0008-0000-0600-00009E03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697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930</xdr:row>
      <xdr:rowOff>0</xdr:rowOff>
    </xdr:from>
    <xdr:ext cx="152400" cy="152400"/>
    <xdr:pic>
      <xdr:nvPicPr>
        <xdr:cNvPr id="927" name="Picture 926" descr="View +[@$5F&amp;!6k]">
          <a:extLst>
            <a:ext uri="{FF2B5EF4-FFF2-40B4-BE49-F238E27FC236}">
              <a16:creationId xmlns:a16="http://schemas.microsoft.com/office/drawing/2014/main" id="{00000000-0008-0000-0600-00009F03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716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931</xdr:row>
      <xdr:rowOff>0</xdr:rowOff>
    </xdr:from>
    <xdr:ext cx="152400" cy="152400"/>
    <xdr:pic>
      <xdr:nvPicPr>
        <xdr:cNvPr id="928" name="Picture 927" descr="View +[@$5F&amp;!6l]">
          <a:extLst>
            <a:ext uri="{FF2B5EF4-FFF2-40B4-BE49-F238E27FC236}">
              <a16:creationId xmlns:a16="http://schemas.microsoft.com/office/drawing/2014/main" id="{00000000-0008-0000-0600-0000A003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735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932</xdr:row>
      <xdr:rowOff>0</xdr:rowOff>
    </xdr:from>
    <xdr:ext cx="152400" cy="152400"/>
    <xdr:pic>
      <xdr:nvPicPr>
        <xdr:cNvPr id="929" name="Picture 928" descr="View +[@$5F&amp;!6m]">
          <a:extLst>
            <a:ext uri="{FF2B5EF4-FFF2-40B4-BE49-F238E27FC236}">
              <a16:creationId xmlns:a16="http://schemas.microsoft.com/office/drawing/2014/main" id="{00000000-0008-0000-0600-0000A103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754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933</xdr:row>
      <xdr:rowOff>0</xdr:rowOff>
    </xdr:from>
    <xdr:ext cx="152400" cy="152400"/>
    <xdr:pic>
      <xdr:nvPicPr>
        <xdr:cNvPr id="930" name="Picture 929" descr="Category +[@$5F&amp;!6n]">
          <a:extLst>
            <a:ext uri="{FF2B5EF4-FFF2-40B4-BE49-F238E27FC236}">
              <a16:creationId xmlns:a16="http://schemas.microsoft.com/office/drawing/2014/main" id="{00000000-0008-0000-0600-0000A2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773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934</xdr:row>
      <xdr:rowOff>0</xdr:rowOff>
    </xdr:from>
    <xdr:ext cx="152400" cy="152400"/>
    <xdr:pic>
      <xdr:nvPicPr>
        <xdr:cNvPr id="931" name="Picture 930" descr="Category +[@$5F&amp;!6o]">
          <a:extLst>
            <a:ext uri="{FF2B5EF4-FFF2-40B4-BE49-F238E27FC236}">
              <a16:creationId xmlns:a16="http://schemas.microsoft.com/office/drawing/2014/main" id="{00000000-0008-0000-0600-0000A3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792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935</xdr:row>
      <xdr:rowOff>0</xdr:rowOff>
    </xdr:from>
    <xdr:ext cx="152400" cy="152400"/>
    <xdr:pic>
      <xdr:nvPicPr>
        <xdr:cNvPr id="932" name="Picture 931" descr="Category +[@$5F&amp;!6p]">
          <a:extLst>
            <a:ext uri="{FF2B5EF4-FFF2-40B4-BE49-F238E27FC236}">
              <a16:creationId xmlns:a16="http://schemas.microsoft.com/office/drawing/2014/main" id="{00000000-0008-0000-0600-0000A4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811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936</xdr:row>
      <xdr:rowOff>0</xdr:rowOff>
    </xdr:from>
    <xdr:ext cx="152400" cy="152400"/>
    <xdr:pic>
      <xdr:nvPicPr>
        <xdr:cNvPr id="933" name="Picture 932" descr="View +[@$5F&amp;!6q]">
          <a:extLst>
            <a:ext uri="{FF2B5EF4-FFF2-40B4-BE49-F238E27FC236}">
              <a16:creationId xmlns:a16="http://schemas.microsoft.com/office/drawing/2014/main" id="{00000000-0008-0000-0600-0000A503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830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937</xdr:row>
      <xdr:rowOff>0</xdr:rowOff>
    </xdr:from>
    <xdr:ext cx="152400" cy="152400"/>
    <xdr:pic>
      <xdr:nvPicPr>
        <xdr:cNvPr id="934" name="Picture 933" descr="Category +[@$5F&amp;!6r]">
          <a:extLst>
            <a:ext uri="{FF2B5EF4-FFF2-40B4-BE49-F238E27FC236}">
              <a16:creationId xmlns:a16="http://schemas.microsoft.com/office/drawing/2014/main" id="{00000000-0008-0000-0600-0000A6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84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938</xdr:row>
      <xdr:rowOff>0</xdr:rowOff>
    </xdr:from>
    <xdr:ext cx="152400" cy="152400"/>
    <xdr:pic>
      <xdr:nvPicPr>
        <xdr:cNvPr id="935" name="Picture 934" descr="Weakness Variant +[@$5F&amp;!6s]">
          <a:extLst>
            <a:ext uri="{FF2B5EF4-FFF2-40B4-BE49-F238E27FC236}">
              <a16:creationId xmlns:a16="http://schemas.microsoft.com/office/drawing/2014/main" id="{00000000-0008-0000-0600-0000A7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7868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939</xdr:row>
      <xdr:rowOff>0</xdr:rowOff>
    </xdr:from>
    <xdr:ext cx="152400" cy="152400"/>
    <xdr:pic>
      <xdr:nvPicPr>
        <xdr:cNvPr id="936" name="Picture 935" descr="Category +[@$5F&amp;!6t]">
          <a:extLst>
            <a:ext uri="{FF2B5EF4-FFF2-40B4-BE49-F238E27FC236}">
              <a16:creationId xmlns:a16="http://schemas.microsoft.com/office/drawing/2014/main" id="{00000000-0008-0000-0600-0000A8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887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940</xdr:row>
      <xdr:rowOff>0</xdr:rowOff>
    </xdr:from>
    <xdr:ext cx="152400" cy="152400"/>
    <xdr:pic>
      <xdr:nvPicPr>
        <xdr:cNvPr id="937" name="Picture 936" descr="Weakness Variant +[@$5F&amp;!6u]">
          <a:extLst>
            <a:ext uri="{FF2B5EF4-FFF2-40B4-BE49-F238E27FC236}">
              <a16:creationId xmlns:a16="http://schemas.microsoft.com/office/drawing/2014/main" id="{00000000-0008-0000-0600-0000A90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7907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941</xdr:row>
      <xdr:rowOff>0</xdr:rowOff>
    </xdr:from>
    <xdr:ext cx="152400" cy="152400"/>
    <xdr:pic>
      <xdr:nvPicPr>
        <xdr:cNvPr id="938" name="Picture 937" descr="Category +[@$5F&amp;!6v]">
          <a:extLst>
            <a:ext uri="{FF2B5EF4-FFF2-40B4-BE49-F238E27FC236}">
              <a16:creationId xmlns:a16="http://schemas.microsoft.com/office/drawing/2014/main" id="{00000000-0008-0000-0600-0000AA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926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942</xdr:row>
      <xdr:rowOff>0</xdr:rowOff>
    </xdr:from>
    <xdr:ext cx="152400" cy="152400"/>
    <xdr:pic>
      <xdr:nvPicPr>
        <xdr:cNvPr id="939" name="Picture 938" descr="Weakness Base +[@$5F&amp;!6w]">
          <a:extLst>
            <a:ext uri="{FF2B5EF4-FFF2-40B4-BE49-F238E27FC236}">
              <a16:creationId xmlns:a16="http://schemas.microsoft.com/office/drawing/2014/main" id="{00000000-0008-0000-0600-0000A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945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943</xdr:row>
      <xdr:rowOff>0</xdr:rowOff>
    </xdr:from>
    <xdr:ext cx="152400" cy="152400"/>
    <xdr:pic>
      <xdr:nvPicPr>
        <xdr:cNvPr id="940" name="Picture 939" descr="Weakness Base +[@$5F&amp;!6x]">
          <a:extLst>
            <a:ext uri="{FF2B5EF4-FFF2-40B4-BE49-F238E27FC236}">
              <a16:creationId xmlns:a16="http://schemas.microsoft.com/office/drawing/2014/main" id="{00000000-0008-0000-0600-0000A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964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944</xdr:row>
      <xdr:rowOff>0</xdr:rowOff>
    </xdr:from>
    <xdr:ext cx="152400" cy="152400"/>
    <xdr:pic>
      <xdr:nvPicPr>
        <xdr:cNvPr id="941" name="Picture 940" descr="Weakness Base +[@$5F&amp;!6y]">
          <a:extLst>
            <a:ext uri="{FF2B5EF4-FFF2-40B4-BE49-F238E27FC236}">
              <a16:creationId xmlns:a16="http://schemas.microsoft.com/office/drawing/2014/main" id="{00000000-0008-0000-0600-0000A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983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2010.amr.ith.intel.com/sites/QualityCentral/psg/Shared%20Documents/Metrics/PSG%20Project%20Status%20Track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SIRT (2)"/>
      <sheetName val="Notes"/>
      <sheetName val="ISecG Contacts"/>
      <sheetName val="Intel Contacts"/>
      <sheetName val="PSIRT"/>
      <sheetName val="Sheet1"/>
      <sheetName val="PSIRT Charts"/>
      <sheetName val="PSIRT Heat Map"/>
      <sheetName val="Exceptions"/>
      <sheetName val="Security Reviews"/>
      <sheetName val="SR Charts"/>
      <sheetName val="SR Heat Map"/>
      <sheetName val="Static Analysis"/>
      <sheetName val="Otro Sites (temp)"/>
      <sheetName val="Heat Map - SA"/>
      <sheetName val="Charts - Other"/>
      <sheetName val="Technologies"/>
      <sheetName val="MD5 - SHA1"/>
      <sheetName val="BSafe"/>
      <sheetName val="PSG"/>
      <sheetName val="Teams"/>
      <sheetName val="CWE"/>
      <sheetName val="CAPEC"/>
      <sheetName val="Install Telemetry"/>
      <sheetName val="Temp"/>
    </sheetNames>
    <sheetDataSet>
      <sheetData sheetId="0"/>
      <sheetData sheetId="1">
        <row r="9">
          <cell r="A9" t="str">
            <v>ACE</v>
          </cell>
        </row>
        <row r="10">
          <cell r="A10" t="str">
            <v>ADM</v>
          </cell>
        </row>
        <row r="11">
          <cell r="A11" t="str">
            <v>Aegis</v>
          </cell>
        </row>
        <row r="12">
          <cell r="A12" t="str">
            <v>All</v>
          </cell>
        </row>
        <row r="13">
          <cell r="A13" t="str">
            <v>AM</v>
          </cell>
        </row>
        <row r="14">
          <cell r="A14" t="str">
            <v>AMCore</v>
          </cell>
        </row>
        <row r="15">
          <cell r="A15" t="str">
            <v>AME</v>
          </cell>
        </row>
        <row r="16">
          <cell r="A16" t="str">
            <v>AMT</v>
          </cell>
        </row>
        <row r="17">
          <cell r="A17" t="str">
            <v>AP</v>
          </cell>
        </row>
        <row r="18">
          <cell r="A18" t="str">
            <v>AppPrism</v>
          </cell>
        </row>
        <row r="19">
          <cell r="A19" t="str">
            <v>AS</v>
          </cell>
        </row>
        <row r="20">
          <cell r="A20" t="str">
            <v>ASE</v>
          </cell>
        </row>
        <row r="21">
          <cell r="A21" t="str">
            <v>ATD</v>
          </cell>
        </row>
        <row r="22">
          <cell r="A22" t="str">
            <v>AV</v>
          </cell>
        </row>
        <row r="23">
          <cell r="A23" t="str">
            <v>AV DAT</v>
          </cell>
        </row>
        <row r="24">
          <cell r="A24" t="str">
            <v>AVE</v>
          </cell>
        </row>
        <row r="25">
          <cell r="A25" t="str">
            <v>AVP</v>
          </cell>
        </row>
        <row r="26">
          <cell r="A26" t="str">
            <v>AWS</v>
          </cell>
        </row>
        <row r="27">
          <cell r="A27" t="str">
            <v>BAS</v>
          </cell>
        </row>
        <row r="28">
          <cell r="A28" t="str">
            <v>BPS</v>
          </cell>
        </row>
        <row r="29">
          <cell r="A29" t="str">
            <v>CADS</v>
          </cell>
        </row>
        <row r="30">
          <cell r="A30" t="str">
            <v>CASB</v>
          </cell>
        </row>
        <row r="31">
          <cell r="A31" t="str">
            <v>CB</v>
          </cell>
        </row>
        <row r="32">
          <cell r="A32" t="str">
            <v>CE</v>
          </cell>
        </row>
        <row r="33">
          <cell r="A33" t="str">
            <v>CEG</v>
          </cell>
        </row>
        <row r="34">
          <cell r="A34" t="str">
            <v>CIP</v>
          </cell>
        </row>
        <row r="35">
          <cell r="A35" t="str">
            <v>CIRA</v>
          </cell>
        </row>
        <row r="36">
          <cell r="A36" t="str">
            <v>CleanBoot</v>
          </cell>
        </row>
        <row r="37">
          <cell r="A37" t="str">
            <v>CM</v>
          </cell>
        </row>
        <row r="38">
          <cell r="A38" t="str">
            <v>CMA</v>
          </cell>
        </row>
        <row r="39">
          <cell r="A39" t="str">
            <v>CMES</v>
          </cell>
        </row>
        <row r="40">
          <cell r="A40" t="str">
            <v>Conduit</v>
          </cell>
        </row>
        <row r="41">
          <cell r="A41" t="str">
            <v>CRS</v>
          </cell>
        </row>
        <row r="42">
          <cell r="A42" t="str">
            <v>CS</v>
          </cell>
        </row>
        <row r="43">
          <cell r="A43" t="str">
            <v>CSE</v>
          </cell>
        </row>
        <row r="44">
          <cell r="A44" t="str">
            <v>CSF</v>
          </cell>
        </row>
        <row r="45">
          <cell r="A45" t="str">
            <v>CSI</v>
          </cell>
        </row>
        <row r="46">
          <cell r="A46" t="str">
            <v>CSP</v>
          </cell>
        </row>
        <row r="47">
          <cell r="A47" t="str">
            <v>CSP2</v>
          </cell>
        </row>
        <row r="48">
          <cell r="A48" t="str">
            <v>CSR</v>
          </cell>
        </row>
        <row r="49">
          <cell r="A49" t="str">
            <v>CUI</v>
          </cell>
        </row>
        <row r="50">
          <cell r="A50" t="str">
            <v>CV</v>
          </cell>
        </row>
        <row r="51">
          <cell r="A51" t="str">
            <v>CWD</v>
          </cell>
        </row>
        <row r="52">
          <cell r="A52" t="str">
            <v>DAM</v>
          </cell>
        </row>
        <row r="53">
          <cell r="A53" t="str">
            <v>DBS</v>
          </cell>
        </row>
        <row r="54">
          <cell r="A54" t="str">
            <v>DD</v>
          </cell>
        </row>
        <row r="55">
          <cell r="A55" t="str">
            <v>DeepSAFE</v>
          </cell>
        </row>
        <row r="56">
          <cell r="A56" t="str">
            <v>DEP</v>
          </cell>
        </row>
        <row r="57">
          <cell r="A57" t="str">
            <v>DLPCS</v>
          </cell>
        </row>
        <row r="58">
          <cell r="A58" t="str">
            <v>DLPD</v>
          </cell>
        </row>
        <row r="59">
          <cell r="A59" t="str">
            <v>DLPe</v>
          </cell>
        </row>
        <row r="60">
          <cell r="A60" t="str">
            <v>DLPP</v>
          </cell>
        </row>
        <row r="61">
          <cell r="A61" t="str">
            <v>DPC</v>
          </cell>
        </row>
        <row r="62">
          <cell r="A62" t="str">
            <v>DPPC</v>
          </cell>
        </row>
        <row r="63">
          <cell r="A63" t="str">
            <v>DTA</v>
          </cell>
        </row>
        <row r="64">
          <cell r="A64" t="str">
            <v>DTS</v>
          </cell>
        </row>
        <row r="65">
          <cell r="A65" t="str">
            <v>DVM</v>
          </cell>
        </row>
        <row r="66">
          <cell r="A66" t="str">
            <v>DXL</v>
          </cell>
        </row>
        <row r="67">
          <cell r="A67" t="str">
            <v>EA</v>
          </cell>
        </row>
        <row r="68">
          <cell r="A68" t="str">
            <v>EAC 360</v>
          </cell>
        </row>
        <row r="69">
          <cell r="A69" t="str">
            <v>eASI</v>
          </cell>
        </row>
        <row r="70">
          <cell r="A70" t="str">
            <v>eDC</v>
          </cell>
        </row>
        <row r="71">
          <cell r="A71" t="str">
            <v>EEFF</v>
          </cell>
        </row>
        <row r="72">
          <cell r="A72" t="str">
            <v>EEM</v>
          </cell>
        </row>
        <row r="73">
          <cell r="A73" t="str">
            <v>EEMac</v>
          </cell>
        </row>
        <row r="74">
          <cell r="A74" t="str">
            <v>EEPC</v>
          </cell>
        </row>
        <row r="75">
          <cell r="A75" t="str">
            <v>EERM</v>
          </cell>
        </row>
        <row r="76">
          <cell r="A76" t="str">
            <v>EIA</v>
          </cell>
        </row>
        <row r="77">
          <cell r="A77" t="str">
            <v>EIL</v>
          </cell>
        </row>
        <row r="78">
          <cell r="A78" t="str">
            <v>EIM</v>
          </cell>
        </row>
        <row r="79">
          <cell r="A79" t="str">
            <v>ELM</v>
          </cell>
        </row>
        <row r="80">
          <cell r="A80" t="str">
            <v>EMM</v>
          </cell>
        </row>
        <row r="81">
          <cell r="A81" t="str">
            <v>ENS</v>
          </cell>
        </row>
        <row r="82">
          <cell r="A82" t="str">
            <v>ENSMac</v>
          </cell>
        </row>
        <row r="83">
          <cell r="A83" t="str">
            <v>EPM</v>
          </cell>
        </row>
        <row r="84">
          <cell r="A84" t="str">
            <v>ePO</v>
          </cell>
        </row>
        <row r="85">
          <cell r="A85" t="str">
            <v>ePO Cloud</v>
          </cell>
        </row>
        <row r="86">
          <cell r="A86" t="str">
            <v>ePO-MVT</v>
          </cell>
        </row>
        <row r="87">
          <cell r="A87" t="str">
            <v>ESM</v>
          </cell>
        </row>
        <row r="88">
          <cell r="A88" t="str">
            <v>ESP</v>
          </cell>
        </row>
        <row r="89">
          <cell r="A89" t="str">
            <v>EWS</v>
          </cell>
        </row>
        <row r="90">
          <cell r="A90" t="str">
            <v>FRP</v>
          </cell>
        </row>
        <row r="91">
          <cell r="A91" t="str">
            <v>FSL</v>
          </cell>
        </row>
        <row r="92">
          <cell r="A92" t="str">
            <v>FWE</v>
          </cell>
        </row>
        <row r="93">
          <cell r="A93" t="str">
            <v>GAM</v>
          </cell>
        </row>
        <row r="94">
          <cell r="A94" t="str">
            <v>GetClean</v>
          </cell>
        </row>
        <row r="95">
          <cell r="A95" t="str">
            <v>GetSusp</v>
          </cell>
        </row>
        <row r="96">
          <cell r="A96" t="str">
            <v>GSD</v>
          </cell>
        </row>
        <row r="97">
          <cell r="A97" t="str">
            <v>GSE</v>
          </cell>
        </row>
        <row r="98">
          <cell r="A98" t="str">
            <v>GTI</v>
          </cell>
        </row>
        <row r="99">
          <cell r="A99" t="str">
            <v>GTI Proxy</v>
          </cell>
        </row>
        <row r="100">
          <cell r="A100" t="str">
            <v>GTI-PC</v>
          </cell>
        </row>
        <row r="101">
          <cell r="A101" t="str">
            <v>HDLP</v>
          </cell>
        </row>
        <row r="102">
          <cell r="A102" t="str">
            <v>HIPS</v>
          </cell>
        </row>
        <row r="103">
          <cell r="A103" t="str">
            <v>IATS</v>
          </cell>
        </row>
        <row r="104">
          <cell r="A104" t="str">
            <v>Indra</v>
          </cell>
        </row>
        <row r="105">
          <cell r="A105" t="str">
            <v>IoT</v>
          </cell>
        </row>
        <row r="106">
          <cell r="A106" t="str">
            <v>iPad - SV</v>
          </cell>
        </row>
        <row r="107">
          <cell r="A107" t="str">
            <v>IPT</v>
          </cell>
        </row>
        <row r="108">
          <cell r="A108" t="str">
            <v>LAM</v>
          </cell>
        </row>
        <row r="109">
          <cell r="A109" t="str">
            <v>MA</v>
          </cell>
        </row>
        <row r="110">
          <cell r="A110" t="str">
            <v>MAA</v>
          </cell>
        </row>
        <row r="111">
          <cell r="A111" t="str">
            <v>Mac</v>
          </cell>
        </row>
        <row r="112">
          <cell r="A112" t="str">
            <v>MAC</v>
          </cell>
        </row>
        <row r="113">
          <cell r="A113" t="str">
            <v>MAM</v>
          </cell>
        </row>
        <row r="114">
          <cell r="A114" t="str">
            <v>MAR</v>
          </cell>
        </row>
        <row r="115">
          <cell r="A115" t="str">
            <v>MAS</v>
          </cell>
        </row>
        <row r="116">
          <cell r="A116" t="str">
            <v>MAT</v>
          </cell>
        </row>
        <row r="117">
          <cell r="A117" t="str">
            <v>MAVP</v>
          </cell>
        </row>
        <row r="118">
          <cell r="A118" t="str">
            <v>MC</v>
          </cell>
        </row>
        <row r="119">
          <cell r="A119" t="str">
            <v>MCC</v>
          </cell>
        </row>
        <row r="120">
          <cell r="A120" t="str">
            <v>MCIM</v>
          </cell>
        </row>
        <row r="121">
          <cell r="A121" t="str">
            <v>MCP</v>
          </cell>
        </row>
        <row r="122">
          <cell r="A122" t="str">
            <v>MCSSO</v>
          </cell>
        </row>
        <row r="123">
          <cell r="A123" t="str">
            <v>MDE</v>
          </cell>
        </row>
        <row r="124">
          <cell r="A124" t="str">
            <v>MEAS</v>
          </cell>
        </row>
        <row r="125">
          <cell r="A125" t="str">
            <v>MEC</v>
          </cell>
        </row>
        <row r="126">
          <cell r="A126" t="str">
            <v>MEG</v>
          </cell>
        </row>
        <row r="127">
          <cell r="A127" t="str">
            <v>MePO</v>
          </cell>
        </row>
        <row r="128">
          <cell r="A128" t="str">
            <v>Metering</v>
          </cell>
        </row>
        <row r="129">
          <cell r="A129" t="str">
            <v>MFA</v>
          </cell>
        </row>
        <row r="130">
          <cell r="A130" t="str">
            <v>MFE</v>
          </cell>
        </row>
        <row r="131">
          <cell r="A131" t="str">
            <v>MFE CC</v>
          </cell>
        </row>
        <row r="132">
          <cell r="A132" t="str">
            <v>MFL</v>
          </cell>
        </row>
        <row r="133">
          <cell r="A133" t="str">
            <v>MFP</v>
          </cell>
        </row>
        <row r="134">
          <cell r="A134" t="str">
            <v>MFS</v>
          </cell>
        </row>
        <row r="135">
          <cell r="A135" t="str">
            <v>MHN</v>
          </cell>
        </row>
        <row r="136">
          <cell r="A136" t="str">
            <v>MIC</v>
          </cell>
        </row>
        <row r="137">
          <cell r="A137" t="str">
            <v>MIP</v>
          </cell>
        </row>
        <row r="138">
          <cell r="A138" t="str">
            <v>MIS</v>
          </cell>
        </row>
        <row r="139">
          <cell r="A139" t="str">
            <v>MIS for Mac</v>
          </cell>
        </row>
        <row r="140">
          <cell r="A140" t="str">
            <v>MLC</v>
          </cell>
        </row>
        <row r="141">
          <cell r="A141" t="str">
            <v>MLFW</v>
          </cell>
        </row>
        <row r="142">
          <cell r="A142" t="str">
            <v>MLOS</v>
          </cell>
        </row>
        <row r="143">
          <cell r="A143" t="str">
            <v>MLS</v>
          </cell>
        </row>
        <row r="144">
          <cell r="A144" t="str">
            <v>MMS</v>
          </cell>
        </row>
        <row r="145">
          <cell r="A145" t="str">
            <v>MNE</v>
          </cell>
        </row>
        <row r="146">
          <cell r="A146" t="str">
            <v>MOBK</v>
          </cell>
        </row>
        <row r="147">
          <cell r="A147" t="str">
            <v>MOVE</v>
          </cell>
        </row>
        <row r="148">
          <cell r="A148" t="str">
            <v>MOVE AV</v>
          </cell>
        </row>
        <row r="149">
          <cell r="A149" t="str">
            <v>MOVE Firewall</v>
          </cell>
        </row>
        <row r="150">
          <cell r="A150" t="str">
            <v>MOVE Scheduler</v>
          </cell>
        </row>
        <row r="151">
          <cell r="A151" t="str">
            <v>MOVE SVA</v>
          </cell>
        </row>
        <row r="152">
          <cell r="A152" t="str">
            <v>MOVE SVA Mgr</v>
          </cell>
        </row>
        <row r="153">
          <cell r="A153" t="str">
            <v>MOZY</v>
          </cell>
        </row>
        <row r="154">
          <cell r="A154" t="str">
            <v>MPA</v>
          </cell>
        </row>
        <row r="155">
          <cell r="A155" t="str">
            <v>MPC</v>
          </cell>
        </row>
        <row r="156">
          <cell r="A156" t="str">
            <v>MPF</v>
          </cell>
        </row>
        <row r="157">
          <cell r="A157" t="str">
            <v>MPL</v>
          </cell>
        </row>
        <row r="158">
          <cell r="A158" t="str">
            <v>MPT</v>
          </cell>
        </row>
        <row r="159">
          <cell r="A159" t="str">
            <v>MQC</v>
          </cell>
        </row>
        <row r="160">
          <cell r="A160" t="str">
            <v>MQM</v>
          </cell>
        </row>
        <row r="161">
          <cell r="A161" t="str">
            <v>MRA</v>
          </cell>
        </row>
        <row r="162">
          <cell r="A162" t="str">
            <v>MRM</v>
          </cell>
        </row>
        <row r="163">
          <cell r="A163" t="str">
            <v>MS</v>
          </cell>
        </row>
        <row r="164">
          <cell r="A164" t="str">
            <v>MSAS</v>
          </cell>
        </row>
        <row r="165">
          <cell r="A165" t="str">
            <v>MSC</v>
          </cell>
        </row>
        <row r="166">
          <cell r="A166" t="str">
            <v>MSCall</v>
          </cell>
        </row>
        <row r="167">
          <cell r="A167" t="str">
            <v>MSDW</v>
          </cell>
        </row>
        <row r="168">
          <cell r="A168" t="str">
            <v>MSES</v>
          </cell>
        </row>
        <row r="169">
          <cell r="A169" t="str">
            <v>MSF</v>
          </cell>
        </row>
        <row r="170">
          <cell r="A170" t="str">
            <v>MSK</v>
          </cell>
        </row>
        <row r="171">
          <cell r="A171" t="str">
            <v>MSL</v>
          </cell>
        </row>
        <row r="172">
          <cell r="A172" t="str">
            <v>MSLD</v>
          </cell>
        </row>
        <row r="173">
          <cell r="A173" t="str">
            <v>MSM</v>
          </cell>
        </row>
        <row r="174">
          <cell r="A174" t="str">
            <v>MSME</v>
          </cell>
        </row>
        <row r="175">
          <cell r="A175" t="str">
            <v>MSMS</v>
          </cell>
        </row>
        <row r="176">
          <cell r="A176" t="str">
            <v>MSSB-MMS</v>
          </cell>
        </row>
        <row r="177">
          <cell r="A177" t="str">
            <v>MTP</v>
          </cell>
        </row>
        <row r="178">
          <cell r="A178" t="str">
            <v>MVM</v>
          </cell>
        </row>
        <row r="179">
          <cell r="A179" t="str">
            <v>MVT</v>
          </cell>
        </row>
        <row r="180">
          <cell r="A180" t="str">
            <v>MWG</v>
          </cell>
        </row>
        <row r="181">
          <cell r="A181" t="str">
            <v>MWP</v>
          </cell>
        </row>
        <row r="182">
          <cell r="A182" t="str">
            <v>MWR</v>
          </cell>
        </row>
        <row r="183">
          <cell r="A183" t="str">
            <v>NA</v>
          </cell>
        </row>
        <row r="184">
          <cell r="A184" t="str">
            <v>NAC</v>
          </cell>
        </row>
        <row r="185">
          <cell r="A185" t="str">
            <v>NDLP</v>
          </cell>
        </row>
        <row r="186">
          <cell r="A186" t="str">
            <v>NGE</v>
          </cell>
        </row>
        <row r="187">
          <cell r="A187" t="str">
            <v>NGFW</v>
          </cell>
        </row>
        <row r="188">
          <cell r="A188" t="str">
            <v>NGM</v>
          </cell>
        </row>
        <row r="189">
          <cell r="A189" t="str">
            <v>NIP</v>
          </cell>
        </row>
        <row r="190">
          <cell r="A190" t="str">
            <v>Nova</v>
          </cell>
        </row>
        <row r="191">
          <cell r="A191" t="str">
            <v>NRC</v>
          </cell>
        </row>
        <row r="192">
          <cell r="A192" t="str">
            <v>NSM</v>
          </cell>
        </row>
        <row r="193">
          <cell r="A193" t="str">
            <v>NSP</v>
          </cell>
        </row>
        <row r="194">
          <cell r="A194" t="str">
            <v>NTBA</v>
          </cell>
        </row>
        <row r="195">
          <cell r="A195" t="str">
            <v>NTR</v>
          </cell>
        </row>
        <row r="196">
          <cell r="A196" t="str">
            <v>NUBA</v>
          </cell>
        </row>
        <row r="197">
          <cell r="A197" t="str">
            <v>OAS</v>
          </cell>
        </row>
        <row r="198">
          <cell r="A198" t="str">
            <v>OCP</v>
          </cell>
        </row>
        <row r="199">
          <cell r="A199" t="str">
            <v>ODS</v>
          </cell>
        </row>
        <row r="200">
          <cell r="A200" t="str">
            <v>Other</v>
          </cell>
        </row>
        <row r="201">
          <cell r="A201" t="str">
            <v>OTP</v>
          </cell>
        </row>
        <row r="202">
          <cell r="A202" t="str">
            <v>OVA</v>
          </cell>
        </row>
        <row r="203">
          <cell r="A203" t="str">
            <v>PA</v>
          </cell>
        </row>
        <row r="204">
          <cell r="A204" t="str">
            <v>PaaS</v>
          </cell>
        </row>
        <row r="205">
          <cell r="A205" t="str">
            <v>Partner Mgt</v>
          </cell>
        </row>
        <row r="206">
          <cell r="A206" t="str">
            <v>PassMgr</v>
          </cell>
        </row>
        <row r="207">
          <cell r="A207" t="str">
            <v>PCM</v>
          </cell>
        </row>
        <row r="208">
          <cell r="A208" t="str">
            <v>PHCS</v>
          </cell>
        </row>
        <row r="209">
          <cell r="A209" t="str">
            <v>CMES</v>
          </cell>
        </row>
        <row r="210">
          <cell r="A210" t="str">
            <v>PIS</v>
          </cell>
        </row>
        <row r="211">
          <cell r="A211" t="str">
            <v>Platform</v>
          </cell>
        </row>
        <row r="212">
          <cell r="A212" t="str">
            <v>Profiler</v>
          </cell>
        </row>
        <row r="213">
          <cell r="A213" t="str">
            <v>Raptor A</v>
          </cell>
        </row>
        <row r="214">
          <cell r="A214" t="str">
            <v>RDD</v>
          </cell>
        </row>
        <row r="215">
          <cell r="A215" t="str">
            <v>RM</v>
          </cell>
        </row>
        <row r="216">
          <cell r="A216" t="str">
            <v>RP</v>
          </cell>
        </row>
        <row r="217">
          <cell r="A217" t="str">
            <v>RSD</v>
          </cell>
        </row>
        <row r="218">
          <cell r="A218" t="str">
            <v>RTA</v>
          </cell>
        </row>
        <row r="219">
          <cell r="A219" t="str">
            <v>RTE</v>
          </cell>
        </row>
        <row r="220">
          <cell r="A220" t="str">
            <v>SA</v>
          </cell>
        </row>
        <row r="221">
          <cell r="A221" t="str">
            <v>SaaS</v>
          </cell>
        </row>
        <row r="222">
          <cell r="A222" t="str">
            <v>SaaS Archive</v>
          </cell>
        </row>
        <row r="223">
          <cell r="A223" t="str">
            <v>SaaS Email</v>
          </cell>
        </row>
        <row r="224">
          <cell r="A224" t="str">
            <v>SaaS Email Encryption</v>
          </cell>
        </row>
        <row r="225">
          <cell r="A225" t="str">
            <v>SaaS Web</v>
          </cell>
        </row>
        <row r="226">
          <cell r="A226" t="str">
            <v>SAE</v>
          </cell>
        </row>
        <row r="227">
          <cell r="A227" t="str">
            <v>SafeKey</v>
          </cell>
        </row>
        <row r="228">
          <cell r="A228" t="str">
            <v>SAM</v>
          </cell>
        </row>
        <row r="229">
          <cell r="A229" t="str">
            <v>SC</v>
          </cell>
        </row>
        <row r="230">
          <cell r="A230" t="str">
            <v>SC2</v>
          </cell>
        </row>
        <row r="231">
          <cell r="A231" t="str">
            <v>SDN</v>
          </cell>
        </row>
        <row r="232">
          <cell r="A232" t="str">
            <v>SEP</v>
          </cell>
        </row>
        <row r="233">
          <cell r="A233" t="str">
            <v>SFA</v>
          </cell>
        </row>
        <row r="234">
          <cell r="A234" t="str">
            <v>SFam</v>
          </cell>
        </row>
        <row r="235">
          <cell r="A235" t="str">
            <v>SFF</v>
          </cell>
        </row>
        <row r="236">
          <cell r="A236" t="str">
            <v>SHG</v>
          </cell>
        </row>
        <row r="237">
          <cell r="A237" t="str">
            <v>SIEM</v>
          </cell>
        </row>
        <row r="238">
          <cell r="A238" t="str">
            <v>SIR</v>
          </cell>
        </row>
        <row r="239">
          <cell r="A239" t="str">
            <v>SMC</v>
          </cell>
        </row>
        <row r="240">
          <cell r="A240" t="str">
            <v>SMS</v>
          </cell>
        </row>
        <row r="241">
          <cell r="A241" t="str">
            <v>Spam</v>
          </cell>
        </row>
        <row r="242">
          <cell r="A242" t="str">
            <v>Stinger</v>
          </cell>
        </row>
        <row r="243">
          <cell r="A243" t="str">
            <v>SVA</v>
          </cell>
        </row>
        <row r="244">
          <cell r="A244" t="str">
            <v>SysCore</v>
          </cell>
        </row>
        <row r="245">
          <cell r="A245" t="str">
            <v>TAC</v>
          </cell>
        </row>
        <row r="246">
          <cell r="A246" t="str">
            <v>Tanium</v>
          </cell>
        </row>
        <row r="247">
          <cell r="A247" t="str">
            <v>Telemetry</v>
          </cell>
        </row>
        <row r="248">
          <cell r="A248" t="str">
            <v>TIE</v>
          </cell>
        </row>
        <row r="249">
          <cell r="A249" t="str">
            <v>ToPS Client</v>
          </cell>
        </row>
        <row r="250">
          <cell r="A250" t="str">
            <v>ToPS SMB</v>
          </cell>
        </row>
        <row r="251">
          <cell r="A251" t="str">
            <v>TPS</v>
          </cell>
        </row>
        <row r="252">
          <cell r="A252" t="str">
            <v>True Key</v>
          </cell>
        </row>
        <row r="253">
          <cell r="A253" t="str">
            <v>URL</v>
          </cell>
        </row>
        <row r="254">
          <cell r="A254" t="str">
            <v>Voyager</v>
          </cell>
        </row>
        <row r="255">
          <cell r="A255" t="str">
            <v>vPatch</v>
          </cell>
        </row>
        <row r="256">
          <cell r="A256" t="str">
            <v>VPN</v>
          </cell>
        </row>
        <row r="257">
          <cell r="A257" t="str">
            <v>VSCL</v>
          </cell>
        </row>
        <row r="258">
          <cell r="A258" t="str">
            <v>VSCore</v>
          </cell>
        </row>
        <row r="259">
          <cell r="A259" t="str">
            <v>VSE</v>
          </cell>
        </row>
        <row r="260">
          <cell r="A260" t="str">
            <v>VSEL</v>
          </cell>
        </row>
        <row r="261">
          <cell r="A261" t="str">
            <v>VSES</v>
          </cell>
        </row>
        <row r="262">
          <cell r="A262" t="str">
            <v>VSM</v>
          </cell>
        </row>
        <row r="263">
          <cell r="A263" t="str">
            <v>VSMac</v>
          </cell>
        </row>
        <row r="264">
          <cell r="A264" t="str">
            <v>VSP</v>
          </cell>
        </row>
        <row r="265">
          <cell r="A265" t="str">
            <v>VulnScan</v>
          </cell>
        </row>
        <row r="266">
          <cell r="A266" t="str">
            <v>WA</v>
          </cell>
        </row>
        <row r="267">
          <cell r="A267" t="str">
            <v>WAAM</v>
          </cell>
        </row>
        <row r="268">
          <cell r="A268" t="str">
            <v>WAM</v>
          </cell>
        </row>
        <row r="269">
          <cell r="A269" t="str">
            <v>WDE</v>
          </cell>
        </row>
        <row r="270">
          <cell r="A270" t="str">
            <v>WebMER</v>
          </cell>
        </row>
        <row r="271">
          <cell r="A271" t="str">
            <v>WPS</v>
          </cell>
        </row>
        <row r="272">
          <cell r="A272" t="str">
            <v>WR</v>
          </cell>
        </row>
        <row r="273">
          <cell r="A273" t="str">
            <v>WSS</v>
          </cell>
        </row>
        <row r="274">
          <cell r="A274" t="str">
            <v>XD1</v>
          </cell>
        </row>
        <row r="275">
          <cell r="A275" t="str">
            <v>YAP</v>
          </cell>
        </row>
        <row r="319">
          <cell r="A319" t="str">
            <v>Planned</v>
          </cell>
        </row>
        <row r="320">
          <cell r="A320" t="str">
            <v>Not Needed</v>
          </cell>
        </row>
        <row r="321">
          <cell r="A321" t="str">
            <v>In Progress</v>
          </cell>
        </row>
        <row r="322">
          <cell r="A322" t="str">
            <v>On Hold</v>
          </cell>
        </row>
        <row r="323">
          <cell r="A323" t="str">
            <v>Patch Ready</v>
          </cell>
        </row>
        <row r="324">
          <cell r="A324" t="str">
            <v>SB Ready</v>
          </cell>
        </row>
        <row r="325">
          <cell r="A325" t="str">
            <v>Inconclusive</v>
          </cell>
        </row>
        <row r="326">
          <cell r="A326" t="str">
            <v>Completed</v>
          </cell>
        </row>
        <row r="327">
          <cell r="A327"/>
        </row>
        <row r="337">
          <cell r="A337" t="str">
            <v>P1 - Critical</v>
          </cell>
        </row>
        <row r="338">
          <cell r="A338" t="str">
            <v>P2 - High</v>
          </cell>
        </row>
        <row r="339">
          <cell r="A339" t="str">
            <v>P3 - Medium</v>
          </cell>
        </row>
        <row r="340">
          <cell r="A340" t="str">
            <v>P4 - Low</v>
          </cell>
        </row>
        <row r="341">
          <cell r="A341" t="str">
            <v>P5 - Info</v>
          </cell>
        </row>
        <row r="361">
          <cell r="A361" t="str">
            <v>Critical</v>
          </cell>
        </row>
        <row r="362">
          <cell r="A362" t="str">
            <v>High</v>
          </cell>
        </row>
        <row r="363">
          <cell r="A363" t="str">
            <v>Medium</v>
          </cell>
        </row>
        <row r="364">
          <cell r="A364" t="str">
            <v>Low</v>
          </cell>
        </row>
        <row r="365">
          <cell r="A365" t="str">
            <v>NA</v>
          </cell>
        </row>
        <row r="369">
          <cell r="A369" t="str">
            <v>S1 - Critical</v>
          </cell>
        </row>
        <row r="370">
          <cell r="A370" t="str">
            <v>S2 - High</v>
          </cell>
        </row>
        <row r="371">
          <cell r="A371" t="str">
            <v>S3 - Medium</v>
          </cell>
        </row>
        <row r="372">
          <cell r="A372" t="str">
            <v>S4 - Low</v>
          </cell>
        </row>
        <row r="373">
          <cell r="A373" t="str">
            <v>S5 - Info</v>
          </cell>
        </row>
        <row r="393">
          <cell r="A393" t="str">
            <v>P1 - Definitely</v>
          </cell>
        </row>
        <row r="394">
          <cell r="A394" t="str">
            <v>P2 - Probably</v>
          </cell>
        </row>
        <row r="395">
          <cell r="A395" t="str">
            <v>P3 - Possibly</v>
          </cell>
        </row>
        <row r="396">
          <cell r="A396" t="str">
            <v>P4 - Unlikely</v>
          </cell>
        </row>
        <row r="397">
          <cell r="A397" t="str">
            <v>P5 - Never</v>
          </cell>
        </row>
        <row r="401">
          <cell r="A401" t="str">
            <v>1 - High</v>
          </cell>
        </row>
        <row r="402">
          <cell r="A402" t="str">
            <v>2 - Average</v>
          </cell>
        </row>
        <row r="403">
          <cell r="A403" t="str">
            <v>3 - Low</v>
          </cell>
        </row>
        <row r="407">
          <cell r="A407" t="str">
            <v>All</v>
          </cell>
        </row>
        <row r="408">
          <cell r="A408" t="str">
            <v>Most</v>
          </cell>
        </row>
        <row r="409">
          <cell r="A409" t="str">
            <v>Many</v>
          </cell>
        </row>
        <row r="410">
          <cell r="A410" t="str">
            <v>Some</v>
          </cell>
        </row>
        <row r="411">
          <cell r="A411" t="str">
            <v>Few</v>
          </cell>
        </row>
        <row r="412">
          <cell r="A412" t="str">
            <v>None</v>
          </cell>
        </row>
        <row r="413">
          <cell r="A413"/>
        </row>
        <row r="419">
          <cell r="A419" t="str">
            <v>Pre-M&amp;A</v>
          </cell>
        </row>
        <row r="420">
          <cell r="A420" t="str">
            <v>Post-M&amp;A</v>
          </cell>
        </row>
        <row r="421">
          <cell r="A421" t="str">
            <v>Pre-Release</v>
          </cell>
        </row>
        <row r="422">
          <cell r="A422" t="str">
            <v>Post-Release</v>
          </cell>
        </row>
        <row r="423">
          <cell r="A423"/>
        </row>
        <row r="426">
          <cell r="A426" t="str">
            <v>Investment Themes, Epics</v>
          </cell>
        </row>
        <row r="427">
          <cell r="A427" t="str">
            <v>Plan-Of-Intent Checkpoint</v>
          </cell>
        </row>
        <row r="428">
          <cell r="A428" t="str">
            <v>Release Planning</v>
          </cell>
        </row>
        <row r="429">
          <cell r="A429" t="str">
            <v>Release Planning Checkpoint</v>
          </cell>
        </row>
        <row r="430">
          <cell r="A430" t="str">
            <v>Sprint Planning</v>
          </cell>
        </row>
        <row r="431">
          <cell r="A431" t="str">
            <v>Sprint Planning Checkpoint</v>
          </cell>
        </row>
        <row r="432">
          <cell r="A432" t="str">
            <v>Development &amp; Test</v>
          </cell>
        </row>
        <row r="433">
          <cell r="A433" t="str">
            <v>Sprint Checkpoint</v>
          </cell>
        </row>
        <row r="434">
          <cell r="A434" t="str">
            <v>Sprint Review &amp; Retrospective</v>
          </cell>
        </row>
        <row r="435">
          <cell r="A435" t="str">
            <v>PSI</v>
          </cell>
        </row>
        <row r="436">
          <cell r="A436" t="str">
            <v>Release to Customer</v>
          </cell>
        </row>
        <row r="437">
          <cell r="A437" t="str">
            <v>Release Launch Checkpoint</v>
          </cell>
        </row>
        <row r="438">
          <cell r="A438" t="str">
            <v>NA</v>
          </cell>
        </row>
        <row r="439">
          <cell r="A439"/>
        </row>
        <row r="442">
          <cell r="A442" t="str">
            <v>0 Concept</v>
          </cell>
        </row>
        <row r="443">
          <cell r="A443" t="str">
            <v>1 Planning</v>
          </cell>
        </row>
        <row r="444">
          <cell r="A444" t="str">
            <v>2 Design &amp; Dev.</v>
          </cell>
        </row>
        <row r="445">
          <cell r="A445" t="str">
            <v>3 Readiness</v>
          </cell>
        </row>
        <row r="446">
          <cell r="A446" t="str">
            <v>4 Release &amp; Launch</v>
          </cell>
        </row>
        <row r="447">
          <cell r="A447" t="str">
            <v>5 Support &amp; Sustain</v>
          </cell>
        </row>
        <row r="448">
          <cell r="A448"/>
        </row>
        <row r="462">
          <cell r="A462" t="str">
            <v>Accuvant</v>
          </cell>
        </row>
        <row r="463">
          <cell r="A463" t="str">
            <v>Cigital</v>
          </cell>
        </row>
        <row r="464">
          <cell r="A464" t="str">
            <v>IOActive</v>
          </cell>
        </row>
        <row r="465">
          <cell r="A465" t="str">
            <v>NCC Group</v>
          </cell>
        </row>
        <row r="466">
          <cell r="A466" t="str">
            <v>Palamida</v>
          </cell>
        </row>
        <row r="467">
          <cell r="A467" t="str">
            <v>Protiviti</v>
          </cell>
        </row>
        <row r="468">
          <cell r="A468" t="str">
            <v>Savant</v>
          </cell>
        </row>
        <row r="469">
          <cell r="A469" t="str">
            <v>Veracode</v>
          </cell>
        </row>
        <row r="470">
          <cell r="A470" t="str">
            <v>NA</v>
          </cell>
        </row>
        <row r="471">
          <cell r="A471" t="str">
            <v>Other</v>
          </cell>
        </row>
        <row r="514">
          <cell r="A514" t="str">
            <v>Initiated</v>
          </cell>
        </row>
        <row r="515">
          <cell r="A515" t="str">
            <v>In Review</v>
          </cell>
        </row>
        <row r="516">
          <cell r="A516" t="str">
            <v>Approved</v>
          </cell>
        </row>
        <row r="517">
          <cell r="A517" t="str">
            <v>Rejected</v>
          </cell>
        </row>
        <row r="518">
          <cell r="A518" t="str">
            <v>Closed</v>
          </cell>
        </row>
        <row r="522">
          <cell r="A522" t="str">
            <v>Vulnerabilities</v>
          </cell>
        </row>
        <row r="523">
          <cell r="A523" t="str">
            <v>SDL</v>
          </cell>
        </row>
        <row r="524">
          <cell r="A524" t="str">
            <v>Other</v>
          </cell>
        </row>
        <row r="528">
          <cell r="A528" t="str">
            <v>Modulation</v>
          </cell>
        </row>
        <row r="529">
          <cell r="A529" t="str">
            <v>Exception</v>
          </cell>
        </row>
        <row r="530">
          <cell r="A530" t="str">
            <v>Informal</v>
          </cell>
        </row>
        <row r="534">
          <cell r="A534" t="str">
            <v>Yes</v>
          </cell>
        </row>
        <row r="535">
          <cell r="A535" t="str">
            <v>No</v>
          </cell>
        </row>
        <row r="539">
          <cell r="A539" t="str">
            <v>SDL - Security Requirements</v>
          </cell>
        </row>
        <row r="540">
          <cell r="A540" t="str">
            <v>SDL - Privacy Requirements</v>
          </cell>
        </row>
        <row r="541">
          <cell r="A541" t="str">
            <v>SDL - Security &amp; Privacy Requirements</v>
          </cell>
        </row>
        <row r="542">
          <cell r="A542" t="str">
            <v>Certifications</v>
          </cell>
        </row>
        <row r="543">
          <cell r="A543" t="str">
            <v>Customer Feedback</v>
          </cell>
        </row>
        <row r="544">
          <cell r="A544" t="str">
            <v>Vulnerability</v>
          </cell>
        </row>
        <row r="545">
          <cell r="A545" t="str">
            <v>NA</v>
          </cell>
        </row>
        <row r="549">
          <cell r="A549" t="str">
            <v>Architecture</v>
          </cell>
        </row>
        <row r="550">
          <cell r="A550" t="str">
            <v>Configuration Management</v>
          </cell>
        </row>
        <row r="551">
          <cell r="A551" t="str">
            <v>Design</v>
          </cell>
        </row>
        <row r="552">
          <cell r="A552" t="str">
            <v>Design / Process Interaction</v>
          </cell>
        </row>
        <row r="553">
          <cell r="A553" t="str">
            <v>Design Marginality</v>
          </cell>
        </row>
        <row r="554">
          <cell r="A554" t="str">
            <v>Development Environment</v>
          </cell>
        </row>
        <row r="555">
          <cell r="A555" t="str">
            <v>Development Implementation</v>
          </cell>
        </row>
        <row r="556">
          <cell r="A556" t="str">
            <v>Documentation</v>
          </cell>
        </row>
        <row r="557">
          <cell r="A557" t="str">
            <v>Production</v>
          </cell>
        </row>
        <row r="558">
          <cell r="A558" t="str">
            <v>Requirements</v>
          </cell>
        </row>
        <row r="559">
          <cell r="A559" t="str">
            <v>Validation</v>
          </cell>
        </row>
        <row r="566">
          <cell r="A566" t="str">
            <v>• Patrick McEnany</v>
          </cell>
        </row>
        <row r="567">
          <cell r="A567" t="str">
            <v>• Kris Bugbee</v>
          </cell>
        </row>
        <row r="568">
          <cell r="A568" t="str">
            <v>• David Oxley</v>
          </cell>
        </row>
        <row r="569">
          <cell r="A569" t="str">
            <v>• David Oxley</v>
          </cell>
        </row>
        <row r="570">
          <cell r="A570" t="str">
            <v>• Cedric Cochin</v>
          </cell>
        </row>
        <row r="571">
          <cell r="A571" t="str">
            <v>• Sandeep Kumar Singh</v>
          </cell>
        </row>
        <row r="575">
          <cell r="A575" t="str">
            <v>All</v>
          </cell>
        </row>
        <row r="576">
          <cell r="A576" t="str">
            <v>Endpoint</v>
          </cell>
        </row>
        <row r="577">
          <cell r="A577" t="str">
            <v>Cloud</v>
          </cell>
        </row>
        <row r="578">
          <cell r="A578" t="str">
            <v>Detection</v>
          </cell>
        </row>
        <row r="579">
          <cell r="A579" t="str">
            <v>Management</v>
          </cell>
        </row>
        <row r="580">
          <cell r="A580" t="str">
            <v>Network</v>
          </cell>
        </row>
        <row r="581">
          <cell r="A581" t="str">
            <v>Operations</v>
          </cell>
        </row>
        <row r="582">
          <cell r="A582" t="str">
            <v>McAfee Labs</v>
          </cell>
        </row>
        <row r="583">
          <cell r="A583" t="str">
            <v>Consumer - Apps</v>
          </cell>
        </row>
        <row r="584">
          <cell r="A584" t="str">
            <v>Consumer - Mobile</v>
          </cell>
        </row>
        <row r="585">
          <cell r="A585" t="str">
            <v>Consumer - Platform/Web</v>
          </cell>
        </row>
        <row r="586">
          <cell r="A586" t="str">
            <v>Consumer - Partner Custom</v>
          </cell>
        </row>
        <row r="587">
          <cell r="A587" t="str">
            <v>Consumer - Safe Identity</v>
          </cell>
        </row>
        <row r="588">
          <cell r="A588" t="str">
            <v>Content</v>
          </cell>
        </row>
        <row r="589">
          <cell r="A58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6">
          <cell r="B6" t="str">
            <v>Apache</v>
          </cell>
          <cell r="C6" t="str">
            <v>Bash</v>
          </cell>
          <cell r="D6" t="str">
            <v>BIND</v>
          </cell>
          <cell r="E6" t="str">
            <v>CryptoCME BSAFE</v>
          </cell>
          <cell r="F6" t="str">
            <v>DTLS in OpenSSL</v>
          </cell>
          <cell r="G6" t="str">
            <v>FreeBSD</v>
          </cell>
          <cell r="H6" t="str">
            <v>glibc</v>
          </cell>
          <cell r="I6" t="str">
            <v>GnuTLS</v>
          </cell>
          <cell r="J6" t="str">
            <v>iLO</v>
          </cell>
          <cell r="K6" t="str">
            <v>Linux Appliance</v>
          </cell>
          <cell r="L6" t="str">
            <v>Linux Kernel</v>
          </cell>
          <cell r="M6" t="str">
            <v>MD5</v>
          </cell>
          <cell r="N6" t="str">
            <v>Misc.</v>
          </cell>
          <cell r="O6" t="str">
            <v>MFC</v>
          </cell>
          <cell r="P6" t="str">
            <v>NSS: Discritix CRYS or WolfSSL</v>
          </cell>
          <cell r="Q6" t="str">
            <v>NSS: Java Crypto API</v>
          </cell>
          <cell r="R6" t="str">
            <v>NTP</v>
          </cell>
          <cell r="S6" t="str">
            <v>Open JDK</v>
          </cell>
          <cell r="T6" t="str">
            <v>OpenSSH</v>
          </cell>
          <cell r="U6" t="str">
            <v>OpenSSL</v>
          </cell>
          <cell r="V6" t="str">
            <v>Oracle Java</v>
          </cell>
          <cell r="W6" t="str">
            <v>Oracle Outside In</v>
          </cell>
          <cell r="X6" t="str">
            <v>PostgreSQL</v>
          </cell>
          <cell r="Y6" t="str">
            <v>Quagga</v>
          </cell>
          <cell r="Z6" t="str">
            <v>SHA1</v>
          </cell>
          <cell r="AA6" t="str">
            <v>SHA2</v>
          </cell>
          <cell r="AB6" t="str">
            <v>TLS</v>
          </cell>
          <cell r="AC6" t="str">
            <v>Tomcat</v>
          </cell>
          <cell r="AD6" t="str">
            <v>UEFI</v>
          </cell>
          <cell r="AE6" t="str">
            <v>UPnP</v>
          </cell>
          <cell r="AF6" t="str">
            <v>WolfSSL</v>
          </cell>
          <cell r="AG6"/>
          <cell r="AH6" t="str">
            <v>ePO</v>
          </cell>
          <cell r="AI6" t="str">
            <v>AV</v>
          </cell>
          <cell r="AJ6"/>
          <cell r="AK6" t="str">
            <v>MLOS</v>
          </cell>
          <cell r="AL6" t="str">
            <v>VSCore</v>
          </cell>
          <cell r="AM6" t="str">
            <v>AV Engine 5600</v>
          </cell>
          <cell r="AN6"/>
          <cell r="AO6" t="str">
            <v>OpenSSL FIPS v0.9.8</v>
          </cell>
          <cell r="AP6" t="str">
            <v>OpenSSL FIPS v1.0.1</v>
          </cell>
          <cell r="AQ6"/>
          <cell r="AR6"/>
          <cell r="AS6" t="str">
            <v>IPMI (BIOS)</v>
          </cell>
          <cell r="AT6" t="str">
            <v>IMRSDK (AMT)</v>
          </cell>
          <cell r="AU6"/>
          <cell r="AV6" t="str">
            <v>DISA
(HBSS)</v>
          </cell>
          <cell r="AW6" t="str">
            <v>DISA
(AV)</v>
          </cell>
          <cell r="AX6" t="str">
            <v>HCA</v>
          </cell>
          <cell r="AY6"/>
        </row>
      </sheetData>
      <sheetData sheetId="17"/>
      <sheetData sheetId="18"/>
      <sheetData sheetId="19">
        <row r="8">
          <cell r="A8" t="str">
            <v>• James Ransome</v>
          </cell>
        </row>
        <row r="9">
          <cell r="A9" t="str">
            <v>• Brook Schoenfield</v>
          </cell>
        </row>
        <row r="10">
          <cell r="A10" t="str">
            <v>• Harold Toomey</v>
          </cell>
        </row>
        <row r="11">
          <cell r="A11" t="str">
            <v>• Stephen Jordan</v>
          </cell>
        </row>
        <row r="12">
          <cell r="A12" t="str">
            <v>• Patrick McEnany</v>
          </cell>
        </row>
        <row r="13">
          <cell r="A13" t="str">
            <v>• Jonathan Fox</v>
          </cell>
        </row>
        <row r="14">
          <cell r="A14" t="str">
            <v>NA</v>
          </cell>
        </row>
        <row r="15">
          <cell r="A15"/>
        </row>
        <row r="19">
          <cell r="A19" t="str">
            <v>• Chris Palm</v>
          </cell>
        </row>
        <row r="20">
          <cell r="A20" t="str">
            <v>• Heather Haas</v>
          </cell>
        </row>
        <row r="21">
          <cell r="A21" t="str">
            <v>• Cynthia Coldren</v>
          </cell>
        </row>
        <row r="22">
          <cell r="A22" t="str">
            <v>NA</v>
          </cell>
        </row>
        <row r="23">
          <cell r="A23"/>
        </row>
        <row r="27">
          <cell r="A27" t="str">
            <v>• Courtney Hollenhorst</v>
          </cell>
        </row>
        <row r="28">
          <cell r="A28" t="str">
            <v>• BJ Hudson</v>
          </cell>
        </row>
        <row r="29">
          <cell r="A29" t="str">
            <v>• Kris Solberg</v>
          </cell>
        </row>
        <row r="30">
          <cell r="A30" t="str">
            <v>• Rodney Cambridge</v>
          </cell>
        </row>
        <row r="31">
          <cell r="A31" t="str">
            <v>• Jimmy Songer</v>
          </cell>
        </row>
        <row r="32">
          <cell r="A32" t="str">
            <v>• Tim Mammen</v>
          </cell>
        </row>
        <row r="33">
          <cell r="A33" t="str">
            <v>• Michael deGruyter</v>
          </cell>
        </row>
        <row r="34">
          <cell r="A34" t="str">
            <v>• Mike Barnes</v>
          </cell>
        </row>
        <row r="35">
          <cell r="A35" t="str">
            <v>• Sandra Chin</v>
          </cell>
        </row>
        <row r="36">
          <cell r="A36" t="str">
            <v>• David Ries</v>
          </cell>
        </row>
        <row r="37">
          <cell r="A37" t="str">
            <v>NA</v>
          </cell>
        </row>
        <row r="38">
          <cell r="A38"/>
        </row>
        <row r="42">
          <cell r="A42" t="str">
            <v>• Tony Gunn</v>
          </cell>
        </row>
        <row r="43">
          <cell r="A43" t="str">
            <v>• Xochitl Monteon</v>
          </cell>
        </row>
        <row r="44">
          <cell r="A44" t="str">
            <v>• Eric Bowerman</v>
          </cell>
        </row>
        <row r="45">
          <cell r="A45" t="str">
            <v>• Matthew Parsons</v>
          </cell>
        </row>
        <row r="46">
          <cell r="A46" t="str">
            <v>• Robert Morris</v>
          </cell>
        </row>
        <row r="47">
          <cell r="A47" t="str">
            <v>• Devin Maness</v>
          </cell>
        </row>
        <row r="48">
          <cell r="A48" t="str">
            <v>NA</v>
          </cell>
        </row>
        <row r="49">
          <cell r="A49"/>
        </row>
      </sheetData>
      <sheetData sheetId="20"/>
      <sheetData sheetId="21"/>
      <sheetData sheetId="22"/>
      <sheetData sheetId="23"/>
      <sheetData sheetId="24"/>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2000" preserveFormatting="0" connectionId="1" xr16:uid="{00000000-0016-0000-05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eb.nvd.nist.gov/view/vuln/detail?vulnId=CVE-2016-1111" TargetMode="External"/><Relationship Id="rId1" Type="http://schemas.openxmlformats.org/officeDocument/2006/relationships/hyperlink" Target="http://cve.mitre.org/cgi-bin/cvename.cgi?name=CVE-2016-1111" TargetMode="External"/><Relationship Id="rId4"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3.bin"/><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cve.mitre.org/cve/request_id.html%20%5d" TargetMode="External"/><Relationship Id="rId1" Type="http://schemas.openxmlformats.org/officeDocument/2006/relationships/hyperlink" Target="http://cve.mitre.org/cve/request_id.html%20%5d" TargetMode="External"/><Relationship Id="rId4"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3" Type="http://schemas.openxmlformats.org/officeDocument/2006/relationships/hyperlink" Target="http://capec.mitre.org/data/definitions/384.html" TargetMode="External"/><Relationship Id="rId18" Type="http://schemas.openxmlformats.org/officeDocument/2006/relationships/hyperlink" Target="http://capec.mitre.org/data/definitions/114.html" TargetMode="External"/><Relationship Id="rId26" Type="http://schemas.openxmlformats.org/officeDocument/2006/relationships/hyperlink" Target="http://capec.mitre.org/data/definitions/9.html" TargetMode="External"/><Relationship Id="rId39" Type="http://schemas.openxmlformats.org/officeDocument/2006/relationships/hyperlink" Target="http://capec.mitre.org/data/definitions/11.html" TargetMode="External"/><Relationship Id="rId21" Type="http://schemas.openxmlformats.org/officeDocument/2006/relationships/hyperlink" Target="http://capec.mitre.org/data/definitions/96.html" TargetMode="External"/><Relationship Id="rId34" Type="http://schemas.openxmlformats.org/officeDocument/2006/relationships/hyperlink" Target="http://capec.mitre.org/data/definitions/391.html" TargetMode="External"/><Relationship Id="rId42" Type="http://schemas.openxmlformats.org/officeDocument/2006/relationships/hyperlink" Target="http://capec.mitre.org/data/definitions/12.html" TargetMode="External"/><Relationship Id="rId47" Type="http://schemas.openxmlformats.org/officeDocument/2006/relationships/hyperlink" Target="http://capec.mitre.org/data/definitions/397.html" TargetMode="External"/><Relationship Id="rId50" Type="http://schemas.openxmlformats.org/officeDocument/2006/relationships/hyperlink" Target="http://capec.mitre.org/data/definitions/241.html" TargetMode="External"/><Relationship Id="rId55" Type="http://schemas.openxmlformats.org/officeDocument/2006/relationships/hyperlink" Target="http://capec.mitre.org/data/lists/2000.html" TargetMode="External"/><Relationship Id="rId7" Type="http://schemas.openxmlformats.org/officeDocument/2006/relationships/hyperlink" Target="http://capec.mitre.org/data/definitions/173.html" TargetMode="External"/><Relationship Id="rId2" Type="http://schemas.openxmlformats.org/officeDocument/2006/relationships/hyperlink" Target="http://capec.mitre.org/data/definitions/210.html" TargetMode="External"/><Relationship Id="rId16" Type="http://schemas.openxmlformats.org/officeDocument/2006/relationships/hyperlink" Target="http://capec.mitre.org/data/definitions/124.html" TargetMode="External"/><Relationship Id="rId29" Type="http://schemas.openxmlformats.org/officeDocument/2006/relationships/hyperlink" Target="http://capec.mitre.org/data/definitions/45.html" TargetMode="External"/><Relationship Id="rId11" Type="http://schemas.openxmlformats.org/officeDocument/2006/relationships/hyperlink" Target="http://capec.mitre.org/data/definitions/113.html" TargetMode="External"/><Relationship Id="rId24" Type="http://schemas.openxmlformats.org/officeDocument/2006/relationships/hyperlink" Target="http://capec.mitre.org/data/definitions/123.html" TargetMode="External"/><Relationship Id="rId32" Type="http://schemas.openxmlformats.org/officeDocument/2006/relationships/hyperlink" Target="http://capec.mitre.org/data/definitions/395.html" TargetMode="External"/><Relationship Id="rId37" Type="http://schemas.openxmlformats.org/officeDocument/2006/relationships/hyperlink" Target="http://capec.mitre.org/data/definitions/237.html" TargetMode="External"/><Relationship Id="rId40" Type="http://schemas.openxmlformats.org/officeDocument/2006/relationships/hyperlink" Target="http://capec.mitre.org/data/definitions/249.html" TargetMode="External"/><Relationship Id="rId45" Type="http://schemas.openxmlformats.org/officeDocument/2006/relationships/hyperlink" Target="http://capec.mitre.org/data/definitions/220.html" TargetMode="External"/><Relationship Id="rId53" Type="http://schemas.openxmlformats.org/officeDocument/2006/relationships/hyperlink" Target="http://capec.mitre.org/data/definitions/108.html" TargetMode="External"/><Relationship Id="rId5" Type="http://schemas.openxmlformats.org/officeDocument/2006/relationships/hyperlink" Target="http://capec.mitre.org/data/definitions/17.html" TargetMode="External"/><Relationship Id="rId19" Type="http://schemas.openxmlformats.org/officeDocument/2006/relationships/hyperlink" Target="http://capec.mitre.org/data/definitions/115.html" TargetMode="External"/><Relationship Id="rId4" Type="http://schemas.openxmlformats.org/officeDocument/2006/relationships/hyperlink" Target="http://capec.mitre.org/data/definitions/1.html" TargetMode="External"/><Relationship Id="rId9" Type="http://schemas.openxmlformats.org/officeDocument/2006/relationships/hyperlink" Target="http://capec.mitre.org/data/definitions/5.html" TargetMode="External"/><Relationship Id="rId14" Type="http://schemas.openxmlformats.org/officeDocument/2006/relationships/hyperlink" Target="http://capec.mitre.org/data/definitions/386.html" TargetMode="External"/><Relationship Id="rId22" Type="http://schemas.openxmlformats.org/officeDocument/2006/relationships/hyperlink" Target="http://capec.mitre.org/data/definitions/472.html" TargetMode="External"/><Relationship Id="rId27" Type="http://schemas.openxmlformats.org/officeDocument/2006/relationships/hyperlink" Target="http://capec.mitre.org/data/definitions/10.html" TargetMode="External"/><Relationship Id="rId30" Type="http://schemas.openxmlformats.org/officeDocument/2006/relationships/hyperlink" Target="http://capec.mitre.org/data/definitions/402.html" TargetMode="External"/><Relationship Id="rId35" Type="http://schemas.openxmlformats.org/officeDocument/2006/relationships/hyperlink" Target="http://capec.mitre.org/data/definitions/390.html" TargetMode="External"/><Relationship Id="rId43" Type="http://schemas.openxmlformats.org/officeDocument/2006/relationships/hyperlink" Target="http://capec.mitre.org/data/definitions/103.html" TargetMode="External"/><Relationship Id="rId48" Type="http://schemas.openxmlformats.org/officeDocument/2006/relationships/hyperlink" Target="http://capec.mitre.org/data/definitions/399.html" TargetMode="External"/><Relationship Id="rId56" Type="http://schemas.openxmlformats.org/officeDocument/2006/relationships/customProperty" Target="../customProperty5.bin"/><Relationship Id="rId8" Type="http://schemas.openxmlformats.org/officeDocument/2006/relationships/hyperlink" Target="http://capec.mitre.org/data/definitions/312.html" TargetMode="External"/><Relationship Id="rId51" Type="http://schemas.openxmlformats.org/officeDocument/2006/relationships/hyperlink" Target="http://capec.mitre.org/data/definitions/15.html" TargetMode="External"/><Relationship Id="rId3" Type="http://schemas.openxmlformats.org/officeDocument/2006/relationships/hyperlink" Target="http://capec.mitre.org/data/definitions/257.html" TargetMode="External"/><Relationship Id="rId12" Type="http://schemas.openxmlformats.org/officeDocument/2006/relationships/hyperlink" Target="http://capec.mitre.org/data/definitions/388.html" TargetMode="External"/><Relationship Id="rId17" Type="http://schemas.openxmlformats.org/officeDocument/2006/relationships/hyperlink" Target="http://capec.mitre.org/data/definitions/268.html" TargetMode="External"/><Relationship Id="rId25" Type="http://schemas.openxmlformats.org/officeDocument/2006/relationships/hyperlink" Target="http://capec.mitre.org/data/definitions/8.html" TargetMode="External"/><Relationship Id="rId33" Type="http://schemas.openxmlformats.org/officeDocument/2006/relationships/hyperlink" Target="http://capec.mitre.org/data/definitions/140.html" TargetMode="External"/><Relationship Id="rId38" Type="http://schemas.openxmlformats.org/officeDocument/2006/relationships/hyperlink" Target="http://capec.mitre.org/data/definitions/236.html" TargetMode="External"/><Relationship Id="rId46" Type="http://schemas.openxmlformats.org/officeDocument/2006/relationships/hyperlink" Target="http://capec.mitre.org/data/definitions/14.html" TargetMode="External"/><Relationship Id="rId20" Type="http://schemas.openxmlformats.org/officeDocument/2006/relationships/hyperlink" Target="http://capec.mitre.org/data/definitions/7.html" TargetMode="External"/><Relationship Id="rId41" Type="http://schemas.openxmlformats.org/officeDocument/2006/relationships/hyperlink" Target="http://capec.mitre.org/data/definitions/145.html" TargetMode="External"/><Relationship Id="rId54" Type="http://schemas.openxmlformats.org/officeDocument/2006/relationships/hyperlink" Target="http://capec.mitre.org/data/definitions/150.html" TargetMode="External"/><Relationship Id="rId1" Type="http://schemas.openxmlformats.org/officeDocument/2006/relationships/hyperlink" Target="http://capec.mitre.org/data/definitions/216.html" TargetMode="External"/><Relationship Id="rId6" Type="http://schemas.openxmlformats.org/officeDocument/2006/relationships/hyperlink" Target="http://capec.mitre.org/data/definitions/31.html" TargetMode="External"/><Relationship Id="rId15" Type="http://schemas.openxmlformats.org/officeDocument/2006/relationships/hyperlink" Target="http://capec.mitre.org/data/definitions/6.html" TargetMode="External"/><Relationship Id="rId23" Type="http://schemas.openxmlformats.org/officeDocument/2006/relationships/hyperlink" Target="http://capec.mitre.org/data/definitions/112.html" TargetMode="External"/><Relationship Id="rId28" Type="http://schemas.openxmlformats.org/officeDocument/2006/relationships/hyperlink" Target="http://capec.mitre.org/data/definitions/47.html" TargetMode="External"/><Relationship Id="rId36" Type="http://schemas.openxmlformats.org/officeDocument/2006/relationships/hyperlink" Target="http://capec.mitre.org/data/definitions/141.html" TargetMode="External"/><Relationship Id="rId49" Type="http://schemas.openxmlformats.org/officeDocument/2006/relationships/hyperlink" Target="http://capec.mitre.org/data/definitions/175.html" TargetMode="External"/><Relationship Id="rId57" Type="http://schemas.openxmlformats.org/officeDocument/2006/relationships/queryTable" Target="../queryTables/queryTable1.xml"/><Relationship Id="rId10" Type="http://schemas.openxmlformats.org/officeDocument/2006/relationships/hyperlink" Target="http://capec.mitre.org/data/definitions/281.html" TargetMode="External"/><Relationship Id="rId31" Type="http://schemas.openxmlformats.org/officeDocument/2006/relationships/hyperlink" Target="http://capec.mitre.org/data/definitions/396.html" TargetMode="External"/><Relationship Id="rId44" Type="http://schemas.openxmlformats.org/officeDocument/2006/relationships/hyperlink" Target="http://capec.mitre.org/data/definitions/85.html" TargetMode="External"/><Relationship Id="rId52" Type="http://schemas.openxmlformats.org/officeDocument/2006/relationships/hyperlink" Target="http://capec.mitre.org/data/definitions/248.html"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cwe.mitre.org/data/definitions/319.html" TargetMode="External"/><Relationship Id="rId671" Type="http://schemas.openxmlformats.org/officeDocument/2006/relationships/hyperlink" Target="http://cwe.mitre.org/data/definitions/21.html" TargetMode="External"/><Relationship Id="rId769" Type="http://schemas.openxmlformats.org/officeDocument/2006/relationships/hyperlink" Target="http://cwe.mitre.org/data/definitions/886.html" TargetMode="External"/><Relationship Id="rId21" Type="http://schemas.openxmlformats.org/officeDocument/2006/relationships/hyperlink" Target="http://cwe.mitre.org/data/definitions/774.html" TargetMode="External"/><Relationship Id="rId324" Type="http://schemas.openxmlformats.org/officeDocument/2006/relationships/hyperlink" Target="http://cwe.mitre.org/data/definitions/95.html" TargetMode="External"/><Relationship Id="rId531" Type="http://schemas.openxmlformats.org/officeDocument/2006/relationships/hyperlink" Target="http://cwe.mitre.org/data/definitions/370.html" TargetMode="External"/><Relationship Id="rId629" Type="http://schemas.openxmlformats.org/officeDocument/2006/relationships/hyperlink" Target="http://cwe.mitre.org/data/definitions/933.html" TargetMode="External"/><Relationship Id="rId170" Type="http://schemas.openxmlformats.org/officeDocument/2006/relationships/hyperlink" Target="http://cwe.mitre.org/data/definitions/92.html" TargetMode="External"/><Relationship Id="rId836" Type="http://schemas.openxmlformats.org/officeDocument/2006/relationships/hyperlink" Target="http://cwe.mitre.org/data/definitions/61.html" TargetMode="External"/><Relationship Id="rId268" Type="http://schemas.openxmlformats.org/officeDocument/2006/relationships/hyperlink" Target="http://cwe.mitre.org/data/definitions/98.html" TargetMode="External"/><Relationship Id="rId475" Type="http://schemas.openxmlformats.org/officeDocument/2006/relationships/hyperlink" Target="http://cwe.mitre.org/data/definitions/277.html" TargetMode="External"/><Relationship Id="rId682" Type="http://schemas.openxmlformats.org/officeDocument/2006/relationships/hyperlink" Target="http://cwe.mitre.org/data/definitions/342.html" TargetMode="External"/><Relationship Id="rId903" Type="http://schemas.openxmlformats.org/officeDocument/2006/relationships/hyperlink" Target="http://cwe.mitre.org/data/definitions/355.html" TargetMode="External"/><Relationship Id="rId32" Type="http://schemas.openxmlformats.org/officeDocument/2006/relationships/hyperlink" Target="http://cwe.mitre.org/data/definitions/556.html" TargetMode="External"/><Relationship Id="rId128" Type="http://schemas.openxmlformats.org/officeDocument/2006/relationships/hyperlink" Target="http://cwe.mitre.org/data/definitions/733.html" TargetMode="External"/><Relationship Id="rId335" Type="http://schemas.openxmlformats.org/officeDocument/2006/relationships/hyperlink" Target="http://cwe.mitre.org/data/definitions/86.html" TargetMode="External"/><Relationship Id="rId542" Type="http://schemas.openxmlformats.org/officeDocument/2006/relationships/hyperlink" Target="http://cwe.mitre.org/data/definitions/773.html" TargetMode="External"/><Relationship Id="rId181" Type="http://schemas.openxmlformats.org/officeDocument/2006/relationships/hyperlink" Target="http://cwe.mitre.org/data/definitions/415.html" TargetMode="External"/><Relationship Id="rId402" Type="http://schemas.openxmlformats.org/officeDocument/2006/relationships/hyperlink" Target="http://cwe.mitre.org/data/definitions/792.html" TargetMode="External"/><Relationship Id="rId847" Type="http://schemas.openxmlformats.org/officeDocument/2006/relationships/hyperlink" Target="http://cwe.mitre.org/data/definitions/623.html" TargetMode="External"/><Relationship Id="rId279" Type="http://schemas.openxmlformats.org/officeDocument/2006/relationships/hyperlink" Target="http://cwe.mitre.org/data/definitions/296.html" TargetMode="External"/><Relationship Id="rId486" Type="http://schemas.openxmlformats.org/officeDocument/2006/relationships/hyperlink" Target="http://cwe.mitre.org/data/definitions/778.html" TargetMode="External"/><Relationship Id="rId693" Type="http://schemas.openxmlformats.org/officeDocument/2006/relationships/hyperlink" Target="http://cwe.mitre.org/data/definitions/271.html" TargetMode="External"/><Relationship Id="rId707" Type="http://schemas.openxmlformats.org/officeDocument/2006/relationships/hyperlink" Target="http://cwe.mitre.org/data/definitions/301.html" TargetMode="External"/><Relationship Id="rId914" Type="http://schemas.openxmlformats.org/officeDocument/2006/relationships/hyperlink" Target="http://cwe.mitre.org/data/definitions/630.html" TargetMode="External"/><Relationship Id="rId43" Type="http://schemas.openxmlformats.org/officeDocument/2006/relationships/hyperlink" Target="http://cwe.mitre.org/data/definitions/288.html" TargetMode="External"/><Relationship Id="rId139" Type="http://schemas.openxmlformats.org/officeDocument/2006/relationships/hyperlink" Target="http://cwe.mitre.org/data/definitions/385.html" TargetMode="External"/><Relationship Id="rId346" Type="http://schemas.openxmlformats.org/officeDocument/2006/relationships/hyperlink" Target="http://cwe.mitre.org/data/definitions/81.html" TargetMode="External"/><Relationship Id="rId553" Type="http://schemas.openxmlformats.org/officeDocument/2006/relationships/hyperlink" Target="http://cwe.mitre.org/data/definitions/471.html" TargetMode="External"/><Relationship Id="rId760" Type="http://schemas.openxmlformats.org/officeDocument/2006/relationships/hyperlink" Target="http://cwe.mitre.org/data/definitions/907.html" TargetMode="External"/><Relationship Id="rId192" Type="http://schemas.openxmlformats.org/officeDocument/2006/relationships/hyperlink" Target="http://cwe.mitre.org/data/definitions/574.html" TargetMode="External"/><Relationship Id="rId206" Type="http://schemas.openxmlformats.org/officeDocument/2006/relationships/hyperlink" Target="http://cwe.mitre.org/data/definitions/586.html" TargetMode="External"/><Relationship Id="rId413" Type="http://schemas.openxmlformats.org/officeDocument/2006/relationships/hyperlink" Target="http://cwe.mitre.org/data/definitions/180.html" TargetMode="External"/><Relationship Id="rId858" Type="http://schemas.openxmlformats.org/officeDocument/2006/relationships/hyperlink" Target="http://cwe.mitre.org/data/definitions/324.html" TargetMode="External"/><Relationship Id="rId497" Type="http://schemas.openxmlformats.org/officeDocument/2006/relationships/hyperlink" Target="http://cwe.mitre.org/data/definitions/191.html" TargetMode="External"/><Relationship Id="rId620" Type="http://schemas.openxmlformats.org/officeDocument/2006/relationships/hyperlink" Target="http://cwe.mitre.org/data/definitions/815.html" TargetMode="External"/><Relationship Id="rId718" Type="http://schemas.openxmlformats.org/officeDocument/2006/relationships/hyperlink" Target="http://cwe.mitre.org/data/definitions/487.html" TargetMode="External"/><Relationship Id="rId925" Type="http://schemas.openxmlformats.org/officeDocument/2006/relationships/hyperlink" Target="http://cwe.mitre.org/data/definitions/800.html" TargetMode="External"/><Relationship Id="rId357" Type="http://schemas.openxmlformats.org/officeDocument/2006/relationships/hyperlink" Target="http://cwe.mitre.org/data/definitions/78.html" TargetMode="External"/><Relationship Id="rId54" Type="http://schemas.openxmlformats.org/officeDocument/2006/relationships/hyperlink" Target="http://cwe.mitre.org/data/definitions/124.html" TargetMode="External"/><Relationship Id="rId217" Type="http://schemas.openxmlformats.org/officeDocument/2006/relationships/hyperlink" Target="http://cwe.mitre.org/data/definitions/202.html" TargetMode="External"/><Relationship Id="rId564" Type="http://schemas.openxmlformats.org/officeDocument/2006/relationships/hyperlink" Target="http://cwe.mitre.org/data/definitions/636.html" TargetMode="External"/><Relationship Id="rId771" Type="http://schemas.openxmlformats.org/officeDocument/2006/relationships/hyperlink" Target="http://cwe.mitre.org/data/definitions/831.html" TargetMode="External"/><Relationship Id="rId869" Type="http://schemas.openxmlformats.org/officeDocument/2006/relationships/hyperlink" Target="http://cwe.mitre.org/data/definitions/798.html" TargetMode="External"/><Relationship Id="rId424" Type="http://schemas.openxmlformats.org/officeDocument/2006/relationships/hyperlink" Target="http://cwe.mitre.org/data/definitions/303.html" TargetMode="External"/><Relationship Id="rId631" Type="http://schemas.openxmlformats.org/officeDocument/2006/relationships/hyperlink" Target="http://cwe.mitre.org/data/definitions/935.html" TargetMode="External"/><Relationship Id="rId729" Type="http://schemas.openxmlformats.org/officeDocument/2006/relationships/hyperlink" Target="http://cwe.mitre.org/data/definitions/204.html" TargetMode="External"/><Relationship Id="rId270" Type="http://schemas.openxmlformats.org/officeDocument/2006/relationships/hyperlink" Target="http://cwe.mitre.org/data/definitions/799.html" TargetMode="External"/><Relationship Id="rId936" Type="http://schemas.openxmlformats.org/officeDocument/2006/relationships/hyperlink" Target="http://cwe.mitre.org/data/definitions/64.html" TargetMode="External"/><Relationship Id="rId65" Type="http://schemas.openxmlformats.org/officeDocument/2006/relationships/hyperlink" Target="http://cwe.mitre.org/data/definitions/741.html" TargetMode="External"/><Relationship Id="rId130" Type="http://schemas.openxmlformats.org/officeDocument/2006/relationships/hyperlink" Target="http://cwe.mitre.org/data/definitions/678.html" TargetMode="External"/><Relationship Id="rId368" Type="http://schemas.openxmlformats.org/officeDocument/2006/relationships/hyperlink" Target="http://cwe.mitre.org/data/definitions/281.html" TargetMode="External"/><Relationship Id="rId575" Type="http://schemas.openxmlformats.org/officeDocument/2006/relationships/hyperlink" Target="http://cwe.mitre.org/data/definitions/448.html" TargetMode="External"/><Relationship Id="rId782" Type="http://schemas.openxmlformats.org/officeDocument/2006/relationships/hyperlink" Target="http://cwe.mitre.org/data/definitions/121.html" TargetMode="External"/><Relationship Id="rId228" Type="http://schemas.openxmlformats.org/officeDocument/2006/relationships/hyperlink" Target="http://cwe.mitre.org/data/definitions/610.html" TargetMode="External"/><Relationship Id="rId435" Type="http://schemas.openxmlformats.org/officeDocument/2006/relationships/hyperlink" Target="http://cwe.mitre.org/data/definitions/704.html" TargetMode="External"/><Relationship Id="rId642" Type="http://schemas.openxmlformats.org/officeDocument/2006/relationships/hyperlink" Target="http://cwe.mitre.org/data/definitions/52.html" TargetMode="External"/><Relationship Id="rId281" Type="http://schemas.openxmlformats.org/officeDocument/2006/relationships/hyperlink" Target="http://cwe.mitre.org/data/definitions/227.html" TargetMode="External"/><Relationship Id="rId502" Type="http://schemas.openxmlformats.org/officeDocument/2006/relationships/hyperlink" Target="http://cwe.mitre.org/data/definitions/436.html" TargetMode="External"/><Relationship Id="rId76" Type="http://schemas.openxmlformats.org/officeDocument/2006/relationships/hyperlink" Target="http://cwe.mitre.org/data/definitions/872.html" TargetMode="External"/><Relationship Id="rId141" Type="http://schemas.openxmlformats.org/officeDocument/2006/relationships/hyperlink" Target="http://cwe.mitre.org/data/definitions/379.html" TargetMode="External"/><Relationship Id="rId379" Type="http://schemas.openxmlformats.org/officeDocument/2006/relationships/hyperlink" Target="http://cwe.mitre.org/data/definitions/920.html" TargetMode="External"/><Relationship Id="rId586" Type="http://schemas.openxmlformats.org/officeDocument/2006/relationships/hyperlink" Target="http://cwe.mitre.org/data/definitions/666.html" TargetMode="External"/><Relationship Id="rId793" Type="http://schemas.openxmlformats.org/officeDocument/2006/relationships/hyperlink" Target="http://cwe.mitre.org/data/definitions/106.html" TargetMode="External"/><Relationship Id="rId807" Type="http://schemas.openxmlformats.org/officeDocument/2006/relationships/hyperlink" Target="http://cwe.mitre.org/data/definitions/367.html" TargetMode="External"/><Relationship Id="rId7" Type="http://schemas.openxmlformats.org/officeDocument/2006/relationships/hyperlink" Target="http://cwe.mitre.org/data/definitions/808.html" TargetMode="External"/><Relationship Id="rId239" Type="http://schemas.openxmlformats.org/officeDocument/2006/relationships/hyperlink" Target="http://cwe.mitre.org/data/definitions/590.html" TargetMode="External"/><Relationship Id="rId446" Type="http://schemas.openxmlformats.org/officeDocument/2006/relationships/hyperlink" Target="http://cwe.mitre.org/data/definitions/542.html" TargetMode="External"/><Relationship Id="rId653" Type="http://schemas.openxmlformats.org/officeDocument/2006/relationships/hyperlink" Target="http://cwe.mitre.org/data/definitions/49.html" TargetMode="External"/><Relationship Id="rId292" Type="http://schemas.openxmlformats.org/officeDocument/2006/relationships/hyperlink" Target="http://cwe.mitre.org/data/definitions/168.html" TargetMode="External"/><Relationship Id="rId306" Type="http://schemas.openxmlformats.org/officeDocument/2006/relationships/hyperlink" Target="http://cwe.mitre.org/data/definitions/241.html" TargetMode="External"/><Relationship Id="rId860" Type="http://schemas.openxmlformats.org/officeDocument/2006/relationships/hyperlink" Target="http://cwe.mitre.org/data/definitions/760.html" TargetMode="External"/><Relationship Id="rId87" Type="http://schemas.openxmlformats.org/officeDocument/2006/relationships/hyperlink" Target="http://cwe.mitre.org/data/definitions/883.html" TargetMode="External"/><Relationship Id="rId513" Type="http://schemas.openxmlformats.org/officeDocument/2006/relationships/hyperlink" Target="http://cwe.mitre.org/data/definitions/7.html" TargetMode="External"/><Relationship Id="rId597" Type="http://schemas.openxmlformats.org/officeDocument/2006/relationships/hyperlink" Target="http://cwe.mitre.org/data/definitions/724.html" TargetMode="External"/><Relationship Id="rId720" Type="http://schemas.openxmlformats.org/officeDocument/2006/relationships/hyperlink" Target="http://cwe.mitre.org/data/definitions/656.html" TargetMode="External"/><Relationship Id="rId818" Type="http://schemas.openxmlformats.org/officeDocument/2006/relationships/hyperlink" Target="http://cwe.mitre.org/data/definitions/248.html" TargetMode="External"/><Relationship Id="rId152" Type="http://schemas.openxmlformats.org/officeDocument/2006/relationships/hyperlink" Target="http://cwe.mitre.org/data/definitions/461.html" TargetMode="External"/><Relationship Id="rId457" Type="http://schemas.openxmlformats.org/officeDocument/2006/relationships/hyperlink" Target="http://cwe.mitre.org/data/definitions/532.html" TargetMode="External"/><Relationship Id="rId664" Type="http://schemas.openxmlformats.org/officeDocument/2006/relationships/hyperlink" Target="http://cwe.mitre.org/data/definitions/40.html" TargetMode="External"/><Relationship Id="rId871" Type="http://schemas.openxmlformats.org/officeDocument/2006/relationships/hyperlink" Target="http://cwe.mitre.org/data/definitions/259.html" TargetMode="External"/><Relationship Id="rId14" Type="http://schemas.openxmlformats.org/officeDocument/2006/relationships/hyperlink" Target="http://cwe.mitre.org/data/definitions/788.html" TargetMode="External"/><Relationship Id="rId317" Type="http://schemas.openxmlformats.org/officeDocument/2006/relationships/hyperlink" Target="http://cwe.mitre.org/data/definitions/87.html" TargetMode="External"/><Relationship Id="rId524" Type="http://schemas.openxmlformats.org/officeDocument/2006/relationships/hyperlink" Target="http://cwe.mitre.org/data/definitions/511.html" TargetMode="External"/><Relationship Id="rId731" Type="http://schemas.openxmlformats.org/officeDocument/2006/relationships/hyperlink" Target="http://cwe.mitre.org/data/definitions/466.html" TargetMode="External"/><Relationship Id="rId98" Type="http://schemas.openxmlformats.org/officeDocument/2006/relationships/hyperlink" Target="http://cwe.mitre.org/data/definitions/855.html" TargetMode="External"/><Relationship Id="rId163" Type="http://schemas.openxmlformats.org/officeDocument/2006/relationships/hyperlink" Target="http://cwe.mitre.org/data/definitions/132.html" TargetMode="External"/><Relationship Id="rId370" Type="http://schemas.openxmlformats.org/officeDocument/2006/relationships/hyperlink" Target="http://cwe.mitre.org/data/definitions/424.html" TargetMode="External"/><Relationship Id="rId829" Type="http://schemas.openxmlformats.org/officeDocument/2006/relationships/hyperlink" Target="http://cwe.mitre.org/data/definitions/475.html" TargetMode="External"/><Relationship Id="rId230" Type="http://schemas.openxmlformats.org/officeDocument/2006/relationships/hyperlink" Target="http://cwe.mitre.org/data/definitions/234.html" TargetMode="External"/><Relationship Id="rId468" Type="http://schemas.openxmlformats.org/officeDocument/2006/relationships/hyperlink" Target="http://cwe.mitre.org/data/definitions/531.html" TargetMode="External"/><Relationship Id="rId675" Type="http://schemas.openxmlformats.org/officeDocument/2006/relationships/hyperlink" Target="http://cwe.mitre.org/data/definitions/625.html" TargetMode="External"/><Relationship Id="rId882" Type="http://schemas.openxmlformats.org/officeDocument/2006/relationships/hyperlink" Target="http://cwe.mitre.org/data/definitions/695.html" TargetMode="External"/><Relationship Id="rId25" Type="http://schemas.openxmlformats.org/officeDocument/2006/relationships/hyperlink" Target="http://cwe.mitre.org/data/definitions/88.html" TargetMode="External"/><Relationship Id="rId328" Type="http://schemas.openxmlformats.org/officeDocument/2006/relationships/hyperlink" Target="http://cwe.mitre.org/data/definitions/150.html" TargetMode="External"/><Relationship Id="rId535" Type="http://schemas.openxmlformats.org/officeDocument/2006/relationships/hyperlink" Target="http://cwe.mitre.org/data/definitions/311.html" TargetMode="External"/><Relationship Id="rId742" Type="http://schemas.openxmlformats.org/officeDocument/2006/relationships/hyperlink" Target="http://cwe.mitre.org/data/definitions/220.html" TargetMode="External"/><Relationship Id="rId174" Type="http://schemas.openxmlformats.org/officeDocument/2006/relationships/hyperlink" Target="http://cwe.mitre.org/data/definitions/502.html" TargetMode="External"/><Relationship Id="rId381" Type="http://schemas.openxmlformats.org/officeDocument/2006/relationships/hyperlink" Target="http://cwe.mitre.org/data/definitions/611.html" TargetMode="External"/><Relationship Id="rId602" Type="http://schemas.openxmlformats.org/officeDocument/2006/relationships/hyperlink" Target="http://cwe.mitre.org/data/definitions/729.html" TargetMode="External"/><Relationship Id="rId241" Type="http://schemas.openxmlformats.org/officeDocument/2006/relationships/hyperlink" Target="http://cwe.mitre.org/data/definitions/686.html" TargetMode="External"/><Relationship Id="rId479" Type="http://schemas.openxmlformats.org/officeDocument/2006/relationships/hyperlink" Target="http://cwe.mitre.org/data/definitions/697.html" TargetMode="External"/><Relationship Id="rId686" Type="http://schemas.openxmlformats.org/officeDocument/2006/relationships/hyperlink" Target="http://cwe.mitre.org/data/definitions/826.html" TargetMode="External"/><Relationship Id="rId893" Type="http://schemas.openxmlformats.org/officeDocument/2006/relationships/hyperlink" Target="http://cwe.mitre.org/data/definitions/676.html" TargetMode="External"/><Relationship Id="rId907" Type="http://schemas.openxmlformats.org/officeDocument/2006/relationships/hyperlink" Target="http://cwe.mitre.org/data/definitions/261.html" TargetMode="External"/><Relationship Id="rId36" Type="http://schemas.openxmlformats.org/officeDocument/2006/relationships/hyperlink" Target="http://cwe.mitre.org/data/definitions/588.html" TargetMode="External"/><Relationship Id="rId339" Type="http://schemas.openxmlformats.org/officeDocument/2006/relationships/hyperlink" Target="http://cwe.mitre.org/data/definitions/165.html" TargetMode="External"/><Relationship Id="rId546" Type="http://schemas.openxmlformats.org/officeDocument/2006/relationships/hyperlink" Target="http://cwe.mitre.org/data/definitions/325.html" TargetMode="External"/><Relationship Id="rId753" Type="http://schemas.openxmlformats.org/officeDocument/2006/relationships/hyperlink" Target="http://cwe.mitre.org/data/definitions/903.html" TargetMode="External"/><Relationship Id="rId101" Type="http://schemas.openxmlformats.org/officeDocument/2006/relationships/hyperlink" Target="http://cwe.mitre.org/data/definitions/858.html" TargetMode="External"/><Relationship Id="rId185" Type="http://schemas.openxmlformats.org/officeDocument/2006/relationships/hyperlink" Target="http://cwe.mitre.org/data/definitions/462.html" TargetMode="External"/><Relationship Id="rId406" Type="http://schemas.openxmlformats.org/officeDocument/2006/relationships/hyperlink" Target="http://cwe.mitre.org/data/definitions/437.html" TargetMode="External"/><Relationship Id="rId392" Type="http://schemas.openxmlformats.org/officeDocument/2006/relationships/hyperlink" Target="http://cwe.mitre.org/data/definitions/358.html" TargetMode="External"/><Relationship Id="rId613" Type="http://schemas.openxmlformats.org/officeDocument/2006/relationships/hyperlink" Target="http://cwe.mitre.org/data/definitions/720.html" TargetMode="External"/><Relationship Id="rId697" Type="http://schemas.openxmlformats.org/officeDocument/2006/relationships/hyperlink" Target="http://cwe.mitre.org/data/definitions/693.html" TargetMode="External"/><Relationship Id="rId820" Type="http://schemas.openxmlformats.org/officeDocument/2006/relationships/hyperlink" Target="http://cwe.mitre.org/data/definitions/391.html" TargetMode="External"/><Relationship Id="rId918" Type="http://schemas.openxmlformats.org/officeDocument/2006/relationships/hyperlink" Target="http://cwe.mitre.org/data/definitions/809.html" TargetMode="External"/><Relationship Id="rId252" Type="http://schemas.openxmlformats.org/officeDocument/2006/relationships/hyperlink" Target="http://cwe.mitre.org/data/definitions/118.html" TargetMode="External"/><Relationship Id="rId47" Type="http://schemas.openxmlformats.org/officeDocument/2006/relationships/hyperlink" Target="http://cwe.mitre.org/data/definitions/439.html" TargetMode="External"/><Relationship Id="rId112" Type="http://schemas.openxmlformats.org/officeDocument/2006/relationships/hyperlink" Target="http://cwe.mitre.org/data/definitions/312.html" TargetMode="External"/><Relationship Id="rId557" Type="http://schemas.openxmlformats.org/officeDocument/2006/relationships/hyperlink" Target="http://cwe.mitre.org/data/definitions/764.html" TargetMode="External"/><Relationship Id="rId764" Type="http://schemas.openxmlformats.org/officeDocument/2006/relationships/hyperlink" Target="http://cwe.mitre.org/data/definitions/892.html" TargetMode="External"/><Relationship Id="rId196" Type="http://schemas.openxmlformats.org/officeDocument/2006/relationships/hyperlink" Target="http://cwe.mitre.org/data/definitions/172.html" TargetMode="External"/><Relationship Id="rId417" Type="http://schemas.openxmlformats.org/officeDocument/2006/relationships/hyperlink" Target="http://cwe.mitre.org/data/definitions/131.html" TargetMode="External"/><Relationship Id="rId624" Type="http://schemas.openxmlformats.org/officeDocument/2006/relationships/hyperlink" Target="http://cwe.mitre.org/data/definitions/929.html" TargetMode="External"/><Relationship Id="rId831" Type="http://schemas.openxmlformats.org/officeDocument/2006/relationships/hyperlink" Target="http://cwe.mitre.org/data/definitions/394.html" TargetMode="External"/><Relationship Id="rId263" Type="http://schemas.openxmlformats.org/officeDocument/2006/relationships/hyperlink" Target="http://cwe.mitre.org/data/definitions/244.html" TargetMode="External"/><Relationship Id="rId470" Type="http://schemas.openxmlformats.org/officeDocument/2006/relationships/hyperlink" Target="http://cwe.mitre.org/data/definitions/651.html" TargetMode="External"/><Relationship Id="rId929" Type="http://schemas.openxmlformats.org/officeDocument/2006/relationships/hyperlink" Target="http://cwe.mitre.org/data/definitions/632.html" TargetMode="External"/><Relationship Id="rId58" Type="http://schemas.openxmlformats.org/officeDocument/2006/relationships/hyperlink" Target="http://cwe.mitre.org/data/definitions/572.html" TargetMode="External"/><Relationship Id="rId123" Type="http://schemas.openxmlformats.org/officeDocument/2006/relationships/hyperlink" Target="http://cwe.mitre.org/data/definitions/182.html" TargetMode="External"/><Relationship Id="rId330" Type="http://schemas.openxmlformats.org/officeDocument/2006/relationships/hyperlink" Target="http://cwe.mitre.org/data/definitions/644.html" TargetMode="External"/><Relationship Id="rId568" Type="http://schemas.openxmlformats.org/officeDocument/2006/relationships/hyperlink" Target="http://cwe.mitre.org/data/definitions/626.html" TargetMode="External"/><Relationship Id="rId775" Type="http://schemas.openxmlformats.org/officeDocument/2006/relationships/hyperlink" Target="http://cwe.mitre.org/data/definitions/195.html" TargetMode="External"/><Relationship Id="rId428" Type="http://schemas.openxmlformats.org/officeDocument/2006/relationships/hyperlink" Target="http://cwe.mitre.org/data/definitions/266.html" TargetMode="External"/><Relationship Id="rId635" Type="http://schemas.openxmlformats.org/officeDocument/2006/relationships/hyperlink" Target="http://cwe.mitre.org/data/definitions/374.html" TargetMode="External"/><Relationship Id="rId842" Type="http://schemas.openxmlformats.org/officeDocument/2006/relationships/hyperlink" Target="http://cwe.mitre.org/data/definitions/523.html" TargetMode="External"/><Relationship Id="rId274" Type="http://schemas.openxmlformats.org/officeDocument/2006/relationships/hyperlink" Target="http://cwe.mitre.org/data/definitions/837.html" TargetMode="External"/><Relationship Id="rId481" Type="http://schemas.openxmlformats.org/officeDocument/2006/relationships/hyperlink" Target="http://cwe.mitre.org/data/definitions/691.html" TargetMode="External"/><Relationship Id="rId702" Type="http://schemas.openxmlformats.org/officeDocument/2006/relationships/hyperlink" Target="http://cwe.mitre.org/data/definitions/421.html" TargetMode="External"/><Relationship Id="rId69" Type="http://schemas.openxmlformats.org/officeDocument/2006/relationships/hyperlink" Target="http://cwe.mitre.org/data/definitions/745.html" TargetMode="External"/><Relationship Id="rId134" Type="http://schemas.openxmlformats.org/officeDocument/2006/relationships/hyperlink" Target="http://cwe.mitre.org/data/definitions/16.html" TargetMode="External"/><Relationship Id="rId579" Type="http://schemas.openxmlformats.org/officeDocument/2006/relationships/hyperlink" Target="http://cwe.mitre.org/data/definitions/223.html" TargetMode="External"/><Relationship Id="rId786" Type="http://schemas.openxmlformats.org/officeDocument/2006/relationships/hyperlink" Target="http://cwe.mitre.org/data/definitions/133.html" TargetMode="External"/><Relationship Id="rId341" Type="http://schemas.openxmlformats.org/officeDocument/2006/relationships/hyperlink" Target="http://cwe.mitre.org/data/definitions/163.html" TargetMode="External"/><Relationship Id="rId439" Type="http://schemas.openxmlformats.org/officeDocument/2006/relationships/hyperlink" Target="http://cwe.mitre.org/data/definitions/200.html" TargetMode="External"/><Relationship Id="rId646" Type="http://schemas.openxmlformats.org/officeDocument/2006/relationships/hyperlink" Target="http://cwe.mitre.org/data/definitions/56.html" TargetMode="External"/><Relationship Id="rId201" Type="http://schemas.openxmlformats.org/officeDocument/2006/relationships/hyperlink" Target="http://cwe.mitre.org/data/definitions/624.html" TargetMode="External"/><Relationship Id="rId285" Type="http://schemas.openxmlformats.org/officeDocument/2006/relationships/hyperlink" Target="http://cwe.mitre.org/data/definitions/178.html" TargetMode="External"/><Relationship Id="rId506" Type="http://schemas.openxmlformats.org/officeDocument/2006/relationships/hyperlink" Target="http://cwe.mitre.org/data/definitions/579.html" TargetMode="External"/><Relationship Id="rId853" Type="http://schemas.openxmlformats.org/officeDocument/2006/relationships/hyperlink" Target="http://cwe.mitre.org/data/definitions/283.html" TargetMode="External"/><Relationship Id="rId492" Type="http://schemas.openxmlformats.org/officeDocument/2006/relationships/hyperlink" Target="http://cwe.mitre.org/data/definitions/345.html" TargetMode="External"/><Relationship Id="rId713" Type="http://schemas.openxmlformats.org/officeDocument/2006/relationships/hyperlink" Target="http://cwe.mitre.org/data/definitions/784.html" TargetMode="External"/><Relationship Id="rId797" Type="http://schemas.openxmlformats.org/officeDocument/2006/relationships/hyperlink" Target="http://cwe.mitre.org/data/definitions/110.html" TargetMode="External"/><Relationship Id="rId920" Type="http://schemas.openxmlformats.org/officeDocument/2006/relationships/hyperlink" Target="http://cwe.mitre.org/data/definitions/658.html" TargetMode="External"/><Relationship Id="rId145" Type="http://schemas.openxmlformats.org/officeDocument/2006/relationships/hyperlink" Target="http://cwe.mitre.org/data/definitions/766.html" TargetMode="External"/><Relationship Id="rId352" Type="http://schemas.openxmlformats.org/officeDocument/2006/relationships/hyperlink" Target="http://cwe.mitre.org/data/definitions/138.html" TargetMode="External"/><Relationship Id="rId212" Type="http://schemas.openxmlformats.org/officeDocument/2006/relationships/hyperlink" Target="http://cwe.mitre.org/data/definitions/528.html" TargetMode="External"/><Relationship Id="rId657" Type="http://schemas.openxmlformats.org/officeDocument/2006/relationships/hyperlink" Target="http://cwe.mitre.org/data/definitions/34.html" TargetMode="External"/><Relationship Id="rId864" Type="http://schemas.openxmlformats.org/officeDocument/2006/relationships/hyperlink" Target="http://cwe.mitre.org/data/definitions/545.html" TargetMode="External"/><Relationship Id="rId296" Type="http://schemas.openxmlformats.org/officeDocument/2006/relationships/hyperlink" Target="http://cwe.mitre.org/data/definitions/274.html" TargetMode="External"/><Relationship Id="rId517" Type="http://schemas.openxmlformats.org/officeDocument/2006/relationships/hyperlink" Target="http://cwe.mitre.org/data/definitions/322.html" TargetMode="External"/><Relationship Id="rId724" Type="http://schemas.openxmlformats.org/officeDocument/2006/relationships/hyperlink" Target="http://cwe.mitre.org/data/definitions/137.html" TargetMode="External"/><Relationship Id="rId931" Type="http://schemas.openxmlformats.org/officeDocument/2006/relationships/hyperlink" Target="http://cwe.mitre.org/data/definitions/634.html" TargetMode="External"/><Relationship Id="rId60" Type="http://schemas.openxmlformats.org/officeDocument/2006/relationships/hyperlink" Target="http://cwe.mitre.org/data/definitions/736.html" TargetMode="External"/><Relationship Id="rId156" Type="http://schemas.openxmlformats.org/officeDocument/2006/relationships/hyperlink" Target="http://cwe.mitre.org/data/definitions/397.html" TargetMode="External"/><Relationship Id="rId363" Type="http://schemas.openxmlformats.org/officeDocument/2006/relationships/hyperlink" Target="http://cwe.mitre.org/data/definitions/156.html" TargetMode="External"/><Relationship Id="rId570" Type="http://schemas.openxmlformats.org/officeDocument/2006/relationships/hyperlink" Target="http://cwe.mitre.org/data/definitions/189.html" TargetMode="External"/><Relationship Id="rId223" Type="http://schemas.openxmlformats.org/officeDocument/2006/relationships/hyperlink" Target="http://cwe.mitre.org/data/definitions/642.html" TargetMode="External"/><Relationship Id="rId430" Type="http://schemas.openxmlformats.org/officeDocument/2006/relationships/hyperlink" Target="http://cwe.mitre.org/data/definitions/185.html" TargetMode="External"/><Relationship Id="rId668" Type="http://schemas.openxmlformats.org/officeDocument/2006/relationships/hyperlink" Target="http://cwe.mitre.org/data/definitions/39.html" TargetMode="External"/><Relationship Id="rId875" Type="http://schemas.openxmlformats.org/officeDocument/2006/relationships/hyperlink" Target="http://cwe.mitre.org/data/definitions/480.html" TargetMode="External"/><Relationship Id="rId18" Type="http://schemas.openxmlformats.org/officeDocument/2006/relationships/hyperlink" Target="http://cwe.mitre.org/data/definitions/767.html" TargetMode="External"/><Relationship Id="rId528" Type="http://schemas.openxmlformats.org/officeDocument/2006/relationships/hyperlink" Target="http://cwe.mitre.org/data/definitions/762.html" TargetMode="External"/><Relationship Id="rId735" Type="http://schemas.openxmlformats.org/officeDocument/2006/relationships/hyperlink" Target="http://cwe.mitre.org/data/definitions/323.html" TargetMode="External"/><Relationship Id="rId942" Type="http://schemas.openxmlformats.org/officeDocument/2006/relationships/hyperlink" Target="http://cwe.mitre.org/top25/" TargetMode="External"/><Relationship Id="rId167" Type="http://schemas.openxmlformats.org/officeDocument/2006/relationships/hyperlink" Target="http://cwe.mitre.org/data/definitions/604.html" TargetMode="External"/><Relationship Id="rId374" Type="http://schemas.openxmlformats.org/officeDocument/2006/relationships/hyperlink" Target="http://cwe.mitre.org/data/definitions/404.html" TargetMode="External"/><Relationship Id="rId581" Type="http://schemas.openxmlformats.org/officeDocument/2006/relationships/hyperlink" Target="http://cwe.mitre.org/data/definitions/793.html" TargetMode="External"/><Relationship Id="rId71" Type="http://schemas.openxmlformats.org/officeDocument/2006/relationships/hyperlink" Target="http://cwe.mitre.org/data/definitions/747.html" TargetMode="External"/><Relationship Id="rId234" Type="http://schemas.openxmlformats.org/officeDocument/2006/relationships/hyperlink" Target="http://cwe.mitre.org/data/definitions/538.html" TargetMode="External"/><Relationship Id="rId679" Type="http://schemas.openxmlformats.org/officeDocument/2006/relationships/hyperlink" Target="http://cwe.mitre.org/data/definitions/256.html" TargetMode="External"/><Relationship Id="rId802" Type="http://schemas.openxmlformats.org/officeDocument/2006/relationships/hyperlink" Target="http://cwe.mitre.org/data/definitions/169.html" TargetMode="External"/><Relationship Id="rId886" Type="http://schemas.openxmlformats.org/officeDocument/2006/relationships/hyperlink" Target="http://cwe.mitre.org/data/definitions/477.html" TargetMode="External"/><Relationship Id="rId2" Type="http://schemas.openxmlformats.org/officeDocument/2006/relationships/hyperlink" Target="http://cwe.mitre.org/data/definitions/753.html" TargetMode="External"/><Relationship Id="rId29" Type="http://schemas.openxmlformats.org/officeDocument/2006/relationships/hyperlink" Target="http://cwe.mitre.org/data/definitions/12.html" TargetMode="External"/><Relationship Id="rId441" Type="http://schemas.openxmlformats.org/officeDocument/2006/relationships/hyperlink" Target="http://cwe.mitre.org/data/definitions/209.html" TargetMode="External"/><Relationship Id="rId539" Type="http://schemas.openxmlformats.org/officeDocument/2006/relationships/hyperlink" Target="http://cwe.mitre.org/data/definitions/414.html" TargetMode="External"/><Relationship Id="rId746" Type="http://schemas.openxmlformats.org/officeDocument/2006/relationships/hyperlink" Target="http://cwe.mitre.org/data/definitions/918.html" TargetMode="External"/><Relationship Id="rId178" Type="http://schemas.openxmlformats.org/officeDocument/2006/relationships/hyperlink" Target="http://cwe.mitre.org/data/definitions/111.html" TargetMode="External"/><Relationship Id="rId301" Type="http://schemas.openxmlformats.org/officeDocument/2006/relationships/hyperlink" Target="http://cwe.mitre.org/data/definitions/233.html" TargetMode="External"/><Relationship Id="rId82" Type="http://schemas.openxmlformats.org/officeDocument/2006/relationships/hyperlink" Target="http://cwe.mitre.org/data/definitions/878.html" TargetMode="External"/><Relationship Id="rId385" Type="http://schemas.openxmlformats.org/officeDocument/2006/relationships/hyperlink" Target="http://cwe.mitre.org/data/definitions/298.html" TargetMode="External"/><Relationship Id="rId592" Type="http://schemas.openxmlformats.org/officeDocument/2006/relationships/hyperlink" Target="http://cwe.mitre.org/data/definitions/645.html" TargetMode="External"/><Relationship Id="rId606" Type="http://schemas.openxmlformats.org/officeDocument/2006/relationships/hyperlink" Target="http://cwe.mitre.org/data/definitions/713.html" TargetMode="External"/><Relationship Id="rId813" Type="http://schemas.openxmlformats.org/officeDocument/2006/relationships/hyperlink" Target="http://cwe.mitre.org/data/definitions/360.html" TargetMode="External"/><Relationship Id="rId245" Type="http://schemas.openxmlformats.org/officeDocument/2006/relationships/hyperlink" Target="http://cwe.mitre.org/data/definitions/687.html" TargetMode="External"/><Relationship Id="rId452" Type="http://schemas.openxmlformats.org/officeDocument/2006/relationships/hyperlink" Target="http://cwe.mitre.org/data/definitions/526.html" TargetMode="External"/><Relationship Id="rId897" Type="http://schemas.openxmlformats.org/officeDocument/2006/relationships/hyperlink" Target="http://cwe.mitre.org/data/definitions/467.html" TargetMode="External"/><Relationship Id="rId105" Type="http://schemas.openxmlformats.org/officeDocument/2006/relationships/hyperlink" Target="http://cwe.mitre.org/data/definitions/679.html" TargetMode="External"/><Relationship Id="rId312" Type="http://schemas.openxmlformats.org/officeDocument/2006/relationships/hyperlink" Target="http://cwe.mitre.org/data/definitions/665.html" TargetMode="External"/><Relationship Id="rId757" Type="http://schemas.openxmlformats.org/officeDocument/2006/relationships/hyperlink" Target="http://cwe.mitre.org/data/definitions/904.html" TargetMode="External"/><Relationship Id="rId93" Type="http://schemas.openxmlformats.org/officeDocument/2006/relationships/hyperlink" Target="http://cwe.mitre.org/data/definitions/850.html" TargetMode="External"/><Relationship Id="rId189" Type="http://schemas.openxmlformats.org/officeDocument/2006/relationships/hyperlink" Target="http://cwe.mitre.org/data/definitions/578.html" TargetMode="External"/><Relationship Id="rId396" Type="http://schemas.openxmlformats.org/officeDocument/2006/relationships/hyperlink" Target="http://cwe.mitre.org/data/definitions/829.html" TargetMode="External"/><Relationship Id="rId617" Type="http://schemas.openxmlformats.org/officeDocument/2006/relationships/hyperlink" Target="http://cwe.mitre.org/data/definitions/812.html" TargetMode="External"/><Relationship Id="rId824" Type="http://schemas.openxmlformats.org/officeDocument/2006/relationships/hyperlink" Target="http://cwe.mitre.org/data/definitions/134.html" TargetMode="External"/><Relationship Id="rId256" Type="http://schemas.openxmlformats.org/officeDocument/2006/relationships/hyperlink" Target="http://cwe.mitre.org/data/definitions/285.html" TargetMode="External"/><Relationship Id="rId463" Type="http://schemas.openxmlformats.org/officeDocument/2006/relationships/hyperlink" Target="http://cwe.mitre.org/data/definitions/550.html" TargetMode="External"/><Relationship Id="rId670" Type="http://schemas.openxmlformats.org/officeDocument/2006/relationships/hyperlink" Target="http://cwe.mitre.org/data/definitions/31.html" TargetMode="External"/><Relationship Id="rId116" Type="http://schemas.openxmlformats.org/officeDocument/2006/relationships/hyperlink" Target="http://cwe.mitre.org/data/definitions/316.html" TargetMode="External"/><Relationship Id="rId323" Type="http://schemas.openxmlformats.org/officeDocument/2006/relationships/hyperlink" Target="http://cwe.mitre.org/data/definitions/140.html" TargetMode="External"/><Relationship Id="rId530" Type="http://schemas.openxmlformats.org/officeDocument/2006/relationships/hyperlink" Target="http://cwe.mitre.org/data/definitions/862.html" TargetMode="External"/><Relationship Id="rId768" Type="http://schemas.openxmlformats.org/officeDocument/2006/relationships/hyperlink" Target="http://cwe.mitre.org/data/definitions/906.html" TargetMode="External"/><Relationship Id="rId20" Type="http://schemas.openxmlformats.org/officeDocument/2006/relationships/hyperlink" Target="http://cwe.mitre.org/data/definitions/407.html" TargetMode="External"/><Relationship Id="rId628" Type="http://schemas.openxmlformats.org/officeDocument/2006/relationships/hyperlink" Target="http://cwe.mitre.org/data/definitions/932.html" TargetMode="External"/><Relationship Id="rId835" Type="http://schemas.openxmlformats.org/officeDocument/2006/relationships/hyperlink" Target="http://cwe.mitre.org/data/definitions/60.html" TargetMode="External"/><Relationship Id="rId267" Type="http://schemas.openxmlformats.org/officeDocument/2006/relationships/hyperlink" Target="http://cwe.mitre.org/data/definitions/913.html" TargetMode="External"/><Relationship Id="rId474" Type="http://schemas.openxmlformats.org/officeDocument/2006/relationships/hyperlink" Target="http://cwe.mitre.org/data/definitions/453.html" TargetMode="External"/><Relationship Id="rId127" Type="http://schemas.openxmlformats.org/officeDocument/2006/relationships/hyperlink" Target="http://cwe.mitre.org/data/definitions/595.html" TargetMode="External"/><Relationship Id="rId681" Type="http://schemas.openxmlformats.org/officeDocument/2006/relationships/hyperlink" Target="http://cwe.mitre.org/data/definitions/340.html" TargetMode="External"/><Relationship Id="rId779" Type="http://schemas.openxmlformats.org/officeDocument/2006/relationships/hyperlink" Target="http://cwe.mitre.org/data/definitions/18.html" TargetMode="External"/><Relationship Id="rId902" Type="http://schemas.openxmlformats.org/officeDocument/2006/relationships/hyperlink" Target="http://cwe.mitre.org/data/definitions/445.html" TargetMode="External"/><Relationship Id="rId31" Type="http://schemas.openxmlformats.org/officeDocument/2006/relationships/hyperlink" Target="http://cwe.mitre.org/data/definitions/13.html" TargetMode="External"/><Relationship Id="rId334" Type="http://schemas.openxmlformats.org/officeDocument/2006/relationships/hyperlink" Target="http://cwe.mitre.org/data/definitions/164.html" TargetMode="External"/><Relationship Id="rId541" Type="http://schemas.openxmlformats.org/officeDocument/2006/relationships/hyperlink" Target="http://cwe.mitre.org/data/definitions/771.html" TargetMode="External"/><Relationship Id="rId639" Type="http://schemas.openxmlformats.org/officeDocument/2006/relationships/hyperlink" Target="http://cwe.mitre.org/data/definitions/55.html" TargetMode="External"/><Relationship Id="rId180" Type="http://schemas.openxmlformats.org/officeDocument/2006/relationships/hyperlink" Target="http://cwe.mitre.org/data/definitions/174.html" TargetMode="External"/><Relationship Id="rId278" Type="http://schemas.openxmlformats.org/officeDocument/2006/relationships/hyperlink" Target="http://cwe.mitre.org/data/definitions/790.html" TargetMode="External"/><Relationship Id="rId401" Type="http://schemas.openxmlformats.org/officeDocument/2006/relationships/hyperlink" Target="http://cwe.mitre.org/data/definitions/794.html" TargetMode="External"/><Relationship Id="rId846" Type="http://schemas.openxmlformats.org/officeDocument/2006/relationships/hyperlink" Target="http://cwe.mitre.org/data/definitions/434.html" TargetMode="External"/><Relationship Id="rId485" Type="http://schemas.openxmlformats.org/officeDocument/2006/relationships/hyperlink" Target="http://cwe.mitre.org/data/definitions/332.html" TargetMode="External"/><Relationship Id="rId692" Type="http://schemas.openxmlformats.org/officeDocument/2006/relationships/hyperlink" Target="http://cwe.mitre.org/data/definitions/267.html" TargetMode="External"/><Relationship Id="rId706" Type="http://schemas.openxmlformats.org/officeDocument/2006/relationships/hyperlink" Target="http://cwe.mitre.org/data/definitions/617.html" TargetMode="External"/><Relationship Id="rId913" Type="http://schemas.openxmlformats.org/officeDocument/2006/relationships/hyperlink" Target="http://cwe.mitre.org/data/definitions/844.html" TargetMode="External"/><Relationship Id="rId42" Type="http://schemas.openxmlformats.org/officeDocument/2006/relationships/hyperlink" Target="http://cwe.mitre.org/data/definitions/592.html" TargetMode="External"/><Relationship Id="rId138" Type="http://schemas.openxmlformats.org/officeDocument/2006/relationships/hyperlink" Target="http://cwe.mitre.org/data/definitions/515.html" TargetMode="External"/><Relationship Id="rId345" Type="http://schemas.openxmlformats.org/officeDocument/2006/relationships/hyperlink" Target="http://cwe.mitre.org/data/definitions/143.html" TargetMode="External"/><Relationship Id="rId552" Type="http://schemas.openxmlformats.org/officeDocument/2006/relationships/hyperlink" Target="http://cwe.mitre.org/data/definitions/490.html" TargetMode="External"/><Relationship Id="rId191" Type="http://schemas.openxmlformats.org/officeDocument/2006/relationships/hyperlink" Target="http://cwe.mitre.org/data/definitions/577.html" TargetMode="External"/><Relationship Id="rId205" Type="http://schemas.openxmlformats.org/officeDocument/2006/relationships/hyperlink" Target="http://cwe.mitre.org/data/definitions/825.html" TargetMode="External"/><Relationship Id="rId412" Type="http://schemas.openxmlformats.org/officeDocument/2006/relationships/hyperlink" Target="http://cwe.mitre.org/data/definitions/179.html" TargetMode="External"/><Relationship Id="rId857" Type="http://schemas.openxmlformats.org/officeDocument/2006/relationships/hyperlink" Target="http://cwe.mitre.org/data/definitions/327.html" TargetMode="External"/><Relationship Id="rId289" Type="http://schemas.openxmlformats.org/officeDocument/2006/relationships/hyperlink" Target="http://cwe.mitre.org/data/definitions/66.html" TargetMode="External"/><Relationship Id="rId496" Type="http://schemas.openxmlformats.org/officeDocument/2006/relationships/hyperlink" Target="http://cwe.mitre.org/data/definitions/680.html" TargetMode="External"/><Relationship Id="rId717" Type="http://schemas.openxmlformats.org/officeDocument/2006/relationships/hyperlink" Target="http://cwe.mitre.org/data/definitions/649.html" TargetMode="External"/><Relationship Id="rId924" Type="http://schemas.openxmlformats.org/officeDocument/2006/relationships/hyperlink" Target="http://cwe.mitre.org/data/definitions/750.html" TargetMode="External"/><Relationship Id="rId53" Type="http://schemas.openxmlformats.org/officeDocument/2006/relationships/hyperlink" Target="http://cwe.mitre.org/data/definitions/127.html" TargetMode="External"/><Relationship Id="rId149" Type="http://schemas.openxmlformats.org/officeDocument/2006/relationships/hyperlink" Target="http://cwe.mitre.org/data/definitions/432.html" TargetMode="External"/><Relationship Id="rId356" Type="http://schemas.openxmlformats.org/officeDocument/2006/relationships/hyperlink" Target="http://cwe.mitre.org/data/definitions/90.html" TargetMode="External"/><Relationship Id="rId563" Type="http://schemas.openxmlformats.org/officeDocument/2006/relationships/hyperlink" Target="http://cwe.mitre.org/data/definitions/508.html" TargetMode="External"/><Relationship Id="rId770" Type="http://schemas.openxmlformats.org/officeDocument/2006/relationships/hyperlink" Target="http://cwe.mitre.org/data/definitions/387.html" TargetMode="External"/><Relationship Id="rId216" Type="http://schemas.openxmlformats.org/officeDocument/2006/relationships/hyperlink" Target="http://cwe.mitre.org/data/definitions/668.html" TargetMode="External"/><Relationship Id="rId423" Type="http://schemas.openxmlformats.org/officeDocument/2006/relationships/hyperlink" Target="http://cwe.mitre.org/data/definitions/279.html" TargetMode="External"/><Relationship Id="rId868" Type="http://schemas.openxmlformats.org/officeDocument/2006/relationships/hyperlink" Target="http://cwe.mitre.org/data/definitions/558.html" TargetMode="External"/><Relationship Id="rId630" Type="http://schemas.openxmlformats.org/officeDocument/2006/relationships/hyperlink" Target="http://cwe.mitre.org/data/definitions/934.html" TargetMode="External"/><Relationship Id="rId728" Type="http://schemas.openxmlformats.org/officeDocument/2006/relationships/hyperlink" Target="http://cwe.mitre.org/data/definitions/631.html" TargetMode="External"/><Relationship Id="rId935" Type="http://schemas.openxmlformats.org/officeDocument/2006/relationships/hyperlink" Target="http://cwe.mitre.org/data/definitions/63.html" TargetMode="External"/><Relationship Id="rId64" Type="http://schemas.openxmlformats.org/officeDocument/2006/relationships/hyperlink" Target="http://cwe.mitre.org/data/definitions/740.html" TargetMode="External"/><Relationship Id="rId367" Type="http://schemas.openxmlformats.org/officeDocument/2006/relationships/hyperlink" Target="http://cwe.mitre.org/data/definitions/282.html" TargetMode="External"/><Relationship Id="rId574" Type="http://schemas.openxmlformats.org/officeDocument/2006/relationships/hyperlink" Target="http://cwe.mitre.org/data/definitions/224.html" TargetMode="External"/><Relationship Id="rId227" Type="http://schemas.openxmlformats.org/officeDocument/2006/relationships/hyperlink" Target="http://cwe.mitre.org/data/definitions/454.html" TargetMode="External"/><Relationship Id="rId781" Type="http://schemas.openxmlformats.org/officeDocument/2006/relationships/hyperlink" Target="http://cwe.mitre.org/data/definitions/564.html" TargetMode="External"/><Relationship Id="rId879" Type="http://schemas.openxmlformats.org/officeDocument/2006/relationships/hyperlink" Target="http://cwe.mitre.org/data/definitions/330.html" TargetMode="External"/><Relationship Id="rId434" Type="http://schemas.openxmlformats.org/officeDocument/2006/relationships/hyperlink" Target="http://cwe.mitre.org/data/definitions/821.html" TargetMode="External"/><Relationship Id="rId641" Type="http://schemas.openxmlformats.org/officeDocument/2006/relationships/hyperlink" Target="http://cwe.mitre.org/data/definitions/51.html" TargetMode="External"/><Relationship Id="rId739" Type="http://schemas.openxmlformats.org/officeDocument/2006/relationships/hyperlink" Target="http://cwe.mitre.org/data/definitions/757.html" TargetMode="External"/><Relationship Id="rId280" Type="http://schemas.openxmlformats.org/officeDocument/2006/relationships/hyperlink" Target="http://cwe.mitre.org/data/definitions/573.html" TargetMode="External"/><Relationship Id="rId501" Type="http://schemas.openxmlformats.org/officeDocument/2006/relationships/hyperlink" Target="http://cwe.mitre.org/data/definitions/435.html" TargetMode="External"/><Relationship Id="rId75" Type="http://schemas.openxmlformats.org/officeDocument/2006/relationships/hyperlink" Target="http://cwe.mitre.org/data/definitions/871.html" TargetMode="External"/><Relationship Id="rId140" Type="http://schemas.openxmlformats.org/officeDocument/2006/relationships/hyperlink" Target="http://cwe.mitre.org/data/definitions/243.html" TargetMode="External"/><Relationship Id="rId378" Type="http://schemas.openxmlformats.org/officeDocument/2006/relationships/hyperlink" Target="http://cwe.mitre.org/data/definitions/119.html" TargetMode="External"/><Relationship Id="rId585" Type="http://schemas.openxmlformats.org/officeDocument/2006/relationships/hyperlink" Target="http://cwe.mitre.org/data/definitions/672.html" TargetMode="External"/><Relationship Id="rId792" Type="http://schemas.openxmlformats.org/officeDocument/2006/relationships/hyperlink" Target="http://cwe.mitre.org/data/definitions/608.html" TargetMode="External"/><Relationship Id="rId806" Type="http://schemas.openxmlformats.org/officeDocument/2006/relationships/hyperlink" Target="http://cwe.mitre.org/data/definitions/361.html" TargetMode="External"/><Relationship Id="rId6" Type="http://schemas.openxmlformats.org/officeDocument/2006/relationships/hyperlink" Target="http://cwe.mitre.org/data/definitions/802.html" TargetMode="External"/><Relationship Id="rId238" Type="http://schemas.openxmlformats.org/officeDocument/2006/relationships/hyperlink" Target="http://cwe.mitre.org/data/definitions/568.html" TargetMode="External"/><Relationship Id="rId445" Type="http://schemas.openxmlformats.org/officeDocument/2006/relationships/hyperlink" Target="http://cwe.mitre.org/data/definitions/524.html" TargetMode="External"/><Relationship Id="rId652" Type="http://schemas.openxmlformats.org/officeDocument/2006/relationships/hyperlink" Target="http://cwe.mitre.org/data/definitions/42.html" TargetMode="External"/><Relationship Id="rId291" Type="http://schemas.openxmlformats.org/officeDocument/2006/relationships/hyperlink" Target="http://cwe.mitre.org/data/definitions/238.html" TargetMode="External"/><Relationship Id="rId305" Type="http://schemas.openxmlformats.org/officeDocument/2006/relationships/hyperlink" Target="http://cwe.mitre.org/data/definitions/232.html" TargetMode="External"/><Relationship Id="rId512" Type="http://schemas.openxmlformats.org/officeDocument/2006/relationships/hyperlink" Target="http://cwe.mitre.org/data/definitions/6.html" TargetMode="External"/><Relationship Id="rId86" Type="http://schemas.openxmlformats.org/officeDocument/2006/relationships/hyperlink" Target="http://cwe.mitre.org/data/definitions/882.html" TargetMode="External"/><Relationship Id="rId151" Type="http://schemas.openxmlformats.org/officeDocument/2006/relationships/hyperlink" Target="http://cwe.mitre.org/data/definitions/19.html" TargetMode="External"/><Relationship Id="rId389" Type="http://schemas.openxmlformats.org/officeDocument/2006/relationships/hyperlink" Target="http://cwe.mitre.org/data/definitions/347.html" TargetMode="External"/><Relationship Id="rId596" Type="http://schemas.openxmlformats.org/officeDocument/2006/relationships/hyperlink" Target="http://cwe.mitre.org/data/definitions/723.html" TargetMode="External"/><Relationship Id="rId817" Type="http://schemas.openxmlformats.org/officeDocument/2006/relationships/hyperlink" Target="http://cwe.mitre.org/data/definitions/451.html" TargetMode="External"/><Relationship Id="rId249" Type="http://schemas.openxmlformats.org/officeDocument/2006/relationships/hyperlink" Target="http://cwe.mitre.org/data/definitions/122.html" TargetMode="External"/><Relationship Id="rId456" Type="http://schemas.openxmlformats.org/officeDocument/2006/relationships/hyperlink" Target="http://cwe.mitre.org/data/definitions/537.html" TargetMode="External"/><Relationship Id="rId663" Type="http://schemas.openxmlformats.org/officeDocument/2006/relationships/hyperlink" Target="http://cwe.mitre.org/data/definitions/29.html" TargetMode="External"/><Relationship Id="rId870" Type="http://schemas.openxmlformats.org/officeDocument/2006/relationships/hyperlink" Target="http://cwe.mitre.org/data/definitions/321.html" TargetMode="External"/><Relationship Id="rId13" Type="http://schemas.openxmlformats.org/officeDocument/2006/relationships/hyperlink" Target="http://cwe.mitre.org/data/definitions/349.html" TargetMode="External"/><Relationship Id="rId109" Type="http://schemas.openxmlformats.org/officeDocument/2006/relationships/hyperlink" Target="http://cwe.mitre.org/data/definitions/171.html" TargetMode="External"/><Relationship Id="rId316" Type="http://schemas.openxmlformats.org/officeDocument/2006/relationships/hyperlink" Target="http://cwe.mitre.org/data/definitions/667.html" TargetMode="External"/><Relationship Id="rId523" Type="http://schemas.openxmlformats.org/officeDocument/2006/relationships/hyperlink" Target="http://cwe.mitre.org/data/definitions/779.html" TargetMode="External"/><Relationship Id="rId97" Type="http://schemas.openxmlformats.org/officeDocument/2006/relationships/hyperlink" Target="http://cwe.mitre.org/data/definitions/854.html" TargetMode="External"/><Relationship Id="rId730" Type="http://schemas.openxmlformats.org/officeDocument/2006/relationships/hyperlink" Target="http://cwe.mitre.org/data/definitions/584.html" TargetMode="External"/><Relationship Id="rId828" Type="http://schemas.openxmlformats.org/officeDocument/2006/relationships/hyperlink" Target="http://cwe.mitre.org/data/definitions/427.html" TargetMode="External"/><Relationship Id="rId162" Type="http://schemas.openxmlformats.org/officeDocument/2006/relationships/hyperlink" Target="http://cwe.mitre.org/data/definitions/443.html" TargetMode="External"/><Relationship Id="rId467" Type="http://schemas.openxmlformats.org/officeDocument/2006/relationships/hyperlink" Target="http://cwe.mitre.org/data/definitions/540.html" TargetMode="External"/><Relationship Id="rId674" Type="http://schemas.openxmlformats.org/officeDocument/2006/relationships/hyperlink" Target="http://cwe.mitre.org/data/definitions/264.html" TargetMode="External"/><Relationship Id="rId881" Type="http://schemas.openxmlformats.org/officeDocument/2006/relationships/hyperlink" Target="http://cwe.mitre.org/data/definitions/348.html" TargetMode="External"/><Relationship Id="rId24" Type="http://schemas.openxmlformats.org/officeDocument/2006/relationships/hyperlink" Target="http://cwe.mitre.org/data/definitions/71.html" TargetMode="External"/><Relationship Id="rId327" Type="http://schemas.openxmlformats.org/officeDocument/2006/relationships/hyperlink" Target="http://cwe.mitre.org/data/definitions/76.html" TargetMode="External"/><Relationship Id="rId534" Type="http://schemas.openxmlformats.org/officeDocument/2006/relationships/hyperlink" Target="http://cwe.mitre.org/data/definitions/478.html" TargetMode="External"/><Relationship Id="rId741" Type="http://schemas.openxmlformats.org/officeDocument/2006/relationships/hyperlink" Target="http://cwe.mitre.org/data/definitions/591.html" TargetMode="External"/><Relationship Id="rId839" Type="http://schemas.openxmlformats.org/officeDocument/2006/relationships/hyperlink" Target="http://cwe.mitre.org/data/definitions/433.html" TargetMode="External"/><Relationship Id="rId173" Type="http://schemas.openxmlformats.org/officeDocument/2006/relationships/hyperlink" Target="http://cwe.mitre.org/data/definitions/373.html" TargetMode="External"/><Relationship Id="rId380" Type="http://schemas.openxmlformats.org/officeDocument/2006/relationships/hyperlink" Target="http://cwe.mitre.org/data/definitions/776.html" TargetMode="External"/><Relationship Id="rId601" Type="http://schemas.openxmlformats.org/officeDocument/2006/relationships/hyperlink" Target="http://cwe.mitre.org/data/definitions/728.html" TargetMode="External"/><Relationship Id="rId240" Type="http://schemas.openxmlformats.org/officeDocument/2006/relationships/hyperlink" Target="http://cwe.mitre.org/data/definitions/761.html" TargetMode="External"/><Relationship Id="rId478" Type="http://schemas.openxmlformats.org/officeDocument/2006/relationships/hyperlink" Target="http://cwe.mitre.org/data/definitions/377.html" TargetMode="External"/><Relationship Id="rId685" Type="http://schemas.openxmlformats.org/officeDocument/2006/relationships/hyperlink" Target="http://cwe.mitre.org/data/definitions/343.html" TargetMode="External"/><Relationship Id="rId892" Type="http://schemas.openxmlformats.org/officeDocument/2006/relationships/hyperlink" Target="http://cwe.mitre.org/data/definitions/469.html" TargetMode="External"/><Relationship Id="rId906" Type="http://schemas.openxmlformats.org/officeDocument/2006/relationships/hyperlink" Target="http://cwe.mitre.org/data/definitions/657.html" TargetMode="External"/><Relationship Id="rId35" Type="http://schemas.openxmlformats.org/officeDocument/2006/relationships/hyperlink" Target="http://cwe.mitre.org/data/definitions/405.html" TargetMode="External"/><Relationship Id="rId100" Type="http://schemas.openxmlformats.org/officeDocument/2006/relationships/hyperlink" Target="http://cwe.mitre.org/data/definitions/857.html" TargetMode="External"/><Relationship Id="rId338" Type="http://schemas.openxmlformats.org/officeDocument/2006/relationships/hyperlink" Target="http://cwe.mitre.org/data/definitions/152.html" TargetMode="External"/><Relationship Id="rId545" Type="http://schemas.openxmlformats.org/officeDocument/2006/relationships/hyperlink" Target="http://cwe.mitre.org/data/definitions/392.html" TargetMode="External"/><Relationship Id="rId752" Type="http://schemas.openxmlformats.org/officeDocument/2006/relationships/hyperlink" Target="http://cwe.mitre.org/data/definitions/902.html" TargetMode="External"/><Relationship Id="rId184" Type="http://schemas.openxmlformats.org/officeDocument/2006/relationships/hyperlink" Target="http://cwe.mitre.org/data/definitions/494.html" TargetMode="External"/><Relationship Id="rId391" Type="http://schemas.openxmlformats.org/officeDocument/2006/relationships/hyperlink" Target="http://cwe.mitre.org/data/definitions/915.html" TargetMode="External"/><Relationship Id="rId405" Type="http://schemas.openxmlformats.org/officeDocument/2006/relationships/hyperlink" Target="http://cwe.mitre.org/data/definitions/372.html" TargetMode="External"/><Relationship Id="rId612" Type="http://schemas.openxmlformats.org/officeDocument/2006/relationships/hyperlink" Target="http://cwe.mitre.org/data/definitions/719.html" TargetMode="External"/><Relationship Id="rId251" Type="http://schemas.openxmlformats.org/officeDocument/2006/relationships/hyperlink" Target="http://cwe.mitre.org/data/definitions/284.html" TargetMode="External"/><Relationship Id="rId489" Type="http://schemas.openxmlformats.org/officeDocument/2006/relationships/hyperlink" Target="http://cwe.mitre.org/data/definitions/613.html" TargetMode="External"/><Relationship Id="rId696" Type="http://schemas.openxmlformats.org/officeDocument/2006/relationships/hyperlink" Target="http://cwe.mitre.org/data/definitions/356.html" TargetMode="External"/><Relationship Id="rId917" Type="http://schemas.openxmlformats.org/officeDocument/2006/relationships/hyperlink" Target="http://cwe.mitre.org/data/definitions/629.html" TargetMode="External"/><Relationship Id="rId46" Type="http://schemas.openxmlformats.org/officeDocument/2006/relationships/hyperlink" Target="http://cwe.mitre.org/data/definitions/566.html" TargetMode="External"/><Relationship Id="rId349" Type="http://schemas.openxmlformats.org/officeDocument/2006/relationships/hyperlink" Target="http://cwe.mitre.org/data/definitions/80.html" TargetMode="External"/><Relationship Id="rId556" Type="http://schemas.openxmlformats.org/officeDocument/2006/relationships/hyperlink" Target="http://cwe.mitre.org/data/definitions/450.html" TargetMode="External"/><Relationship Id="rId763" Type="http://schemas.openxmlformats.org/officeDocument/2006/relationships/hyperlink" Target="http://cwe.mitre.org/data/definitions/901.html" TargetMode="External"/><Relationship Id="rId111" Type="http://schemas.openxmlformats.org/officeDocument/2006/relationships/hyperlink" Target="http://cwe.mitre.org/data/definitions/314.html" TargetMode="External"/><Relationship Id="rId195" Type="http://schemas.openxmlformats.org/officeDocument/2006/relationships/hyperlink" Target="http://cwe.mitre.org/data/definitions/585.html" TargetMode="External"/><Relationship Id="rId209" Type="http://schemas.openxmlformats.org/officeDocument/2006/relationships/hyperlink" Target="http://cwe.mitre.org/data/definitions/618.html" TargetMode="External"/><Relationship Id="rId416" Type="http://schemas.openxmlformats.org/officeDocument/2006/relationships/hyperlink" Target="http://cwe.mitre.org/data/definitions/682.html" TargetMode="External"/><Relationship Id="rId623" Type="http://schemas.openxmlformats.org/officeDocument/2006/relationships/hyperlink" Target="http://cwe.mitre.org/data/definitions/818.html" TargetMode="External"/><Relationship Id="rId830" Type="http://schemas.openxmlformats.org/officeDocument/2006/relationships/hyperlink" Target="http://cwe.mitre.org/data/definitions/194.html" TargetMode="External"/><Relationship Id="rId928" Type="http://schemas.openxmlformats.org/officeDocument/2006/relationships/hyperlink" Target="http://cwe.mitre.org/data/definitions/702.html" TargetMode="External"/><Relationship Id="rId57" Type="http://schemas.openxmlformats.org/officeDocument/2006/relationships/hyperlink" Target="http://cwe.mitre.org/data/definitions/589.html" TargetMode="External"/><Relationship Id="rId262" Type="http://schemas.openxmlformats.org/officeDocument/2006/relationships/hyperlink" Target="http://cwe.mitre.org/data/definitions/460.html" TargetMode="External"/><Relationship Id="rId567" Type="http://schemas.openxmlformats.org/officeDocument/2006/relationships/hyperlink" Target="http://cwe.mitre.org/data/definitions/262.html" TargetMode="External"/><Relationship Id="rId122" Type="http://schemas.openxmlformats.org/officeDocument/2006/relationships/hyperlink" Target="http://cwe.mitre.org/data/definitions/710.html" TargetMode="External"/><Relationship Id="rId774" Type="http://schemas.openxmlformats.org/officeDocument/2006/relationships/hyperlink" Target="http://cwe.mitre.org/data/definitions/828.html" TargetMode="External"/><Relationship Id="rId427" Type="http://schemas.openxmlformats.org/officeDocument/2006/relationships/hyperlink" Target="http://cwe.mitre.org/data/definitions/468.html" TargetMode="External"/><Relationship Id="rId634" Type="http://schemas.openxmlformats.org/officeDocument/2006/relationships/hyperlink" Target="http://cwe.mitre.org/data/definitions/187.html" TargetMode="External"/><Relationship Id="rId841" Type="http://schemas.openxmlformats.org/officeDocument/2006/relationships/hyperlink" Target="http://cwe.mitre.org/data/definitions/419.html" TargetMode="External"/><Relationship Id="rId273" Type="http://schemas.openxmlformats.org/officeDocument/2006/relationships/hyperlink" Target="http://cwe.mitre.org/data/definitions/116.html" TargetMode="External"/><Relationship Id="rId480" Type="http://schemas.openxmlformats.org/officeDocument/2006/relationships/hyperlink" Target="http://cwe.mitre.org/data/definitions/653.html" TargetMode="External"/><Relationship Id="rId701" Type="http://schemas.openxmlformats.org/officeDocument/2006/relationships/hyperlink" Target="http://cwe.mitre.org/data/definitions/607.html" TargetMode="External"/><Relationship Id="rId939" Type="http://schemas.openxmlformats.org/officeDocument/2006/relationships/hyperlink" Target="http://cwe.mitre.org/data/definitions/123.html" TargetMode="External"/><Relationship Id="rId68" Type="http://schemas.openxmlformats.org/officeDocument/2006/relationships/hyperlink" Target="http://cwe.mitre.org/data/definitions/744.html" TargetMode="External"/><Relationship Id="rId133" Type="http://schemas.openxmlformats.org/officeDocument/2006/relationships/hyperlink" Target="http://cwe.mitre.org/data/definitions/362.html" TargetMode="External"/><Relationship Id="rId340" Type="http://schemas.openxmlformats.org/officeDocument/2006/relationships/hyperlink" Target="http://cwe.mitre.org/data/definitions/161.html" TargetMode="External"/><Relationship Id="rId578" Type="http://schemas.openxmlformats.org/officeDocument/2006/relationships/hyperlink" Target="http://cwe.mitre.org/data/definitions/251.html" TargetMode="External"/><Relationship Id="rId785" Type="http://schemas.openxmlformats.org/officeDocument/2006/relationships/hyperlink" Target="http://cwe.mitre.org/data/definitions/257.html" TargetMode="External"/><Relationship Id="rId200" Type="http://schemas.openxmlformats.org/officeDocument/2006/relationships/hyperlink" Target="http://cwe.mitre.org/data/definitions/834.html" TargetMode="External"/><Relationship Id="rId438" Type="http://schemas.openxmlformats.org/officeDocument/2006/relationships/hyperlink" Target="http://cwe.mitre.org/data/definitions/398.html" TargetMode="External"/><Relationship Id="rId645" Type="http://schemas.openxmlformats.org/officeDocument/2006/relationships/hyperlink" Target="http://cwe.mitre.org/data/definitions/48.html" TargetMode="External"/><Relationship Id="rId852" Type="http://schemas.openxmlformats.org/officeDocument/2006/relationships/hyperlink" Target="http://cwe.mitre.org/data/definitions/563.html" TargetMode="External"/><Relationship Id="rId284" Type="http://schemas.openxmlformats.org/officeDocument/2006/relationships/hyperlink" Target="http://cwe.mitre.org/data/definitions/72.html" TargetMode="External"/><Relationship Id="rId491" Type="http://schemas.openxmlformats.org/officeDocument/2006/relationships/hyperlink" Target="http://cwe.mitre.org/data/definitions/357.html" TargetMode="External"/><Relationship Id="rId505" Type="http://schemas.openxmlformats.org/officeDocument/2006/relationships/hyperlink" Target="http://cwe.mitre.org/data/definitions/383.html" TargetMode="External"/><Relationship Id="rId712" Type="http://schemas.openxmlformats.org/officeDocument/2006/relationships/hyperlink" Target="http://cwe.mitre.org/data/definitions/565.html" TargetMode="External"/><Relationship Id="rId79" Type="http://schemas.openxmlformats.org/officeDocument/2006/relationships/hyperlink" Target="http://cwe.mitre.org/data/definitions/875.html" TargetMode="External"/><Relationship Id="rId144" Type="http://schemas.openxmlformats.org/officeDocument/2006/relationships/hyperlink" Target="http://cwe.mitre.org/data/definitions/493.html" TargetMode="External"/><Relationship Id="rId589" Type="http://schemas.openxmlformats.org/officeDocument/2006/relationships/hyperlink" Target="http://cwe.mitre.org/data/definitions/517.html" TargetMode="External"/><Relationship Id="rId796" Type="http://schemas.openxmlformats.org/officeDocument/2006/relationships/hyperlink" Target="http://cwe.mitre.org/data/definitions/109.html" TargetMode="External"/><Relationship Id="rId351" Type="http://schemas.openxmlformats.org/officeDocument/2006/relationships/hyperlink" Target="http://cwe.mitre.org/data/definitions/97.html" TargetMode="External"/><Relationship Id="rId449" Type="http://schemas.openxmlformats.org/officeDocument/2006/relationships/hyperlink" Target="http://cwe.mitre.org/data/definitions/534.html" TargetMode="External"/><Relationship Id="rId656" Type="http://schemas.openxmlformats.org/officeDocument/2006/relationships/hyperlink" Target="http://cwe.mitre.org/data/definitions/32.html" TargetMode="External"/><Relationship Id="rId863" Type="http://schemas.openxmlformats.org/officeDocument/2006/relationships/hyperlink" Target="http://cwe.mitre.org/data/definitions/338.html" TargetMode="External"/><Relationship Id="rId211" Type="http://schemas.openxmlformats.org/officeDocument/2006/relationships/hyperlink" Target="http://cwe.mitre.org/data/definitions/530.html" TargetMode="External"/><Relationship Id="rId295" Type="http://schemas.openxmlformats.org/officeDocument/2006/relationships/hyperlink" Target="http://cwe.mitre.org/data/definitions/280.html" TargetMode="External"/><Relationship Id="rId309" Type="http://schemas.openxmlformats.org/officeDocument/2006/relationships/hyperlink" Target="http://cwe.mitre.org/data/definitions/229.html" TargetMode="External"/><Relationship Id="rId516" Type="http://schemas.openxmlformats.org/officeDocument/2006/relationships/hyperlink" Target="http://cwe.mitre.org/data/definitions/381.html" TargetMode="External"/><Relationship Id="rId723" Type="http://schemas.openxmlformats.org/officeDocument/2006/relationships/hyperlink" Target="http://cwe.mitre.org/data/definitions/509.html" TargetMode="External"/><Relationship Id="rId930" Type="http://schemas.openxmlformats.org/officeDocument/2006/relationships/hyperlink" Target="http://cwe.mitre.org/data/definitions/633.html" TargetMode="External"/><Relationship Id="rId155" Type="http://schemas.openxmlformats.org/officeDocument/2006/relationships/hyperlink" Target="http://cwe.mitre.org/data/definitions/396.html" TargetMode="External"/><Relationship Id="rId362" Type="http://schemas.openxmlformats.org/officeDocument/2006/relationships/hyperlink" Target="http://cwe.mitre.org/data/definitions/154.html" TargetMode="External"/><Relationship Id="rId222" Type="http://schemas.openxmlformats.org/officeDocument/2006/relationships/hyperlink" Target="http://cwe.mitre.org/data/definitions/472.html" TargetMode="External"/><Relationship Id="rId667" Type="http://schemas.openxmlformats.org/officeDocument/2006/relationships/hyperlink" Target="http://cwe.mitre.org/data/definitions/28.html" TargetMode="External"/><Relationship Id="rId874" Type="http://schemas.openxmlformats.org/officeDocument/2006/relationships/hyperlink" Target="http://cwe.mitre.org/data/definitions/198.html" TargetMode="External"/><Relationship Id="rId17" Type="http://schemas.openxmlformats.org/officeDocument/2006/relationships/hyperlink" Target="http://cwe.mitre.org/data/definitions/824.html" TargetMode="External"/><Relationship Id="rId527" Type="http://schemas.openxmlformats.org/officeDocument/2006/relationships/hyperlink" Target="http://cwe.mitre.org/data/definitions/115.html" TargetMode="External"/><Relationship Id="rId734" Type="http://schemas.openxmlformats.org/officeDocument/2006/relationships/hyperlink" Target="http://cwe.mitre.org/data/definitions/375.html" TargetMode="External"/><Relationship Id="rId941" Type="http://schemas.openxmlformats.org/officeDocument/2006/relationships/hyperlink" Target="http://cwe.mitre.org/data/lists/2000.html" TargetMode="External"/><Relationship Id="rId70" Type="http://schemas.openxmlformats.org/officeDocument/2006/relationships/hyperlink" Target="http://cwe.mitre.org/data/definitions/746.html" TargetMode="External"/><Relationship Id="rId166" Type="http://schemas.openxmlformats.org/officeDocument/2006/relationships/hyperlink" Target="http://cwe.mitre.org/data/definitions/292.html" TargetMode="External"/><Relationship Id="rId373" Type="http://schemas.openxmlformats.org/officeDocument/2006/relationships/hyperlink" Target="http://cwe.mitre.org/data/definitions/413.html" TargetMode="External"/><Relationship Id="rId580" Type="http://schemas.openxmlformats.org/officeDocument/2006/relationships/hyperlink" Target="http://cwe.mitre.org/data/definitions/484.html" TargetMode="External"/><Relationship Id="rId801" Type="http://schemas.openxmlformats.org/officeDocument/2006/relationships/hyperlink" Target="http://cwe.mitre.org/data/definitions/100.html" TargetMode="External"/><Relationship Id="rId1" Type="http://schemas.openxmlformats.org/officeDocument/2006/relationships/hyperlink" Target="http://cwe.mitre.org/data/definitions/751.html" TargetMode="External"/><Relationship Id="rId233" Type="http://schemas.openxmlformats.org/officeDocument/2006/relationships/hyperlink" Target="http://cwe.mitre.org/data/definitions/75.html" TargetMode="External"/><Relationship Id="rId440" Type="http://schemas.openxmlformats.org/officeDocument/2006/relationships/hyperlink" Target="http://cwe.mitre.org/data/definitions/206.html" TargetMode="External"/><Relationship Id="rId678" Type="http://schemas.openxmlformats.org/officeDocument/2006/relationships/hyperlink" Target="http://cwe.mitre.org/data/definitions/842.html" TargetMode="External"/><Relationship Id="rId885" Type="http://schemas.openxmlformats.org/officeDocument/2006/relationships/hyperlink" Target="http://cwe.mitre.org/data/definitions/395.html" TargetMode="External"/><Relationship Id="rId28" Type="http://schemas.openxmlformats.org/officeDocument/2006/relationships/hyperlink" Target="http://cwe.mitre.org/data/definitions/11.html" TargetMode="External"/><Relationship Id="rId275" Type="http://schemas.openxmlformats.org/officeDocument/2006/relationships/hyperlink" Target="http://cwe.mitre.org/data/definitions/841.html" TargetMode="External"/><Relationship Id="rId300" Type="http://schemas.openxmlformats.org/officeDocument/2006/relationships/hyperlink" Target="http://cwe.mitre.org/data/definitions/175.html" TargetMode="External"/><Relationship Id="rId482" Type="http://schemas.openxmlformats.org/officeDocument/2006/relationships/hyperlink" Target="http://cwe.mitre.org/data/definitions/406.html" TargetMode="External"/><Relationship Id="rId538" Type="http://schemas.openxmlformats.org/officeDocument/2006/relationships/hyperlink" Target="http://cwe.mitre.org/data/definitions/909.html" TargetMode="External"/><Relationship Id="rId703" Type="http://schemas.openxmlformats.org/officeDocument/2006/relationships/hyperlink" Target="http://cwe.mitre.org/data/definitions/363.html" TargetMode="External"/><Relationship Id="rId745" Type="http://schemas.openxmlformats.org/officeDocument/2006/relationships/hyperlink" Target="http://cwe.mitre.org/data/definitions/499.html" TargetMode="External"/><Relationship Id="rId910" Type="http://schemas.openxmlformats.org/officeDocument/2006/relationships/hyperlink" Target="http://cwe.mitre.org/data/definitions/677.html" TargetMode="External"/><Relationship Id="rId81" Type="http://schemas.openxmlformats.org/officeDocument/2006/relationships/hyperlink" Target="http://cwe.mitre.org/data/definitions/877.html" TargetMode="External"/><Relationship Id="rId135" Type="http://schemas.openxmlformats.org/officeDocument/2006/relationships/hyperlink" Target="http://cwe.mitre.org/data/definitions/216.html" TargetMode="External"/><Relationship Id="rId177" Type="http://schemas.openxmlformats.org/officeDocument/2006/relationships/hyperlink" Target="http://cwe.mitre.org/data/definitions/425.html" TargetMode="External"/><Relationship Id="rId342" Type="http://schemas.openxmlformats.org/officeDocument/2006/relationships/hyperlink" Target="http://cwe.mitre.org/data/definitions/158.html" TargetMode="External"/><Relationship Id="rId384" Type="http://schemas.openxmlformats.org/officeDocument/2006/relationships/hyperlink" Target="http://cwe.mitre.org/data/definitions/129.html" TargetMode="External"/><Relationship Id="rId591" Type="http://schemas.openxmlformats.org/officeDocument/2006/relationships/hyperlink" Target="http://cwe.mitre.org/data/definitions/787.html" TargetMode="External"/><Relationship Id="rId605" Type="http://schemas.openxmlformats.org/officeDocument/2006/relationships/hyperlink" Target="http://cwe.mitre.org/data/definitions/721.html" TargetMode="External"/><Relationship Id="rId787" Type="http://schemas.openxmlformats.org/officeDocument/2006/relationships/hyperlink" Target="http://cwe.mitre.org/data/definitions/101.html" TargetMode="External"/><Relationship Id="rId812" Type="http://schemas.openxmlformats.org/officeDocument/2006/relationships/hyperlink" Target="http://cwe.mitre.org/data/definitions/501.html" TargetMode="External"/><Relationship Id="rId202" Type="http://schemas.openxmlformats.org/officeDocument/2006/relationships/hyperlink" Target="http://cwe.mitre.org/data/definitions/698.html" TargetMode="External"/><Relationship Id="rId244" Type="http://schemas.openxmlformats.org/officeDocument/2006/relationships/hyperlink" Target="http://cwe.mitre.org/data/definitions/688.html" TargetMode="External"/><Relationship Id="rId647" Type="http://schemas.openxmlformats.org/officeDocument/2006/relationships/hyperlink" Target="http://cwe.mitre.org/data/definitions/54.html" TargetMode="External"/><Relationship Id="rId689" Type="http://schemas.openxmlformats.org/officeDocument/2006/relationships/hyperlink" Target="http://cwe.mitre.org/data/definitions/265.html" TargetMode="External"/><Relationship Id="rId854" Type="http://schemas.openxmlformats.org/officeDocument/2006/relationships/hyperlink" Target="http://cwe.mitre.org/data/definitions/620.html" TargetMode="External"/><Relationship Id="rId896" Type="http://schemas.openxmlformats.org/officeDocument/2006/relationships/hyperlink" Target="http://cwe.mitre.org/data/definitions/543.html" TargetMode="External"/><Relationship Id="rId39" Type="http://schemas.openxmlformats.org/officeDocument/2006/relationships/hyperlink" Target="http://cwe.mitre.org/data/definitions/294.html" TargetMode="External"/><Relationship Id="rId286" Type="http://schemas.openxmlformats.org/officeDocument/2006/relationships/hyperlink" Target="http://cwe.mitre.org/data/definitions/755.html" TargetMode="External"/><Relationship Id="rId451" Type="http://schemas.openxmlformats.org/officeDocument/2006/relationships/hyperlink" Target="http://cwe.mitre.org/data/definitions/203.html" TargetMode="External"/><Relationship Id="rId493" Type="http://schemas.openxmlformats.org/officeDocument/2006/relationships/hyperlink" Target="http://cwe.mitre.org/data/definitions/522.html" TargetMode="External"/><Relationship Id="rId507" Type="http://schemas.openxmlformats.org/officeDocument/2006/relationships/hyperlink" Target="http://cwe.mitre.org/data/definitions/382.html" TargetMode="External"/><Relationship Id="rId549" Type="http://schemas.openxmlformats.org/officeDocument/2006/relationships/hyperlink" Target="http://cwe.mitre.org/data/definitions/820.html" TargetMode="External"/><Relationship Id="rId714" Type="http://schemas.openxmlformats.org/officeDocument/2006/relationships/hyperlink" Target="http://cwe.mitre.org/data/definitions/188.html" TargetMode="External"/><Relationship Id="rId756" Type="http://schemas.openxmlformats.org/officeDocument/2006/relationships/hyperlink" Target="http://cwe.mitre.org/data/definitions/895.html" TargetMode="External"/><Relationship Id="rId921" Type="http://schemas.openxmlformats.org/officeDocument/2006/relationships/hyperlink" Target="http://cwe.mitre.org/data/definitions/659.html" TargetMode="External"/><Relationship Id="rId50" Type="http://schemas.openxmlformats.org/officeDocument/2006/relationships/hyperlink" Target="http://cwe.mitre.org/data/definitions/805.html" TargetMode="External"/><Relationship Id="rId104" Type="http://schemas.openxmlformats.org/officeDocument/2006/relationships/hyperlink" Target="http://cwe.mitre.org/data/definitions/861.html" TargetMode="External"/><Relationship Id="rId146" Type="http://schemas.openxmlformats.org/officeDocument/2006/relationships/hyperlink" Target="http://cwe.mitre.org/data/definitions/352.html" TargetMode="External"/><Relationship Id="rId188" Type="http://schemas.openxmlformats.org/officeDocument/2006/relationships/hyperlink" Target="http://cwe.mitre.org/data/definitions/575.html" TargetMode="External"/><Relationship Id="rId311" Type="http://schemas.openxmlformats.org/officeDocument/2006/relationships/hyperlink" Target="http://cwe.mitre.org/data/definitions/67.html" TargetMode="External"/><Relationship Id="rId353" Type="http://schemas.openxmlformats.org/officeDocument/2006/relationships/hyperlink" Target="http://cwe.mitre.org/data/definitions/74.html" TargetMode="External"/><Relationship Id="rId395" Type="http://schemas.openxmlformats.org/officeDocument/2006/relationships/hyperlink" Target="http://cwe.mitre.org/data/definitions/838.html" TargetMode="External"/><Relationship Id="rId409" Type="http://schemas.openxmlformats.org/officeDocument/2006/relationships/hyperlink" Target="http://cwe.mitre.org/data/definitions/696.html" TargetMode="External"/><Relationship Id="rId560" Type="http://schemas.openxmlformats.org/officeDocument/2006/relationships/hyperlink" Target="http://cwe.mitre.org/data/definitions/519.html" TargetMode="External"/><Relationship Id="rId798" Type="http://schemas.openxmlformats.org/officeDocument/2006/relationships/hyperlink" Target="http://cwe.mitre.org/data/definitions/546.html" TargetMode="External"/><Relationship Id="rId92" Type="http://schemas.openxmlformats.org/officeDocument/2006/relationships/hyperlink" Target="http://cwe.mitre.org/data/definitions/849.html" TargetMode="External"/><Relationship Id="rId213" Type="http://schemas.openxmlformats.org/officeDocument/2006/relationships/hyperlink" Target="http://cwe.mitre.org/data/definitions/527.html" TargetMode="External"/><Relationship Id="rId420" Type="http://schemas.openxmlformats.org/officeDocument/2006/relationships/hyperlink" Target="http://cwe.mitre.org/data/definitions/705.html" TargetMode="External"/><Relationship Id="rId616" Type="http://schemas.openxmlformats.org/officeDocument/2006/relationships/hyperlink" Target="http://cwe.mitre.org/data/definitions/811.html" TargetMode="External"/><Relationship Id="rId658" Type="http://schemas.openxmlformats.org/officeDocument/2006/relationships/hyperlink" Target="http://cwe.mitre.org/data/definitions/35.html" TargetMode="External"/><Relationship Id="rId823" Type="http://schemas.openxmlformats.org/officeDocument/2006/relationships/hyperlink" Target="http://cwe.mitre.org/data/definitions/690.html" TargetMode="External"/><Relationship Id="rId865" Type="http://schemas.openxmlformats.org/officeDocument/2006/relationships/hyperlink" Target="http://cwe.mitre.org/data/definitions/910.html" TargetMode="External"/><Relationship Id="rId255" Type="http://schemas.openxmlformats.org/officeDocument/2006/relationships/hyperlink" Target="http://cwe.mitre.org/data/definitions/923.html" TargetMode="External"/><Relationship Id="rId297" Type="http://schemas.openxmlformats.org/officeDocument/2006/relationships/hyperlink" Target="http://cwe.mitre.org/data/definitions/130.html" TargetMode="External"/><Relationship Id="rId462" Type="http://schemas.openxmlformats.org/officeDocument/2006/relationships/hyperlink" Target="http://cwe.mitre.org/data/definitions/201.html" TargetMode="External"/><Relationship Id="rId518" Type="http://schemas.openxmlformats.org/officeDocument/2006/relationships/hyperlink" Target="http://cwe.mitre.org/data/definitions/320.html" TargetMode="External"/><Relationship Id="rId725" Type="http://schemas.openxmlformats.org/officeDocument/2006/relationships/hyperlink" Target="http://cwe.mitre.org/data/definitions/1000.html" TargetMode="External"/><Relationship Id="rId932" Type="http://schemas.openxmlformats.org/officeDocument/2006/relationships/hyperlink" Target="http://cwe.mitre.org/data/definitions/635.html" TargetMode="External"/><Relationship Id="rId115" Type="http://schemas.openxmlformats.org/officeDocument/2006/relationships/hyperlink" Target="http://cwe.mitre.org/data/definitions/317.html" TargetMode="External"/><Relationship Id="rId157" Type="http://schemas.openxmlformats.org/officeDocument/2006/relationships/hyperlink" Target="http://cwe.mitre.org/data/definitions/463.html" TargetMode="External"/><Relationship Id="rId322" Type="http://schemas.openxmlformats.org/officeDocument/2006/relationships/hyperlink" Target="http://cwe.mitre.org/data/definitions/652.html" TargetMode="External"/><Relationship Id="rId364" Type="http://schemas.openxmlformats.org/officeDocument/2006/relationships/hyperlink" Target="http://cwe.mitre.org/data/definitions/155.html" TargetMode="External"/><Relationship Id="rId767" Type="http://schemas.openxmlformats.org/officeDocument/2006/relationships/hyperlink" Target="http://cwe.mitre.org/data/definitions/896.html" TargetMode="External"/><Relationship Id="rId61" Type="http://schemas.openxmlformats.org/officeDocument/2006/relationships/hyperlink" Target="http://cwe.mitre.org/data/definitions/737.html" TargetMode="External"/><Relationship Id="rId199" Type="http://schemas.openxmlformats.org/officeDocument/2006/relationships/hyperlink" Target="http://cwe.mitre.org/data/definitions/388.html" TargetMode="External"/><Relationship Id="rId571" Type="http://schemas.openxmlformats.org/officeDocument/2006/relationships/hyperlink" Target="http://cwe.mitre.org/data/definitions/839.html" TargetMode="External"/><Relationship Id="rId627" Type="http://schemas.openxmlformats.org/officeDocument/2006/relationships/hyperlink" Target="http://cwe.mitre.org/data/definitions/931.html" TargetMode="External"/><Relationship Id="rId669" Type="http://schemas.openxmlformats.org/officeDocument/2006/relationships/hyperlink" Target="http://cwe.mitre.org/data/definitions/27.html" TargetMode="External"/><Relationship Id="rId834" Type="http://schemas.openxmlformats.org/officeDocument/2006/relationships/hyperlink" Target="http://cwe.mitre.org/data/definitions/62.html" TargetMode="External"/><Relationship Id="rId876" Type="http://schemas.openxmlformats.org/officeDocument/2006/relationships/hyperlink" Target="http://cwe.mitre.org/data/definitions/706.html" TargetMode="External"/><Relationship Id="rId19" Type="http://schemas.openxmlformats.org/officeDocument/2006/relationships/hyperlink" Target="http://cwe.mitre.org/data/definitions/464.html" TargetMode="External"/><Relationship Id="rId224" Type="http://schemas.openxmlformats.org/officeDocument/2006/relationships/hyperlink" Target="http://cwe.mitre.org/data/definitions/73.html" TargetMode="External"/><Relationship Id="rId266" Type="http://schemas.openxmlformats.org/officeDocument/2006/relationships/hyperlink" Target="http://cwe.mitre.org/data/definitions/914.html" TargetMode="External"/><Relationship Id="rId431" Type="http://schemas.openxmlformats.org/officeDocument/2006/relationships/hyperlink" Target="http://cwe.mitre.org/data/definitions/669.html" TargetMode="External"/><Relationship Id="rId473" Type="http://schemas.openxmlformats.org/officeDocument/2006/relationships/hyperlink" Target="http://cwe.mitre.org/data/definitions/452.html" TargetMode="External"/><Relationship Id="rId529" Type="http://schemas.openxmlformats.org/officeDocument/2006/relationships/hyperlink" Target="http://cwe.mitre.org/data/definitions/306.html" TargetMode="External"/><Relationship Id="rId680" Type="http://schemas.openxmlformats.org/officeDocument/2006/relationships/hyperlink" Target="http://cwe.mitre.org/data/definitions/465.html" TargetMode="External"/><Relationship Id="rId736" Type="http://schemas.openxmlformats.org/officeDocument/2006/relationships/hyperlink" Target="http://cwe.mitre.org/data/definitions/328.html" TargetMode="External"/><Relationship Id="rId901" Type="http://schemas.openxmlformats.org/officeDocument/2006/relationships/hyperlink" Target="http://cwe.mitre.org/data/definitions/597.html" TargetMode="External"/><Relationship Id="rId30" Type="http://schemas.openxmlformats.org/officeDocument/2006/relationships/hyperlink" Target="http://cwe.mitre.org/data/definitions/554.html" TargetMode="External"/><Relationship Id="rId126" Type="http://schemas.openxmlformats.org/officeDocument/2006/relationships/hyperlink" Target="http://cwe.mitre.org/data/definitions/486.html" TargetMode="External"/><Relationship Id="rId168" Type="http://schemas.openxmlformats.org/officeDocument/2006/relationships/hyperlink" Target="http://cwe.mitre.org/data/definitions/217.html" TargetMode="External"/><Relationship Id="rId333" Type="http://schemas.openxmlformats.org/officeDocument/2006/relationships/hyperlink" Target="http://cwe.mitre.org/data/definitions/147.html" TargetMode="External"/><Relationship Id="rId540" Type="http://schemas.openxmlformats.org/officeDocument/2006/relationships/hyperlink" Target="http://cwe.mitre.org/data/definitions/549.html" TargetMode="External"/><Relationship Id="rId778" Type="http://schemas.openxmlformats.org/officeDocument/2006/relationships/hyperlink" Target="http://cwe.mitre.org/data/definitions/888.html" TargetMode="External"/><Relationship Id="rId943" Type="http://schemas.openxmlformats.org/officeDocument/2006/relationships/hyperlink" Target="http://cwe.mitre.org/top25/" TargetMode="External"/><Relationship Id="rId72" Type="http://schemas.openxmlformats.org/officeDocument/2006/relationships/hyperlink" Target="http://cwe.mitre.org/data/definitions/748.html" TargetMode="External"/><Relationship Id="rId375" Type="http://schemas.openxmlformats.org/officeDocument/2006/relationships/hyperlink" Target="http://cwe.mitre.org/data/definitions/926.html" TargetMode="External"/><Relationship Id="rId582" Type="http://schemas.openxmlformats.org/officeDocument/2006/relationships/hyperlink" Target="http://cwe.mitre.org/data/definitions/795.html" TargetMode="External"/><Relationship Id="rId638" Type="http://schemas.openxmlformats.org/officeDocument/2006/relationships/hyperlink" Target="http://cwe.mitre.org/data/definitions/47.html" TargetMode="External"/><Relationship Id="rId803" Type="http://schemas.openxmlformats.org/officeDocument/2006/relationships/hyperlink" Target="http://cwe.mitre.org/data/definitions/380.html" TargetMode="External"/><Relationship Id="rId845" Type="http://schemas.openxmlformats.org/officeDocument/2006/relationships/hyperlink" Target="http://cwe.mitre.org/data/definitions/412.html" TargetMode="External"/><Relationship Id="rId3" Type="http://schemas.openxmlformats.org/officeDocument/2006/relationships/hyperlink" Target="http://cwe.mitre.org/data/definitions/752.html" TargetMode="External"/><Relationship Id="rId235" Type="http://schemas.openxmlformats.org/officeDocument/2006/relationships/hyperlink" Target="http://cwe.mitre.org/data/definitions/769.html" TargetMode="External"/><Relationship Id="rId277" Type="http://schemas.openxmlformats.org/officeDocument/2006/relationships/hyperlink" Target="http://cwe.mitre.org/data/definitions/707.html" TargetMode="External"/><Relationship Id="rId400" Type="http://schemas.openxmlformats.org/officeDocument/2006/relationships/hyperlink" Target="http://cwe.mitre.org/data/definitions/459.html" TargetMode="External"/><Relationship Id="rId442" Type="http://schemas.openxmlformats.org/officeDocument/2006/relationships/hyperlink" Target="http://cwe.mitre.org/data/definitions/207.html" TargetMode="External"/><Relationship Id="rId484" Type="http://schemas.openxmlformats.org/officeDocument/2006/relationships/hyperlink" Target="http://cwe.mitre.org/data/definitions/331.html" TargetMode="External"/><Relationship Id="rId705" Type="http://schemas.openxmlformats.org/officeDocument/2006/relationships/hyperlink" Target="http://cwe.mitre.org/data/definitions/366.html" TargetMode="External"/><Relationship Id="rId887" Type="http://schemas.openxmlformats.org/officeDocument/2006/relationships/hyperlink" Target="http://cwe.mitre.org/data/definitions/823.html" TargetMode="External"/><Relationship Id="rId137" Type="http://schemas.openxmlformats.org/officeDocument/2006/relationships/hyperlink" Target="http://cwe.mitre.org/data/definitions/514.html" TargetMode="External"/><Relationship Id="rId302" Type="http://schemas.openxmlformats.org/officeDocument/2006/relationships/hyperlink" Target="http://cwe.mitre.org/data/definitions/237.html" TargetMode="External"/><Relationship Id="rId344" Type="http://schemas.openxmlformats.org/officeDocument/2006/relationships/hyperlink" Target="http://cwe.mitre.org/data/definitions/149.html" TargetMode="External"/><Relationship Id="rId691" Type="http://schemas.openxmlformats.org/officeDocument/2006/relationships/hyperlink" Target="http://cwe.mitre.org/data/definitions/270.html" TargetMode="External"/><Relationship Id="rId747" Type="http://schemas.openxmlformats.org/officeDocument/2006/relationships/hyperlink" Target="http://cwe.mitre.org/data/definitions/384.html" TargetMode="External"/><Relationship Id="rId789" Type="http://schemas.openxmlformats.org/officeDocument/2006/relationships/hyperlink" Target="http://cwe.mitre.org/data/definitions/104.html" TargetMode="External"/><Relationship Id="rId912" Type="http://schemas.openxmlformats.org/officeDocument/2006/relationships/hyperlink" Target="http://cwe.mitre.org/data/definitions/868.html" TargetMode="External"/><Relationship Id="rId41" Type="http://schemas.openxmlformats.org/officeDocument/2006/relationships/hyperlink" Target="http://cwe.mitre.org/data/definitions/290.html" TargetMode="External"/><Relationship Id="rId83" Type="http://schemas.openxmlformats.org/officeDocument/2006/relationships/hyperlink" Target="http://cwe.mitre.org/data/definitions/879.html" TargetMode="External"/><Relationship Id="rId179" Type="http://schemas.openxmlformats.org/officeDocument/2006/relationships/hyperlink" Target="http://cwe.mitre.org/data/definitions/369.html" TargetMode="External"/><Relationship Id="rId386" Type="http://schemas.openxmlformats.org/officeDocument/2006/relationships/hyperlink" Target="http://cwe.mitre.org/data/definitions/297.html" TargetMode="External"/><Relationship Id="rId551" Type="http://schemas.openxmlformats.org/officeDocument/2006/relationships/hyperlink" Target="http://cwe.mitre.org/data/definitions/112.html" TargetMode="External"/><Relationship Id="rId593" Type="http://schemas.openxmlformats.org/officeDocument/2006/relationships/hyperlink" Target="http://cwe.mitre.org/data/definitions/186.html" TargetMode="External"/><Relationship Id="rId607" Type="http://schemas.openxmlformats.org/officeDocument/2006/relationships/hyperlink" Target="http://cwe.mitre.org/data/definitions/714.html" TargetMode="External"/><Relationship Id="rId649" Type="http://schemas.openxmlformats.org/officeDocument/2006/relationships/hyperlink" Target="http://cwe.mitre.org/data/definitions/44.html" TargetMode="External"/><Relationship Id="rId814" Type="http://schemas.openxmlformats.org/officeDocument/2006/relationships/hyperlink" Target="http://cwe.mitre.org/data/definitions/650.html" TargetMode="External"/><Relationship Id="rId856" Type="http://schemas.openxmlformats.org/officeDocument/2006/relationships/hyperlink" Target="http://cwe.mitre.org/data/definitions/416.html" TargetMode="External"/><Relationship Id="rId190" Type="http://schemas.openxmlformats.org/officeDocument/2006/relationships/hyperlink" Target="http://cwe.mitre.org/data/definitions/576.html" TargetMode="External"/><Relationship Id="rId204" Type="http://schemas.openxmlformats.org/officeDocument/2006/relationships/hyperlink" Target="http://cwe.mitre.org/data/definitions/440.html" TargetMode="External"/><Relationship Id="rId246" Type="http://schemas.openxmlformats.org/officeDocument/2006/relationships/hyperlink" Target="http://cwe.mitre.org/data/definitions/628.html" TargetMode="External"/><Relationship Id="rId288" Type="http://schemas.openxmlformats.org/officeDocument/2006/relationships/hyperlink" Target="http://cwe.mitre.org/data/definitions/231.html" TargetMode="External"/><Relationship Id="rId411" Type="http://schemas.openxmlformats.org/officeDocument/2006/relationships/hyperlink" Target="http://cwe.mitre.org/data/definitions/408.html" TargetMode="External"/><Relationship Id="rId453" Type="http://schemas.openxmlformats.org/officeDocument/2006/relationships/hyperlink" Target="http://cwe.mitre.org/data/definitions/211.html" TargetMode="External"/><Relationship Id="rId509" Type="http://schemas.openxmlformats.org/officeDocument/2006/relationships/hyperlink" Target="http://cwe.mitre.org/data/definitions/594.html" TargetMode="External"/><Relationship Id="rId660" Type="http://schemas.openxmlformats.org/officeDocument/2006/relationships/hyperlink" Target="http://cwe.mitre.org/data/definitions/37.html" TargetMode="External"/><Relationship Id="rId898" Type="http://schemas.openxmlformats.org/officeDocument/2006/relationships/hyperlink" Target="http://cwe.mitre.org/data/definitions/560.html" TargetMode="External"/><Relationship Id="rId106" Type="http://schemas.openxmlformats.org/officeDocument/2006/relationships/hyperlink" Target="http://cwe.mitre.org/data/definitions/300.html" TargetMode="External"/><Relationship Id="rId313" Type="http://schemas.openxmlformats.org/officeDocument/2006/relationships/hyperlink" Target="http://cwe.mitre.org/data/definitions/20.html" TargetMode="External"/><Relationship Id="rId495" Type="http://schemas.openxmlformats.org/officeDocument/2006/relationships/hyperlink" Target="http://cwe.mitre.org/data/definitions/190.html" TargetMode="External"/><Relationship Id="rId716" Type="http://schemas.openxmlformats.org/officeDocument/2006/relationships/hyperlink" Target="http://cwe.mitre.org/data/definitions/291.html" TargetMode="External"/><Relationship Id="rId758" Type="http://schemas.openxmlformats.org/officeDocument/2006/relationships/hyperlink" Target="http://cwe.mitre.org/data/definitions/890.html" TargetMode="External"/><Relationship Id="rId923" Type="http://schemas.openxmlformats.org/officeDocument/2006/relationships/hyperlink" Target="http://cwe.mitre.org/data/definitions/661.html" TargetMode="External"/><Relationship Id="rId10" Type="http://schemas.openxmlformats.org/officeDocument/2006/relationships/hyperlink" Target="http://cwe.mitre.org/data/definitions/865.html" TargetMode="External"/><Relationship Id="rId52" Type="http://schemas.openxmlformats.org/officeDocument/2006/relationships/hyperlink" Target="http://cwe.mitre.org/data/definitions/126.html" TargetMode="External"/><Relationship Id="rId94" Type="http://schemas.openxmlformats.org/officeDocument/2006/relationships/hyperlink" Target="http://cwe.mitre.org/data/definitions/851.html" TargetMode="External"/><Relationship Id="rId148" Type="http://schemas.openxmlformats.org/officeDocument/2006/relationships/hyperlink" Target="http://cwe.mitre.org/data/definitions/884.html" TargetMode="External"/><Relationship Id="rId355" Type="http://schemas.openxmlformats.org/officeDocument/2006/relationships/hyperlink" Target="http://cwe.mitre.org/data/definitions/917.html" TargetMode="External"/><Relationship Id="rId397" Type="http://schemas.openxmlformats.org/officeDocument/2006/relationships/hyperlink" Target="http://cwe.mitre.org/data/definitions/830.html" TargetMode="External"/><Relationship Id="rId520" Type="http://schemas.openxmlformats.org/officeDocument/2006/relationships/hyperlink" Target="http://cwe.mitre.org/data/definitions/272.html" TargetMode="External"/><Relationship Id="rId562" Type="http://schemas.openxmlformats.org/officeDocument/2006/relationships/hyperlink" Target="http://cwe.mitre.org/data/definitions/455.html" TargetMode="External"/><Relationship Id="rId618" Type="http://schemas.openxmlformats.org/officeDocument/2006/relationships/hyperlink" Target="http://cwe.mitre.org/data/definitions/813.html" TargetMode="External"/><Relationship Id="rId825" Type="http://schemas.openxmlformats.org/officeDocument/2006/relationships/hyperlink" Target="http://cwe.mitre.org/data/definitions/789.html" TargetMode="External"/><Relationship Id="rId215" Type="http://schemas.openxmlformats.org/officeDocument/2006/relationships/hyperlink" Target="http://cwe.mitre.org/data/definitions/403.html" TargetMode="External"/><Relationship Id="rId257" Type="http://schemas.openxmlformats.org/officeDocument/2006/relationships/hyperlink" Target="http://cwe.mitre.org/data/definitions/295.html" TargetMode="External"/><Relationship Id="rId422" Type="http://schemas.openxmlformats.org/officeDocument/2006/relationships/hyperlink" Target="http://cwe.mitre.org/data/definitions/276.html" TargetMode="External"/><Relationship Id="rId464" Type="http://schemas.openxmlformats.org/officeDocument/2006/relationships/hyperlink" Target="http://cwe.mitre.org/data/definitions/533.html" TargetMode="External"/><Relationship Id="rId867" Type="http://schemas.openxmlformats.org/officeDocument/2006/relationships/hyperlink" Target="http://cwe.mitre.org/data/definitions/474.html" TargetMode="External"/><Relationship Id="rId299" Type="http://schemas.openxmlformats.org/officeDocument/2006/relationships/hyperlink" Target="http://cwe.mitre.org/data/definitions/230.html" TargetMode="External"/><Relationship Id="rId727" Type="http://schemas.openxmlformats.org/officeDocument/2006/relationships/hyperlink" Target="http://cwe.mitre.org/data/definitions/399.html" TargetMode="External"/><Relationship Id="rId934" Type="http://schemas.openxmlformats.org/officeDocument/2006/relationships/hyperlink" Target="http://cwe.mitre.org/data/definitions/65.html" TargetMode="External"/><Relationship Id="rId63" Type="http://schemas.openxmlformats.org/officeDocument/2006/relationships/hyperlink" Target="http://cwe.mitre.org/data/definitions/739.html" TargetMode="External"/><Relationship Id="rId159" Type="http://schemas.openxmlformats.org/officeDocument/2006/relationships/hyperlink" Target="http://cwe.mitre.org/data/definitions/516.html" TargetMode="External"/><Relationship Id="rId366" Type="http://schemas.openxmlformats.org/officeDocument/2006/relationships/hyperlink" Target="http://cwe.mitre.org/data/definitions/117.html" TargetMode="External"/><Relationship Id="rId573" Type="http://schemas.openxmlformats.org/officeDocument/2006/relationships/hyperlink" Target="http://cwe.mitre.org/data/definitions/581.html" TargetMode="External"/><Relationship Id="rId780" Type="http://schemas.openxmlformats.org/officeDocument/2006/relationships/hyperlink" Target="http://cwe.mitre.org/data/definitions/512.html" TargetMode="External"/><Relationship Id="rId226" Type="http://schemas.openxmlformats.org/officeDocument/2006/relationships/hyperlink" Target="http://cwe.mitre.org/data/definitions/673.html" TargetMode="External"/><Relationship Id="rId433" Type="http://schemas.openxmlformats.org/officeDocument/2006/relationships/hyperlink" Target="http://cwe.mitre.org/data/definitions/768.html" TargetMode="External"/><Relationship Id="rId878" Type="http://schemas.openxmlformats.org/officeDocument/2006/relationships/hyperlink" Target="http://cwe.mitre.org/data/definitions/492.html" TargetMode="External"/><Relationship Id="rId640" Type="http://schemas.openxmlformats.org/officeDocument/2006/relationships/hyperlink" Target="http://cwe.mitre.org/data/definitions/50.html" TargetMode="External"/><Relationship Id="rId738" Type="http://schemas.openxmlformats.org/officeDocument/2006/relationships/hyperlink" Target="http://cwe.mitre.org/data/definitions/254.html" TargetMode="External"/><Relationship Id="rId945" Type="http://schemas.openxmlformats.org/officeDocument/2006/relationships/drawing" Target="../drawings/drawing1.xml"/><Relationship Id="rId74" Type="http://schemas.openxmlformats.org/officeDocument/2006/relationships/hyperlink" Target="http://cwe.mitre.org/data/definitions/870.html" TargetMode="External"/><Relationship Id="rId377" Type="http://schemas.openxmlformats.org/officeDocument/2006/relationships/hyperlink" Target="http://cwe.mitre.org/data/definitions/641.html" TargetMode="External"/><Relationship Id="rId500" Type="http://schemas.openxmlformats.org/officeDocument/2006/relationships/hyperlink" Target="http://cwe.mitre.org/data/definitions/505.html" TargetMode="External"/><Relationship Id="rId584" Type="http://schemas.openxmlformats.org/officeDocument/2006/relationships/hyperlink" Target="http://cwe.mitre.org/data/definitions/796.html" TargetMode="External"/><Relationship Id="rId805" Type="http://schemas.openxmlformats.org/officeDocument/2006/relationships/hyperlink" Target="http://cwe.mitre.org/data/definitions/449.html" TargetMode="External"/><Relationship Id="rId5" Type="http://schemas.openxmlformats.org/officeDocument/2006/relationships/hyperlink" Target="http://cwe.mitre.org/data/definitions/803.html" TargetMode="External"/><Relationship Id="rId237" Type="http://schemas.openxmlformats.org/officeDocument/2006/relationships/hyperlink" Target="http://cwe.mitre.org/data/definitions/583.html" TargetMode="External"/><Relationship Id="rId791" Type="http://schemas.openxmlformats.org/officeDocument/2006/relationships/hyperlink" Target="http://cwe.mitre.org/data/definitions/103.html" TargetMode="External"/><Relationship Id="rId889" Type="http://schemas.openxmlformats.org/officeDocument/2006/relationships/hyperlink" Target="http://cwe.mitre.org/data/definitions/916.html" TargetMode="External"/><Relationship Id="rId444" Type="http://schemas.openxmlformats.org/officeDocument/2006/relationships/hyperlink" Target="http://cwe.mitre.org/data/definitions/525.html" TargetMode="External"/><Relationship Id="rId651" Type="http://schemas.openxmlformats.org/officeDocument/2006/relationships/hyperlink" Target="http://cwe.mitre.org/data/definitions/43.html" TargetMode="External"/><Relationship Id="rId749" Type="http://schemas.openxmlformats.org/officeDocument/2006/relationships/hyperlink" Target="http://cwe.mitre.org/data/definitions/899.html" TargetMode="External"/><Relationship Id="rId290" Type="http://schemas.openxmlformats.org/officeDocument/2006/relationships/hyperlink" Target="http://cwe.mitre.org/data/definitions/409.html" TargetMode="External"/><Relationship Id="rId304" Type="http://schemas.openxmlformats.org/officeDocument/2006/relationships/hyperlink" Target="http://cwe.mitre.org/data/definitions/236.html" TargetMode="External"/><Relationship Id="rId388" Type="http://schemas.openxmlformats.org/officeDocument/2006/relationships/hyperlink" Target="http://cwe.mitre.org/data/definitions/354.html" TargetMode="External"/><Relationship Id="rId511" Type="http://schemas.openxmlformats.org/officeDocument/2006/relationships/hyperlink" Target="http://cwe.mitre.org/data/definitions/8.html" TargetMode="External"/><Relationship Id="rId609" Type="http://schemas.openxmlformats.org/officeDocument/2006/relationships/hyperlink" Target="http://cwe.mitre.org/data/definitions/716.html" TargetMode="External"/><Relationship Id="rId85" Type="http://schemas.openxmlformats.org/officeDocument/2006/relationships/hyperlink" Target="http://cwe.mitre.org/data/definitions/881.html" TargetMode="External"/><Relationship Id="rId150" Type="http://schemas.openxmlformats.org/officeDocument/2006/relationships/hyperlink" Target="http://cwe.mitre.org/data/definitions/619.html" TargetMode="External"/><Relationship Id="rId595" Type="http://schemas.openxmlformats.org/officeDocument/2006/relationships/hyperlink" Target="http://cwe.mitre.org/data/definitions/731.html" TargetMode="External"/><Relationship Id="rId816" Type="http://schemas.openxmlformats.org/officeDocument/2006/relationships/hyperlink" Target="http://cwe.mitre.org/data/definitions/446.html" TargetMode="External"/><Relationship Id="rId248" Type="http://schemas.openxmlformats.org/officeDocument/2006/relationships/hyperlink" Target="http://cwe.mitre.org/data/definitions/429.html" TargetMode="External"/><Relationship Id="rId455" Type="http://schemas.openxmlformats.org/officeDocument/2006/relationships/hyperlink" Target="http://cwe.mitre.org/data/definitions/612.html" TargetMode="External"/><Relationship Id="rId662" Type="http://schemas.openxmlformats.org/officeDocument/2006/relationships/hyperlink" Target="http://cwe.mitre.org/data/definitions/24.html" TargetMode="External"/><Relationship Id="rId12" Type="http://schemas.openxmlformats.org/officeDocument/2006/relationships/hyperlink" Target="http://cwe.mitre.org/data/definitions/36.html" TargetMode="External"/><Relationship Id="rId108" Type="http://schemas.openxmlformats.org/officeDocument/2006/relationships/hyperlink" Target="http://cwe.mitre.org/data/definitions/418.html" TargetMode="External"/><Relationship Id="rId315" Type="http://schemas.openxmlformats.org/officeDocument/2006/relationships/hyperlink" Target="http://cwe.mitre.org/data/definitions/59.html" TargetMode="External"/><Relationship Id="rId522" Type="http://schemas.openxmlformats.org/officeDocument/2006/relationships/hyperlink" Target="http://cwe.mitre.org/data/definitions/1.html" TargetMode="External"/><Relationship Id="rId96" Type="http://schemas.openxmlformats.org/officeDocument/2006/relationships/hyperlink" Target="http://cwe.mitre.org/data/definitions/853.html" TargetMode="External"/><Relationship Id="rId161" Type="http://schemas.openxmlformats.org/officeDocument/2006/relationships/hyperlink" Target="http://cwe.mitre.org/data/definitions/225.html" TargetMode="External"/><Relationship Id="rId399" Type="http://schemas.openxmlformats.org/officeDocument/2006/relationships/hyperlink" Target="http://cwe.mitre.org/data/definitions/692.html" TargetMode="External"/><Relationship Id="rId827" Type="http://schemas.openxmlformats.org/officeDocument/2006/relationships/hyperlink" Target="http://cwe.mitre.org/data/definitions/400.html" TargetMode="External"/><Relationship Id="rId259" Type="http://schemas.openxmlformats.org/officeDocument/2006/relationships/hyperlink" Target="http://cwe.mitre.org/data/definitions/273.html" TargetMode="External"/><Relationship Id="rId466" Type="http://schemas.openxmlformats.org/officeDocument/2006/relationships/hyperlink" Target="http://cwe.mitre.org/data/definitions/535.html" TargetMode="External"/><Relationship Id="rId673" Type="http://schemas.openxmlformats.org/officeDocument/2006/relationships/hyperlink" Target="http://cwe.mitre.org/data/definitions/689.html" TargetMode="External"/><Relationship Id="rId880" Type="http://schemas.openxmlformats.org/officeDocument/2006/relationships/hyperlink" Target="http://cwe.mitre.org/data/definitions/344.html" TargetMode="External"/><Relationship Id="rId23" Type="http://schemas.openxmlformats.org/officeDocument/2006/relationships/hyperlink" Target="http://cwe.mitre.org/data/definitions/670.html" TargetMode="External"/><Relationship Id="rId119" Type="http://schemas.openxmlformats.org/officeDocument/2006/relationships/hyperlink" Target="http://cwe.mitre.org/data/definitions/580.html" TargetMode="External"/><Relationship Id="rId326" Type="http://schemas.openxmlformats.org/officeDocument/2006/relationships/hyperlink" Target="http://cwe.mitre.org/data/definitions/84.html" TargetMode="External"/><Relationship Id="rId533" Type="http://schemas.openxmlformats.org/officeDocument/2006/relationships/hyperlink" Target="http://cwe.mitre.org/data/definitions/756.html" TargetMode="External"/><Relationship Id="rId740" Type="http://schemas.openxmlformats.org/officeDocument/2006/relationships/hyperlink" Target="http://cwe.mitre.org/data/definitions/614.html" TargetMode="External"/><Relationship Id="rId838" Type="http://schemas.openxmlformats.org/officeDocument/2006/relationships/hyperlink" Target="http://cwe.mitre.org/data/definitions/637.html" TargetMode="External"/><Relationship Id="rId172" Type="http://schemas.openxmlformats.org/officeDocument/2006/relationships/hyperlink" Target="http://cwe.mitre.org/data/definitions/249.html" TargetMode="External"/><Relationship Id="rId477" Type="http://schemas.openxmlformats.org/officeDocument/2006/relationships/hyperlink" Target="http://cwe.mitre.org/data/definitions/922.html" TargetMode="External"/><Relationship Id="rId600" Type="http://schemas.openxmlformats.org/officeDocument/2006/relationships/hyperlink" Target="http://cwe.mitre.org/data/definitions/727.html" TargetMode="External"/><Relationship Id="rId684" Type="http://schemas.openxmlformats.org/officeDocument/2006/relationships/hyperlink" Target="http://cwe.mitre.org/data/definitions/337.html" TargetMode="External"/><Relationship Id="rId337" Type="http://schemas.openxmlformats.org/officeDocument/2006/relationships/hyperlink" Target="http://cwe.mitre.org/data/definitions/144.html" TargetMode="External"/><Relationship Id="rId891" Type="http://schemas.openxmlformats.org/officeDocument/2006/relationships/hyperlink" Target="http://cwe.mitre.org/data/definitions/785.html" TargetMode="External"/><Relationship Id="rId905" Type="http://schemas.openxmlformats.org/officeDocument/2006/relationships/hyperlink" Target="http://cwe.mitre.org/data/definitions/621.html" TargetMode="External"/><Relationship Id="rId34" Type="http://schemas.openxmlformats.org/officeDocument/2006/relationships/hyperlink" Target="http://cwe.mitre.org/data/definitions/587.html" TargetMode="External"/><Relationship Id="rId544" Type="http://schemas.openxmlformats.org/officeDocument/2006/relationships/hyperlink" Target="http://cwe.mitre.org/data/definitions/772.html" TargetMode="External"/><Relationship Id="rId751" Type="http://schemas.openxmlformats.org/officeDocument/2006/relationships/hyperlink" Target="http://cwe.mitre.org/data/definitions/898.html" TargetMode="External"/><Relationship Id="rId849" Type="http://schemas.openxmlformats.org/officeDocument/2006/relationships/hyperlink" Target="http://cwe.mitre.org/data/definitions/567.html" TargetMode="External"/><Relationship Id="rId183" Type="http://schemas.openxmlformats.org/officeDocument/2006/relationships/hyperlink" Target="http://cwe.mitre.org/data/definitions/85.html" TargetMode="External"/><Relationship Id="rId390" Type="http://schemas.openxmlformats.org/officeDocument/2006/relationships/hyperlink" Target="http://cwe.mitre.org/data/definitions/925.html" TargetMode="External"/><Relationship Id="rId404" Type="http://schemas.openxmlformats.org/officeDocument/2006/relationships/hyperlink" Target="http://cwe.mitre.org/data/definitions/616.html" TargetMode="External"/><Relationship Id="rId611" Type="http://schemas.openxmlformats.org/officeDocument/2006/relationships/hyperlink" Target="http://cwe.mitre.org/data/definitions/718.html" TargetMode="External"/><Relationship Id="rId250" Type="http://schemas.openxmlformats.org/officeDocument/2006/relationships/hyperlink" Target="http://cwe.mitre.org/data/definitions/912.html" TargetMode="External"/><Relationship Id="rId488" Type="http://schemas.openxmlformats.org/officeDocument/2006/relationships/hyperlink" Target="http://cwe.mitre.org/data/definitions/410.html" TargetMode="External"/><Relationship Id="rId695" Type="http://schemas.openxmlformats.org/officeDocument/2006/relationships/hyperlink" Target="http://cwe.mitre.org/data/definitions/114.html" TargetMode="External"/><Relationship Id="rId709" Type="http://schemas.openxmlformats.org/officeDocument/2006/relationships/hyperlink" Target="http://cwe.mitre.org/data/definitions/23.html" TargetMode="External"/><Relationship Id="rId916" Type="http://schemas.openxmlformats.org/officeDocument/2006/relationships/hyperlink" Target="http://cwe.mitre.org/data/definitions/711.html" TargetMode="External"/><Relationship Id="rId45" Type="http://schemas.openxmlformats.org/officeDocument/2006/relationships/hyperlink" Target="http://cwe.mitre.org/data/definitions/639.html" TargetMode="External"/><Relationship Id="rId110" Type="http://schemas.openxmlformats.org/officeDocument/2006/relationships/hyperlink" Target="http://cwe.mitre.org/data/definitions/313.html" TargetMode="External"/><Relationship Id="rId348" Type="http://schemas.openxmlformats.org/officeDocument/2006/relationships/hyperlink" Target="http://cwe.mitre.org/data/definitions/82.html" TargetMode="External"/><Relationship Id="rId555" Type="http://schemas.openxmlformats.org/officeDocument/2006/relationships/hyperlink" Target="http://cwe.mitre.org/data/definitions/605.html" TargetMode="External"/><Relationship Id="rId762" Type="http://schemas.openxmlformats.org/officeDocument/2006/relationships/hyperlink" Target="http://cwe.mitre.org/data/definitions/905.html" TargetMode="External"/><Relationship Id="rId194" Type="http://schemas.openxmlformats.org/officeDocument/2006/relationships/hyperlink" Target="http://cwe.mitre.org/data/definitions/258.html" TargetMode="External"/><Relationship Id="rId208" Type="http://schemas.openxmlformats.org/officeDocument/2006/relationships/hyperlink" Target="http://cwe.mitre.org/data/definitions/782.html" TargetMode="External"/><Relationship Id="rId415" Type="http://schemas.openxmlformats.org/officeDocument/2006/relationships/hyperlink" Target="http://cwe.mitre.org/data/definitions/483.html" TargetMode="External"/><Relationship Id="rId622" Type="http://schemas.openxmlformats.org/officeDocument/2006/relationships/hyperlink" Target="http://cwe.mitre.org/data/definitions/817.html" TargetMode="External"/><Relationship Id="rId261" Type="http://schemas.openxmlformats.org/officeDocument/2006/relationships/hyperlink" Target="http://cwe.mitre.org/data/definitions/703.html" TargetMode="External"/><Relationship Id="rId499" Type="http://schemas.openxmlformats.org/officeDocument/2006/relationships/hyperlink" Target="http://cwe.mitre.org/data/definitions/513.html" TargetMode="External"/><Relationship Id="rId927" Type="http://schemas.openxmlformats.org/officeDocument/2006/relationships/hyperlink" Target="http://cwe.mitre.org/data/definitions/701.html" TargetMode="External"/><Relationship Id="rId56" Type="http://schemas.openxmlformats.org/officeDocument/2006/relationships/hyperlink" Target="http://cwe.mitre.org/data/definitions/503.html" TargetMode="External"/><Relationship Id="rId359" Type="http://schemas.openxmlformats.org/officeDocument/2006/relationships/hyperlink" Target="http://cwe.mitre.org/data/definitions/153.html" TargetMode="External"/><Relationship Id="rId566" Type="http://schemas.openxmlformats.org/officeDocument/2006/relationships/hyperlink" Target="http://cwe.mitre.org/data/definitions/638.html" TargetMode="External"/><Relationship Id="rId773" Type="http://schemas.openxmlformats.org/officeDocument/2006/relationships/hyperlink" Target="http://cwe.mitre.org/data/definitions/479.html" TargetMode="External"/><Relationship Id="rId121" Type="http://schemas.openxmlformats.org/officeDocument/2006/relationships/hyperlink" Target="http://cwe.mitre.org/data/definitions/17.html" TargetMode="External"/><Relationship Id="rId219" Type="http://schemas.openxmlformats.org/officeDocument/2006/relationships/hyperlink" Target="http://cwe.mitre.org/data/definitions/570.html" TargetMode="External"/><Relationship Id="rId426" Type="http://schemas.openxmlformats.org/officeDocument/2006/relationships/hyperlink" Target="http://cwe.mitre.org/data/definitions/732.html" TargetMode="External"/><Relationship Id="rId633" Type="http://schemas.openxmlformats.org/officeDocument/2006/relationships/hyperlink" Target="http://cwe.mitre.org/data/definitions/937.html" TargetMode="External"/><Relationship Id="rId840" Type="http://schemas.openxmlformats.org/officeDocument/2006/relationships/hyperlink" Target="http://cwe.mitre.org/data/definitions/420.html" TargetMode="External"/><Relationship Id="rId938" Type="http://schemas.openxmlformats.org/officeDocument/2006/relationships/hyperlink" Target="http://cwe.mitre.org/data/definitions/128.html" TargetMode="External"/><Relationship Id="rId67" Type="http://schemas.openxmlformats.org/officeDocument/2006/relationships/hyperlink" Target="http://cwe.mitre.org/data/definitions/743.html" TargetMode="External"/><Relationship Id="rId272" Type="http://schemas.openxmlformats.org/officeDocument/2006/relationships/hyperlink" Target="http://cwe.mitre.org/data/definitions/212.html" TargetMode="External"/><Relationship Id="rId577" Type="http://schemas.openxmlformats.org/officeDocument/2006/relationships/hyperlink" Target="http://cwe.mitre.org/data/definitions/559.html" TargetMode="External"/><Relationship Id="rId700" Type="http://schemas.openxmlformats.org/officeDocument/2006/relationships/hyperlink" Target="http://cwe.mitre.org/data/definitions/500.html" TargetMode="External"/><Relationship Id="rId132" Type="http://schemas.openxmlformats.org/officeDocument/2006/relationships/hyperlink" Target="http://cwe.mitre.org/data/definitions/557.html" TargetMode="External"/><Relationship Id="rId784" Type="http://schemas.openxmlformats.org/officeDocument/2006/relationships/hyperlink" Target="http://cwe.mitre.org/data/definitions/921.html" TargetMode="External"/><Relationship Id="rId437" Type="http://schemas.openxmlformats.org/officeDocument/2006/relationships/hyperlink" Target="http://cwe.mitre.org/data/definitions/286.html" TargetMode="External"/><Relationship Id="rId644" Type="http://schemas.openxmlformats.org/officeDocument/2006/relationships/hyperlink" Target="http://cwe.mitre.org/data/definitions/57.html" TargetMode="External"/><Relationship Id="rId851" Type="http://schemas.openxmlformats.org/officeDocument/2006/relationships/hyperlink" Target="http://cwe.mitre.org/data/definitions/426.html" TargetMode="External"/><Relationship Id="rId283" Type="http://schemas.openxmlformats.org/officeDocument/2006/relationships/hyperlink" Target="http://cwe.mitre.org/data/definitions/173.html" TargetMode="External"/><Relationship Id="rId490" Type="http://schemas.openxmlformats.org/officeDocument/2006/relationships/hyperlink" Target="http://cwe.mitre.org/data/definitions/351.html" TargetMode="External"/><Relationship Id="rId504" Type="http://schemas.openxmlformats.org/officeDocument/2006/relationships/hyperlink" Target="http://cwe.mitre.org/data/definitions/246.html" TargetMode="External"/><Relationship Id="rId711" Type="http://schemas.openxmlformats.org/officeDocument/2006/relationships/hyperlink" Target="http://cwe.mitre.org/data/definitions/654.html" TargetMode="External"/><Relationship Id="rId78" Type="http://schemas.openxmlformats.org/officeDocument/2006/relationships/hyperlink" Target="http://cwe.mitre.org/data/definitions/874.html" TargetMode="External"/><Relationship Id="rId143" Type="http://schemas.openxmlformats.org/officeDocument/2006/relationships/hyperlink" Target="http://cwe.mitre.org/data/definitions/255.html" TargetMode="External"/><Relationship Id="rId350" Type="http://schemas.openxmlformats.org/officeDocument/2006/relationships/hyperlink" Target="http://cwe.mitre.org/data/definitions/145.html" TargetMode="External"/><Relationship Id="rId588" Type="http://schemas.openxmlformats.org/officeDocument/2006/relationships/hyperlink" Target="http://cwe.mitre.org/data/definitions/346.html" TargetMode="External"/><Relationship Id="rId795" Type="http://schemas.openxmlformats.org/officeDocument/2006/relationships/hyperlink" Target="http://cwe.mitre.org/data/definitions/108.html" TargetMode="External"/><Relationship Id="rId809" Type="http://schemas.openxmlformats.org/officeDocument/2006/relationships/hyperlink" Target="http://cwe.mitre.org/data/definitions/510.html" TargetMode="External"/><Relationship Id="rId9" Type="http://schemas.openxmlformats.org/officeDocument/2006/relationships/hyperlink" Target="http://cwe.mitre.org/data/definitions/866.html" TargetMode="External"/><Relationship Id="rId210" Type="http://schemas.openxmlformats.org/officeDocument/2006/relationships/hyperlink" Target="http://cwe.mitre.org/data/definitions/529.html" TargetMode="External"/><Relationship Id="rId448" Type="http://schemas.openxmlformats.org/officeDocument/2006/relationships/hyperlink" Target="http://cwe.mitre.org/data/definitions/215.html" TargetMode="External"/><Relationship Id="rId655" Type="http://schemas.openxmlformats.org/officeDocument/2006/relationships/hyperlink" Target="http://cwe.mitre.org/data/definitions/33.html" TargetMode="External"/><Relationship Id="rId862" Type="http://schemas.openxmlformats.org/officeDocument/2006/relationships/hyperlink" Target="http://cwe.mitre.org/data/definitions/603.html" TargetMode="External"/><Relationship Id="rId294" Type="http://schemas.openxmlformats.org/officeDocument/2006/relationships/hyperlink" Target="http://cwe.mitre.org/data/definitions/333.html" TargetMode="External"/><Relationship Id="rId308" Type="http://schemas.openxmlformats.org/officeDocument/2006/relationships/hyperlink" Target="http://cwe.mitre.org/data/definitions/177.html" TargetMode="External"/><Relationship Id="rId515" Type="http://schemas.openxmlformats.org/officeDocument/2006/relationships/hyperlink" Target="http://cwe.mitre.org/data/definitions/9.html" TargetMode="External"/><Relationship Id="rId722" Type="http://schemas.openxmlformats.org/officeDocument/2006/relationships/hyperlink" Target="http://cwe.mitre.org/data/definitions/807.html" TargetMode="External"/><Relationship Id="rId89" Type="http://schemas.openxmlformats.org/officeDocument/2006/relationships/hyperlink" Target="http://cwe.mitre.org/data/definitions/846.html" TargetMode="External"/><Relationship Id="rId154" Type="http://schemas.openxmlformats.org/officeDocument/2006/relationships/hyperlink" Target="http://cwe.mitre.org/data/definitions/833.html" TargetMode="External"/><Relationship Id="rId361" Type="http://schemas.openxmlformats.org/officeDocument/2006/relationships/hyperlink" Target="http://cwe.mitre.org/data/definitions/142.html" TargetMode="External"/><Relationship Id="rId599" Type="http://schemas.openxmlformats.org/officeDocument/2006/relationships/hyperlink" Target="http://cwe.mitre.org/data/definitions/726.html" TargetMode="External"/><Relationship Id="rId459" Type="http://schemas.openxmlformats.org/officeDocument/2006/relationships/hyperlink" Target="http://cwe.mitre.org/data/definitions/214.html" TargetMode="External"/><Relationship Id="rId666" Type="http://schemas.openxmlformats.org/officeDocument/2006/relationships/hyperlink" Target="http://cwe.mitre.org/data/definitions/30.html" TargetMode="External"/><Relationship Id="rId873" Type="http://schemas.openxmlformats.org/officeDocument/2006/relationships/hyperlink" Target="http://cwe.mitre.org/data/definitions/927.html" TargetMode="External"/><Relationship Id="rId16" Type="http://schemas.openxmlformats.org/officeDocument/2006/relationships/hyperlink" Target="http://cwe.mitre.org/data/definitions/843.html" TargetMode="External"/><Relationship Id="rId221" Type="http://schemas.openxmlformats.org/officeDocument/2006/relationships/hyperlink" Target="http://cwe.mitre.org/data/definitions/569.html" TargetMode="External"/><Relationship Id="rId319" Type="http://schemas.openxmlformats.org/officeDocument/2006/relationships/hyperlink" Target="http://cwe.mitre.org/data/definitions/93.html" TargetMode="External"/><Relationship Id="rId526" Type="http://schemas.openxmlformats.org/officeDocument/2006/relationships/hyperlink" Target="http://cwe.mitre.org/data/definitions/70.html" TargetMode="External"/><Relationship Id="rId733" Type="http://schemas.openxmlformats.org/officeDocument/2006/relationships/hyperlink" Target="http://cwe.mitre.org/data/definitions/393.html" TargetMode="External"/><Relationship Id="rId940" Type="http://schemas.openxmlformats.org/officeDocument/2006/relationships/hyperlink" Target="http://cwe.mitre.org/data/definitions/91.html" TargetMode="External"/><Relationship Id="rId165" Type="http://schemas.openxmlformats.org/officeDocument/2006/relationships/hyperlink" Target="http://cwe.mitre.org/data/definitions/247.html" TargetMode="External"/><Relationship Id="rId372" Type="http://schemas.openxmlformats.org/officeDocument/2006/relationships/hyperlink" Target="http://cwe.mitre.org/data/definitions/41.html" TargetMode="External"/><Relationship Id="rId677" Type="http://schemas.openxmlformats.org/officeDocument/2006/relationships/hyperlink" Target="http://cwe.mitre.org/data/definitions/473.html" TargetMode="External"/><Relationship Id="rId800" Type="http://schemas.openxmlformats.org/officeDocument/2006/relationships/hyperlink" Target="http://cwe.mitre.org/data/definitions/3.html" TargetMode="External"/><Relationship Id="rId232" Type="http://schemas.openxmlformats.org/officeDocument/2006/relationships/hyperlink" Target="http://cwe.mitre.org/data/definitions/159.html" TargetMode="External"/><Relationship Id="rId884" Type="http://schemas.openxmlformats.org/officeDocument/2006/relationships/hyperlink" Target="http://cwe.mitre.org/data/definitions/647.html" TargetMode="External"/><Relationship Id="rId27" Type="http://schemas.openxmlformats.org/officeDocument/2006/relationships/hyperlink" Target="http://cwe.mitre.org/data/definitions/10.html" TargetMode="External"/><Relationship Id="rId537" Type="http://schemas.openxmlformats.org/officeDocument/2006/relationships/hyperlink" Target="http://cwe.mitre.org/data/definitions/456.html" TargetMode="External"/><Relationship Id="rId744" Type="http://schemas.openxmlformats.org/officeDocument/2006/relationships/hyperlink" Target="http://cwe.mitre.org/data/definitions/226.html" TargetMode="External"/><Relationship Id="rId80" Type="http://schemas.openxmlformats.org/officeDocument/2006/relationships/hyperlink" Target="http://cwe.mitre.org/data/definitions/876.html" TargetMode="External"/><Relationship Id="rId176" Type="http://schemas.openxmlformats.org/officeDocument/2006/relationships/hyperlink" Target="http://cwe.mitre.org/data/definitions/699.html" TargetMode="External"/><Relationship Id="rId383" Type="http://schemas.openxmlformats.org/officeDocument/2006/relationships/hyperlink" Target="http://cwe.mitre.org/data/definitions/911.html" TargetMode="External"/><Relationship Id="rId590" Type="http://schemas.openxmlformats.org/officeDocument/2006/relationships/hyperlink" Target="http://cwe.mitre.org/data/definitions/125.html" TargetMode="External"/><Relationship Id="rId604" Type="http://schemas.openxmlformats.org/officeDocument/2006/relationships/hyperlink" Target="http://cwe.mitre.org/data/definitions/712.html" TargetMode="External"/><Relationship Id="rId811" Type="http://schemas.openxmlformats.org/officeDocument/2006/relationships/hyperlink" Target="http://cwe.mitre.org/data/definitions/222.html" TargetMode="External"/><Relationship Id="rId243" Type="http://schemas.openxmlformats.org/officeDocument/2006/relationships/hyperlink" Target="http://cwe.mitre.org/data/definitions/683.html" TargetMode="External"/><Relationship Id="rId450" Type="http://schemas.openxmlformats.org/officeDocument/2006/relationships/hyperlink" Target="http://cwe.mitre.org/data/definitions/548.html" TargetMode="External"/><Relationship Id="rId688" Type="http://schemas.openxmlformats.org/officeDocument/2006/relationships/hyperlink" Target="http://cwe.mitre.org/data/definitions/495.html" TargetMode="External"/><Relationship Id="rId895" Type="http://schemas.openxmlformats.org/officeDocument/2006/relationships/hyperlink" Target="http://cwe.mitre.org/data/definitions/308.html" TargetMode="External"/><Relationship Id="rId909" Type="http://schemas.openxmlformats.org/officeDocument/2006/relationships/hyperlink" Target="http://cwe.mitre.org/data/definitions/521.html" TargetMode="External"/><Relationship Id="rId38" Type="http://schemas.openxmlformats.org/officeDocument/2006/relationships/hyperlink" Target="http://cwe.mitre.org/data/definitions/302.html" TargetMode="External"/><Relationship Id="rId103" Type="http://schemas.openxmlformats.org/officeDocument/2006/relationships/hyperlink" Target="http://cwe.mitre.org/data/definitions/860.html" TargetMode="External"/><Relationship Id="rId310" Type="http://schemas.openxmlformats.org/officeDocument/2006/relationships/hyperlink" Target="http://cwe.mitre.org/data/definitions/69.html" TargetMode="External"/><Relationship Id="rId548" Type="http://schemas.openxmlformats.org/officeDocument/2006/relationships/hyperlink" Target="http://cwe.mitre.org/data/definitions/353.html" TargetMode="External"/><Relationship Id="rId755" Type="http://schemas.openxmlformats.org/officeDocument/2006/relationships/hyperlink" Target="http://cwe.mitre.org/data/definitions/889.html" TargetMode="External"/><Relationship Id="rId91" Type="http://schemas.openxmlformats.org/officeDocument/2006/relationships/hyperlink" Target="http://cwe.mitre.org/data/definitions/848.html" TargetMode="External"/><Relationship Id="rId187" Type="http://schemas.openxmlformats.org/officeDocument/2006/relationships/hyperlink" Target="http://cwe.mitre.org/data/definitions/627.html" TargetMode="External"/><Relationship Id="rId394" Type="http://schemas.openxmlformats.org/officeDocument/2006/relationships/hyperlink" Target="http://cwe.mitre.org/data/definitions/518.html" TargetMode="External"/><Relationship Id="rId408" Type="http://schemas.openxmlformats.org/officeDocument/2006/relationships/hyperlink" Target="http://cwe.mitre.org/data/definitions/863.html" TargetMode="External"/><Relationship Id="rId615" Type="http://schemas.openxmlformats.org/officeDocument/2006/relationships/hyperlink" Target="http://cwe.mitre.org/data/definitions/819.html" TargetMode="External"/><Relationship Id="rId822" Type="http://schemas.openxmlformats.org/officeDocument/2006/relationships/hyperlink" Target="http://cwe.mitre.org/data/definitions/252.html" TargetMode="External"/><Relationship Id="rId254" Type="http://schemas.openxmlformats.org/officeDocument/2006/relationships/hyperlink" Target="http://cwe.mitre.org/data/definitions/287.html" TargetMode="External"/><Relationship Id="rId699" Type="http://schemas.openxmlformats.org/officeDocument/2006/relationships/hyperlink" Target="http://cwe.mitre.org/data/definitions/496.html" TargetMode="External"/><Relationship Id="rId49" Type="http://schemas.openxmlformats.org/officeDocument/2006/relationships/hyperlink" Target="http://cwe.mitre.org/data/definitions/806.html" TargetMode="External"/><Relationship Id="rId114" Type="http://schemas.openxmlformats.org/officeDocument/2006/relationships/hyperlink" Target="http://cwe.mitre.org/data/definitions/318.html" TargetMode="External"/><Relationship Id="rId461" Type="http://schemas.openxmlformats.org/officeDocument/2006/relationships/hyperlink" Target="http://cwe.mitre.org/data/definitions/210.html" TargetMode="External"/><Relationship Id="rId559" Type="http://schemas.openxmlformats.org/officeDocument/2006/relationships/hyperlink" Target="http://cwe.mitre.org/data/definitions/709.html" TargetMode="External"/><Relationship Id="rId766" Type="http://schemas.openxmlformats.org/officeDocument/2006/relationships/hyperlink" Target="http://cwe.mitre.org/data/definitions/894.html" TargetMode="External"/><Relationship Id="rId198" Type="http://schemas.openxmlformats.org/officeDocument/2006/relationships/hyperlink" Target="http://cwe.mitre.org/data/definitions/389.html" TargetMode="External"/><Relationship Id="rId321" Type="http://schemas.openxmlformats.org/officeDocument/2006/relationships/hyperlink" Target="http://cwe.mitre.org/data/definitions/643.html" TargetMode="External"/><Relationship Id="rId419" Type="http://schemas.openxmlformats.org/officeDocument/2006/relationships/hyperlink" Target="http://cwe.mitre.org/data/definitions/253.html" TargetMode="External"/><Relationship Id="rId626" Type="http://schemas.openxmlformats.org/officeDocument/2006/relationships/hyperlink" Target="http://cwe.mitre.org/data/definitions/930.html" TargetMode="External"/><Relationship Id="rId833" Type="http://schemas.openxmlformats.org/officeDocument/2006/relationships/hyperlink" Target="http://cwe.mitre.org/data/definitions/441.html" TargetMode="External"/><Relationship Id="rId265" Type="http://schemas.openxmlformats.org/officeDocument/2006/relationships/hyperlink" Target="http://cwe.mitre.org/data/definitions/827.html" TargetMode="External"/><Relationship Id="rId472" Type="http://schemas.openxmlformats.org/officeDocument/2006/relationships/hyperlink" Target="http://cwe.mitre.org/data/definitions/199.html" TargetMode="External"/><Relationship Id="rId900" Type="http://schemas.openxmlformats.org/officeDocument/2006/relationships/hyperlink" Target="http://cwe.mitre.org/data/definitions/457.html" TargetMode="External"/><Relationship Id="rId125" Type="http://schemas.openxmlformats.org/officeDocument/2006/relationships/hyperlink" Target="http://cwe.mitre.org/data/definitions/482.html" TargetMode="External"/><Relationship Id="rId332" Type="http://schemas.openxmlformats.org/officeDocument/2006/relationships/hyperlink" Target="http://cwe.mitre.org/data/definitions/148.html" TargetMode="External"/><Relationship Id="rId777" Type="http://schemas.openxmlformats.org/officeDocument/2006/relationships/hyperlink" Target="http://cwe.mitre.org/data/definitions/334.html" TargetMode="External"/><Relationship Id="rId637" Type="http://schemas.openxmlformats.org/officeDocument/2006/relationships/hyperlink" Target="http://cwe.mitre.org/data/definitions/260.html" TargetMode="External"/><Relationship Id="rId844" Type="http://schemas.openxmlformats.org/officeDocument/2006/relationships/hyperlink" Target="http://cwe.mitre.org/data/definitions/428.html" TargetMode="External"/><Relationship Id="rId276" Type="http://schemas.openxmlformats.org/officeDocument/2006/relationships/hyperlink" Target="http://cwe.mitre.org/data/definitions/924.html" TargetMode="External"/><Relationship Id="rId483" Type="http://schemas.openxmlformats.org/officeDocument/2006/relationships/hyperlink" Target="http://cwe.mitre.org/data/definitions/485.html" TargetMode="External"/><Relationship Id="rId690" Type="http://schemas.openxmlformats.org/officeDocument/2006/relationships/hyperlink" Target="http://cwe.mitre.org/data/definitions/268.html" TargetMode="External"/><Relationship Id="rId704" Type="http://schemas.openxmlformats.org/officeDocument/2006/relationships/hyperlink" Target="http://cwe.mitre.org/data/definitions/365.html" TargetMode="External"/><Relationship Id="rId911" Type="http://schemas.openxmlformats.org/officeDocument/2006/relationships/hyperlink" Target="http://cwe.mitre.org/data/definitions/734.html" TargetMode="External"/><Relationship Id="rId40" Type="http://schemas.openxmlformats.org/officeDocument/2006/relationships/hyperlink" Target="http://cwe.mitre.org/data/definitions/305.html" TargetMode="External"/><Relationship Id="rId136" Type="http://schemas.openxmlformats.org/officeDocument/2006/relationships/hyperlink" Target="http://cwe.mitre.org/data/definitions/368.html" TargetMode="External"/><Relationship Id="rId343" Type="http://schemas.openxmlformats.org/officeDocument/2006/relationships/hyperlink" Target="http://cwe.mitre.org/data/definitions/141.html" TargetMode="External"/><Relationship Id="rId550" Type="http://schemas.openxmlformats.org/officeDocument/2006/relationships/hyperlink" Target="http://cwe.mitre.org/data/definitions/599.html" TargetMode="External"/><Relationship Id="rId788" Type="http://schemas.openxmlformats.org/officeDocument/2006/relationships/hyperlink" Target="http://cwe.mitre.org/data/definitions/102.html" TargetMode="External"/><Relationship Id="rId203" Type="http://schemas.openxmlformats.org/officeDocument/2006/relationships/hyperlink" Target="http://cwe.mitre.org/data/definitions/250.html" TargetMode="External"/><Relationship Id="rId648" Type="http://schemas.openxmlformats.org/officeDocument/2006/relationships/hyperlink" Target="http://cwe.mitre.org/data/definitions/46.html" TargetMode="External"/><Relationship Id="rId855" Type="http://schemas.openxmlformats.org/officeDocument/2006/relationships/hyperlink" Target="http://cwe.mitre.org/data/definitions/601.html" TargetMode="External"/><Relationship Id="rId287" Type="http://schemas.openxmlformats.org/officeDocument/2006/relationships/hyperlink" Target="http://cwe.mitre.org/data/definitions/235.html" TargetMode="External"/><Relationship Id="rId410" Type="http://schemas.openxmlformats.org/officeDocument/2006/relationships/hyperlink" Target="http://cwe.mitre.org/data/definitions/551.html" TargetMode="External"/><Relationship Id="rId494" Type="http://schemas.openxmlformats.org/officeDocument/2006/relationships/hyperlink" Target="http://cwe.mitre.org/data/definitions/192.html" TargetMode="External"/><Relationship Id="rId508" Type="http://schemas.openxmlformats.org/officeDocument/2006/relationships/hyperlink" Target="http://cwe.mitre.org/data/definitions/4.html" TargetMode="External"/><Relationship Id="rId715" Type="http://schemas.openxmlformats.org/officeDocument/2006/relationships/hyperlink" Target="http://cwe.mitre.org/data/definitions/646.html" TargetMode="External"/><Relationship Id="rId922" Type="http://schemas.openxmlformats.org/officeDocument/2006/relationships/hyperlink" Target="http://cwe.mitre.org/data/definitions/660.html" TargetMode="External"/><Relationship Id="rId147" Type="http://schemas.openxmlformats.org/officeDocument/2006/relationships/hyperlink" Target="http://cwe.mitre.org/data/definitions/310.html" TargetMode="External"/><Relationship Id="rId354" Type="http://schemas.openxmlformats.org/officeDocument/2006/relationships/hyperlink" Target="http://cwe.mitre.org/data/definitions/77.html" TargetMode="External"/><Relationship Id="rId799" Type="http://schemas.openxmlformats.org/officeDocument/2006/relationships/hyperlink" Target="http://cwe.mitre.org/data/definitions/386.html" TargetMode="External"/><Relationship Id="rId51" Type="http://schemas.openxmlformats.org/officeDocument/2006/relationships/hyperlink" Target="http://cwe.mitre.org/data/definitions/120.html" TargetMode="External"/><Relationship Id="rId561" Type="http://schemas.openxmlformats.org/officeDocument/2006/relationships/hyperlink" Target="http://cwe.mitre.org/data/definitions/520.html" TargetMode="External"/><Relationship Id="rId659" Type="http://schemas.openxmlformats.org/officeDocument/2006/relationships/hyperlink" Target="http://cwe.mitre.org/data/definitions/25.html" TargetMode="External"/><Relationship Id="rId866" Type="http://schemas.openxmlformats.org/officeDocument/2006/relationships/hyperlink" Target="http://cwe.mitre.org/data/definitions/470.html" TargetMode="External"/><Relationship Id="rId214" Type="http://schemas.openxmlformats.org/officeDocument/2006/relationships/hyperlink" Target="http://cwe.mitre.org/data/definitions/488.html" TargetMode="External"/><Relationship Id="rId298" Type="http://schemas.openxmlformats.org/officeDocument/2006/relationships/hyperlink" Target="http://cwe.mitre.org/data/definitions/166.html" TargetMode="External"/><Relationship Id="rId421" Type="http://schemas.openxmlformats.org/officeDocument/2006/relationships/hyperlink" Target="http://cwe.mitre.org/data/definitions/681.html" TargetMode="External"/><Relationship Id="rId519" Type="http://schemas.openxmlformats.org/officeDocument/2006/relationships/hyperlink" Target="http://cwe.mitre.org/data/definitions/671.html" TargetMode="External"/><Relationship Id="rId158" Type="http://schemas.openxmlformats.org/officeDocument/2006/relationships/hyperlink" Target="http://cwe.mitre.org/data/definitions/430.html" TargetMode="External"/><Relationship Id="rId726" Type="http://schemas.openxmlformats.org/officeDocument/2006/relationships/hyperlink" Target="http://cwe.mitre.org/data/definitions/411.html" TargetMode="External"/><Relationship Id="rId933" Type="http://schemas.openxmlformats.org/officeDocument/2006/relationships/hyperlink" Target="http://cwe.mitre.org/data/definitions/442.html" TargetMode="External"/><Relationship Id="rId62" Type="http://schemas.openxmlformats.org/officeDocument/2006/relationships/hyperlink" Target="http://cwe.mitre.org/data/definitions/738.html" TargetMode="External"/><Relationship Id="rId365" Type="http://schemas.openxmlformats.org/officeDocument/2006/relationships/hyperlink" Target="http://cwe.mitre.org/data/definitions/170.html" TargetMode="External"/><Relationship Id="rId572" Type="http://schemas.openxmlformats.org/officeDocument/2006/relationships/hyperlink" Target="http://cwe.mitre.org/data/definitions/197.html" TargetMode="External"/><Relationship Id="rId225" Type="http://schemas.openxmlformats.org/officeDocument/2006/relationships/hyperlink" Target="http://cwe.mitre.org/data/definitions/15.html" TargetMode="External"/><Relationship Id="rId432" Type="http://schemas.openxmlformats.org/officeDocument/2006/relationships/hyperlink" Target="http://cwe.mitre.org/data/definitions/596.html" TargetMode="External"/><Relationship Id="rId877" Type="http://schemas.openxmlformats.org/officeDocument/2006/relationships/hyperlink" Target="http://cwe.mitre.org/data/definitions/242.html" TargetMode="External"/><Relationship Id="rId737" Type="http://schemas.openxmlformats.org/officeDocument/2006/relationships/hyperlink" Target="http://cwe.mitre.org/data/definitions/336.html" TargetMode="External"/><Relationship Id="rId944" Type="http://schemas.openxmlformats.org/officeDocument/2006/relationships/customProperty" Target="../customProperty6.bin"/><Relationship Id="rId73" Type="http://schemas.openxmlformats.org/officeDocument/2006/relationships/hyperlink" Target="http://cwe.mitre.org/data/definitions/869.html" TargetMode="External"/><Relationship Id="rId169" Type="http://schemas.openxmlformats.org/officeDocument/2006/relationships/hyperlink" Target="http://cwe.mitre.org/data/definitions/139.html" TargetMode="External"/><Relationship Id="rId376" Type="http://schemas.openxmlformats.org/officeDocument/2006/relationships/hyperlink" Target="http://cwe.mitre.org/data/definitions/307.html" TargetMode="External"/><Relationship Id="rId583" Type="http://schemas.openxmlformats.org/officeDocument/2006/relationships/hyperlink" Target="http://cwe.mitre.org/data/definitions/797.html" TargetMode="External"/><Relationship Id="rId790" Type="http://schemas.openxmlformats.org/officeDocument/2006/relationships/hyperlink" Target="http://cwe.mitre.org/data/definitions/105.html" TargetMode="External"/><Relationship Id="rId804" Type="http://schemas.openxmlformats.org/officeDocument/2006/relationships/hyperlink" Target="http://cwe.mitre.org/data/definitions/376.html" TargetMode="External"/><Relationship Id="rId4" Type="http://schemas.openxmlformats.org/officeDocument/2006/relationships/hyperlink" Target="http://cwe.mitre.org/data/definitions/801.html" TargetMode="External"/><Relationship Id="rId236" Type="http://schemas.openxmlformats.org/officeDocument/2006/relationships/hyperlink" Target="http://cwe.mitre.org/data/definitions/552.html" TargetMode="External"/><Relationship Id="rId443" Type="http://schemas.openxmlformats.org/officeDocument/2006/relationships/hyperlink" Target="http://cwe.mitre.org/data/definitions/205.html" TargetMode="External"/><Relationship Id="rId650" Type="http://schemas.openxmlformats.org/officeDocument/2006/relationships/hyperlink" Target="http://cwe.mitre.org/data/definitions/45.html" TargetMode="External"/><Relationship Id="rId888" Type="http://schemas.openxmlformats.org/officeDocument/2006/relationships/hyperlink" Target="http://cwe.mitre.org/data/definitions/836.html" TargetMode="External"/><Relationship Id="rId303" Type="http://schemas.openxmlformats.org/officeDocument/2006/relationships/hyperlink" Target="http://cwe.mitre.org/data/definitions/228.html" TargetMode="External"/><Relationship Id="rId748" Type="http://schemas.openxmlformats.org/officeDocument/2006/relationships/hyperlink" Target="http://cwe.mitre.org/data/definitions/700.html" TargetMode="External"/><Relationship Id="rId84" Type="http://schemas.openxmlformats.org/officeDocument/2006/relationships/hyperlink" Target="http://cwe.mitre.org/data/definitions/880.html" TargetMode="External"/><Relationship Id="rId387" Type="http://schemas.openxmlformats.org/officeDocument/2006/relationships/hyperlink" Target="http://cwe.mitre.org/data/definitions/622.html" TargetMode="External"/><Relationship Id="rId510" Type="http://schemas.openxmlformats.org/officeDocument/2006/relationships/hyperlink" Target="http://cwe.mitre.org/data/definitions/5.html" TargetMode="External"/><Relationship Id="rId594" Type="http://schemas.openxmlformats.org/officeDocument/2006/relationships/hyperlink" Target="http://cwe.mitre.org/data/definitions/722.html" TargetMode="External"/><Relationship Id="rId608" Type="http://schemas.openxmlformats.org/officeDocument/2006/relationships/hyperlink" Target="http://cwe.mitre.org/data/definitions/715.html" TargetMode="External"/><Relationship Id="rId815" Type="http://schemas.openxmlformats.org/officeDocument/2006/relationships/hyperlink" Target="http://cwe.mitre.org/data/definitions/136.html" TargetMode="External"/><Relationship Id="rId247" Type="http://schemas.openxmlformats.org/officeDocument/2006/relationships/hyperlink" Target="http://cwe.mitre.org/data/definitions/804.html" TargetMode="External"/><Relationship Id="rId899" Type="http://schemas.openxmlformats.org/officeDocument/2006/relationships/hyperlink" Target="http://cwe.mitre.org/data/definitions/908.html" TargetMode="External"/><Relationship Id="rId107" Type="http://schemas.openxmlformats.org/officeDocument/2006/relationships/hyperlink" Target="http://cwe.mitre.org/data/definitions/417.html" TargetMode="External"/><Relationship Id="rId454" Type="http://schemas.openxmlformats.org/officeDocument/2006/relationships/hyperlink" Target="http://cwe.mitre.org/data/definitions/541.html" TargetMode="External"/><Relationship Id="rId661" Type="http://schemas.openxmlformats.org/officeDocument/2006/relationships/hyperlink" Target="http://cwe.mitre.org/data/definitions/26.html" TargetMode="External"/><Relationship Id="rId759" Type="http://schemas.openxmlformats.org/officeDocument/2006/relationships/hyperlink" Target="http://cwe.mitre.org/data/definitions/891.html" TargetMode="External"/><Relationship Id="rId11" Type="http://schemas.openxmlformats.org/officeDocument/2006/relationships/hyperlink" Target="http://cwe.mitre.org/data/definitions/867.html" TargetMode="External"/><Relationship Id="rId314" Type="http://schemas.openxmlformats.org/officeDocument/2006/relationships/hyperlink" Target="http://cwe.mitre.org/data/definitions/22.html" TargetMode="External"/><Relationship Id="rId398" Type="http://schemas.openxmlformats.org/officeDocument/2006/relationships/hyperlink" Target="http://cwe.mitre.org/data/definitions/184.html" TargetMode="External"/><Relationship Id="rId521" Type="http://schemas.openxmlformats.org/officeDocument/2006/relationships/hyperlink" Target="http://cwe.mitre.org/data/definitions/489.html" TargetMode="External"/><Relationship Id="rId619" Type="http://schemas.openxmlformats.org/officeDocument/2006/relationships/hyperlink" Target="http://cwe.mitre.org/data/definitions/814.html" TargetMode="External"/><Relationship Id="rId95" Type="http://schemas.openxmlformats.org/officeDocument/2006/relationships/hyperlink" Target="http://cwe.mitre.org/data/definitions/852.html" TargetMode="External"/><Relationship Id="rId160" Type="http://schemas.openxmlformats.org/officeDocument/2006/relationships/hyperlink" Target="http://cwe.mitre.org/data/definitions/218.html" TargetMode="External"/><Relationship Id="rId826" Type="http://schemas.openxmlformats.org/officeDocument/2006/relationships/hyperlink" Target="http://cwe.mitre.org/data/definitions/674.html" TargetMode="External"/><Relationship Id="rId258" Type="http://schemas.openxmlformats.org/officeDocument/2006/relationships/hyperlink" Target="http://cwe.mitre.org/data/definitions/299.html" TargetMode="External"/><Relationship Id="rId465" Type="http://schemas.openxmlformats.org/officeDocument/2006/relationships/hyperlink" Target="http://cwe.mitre.org/data/definitions/536.html" TargetMode="External"/><Relationship Id="rId672" Type="http://schemas.openxmlformats.org/officeDocument/2006/relationships/hyperlink" Target="http://cwe.mitre.org/data/definitions/275.html" TargetMode="External"/><Relationship Id="rId22" Type="http://schemas.openxmlformats.org/officeDocument/2006/relationships/hyperlink" Target="http://cwe.mitre.org/data/definitions/770.html" TargetMode="External"/><Relationship Id="rId118" Type="http://schemas.openxmlformats.org/officeDocument/2006/relationships/hyperlink" Target="http://cwe.mitre.org/data/definitions/602.html" TargetMode="External"/><Relationship Id="rId325" Type="http://schemas.openxmlformats.org/officeDocument/2006/relationships/hyperlink" Target="http://cwe.mitre.org/data/definitions/96.html" TargetMode="External"/><Relationship Id="rId532" Type="http://schemas.openxmlformats.org/officeDocument/2006/relationships/hyperlink" Target="http://cwe.mitre.org/data/definitions/304.html" TargetMode="External"/><Relationship Id="rId171" Type="http://schemas.openxmlformats.org/officeDocument/2006/relationships/hyperlink" Target="http://cwe.mitre.org/data/definitions/458.html" TargetMode="External"/><Relationship Id="rId837" Type="http://schemas.openxmlformats.org/officeDocument/2006/relationships/hyperlink" Target="http://cwe.mitre.org/data/definitions/832.html" TargetMode="External"/><Relationship Id="rId269" Type="http://schemas.openxmlformats.org/officeDocument/2006/relationships/hyperlink" Target="http://cwe.mitre.org/data/definitions/94.html" TargetMode="External"/><Relationship Id="rId476" Type="http://schemas.openxmlformats.org/officeDocument/2006/relationships/hyperlink" Target="http://cwe.mitre.org/data/definitions/278.html" TargetMode="External"/><Relationship Id="rId683" Type="http://schemas.openxmlformats.org/officeDocument/2006/relationships/hyperlink" Target="http://cwe.mitre.org/data/definitions/341.html" TargetMode="External"/><Relationship Id="rId890" Type="http://schemas.openxmlformats.org/officeDocument/2006/relationships/hyperlink" Target="http://cwe.mitre.org/data/definitions/309.html" TargetMode="External"/><Relationship Id="rId904" Type="http://schemas.openxmlformats.org/officeDocument/2006/relationships/hyperlink" Target="http://cwe.mitre.org/data/definitions/293.html" TargetMode="External"/><Relationship Id="rId33" Type="http://schemas.openxmlformats.org/officeDocument/2006/relationships/hyperlink" Target="http://cwe.mitre.org/data/definitions/481.html" TargetMode="External"/><Relationship Id="rId129" Type="http://schemas.openxmlformats.org/officeDocument/2006/relationships/hyperlink" Target="http://cwe.mitre.org/data/definitions/14.html" TargetMode="External"/><Relationship Id="rId336" Type="http://schemas.openxmlformats.org/officeDocument/2006/relationships/hyperlink" Target="http://cwe.mitre.org/data/definitions/160.html" TargetMode="External"/><Relationship Id="rId543" Type="http://schemas.openxmlformats.org/officeDocument/2006/relationships/hyperlink" Target="http://cwe.mitre.org/data/definitions/775.html" TargetMode="External"/><Relationship Id="rId182" Type="http://schemas.openxmlformats.org/officeDocument/2006/relationships/hyperlink" Target="http://cwe.mitre.org/data/definitions/609.html" TargetMode="External"/><Relationship Id="rId403" Type="http://schemas.openxmlformats.org/officeDocument/2006/relationships/hyperlink" Target="http://cwe.mitre.org/data/definitions/791.html" TargetMode="External"/><Relationship Id="rId750" Type="http://schemas.openxmlformats.org/officeDocument/2006/relationships/hyperlink" Target="http://cwe.mitre.org/data/definitions/887.html" TargetMode="External"/><Relationship Id="rId848" Type="http://schemas.openxmlformats.org/officeDocument/2006/relationships/hyperlink" Target="http://cwe.mitre.org/data/definitions/196.html" TargetMode="External"/><Relationship Id="rId487" Type="http://schemas.openxmlformats.org/officeDocument/2006/relationships/hyperlink" Target="http://cwe.mitre.org/data/definitions/655.html" TargetMode="External"/><Relationship Id="rId610" Type="http://schemas.openxmlformats.org/officeDocument/2006/relationships/hyperlink" Target="http://cwe.mitre.org/data/definitions/717.html" TargetMode="External"/><Relationship Id="rId694" Type="http://schemas.openxmlformats.org/officeDocument/2006/relationships/hyperlink" Target="http://cwe.mitre.org/data/definitions/335.html" TargetMode="External"/><Relationship Id="rId708" Type="http://schemas.openxmlformats.org/officeDocument/2006/relationships/hyperlink" Target="http://cwe.mitre.org/data/definitions/777.html" TargetMode="External"/><Relationship Id="rId915" Type="http://schemas.openxmlformats.org/officeDocument/2006/relationships/hyperlink" Target="http://cwe.mitre.org/data/definitions/919.html" TargetMode="External"/><Relationship Id="rId347" Type="http://schemas.openxmlformats.org/officeDocument/2006/relationships/hyperlink" Target="http://cwe.mitre.org/data/definitions/83.html" TargetMode="External"/><Relationship Id="rId44" Type="http://schemas.openxmlformats.org/officeDocument/2006/relationships/hyperlink" Target="http://cwe.mitre.org/data/definitions/593.html" TargetMode="External"/><Relationship Id="rId554" Type="http://schemas.openxmlformats.org/officeDocument/2006/relationships/hyperlink" Target="http://cwe.mitre.org/data/definitions/504.html" TargetMode="External"/><Relationship Id="rId761" Type="http://schemas.openxmlformats.org/officeDocument/2006/relationships/hyperlink" Target="http://cwe.mitre.org/data/definitions/893.html" TargetMode="External"/><Relationship Id="rId859" Type="http://schemas.openxmlformats.org/officeDocument/2006/relationships/hyperlink" Target="http://cwe.mitre.org/data/definitions/663.html" TargetMode="External"/><Relationship Id="rId193" Type="http://schemas.openxmlformats.org/officeDocument/2006/relationships/hyperlink" Target="http://cwe.mitre.org/data/definitions/506.html" TargetMode="External"/><Relationship Id="rId207" Type="http://schemas.openxmlformats.org/officeDocument/2006/relationships/hyperlink" Target="http://cwe.mitre.org/data/definitions/749.html" TargetMode="External"/><Relationship Id="rId414" Type="http://schemas.openxmlformats.org/officeDocument/2006/relationships/hyperlink" Target="http://cwe.mitre.org/data/definitions/181.html" TargetMode="External"/><Relationship Id="rId498" Type="http://schemas.openxmlformats.org/officeDocument/2006/relationships/hyperlink" Target="http://cwe.mitre.org/data/definitions/213.html" TargetMode="External"/><Relationship Id="rId621" Type="http://schemas.openxmlformats.org/officeDocument/2006/relationships/hyperlink" Target="http://cwe.mitre.org/data/definitions/816.html" TargetMode="External"/><Relationship Id="rId260" Type="http://schemas.openxmlformats.org/officeDocument/2006/relationships/hyperlink" Target="http://cwe.mitre.org/data/definitions/754.html" TargetMode="External"/><Relationship Id="rId719" Type="http://schemas.openxmlformats.org/officeDocument/2006/relationships/hyperlink" Target="http://cwe.mitre.org/data/definitions/350.html" TargetMode="External"/><Relationship Id="rId926" Type="http://schemas.openxmlformats.org/officeDocument/2006/relationships/hyperlink" Target="http://cwe.mitre.org/data/definitions/900.html" TargetMode="External"/><Relationship Id="rId55" Type="http://schemas.openxmlformats.org/officeDocument/2006/relationships/hyperlink" Target="http://cwe.mitre.org/data/definitions/840.html" TargetMode="External"/><Relationship Id="rId120" Type="http://schemas.openxmlformats.org/officeDocument/2006/relationships/hyperlink" Target="http://cwe.mitre.org/data/definitions/498.html" TargetMode="External"/><Relationship Id="rId358" Type="http://schemas.openxmlformats.org/officeDocument/2006/relationships/hyperlink" Target="http://cwe.mitre.org/data/definitions/89.html" TargetMode="External"/><Relationship Id="rId565" Type="http://schemas.openxmlformats.org/officeDocument/2006/relationships/hyperlink" Target="http://cwe.mitre.org/data/definitions/329.html" TargetMode="External"/><Relationship Id="rId772" Type="http://schemas.openxmlformats.org/officeDocument/2006/relationships/hyperlink" Target="http://cwe.mitre.org/data/definitions/364.html" TargetMode="External"/><Relationship Id="rId218" Type="http://schemas.openxmlformats.org/officeDocument/2006/relationships/hyperlink" Target="http://cwe.mitre.org/data/definitions/497.html" TargetMode="External"/><Relationship Id="rId425" Type="http://schemas.openxmlformats.org/officeDocument/2006/relationships/hyperlink" Target="http://cwe.mitre.org/data/definitions/708.html" TargetMode="External"/><Relationship Id="rId632" Type="http://schemas.openxmlformats.org/officeDocument/2006/relationships/hyperlink" Target="http://cwe.mitre.org/data/definitions/936.html" TargetMode="External"/><Relationship Id="rId271" Type="http://schemas.openxmlformats.org/officeDocument/2006/relationships/hyperlink" Target="http://cwe.mitre.org/data/definitions/99.html" TargetMode="External"/><Relationship Id="rId937" Type="http://schemas.openxmlformats.org/officeDocument/2006/relationships/hyperlink" Target="http://cwe.mitre.org/data/definitions/68.html" TargetMode="External"/><Relationship Id="rId66" Type="http://schemas.openxmlformats.org/officeDocument/2006/relationships/hyperlink" Target="http://cwe.mitre.org/data/definitions/742.html" TargetMode="External"/><Relationship Id="rId131" Type="http://schemas.openxmlformats.org/officeDocument/2006/relationships/hyperlink" Target="http://cwe.mitre.org/data/definitions/2000.html" TargetMode="External"/><Relationship Id="rId369" Type="http://schemas.openxmlformats.org/officeDocument/2006/relationships/hyperlink" Target="http://cwe.mitre.org/data/definitions/269.html" TargetMode="External"/><Relationship Id="rId576" Type="http://schemas.openxmlformats.org/officeDocument/2006/relationships/hyperlink" Target="http://cwe.mitre.org/data/definitions/193.html" TargetMode="External"/><Relationship Id="rId783" Type="http://schemas.openxmlformats.org/officeDocument/2006/relationships/hyperlink" Target="http://cwe.mitre.org/data/definitions/371.html" TargetMode="External"/><Relationship Id="rId229" Type="http://schemas.openxmlformats.org/officeDocument/2006/relationships/hyperlink" Target="http://cwe.mitre.org/data/definitions/239.html" TargetMode="External"/><Relationship Id="rId436" Type="http://schemas.openxmlformats.org/officeDocument/2006/relationships/hyperlink" Target="http://cwe.mitre.org/data/definitions/648.html" TargetMode="External"/><Relationship Id="rId643" Type="http://schemas.openxmlformats.org/officeDocument/2006/relationships/hyperlink" Target="http://cwe.mitre.org/data/definitions/53.html" TargetMode="External"/><Relationship Id="rId850" Type="http://schemas.openxmlformats.org/officeDocument/2006/relationships/hyperlink" Target="http://cwe.mitre.org/data/definitions/822.html" TargetMode="External"/><Relationship Id="rId77" Type="http://schemas.openxmlformats.org/officeDocument/2006/relationships/hyperlink" Target="http://cwe.mitre.org/data/definitions/873.html" TargetMode="External"/><Relationship Id="rId282" Type="http://schemas.openxmlformats.org/officeDocument/2006/relationships/hyperlink" Target="http://cwe.mitre.org/data/definitions/167.html" TargetMode="External"/><Relationship Id="rId503" Type="http://schemas.openxmlformats.org/officeDocument/2006/relationships/hyperlink" Target="http://cwe.mitre.org/data/definitions/245.html" TargetMode="External"/><Relationship Id="rId587" Type="http://schemas.openxmlformats.org/officeDocument/2006/relationships/hyperlink" Target="http://cwe.mitre.org/data/definitions/783.html" TargetMode="External"/><Relationship Id="rId710" Type="http://schemas.openxmlformats.org/officeDocument/2006/relationships/hyperlink" Target="http://cwe.mitre.org/data/definitions/763.html" TargetMode="External"/><Relationship Id="rId808" Type="http://schemas.openxmlformats.org/officeDocument/2006/relationships/hyperlink" Target="http://cwe.mitre.org/data/definitions/402.html" TargetMode="External"/><Relationship Id="rId8" Type="http://schemas.openxmlformats.org/officeDocument/2006/relationships/hyperlink" Target="http://cwe.mitre.org/data/definitions/864.html" TargetMode="External"/><Relationship Id="rId142" Type="http://schemas.openxmlformats.org/officeDocument/2006/relationships/hyperlink" Target="http://cwe.mitre.org/data/definitions/378.html" TargetMode="External"/><Relationship Id="rId447" Type="http://schemas.openxmlformats.org/officeDocument/2006/relationships/hyperlink" Target="http://cwe.mitre.org/data/definitions/615.html" TargetMode="External"/><Relationship Id="rId794" Type="http://schemas.openxmlformats.org/officeDocument/2006/relationships/hyperlink" Target="http://cwe.mitre.org/data/definitions/107.html" TargetMode="External"/><Relationship Id="rId654" Type="http://schemas.openxmlformats.org/officeDocument/2006/relationships/hyperlink" Target="http://cwe.mitre.org/data/definitions/58.html" TargetMode="External"/><Relationship Id="rId861" Type="http://schemas.openxmlformats.org/officeDocument/2006/relationships/hyperlink" Target="http://cwe.mitre.org/data/definitions/759.html" TargetMode="External"/><Relationship Id="rId293" Type="http://schemas.openxmlformats.org/officeDocument/2006/relationships/hyperlink" Target="http://cwe.mitre.org/data/definitions/240.html" TargetMode="External"/><Relationship Id="rId307" Type="http://schemas.openxmlformats.org/officeDocument/2006/relationships/hyperlink" Target="http://cwe.mitre.org/data/definitions/176.html" TargetMode="External"/><Relationship Id="rId514" Type="http://schemas.openxmlformats.org/officeDocument/2006/relationships/hyperlink" Target="http://cwe.mitre.org/data/definitions/555.html" TargetMode="External"/><Relationship Id="rId721" Type="http://schemas.openxmlformats.org/officeDocument/2006/relationships/hyperlink" Target="http://cwe.mitre.org/data/definitions/758.html" TargetMode="External"/><Relationship Id="rId88" Type="http://schemas.openxmlformats.org/officeDocument/2006/relationships/hyperlink" Target="http://cwe.mitre.org/data/definitions/845.html" TargetMode="External"/><Relationship Id="rId153" Type="http://schemas.openxmlformats.org/officeDocument/2006/relationships/hyperlink" Target="http://cwe.mitre.org/data/definitions/561.html" TargetMode="External"/><Relationship Id="rId360" Type="http://schemas.openxmlformats.org/officeDocument/2006/relationships/hyperlink" Target="http://cwe.mitre.org/data/definitions/162.html" TargetMode="External"/><Relationship Id="rId598" Type="http://schemas.openxmlformats.org/officeDocument/2006/relationships/hyperlink" Target="http://cwe.mitre.org/data/definitions/725.html" TargetMode="External"/><Relationship Id="rId819" Type="http://schemas.openxmlformats.org/officeDocument/2006/relationships/hyperlink" Target="http://cwe.mitre.org/data/definitions/600.html" TargetMode="External"/><Relationship Id="rId220" Type="http://schemas.openxmlformats.org/officeDocument/2006/relationships/hyperlink" Target="http://cwe.mitre.org/data/definitions/571.html" TargetMode="External"/><Relationship Id="rId458" Type="http://schemas.openxmlformats.org/officeDocument/2006/relationships/hyperlink" Target="http://cwe.mitre.org/data/definitions/539.html" TargetMode="External"/><Relationship Id="rId665" Type="http://schemas.openxmlformats.org/officeDocument/2006/relationships/hyperlink" Target="http://cwe.mitre.org/data/definitions/38.html" TargetMode="External"/><Relationship Id="rId872" Type="http://schemas.openxmlformats.org/officeDocument/2006/relationships/hyperlink" Target="http://cwe.mitre.org/data/definitions/547.html" TargetMode="External"/><Relationship Id="rId15" Type="http://schemas.openxmlformats.org/officeDocument/2006/relationships/hyperlink" Target="http://cwe.mitre.org/data/definitions/786.html" TargetMode="External"/><Relationship Id="rId318" Type="http://schemas.openxmlformats.org/officeDocument/2006/relationships/hyperlink" Target="http://cwe.mitre.org/data/definitions/151.html" TargetMode="External"/><Relationship Id="rId525" Type="http://schemas.openxmlformats.org/officeDocument/2006/relationships/hyperlink" Target="http://cwe.mitre.org/data/definitions/835.html" TargetMode="External"/><Relationship Id="rId732" Type="http://schemas.openxmlformats.org/officeDocument/2006/relationships/hyperlink" Target="http://cwe.mitre.org/data/definitions/562.html" TargetMode="External"/><Relationship Id="rId99" Type="http://schemas.openxmlformats.org/officeDocument/2006/relationships/hyperlink" Target="http://cwe.mitre.org/data/definitions/856.html" TargetMode="External"/><Relationship Id="rId164" Type="http://schemas.openxmlformats.org/officeDocument/2006/relationships/hyperlink" Target="http://cwe.mitre.org/data/definitions/423.html" TargetMode="External"/><Relationship Id="rId371" Type="http://schemas.openxmlformats.org/officeDocument/2006/relationships/hyperlink" Target="http://cwe.mitre.org/data/definitions/401.html" TargetMode="External"/><Relationship Id="rId469" Type="http://schemas.openxmlformats.org/officeDocument/2006/relationships/hyperlink" Target="http://cwe.mitre.org/data/definitions/208.html" TargetMode="External"/><Relationship Id="rId676" Type="http://schemas.openxmlformats.org/officeDocument/2006/relationships/hyperlink" Target="http://cwe.mitre.org/data/definitions/183.html" TargetMode="External"/><Relationship Id="rId883" Type="http://schemas.openxmlformats.org/officeDocument/2006/relationships/hyperlink" Target="http://cwe.mitre.org/data/definitions/694.html" TargetMode="External"/><Relationship Id="rId26" Type="http://schemas.openxmlformats.org/officeDocument/2006/relationships/hyperlink" Target="http://cwe.mitre.org/data/definitions/582.html" TargetMode="External"/><Relationship Id="rId231" Type="http://schemas.openxmlformats.org/officeDocument/2006/relationships/hyperlink" Target="http://cwe.mitre.org/data/definitions/157.html" TargetMode="External"/><Relationship Id="rId329" Type="http://schemas.openxmlformats.org/officeDocument/2006/relationships/hyperlink" Target="http://cwe.mitre.org/data/definitions/146.html" TargetMode="External"/><Relationship Id="rId536" Type="http://schemas.openxmlformats.org/officeDocument/2006/relationships/hyperlink" Target="http://cwe.mitre.org/data/definitions/431.html" TargetMode="External"/><Relationship Id="rId175" Type="http://schemas.openxmlformats.org/officeDocument/2006/relationships/hyperlink" Target="http://cwe.mitre.org/data/definitions/390.html" TargetMode="External"/><Relationship Id="rId743" Type="http://schemas.openxmlformats.org/officeDocument/2006/relationships/hyperlink" Target="http://cwe.mitre.org/data/definitions/219.html" TargetMode="External"/><Relationship Id="rId382" Type="http://schemas.openxmlformats.org/officeDocument/2006/relationships/hyperlink" Target="http://cwe.mitre.org/data/definitions/662.html" TargetMode="External"/><Relationship Id="rId603" Type="http://schemas.openxmlformats.org/officeDocument/2006/relationships/hyperlink" Target="http://cwe.mitre.org/data/definitions/730.html" TargetMode="External"/><Relationship Id="rId687" Type="http://schemas.openxmlformats.org/officeDocument/2006/relationships/hyperlink" Target="http://cwe.mitre.org/data/definitions/359.html" TargetMode="External"/><Relationship Id="rId810" Type="http://schemas.openxmlformats.org/officeDocument/2006/relationships/hyperlink" Target="http://cwe.mitre.org/data/definitions/507.html" TargetMode="External"/><Relationship Id="rId908" Type="http://schemas.openxmlformats.org/officeDocument/2006/relationships/hyperlink" Target="http://cwe.mitre.org/data/definitions/640.html" TargetMode="External"/><Relationship Id="rId242" Type="http://schemas.openxmlformats.org/officeDocument/2006/relationships/hyperlink" Target="http://cwe.mitre.org/data/definitions/685.html" TargetMode="External"/><Relationship Id="rId894" Type="http://schemas.openxmlformats.org/officeDocument/2006/relationships/hyperlink" Target="http://cwe.mitre.org/data/definitions/780.html" TargetMode="External"/><Relationship Id="rId37" Type="http://schemas.openxmlformats.org/officeDocument/2006/relationships/hyperlink" Target="http://cwe.mitre.org/data/definitions/289.html" TargetMode="External"/><Relationship Id="rId102" Type="http://schemas.openxmlformats.org/officeDocument/2006/relationships/hyperlink" Target="http://cwe.mitre.org/data/definitions/859.html" TargetMode="External"/><Relationship Id="rId547" Type="http://schemas.openxmlformats.org/officeDocument/2006/relationships/hyperlink" Target="http://cwe.mitre.org/data/definitions/544.html" TargetMode="External"/><Relationship Id="rId754" Type="http://schemas.openxmlformats.org/officeDocument/2006/relationships/hyperlink" Target="http://cwe.mitre.org/data/definitions/897.html" TargetMode="External"/><Relationship Id="rId90" Type="http://schemas.openxmlformats.org/officeDocument/2006/relationships/hyperlink" Target="http://cwe.mitre.org/data/definitions/847.html" TargetMode="External"/><Relationship Id="rId186" Type="http://schemas.openxmlformats.org/officeDocument/2006/relationships/hyperlink" Target="http://cwe.mitre.org/data/definitions/675.html" TargetMode="External"/><Relationship Id="rId393" Type="http://schemas.openxmlformats.org/officeDocument/2006/relationships/hyperlink" Target="http://cwe.mitre.org/data/definitions/326.html" TargetMode="External"/><Relationship Id="rId407" Type="http://schemas.openxmlformats.org/officeDocument/2006/relationships/hyperlink" Target="http://cwe.mitre.org/data/definitions/444.html" TargetMode="External"/><Relationship Id="rId614" Type="http://schemas.openxmlformats.org/officeDocument/2006/relationships/hyperlink" Target="http://cwe.mitre.org/data/definitions/810.html" TargetMode="External"/><Relationship Id="rId821" Type="http://schemas.openxmlformats.org/officeDocument/2006/relationships/hyperlink" Target="http://cwe.mitre.org/data/definitions/606.html" TargetMode="External"/><Relationship Id="rId253" Type="http://schemas.openxmlformats.org/officeDocument/2006/relationships/hyperlink" Target="http://cwe.mitre.org/data/definitions/781.html" TargetMode="External"/><Relationship Id="rId460" Type="http://schemas.openxmlformats.org/officeDocument/2006/relationships/hyperlink" Target="http://cwe.mitre.org/data/definitions/598.html" TargetMode="External"/><Relationship Id="rId698" Type="http://schemas.openxmlformats.org/officeDocument/2006/relationships/hyperlink" Target="http://cwe.mitre.org/data/definitions/491.html" TargetMode="External"/><Relationship Id="rId919" Type="http://schemas.openxmlformats.org/officeDocument/2006/relationships/hyperlink" Target="http://cwe.mitre.org/data/definitions/928.html" TargetMode="External"/><Relationship Id="rId48" Type="http://schemas.openxmlformats.org/officeDocument/2006/relationships/hyperlink" Target="http://cwe.mitre.org/data/definitions/438.html" TargetMode="External"/><Relationship Id="rId113" Type="http://schemas.openxmlformats.org/officeDocument/2006/relationships/hyperlink" Target="http://cwe.mitre.org/data/definitions/315.html" TargetMode="External"/><Relationship Id="rId320" Type="http://schemas.openxmlformats.org/officeDocument/2006/relationships/hyperlink" Target="http://cwe.mitre.org/data/definitions/113.html" TargetMode="External"/><Relationship Id="rId558" Type="http://schemas.openxmlformats.org/officeDocument/2006/relationships/hyperlink" Target="http://cwe.mitre.org/data/definitions/765.html" TargetMode="External"/><Relationship Id="rId765" Type="http://schemas.openxmlformats.org/officeDocument/2006/relationships/hyperlink" Target="http://cwe.mitre.org/data/definitions/885.html" TargetMode="External"/><Relationship Id="rId197" Type="http://schemas.openxmlformats.org/officeDocument/2006/relationships/hyperlink" Target="http://cwe.mitre.org/data/definitions/2.html" TargetMode="External"/><Relationship Id="rId418" Type="http://schemas.openxmlformats.org/officeDocument/2006/relationships/hyperlink" Target="http://cwe.mitre.org/data/definitions/135.html" TargetMode="External"/><Relationship Id="rId625" Type="http://schemas.openxmlformats.org/officeDocument/2006/relationships/hyperlink" Target="http://cwe.mitre.org/data/definitions/938.html" TargetMode="External"/><Relationship Id="rId832" Type="http://schemas.openxmlformats.org/officeDocument/2006/relationships/hyperlink" Target="http://cwe.mitre.org/data/definitions/447.html" TargetMode="External"/><Relationship Id="rId264" Type="http://schemas.openxmlformats.org/officeDocument/2006/relationships/hyperlink" Target="http://cwe.mitre.org/data/definitions/664.html" TargetMode="External"/><Relationship Id="rId471" Type="http://schemas.openxmlformats.org/officeDocument/2006/relationships/hyperlink" Target="http://cwe.mitre.org/data/definitions/221.html" TargetMode="External"/><Relationship Id="rId59" Type="http://schemas.openxmlformats.org/officeDocument/2006/relationships/hyperlink" Target="http://cwe.mitre.org/data/definitions/735.html" TargetMode="External"/><Relationship Id="rId124" Type="http://schemas.openxmlformats.org/officeDocument/2006/relationships/hyperlink" Target="http://cwe.mitre.org/data/definitions/553.html" TargetMode="External"/><Relationship Id="rId569" Type="http://schemas.openxmlformats.org/officeDocument/2006/relationships/hyperlink" Target="http://cwe.mitre.org/data/definitions/476.html" TargetMode="External"/><Relationship Id="rId776" Type="http://schemas.openxmlformats.org/officeDocument/2006/relationships/hyperlink" Target="http://cwe.mitre.org/data/definitions/339.html" TargetMode="External"/><Relationship Id="rId331" Type="http://schemas.openxmlformats.org/officeDocument/2006/relationships/hyperlink" Target="http://cwe.mitre.org/data/definitions/79.html" TargetMode="External"/><Relationship Id="rId429" Type="http://schemas.openxmlformats.org/officeDocument/2006/relationships/hyperlink" Target="http://cwe.mitre.org/data/definitions/684.html" TargetMode="External"/><Relationship Id="rId636" Type="http://schemas.openxmlformats.org/officeDocument/2006/relationships/hyperlink" Target="http://cwe.mitre.org/data/definitions/263.html" TargetMode="External"/><Relationship Id="rId843" Type="http://schemas.openxmlformats.org/officeDocument/2006/relationships/hyperlink" Target="http://cwe.mitre.org/data/definitions/422.html"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eb.nvd.nist.gov/view/vuln/detail?vulnId=CVE-2016-1111" TargetMode="External"/><Relationship Id="rId1" Type="http://schemas.openxmlformats.org/officeDocument/2006/relationships/hyperlink" Target="http://cve.mitre.org/cgi-bin/cvename.cgi?name=CVE-2016-1111" TargetMode="External"/><Relationship Id="rId4"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X122"/>
  <sheetViews>
    <sheetView tabSelected="1" zoomScale="80" zoomScaleNormal="80" workbookViewId="0">
      <pane xSplit="8" ySplit="11" topLeftCell="I12" activePane="bottomRight" state="frozen"/>
      <selection pane="topRight" activeCell="I1" sqref="I1"/>
      <selection pane="bottomLeft" activeCell="A11" sqref="A11"/>
      <selection pane="bottomRight" activeCell="I12" sqref="I12"/>
    </sheetView>
  </sheetViews>
  <sheetFormatPr defaultRowHeight="15" x14ac:dyDescent="0.25"/>
  <cols>
    <col min="1" max="1" width="15.42578125" style="31" customWidth="1"/>
    <col min="2" max="2" width="9.85546875" style="31" bestFit="1" customWidth="1"/>
    <col min="3" max="3" width="14.5703125" style="31" bestFit="1" customWidth="1"/>
    <col min="4" max="4" width="5.85546875" style="44" customWidth="1"/>
    <col min="5" max="5" width="13.140625" style="47" bestFit="1" customWidth="1"/>
    <col min="6" max="6" width="11.7109375" style="47" customWidth="1"/>
    <col min="7" max="7" width="10.28515625" style="47" bestFit="1" customWidth="1"/>
    <col min="8" max="8" width="1.140625" style="6" customWidth="1"/>
    <col min="9" max="9" width="30.85546875" style="3" customWidth="1"/>
    <col min="10" max="10" width="30.5703125" style="3" customWidth="1"/>
    <col min="11" max="11" width="23.42578125" style="19" customWidth="1"/>
    <col min="12" max="12" width="34" style="19" customWidth="1"/>
    <col min="13" max="13" width="26.28515625" style="3" customWidth="1"/>
    <col min="14" max="14" width="18.28515625" style="3" customWidth="1"/>
    <col min="15" max="15" width="15" style="3" customWidth="1"/>
    <col min="16" max="16" width="31.28515625" style="3" customWidth="1"/>
    <col min="17" max="17" width="20.7109375" style="3" customWidth="1"/>
    <col min="18" max="18" width="1.42578125" style="6" customWidth="1"/>
    <col min="19" max="19" width="105.28515625" style="36" customWidth="1"/>
    <col min="20" max="20" width="100.85546875" style="36" customWidth="1"/>
    <col min="21" max="21" width="16.42578125" style="36" bestFit="1" customWidth="1"/>
    <col min="22" max="22" width="1.140625" style="6" customWidth="1"/>
    <col min="23" max="23" width="93.7109375" style="31" customWidth="1"/>
    <col min="24" max="24" width="105.5703125" style="36" customWidth="1"/>
  </cols>
  <sheetData>
    <row r="1" spans="1:24" x14ac:dyDescent="0.25">
      <c r="I1" s="10"/>
    </row>
    <row r="2" spans="1:24" ht="21" x14ac:dyDescent="0.35">
      <c r="A2" s="40" t="s">
        <v>1263</v>
      </c>
      <c r="B2" s="40"/>
      <c r="C2" s="40"/>
      <c r="D2" s="43"/>
      <c r="E2" s="46"/>
      <c r="F2" s="46"/>
      <c r="G2" s="46"/>
      <c r="H2" s="4"/>
      <c r="R2" s="4"/>
      <c r="V2" s="4"/>
    </row>
    <row r="3" spans="1:24" x14ac:dyDescent="0.25">
      <c r="A3" s="41">
        <v>42726</v>
      </c>
      <c r="B3" s="41"/>
      <c r="C3" s="41"/>
      <c r="H3" s="5"/>
      <c r="I3" s="16" t="s">
        <v>15</v>
      </c>
      <c r="R3" s="5"/>
      <c r="V3" s="5"/>
    </row>
    <row r="4" spans="1:24" s="17" customFormat="1" x14ac:dyDescent="0.25">
      <c r="A4" s="10"/>
      <c r="B4" s="10"/>
      <c r="C4" s="10"/>
      <c r="D4" s="44"/>
      <c r="E4" s="47"/>
      <c r="F4" s="47"/>
      <c r="G4" s="47"/>
      <c r="H4" s="18"/>
      <c r="I4" s="12" t="s">
        <v>19</v>
      </c>
      <c r="J4" s="14" t="s">
        <v>18</v>
      </c>
      <c r="K4" s="10" t="s">
        <v>35</v>
      </c>
      <c r="L4" s="24" t="s">
        <v>607</v>
      </c>
      <c r="M4" s="10"/>
      <c r="N4" s="10"/>
      <c r="O4" s="10"/>
      <c r="P4" s="10"/>
      <c r="Q4" s="10"/>
      <c r="R4" s="18"/>
      <c r="S4" s="38"/>
      <c r="T4" s="38"/>
      <c r="U4" s="38"/>
      <c r="V4" s="18"/>
      <c r="W4" s="10"/>
      <c r="X4" s="38"/>
    </row>
    <row r="5" spans="1:24" s="17" customFormat="1" x14ac:dyDescent="0.25">
      <c r="A5" s="10"/>
      <c r="B5" s="10"/>
      <c r="C5" s="10"/>
      <c r="D5" s="44"/>
      <c r="E5" s="47"/>
      <c r="F5" s="47"/>
      <c r="G5" s="47"/>
      <c r="H5" s="18"/>
      <c r="I5" s="11" t="s">
        <v>14</v>
      </c>
      <c r="J5" s="119" t="s">
        <v>16</v>
      </c>
      <c r="K5" s="10" t="s">
        <v>36</v>
      </c>
      <c r="L5" s="24" t="s">
        <v>608</v>
      </c>
      <c r="M5" s="10"/>
      <c r="N5" s="10"/>
      <c r="O5" s="10"/>
      <c r="P5" s="10"/>
      <c r="Q5" s="10"/>
      <c r="R5" s="18"/>
      <c r="S5" s="38"/>
      <c r="T5" s="38"/>
      <c r="U5" s="38"/>
      <c r="V5" s="18"/>
      <c r="W5" s="10"/>
      <c r="X5" s="38"/>
    </row>
    <row r="7" spans="1:24" s="36" customFormat="1" ht="24" x14ac:dyDescent="0.25">
      <c r="A7" s="36" t="s">
        <v>564</v>
      </c>
      <c r="D7" s="44"/>
      <c r="E7" s="47"/>
      <c r="F7" s="47"/>
      <c r="G7" s="47"/>
      <c r="H7" s="37"/>
      <c r="I7" s="49" t="s">
        <v>724</v>
      </c>
      <c r="J7" s="49" t="s">
        <v>48</v>
      </c>
      <c r="K7" s="49" t="s">
        <v>756</v>
      </c>
      <c r="L7" s="49" t="s">
        <v>683</v>
      </c>
      <c r="M7" s="49" t="s">
        <v>683</v>
      </c>
      <c r="N7" s="49" t="s">
        <v>691</v>
      </c>
      <c r="O7" s="49" t="s">
        <v>723</v>
      </c>
      <c r="P7" s="49" t="s">
        <v>552</v>
      </c>
      <c r="Q7" s="49" t="s">
        <v>721</v>
      </c>
      <c r="R7" s="37"/>
      <c r="V7" s="37"/>
    </row>
    <row r="8" spans="1:24" x14ac:dyDescent="0.25">
      <c r="A8" s="31" t="s">
        <v>567</v>
      </c>
      <c r="I8" s="3" t="s">
        <v>38</v>
      </c>
      <c r="J8" s="3" t="s">
        <v>37</v>
      </c>
      <c r="K8" s="19" t="s">
        <v>38</v>
      </c>
      <c r="L8" s="19" t="s">
        <v>38</v>
      </c>
      <c r="M8" s="3" t="s">
        <v>37</v>
      </c>
      <c r="N8" s="3" t="s">
        <v>37</v>
      </c>
      <c r="O8" s="3" t="s">
        <v>38</v>
      </c>
      <c r="P8" s="3" t="s">
        <v>38</v>
      </c>
      <c r="Q8" s="3" t="s">
        <v>38</v>
      </c>
      <c r="S8" s="36" t="s">
        <v>13</v>
      </c>
    </row>
    <row r="9" spans="1:24" x14ac:dyDescent="0.25">
      <c r="A9" s="31" t="s">
        <v>1097</v>
      </c>
      <c r="B9" s="31" t="s">
        <v>1278</v>
      </c>
      <c r="E9" s="47" t="s">
        <v>1166</v>
      </c>
      <c r="I9" s="55"/>
      <c r="J9" s="27" t="s">
        <v>54</v>
      </c>
      <c r="K9" s="27" t="s">
        <v>54</v>
      </c>
      <c r="L9" s="27"/>
      <c r="M9" s="27"/>
      <c r="N9" s="27"/>
      <c r="O9" s="27" t="s">
        <v>55</v>
      </c>
      <c r="P9" s="56" t="s">
        <v>56</v>
      </c>
      <c r="Q9" s="56" t="s">
        <v>57</v>
      </c>
    </row>
    <row r="10" spans="1:24" s="1" customFormat="1" ht="30" x14ac:dyDescent="0.25">
      <c r="A10" s="63" t="s">
        <v>12</v>
      </c>
      <c r="B10" s="63" t="s">
        <v>23</v>
      </c>
      <c r="C10" s="127" t="s">
        <v>1093</v>
      </c>
      <c r="D10" s="64" t="s">
        <v>573</v>
      </c>
      <c r="E10" s="65" t="s">
        <v>1165</v>
      </c>
      <c r="F10" s="65" t="s">
        <v>1167</v>
      </c>
      <c r="G10" s="65" t="s">
        <v>1148</v>
      </c>
      <c r="H10" s="66"/>
      <c r="I10" s="67" t="s">
        <v>1</v>
      </c>
      <c r="J10" s="68" t="s">
        <v>2</v>
      </c>
      <c r="K10" s="69" t="s">
        <v>3</v>
      </c>
      <c r="L10" s="70" t="s">
        <v>4</v>
      </c>
      <c r="M10" s="68" t="s">
        <v>5</v>
      </c>
      <c r="N10" s="67" t="s">
        <v>9</v>
      </c>
      <c r="O10" s="68" t="s">
        <v>6</v>
      </c>
      <c r="P10" s="68" t="s">
        <v>7</v>
      </c>
      <c r="Q10" s="68" t="s">
        <v>8</v>
      </c>
      <c r="R10" s="66"/>
      <c r="S10" s="71" t="s">
        <v>1098</v>
      </c>
      <c r="T10" s="71" t="s">
        <v>787</v>
      </c>
      <c r="U10" s="71" t="s">
        <v>574</v>
      </c>
      <c r="V10" s="66"/>
      <c r="W10" s="72" t="s">
        <v>1094</v>
      </c>
      <c r="X10" s="72" t="s">
        <v>1197</v>
      </c>
    </row>
    <row r="11" spans="1:24" s="6" customFormat="1" x14ac:dyDescent="0.25">
      <c r="A11" s="42"/>
      <c r="B11" s="42"/>
      <c r="C11" s="87">
        <v>2013</v>
      </c>
      <c r="D11" s="45"/>
      <c r="E11" s="48"/>
      <c r="F11" s="48"/>
      <c r="G11" s="48"/>
      <c r="I11" s="26"/>
      <c r="J11" s="26"/>
      <c r="K11" s="39"/>
      <c r="L11" s="39"/>
      <c r="M11" s="26"/>
      <c r="N11" s="26"/>
      <c r="O11" s="26"/>
      <c r="P11" s="26"/>
      <c r="Q11" s="26"/>
      <c r="S11" s="37"/>
      <c r="T11" s="37"/>
      <c r="U11" s="37"/>
      <c r="W11" s="144"/>
      <c r="X11" s="128"/>
    </row>
    <row r="12" spans="1:24" ht="45" x14ac:dyDescent="0.25">
      <c r="A12" s="104" t="s">
        <v>1315</v>
      </c>
      <c r="B12" s="73" t="s">
        <v>565</v>
      </c>
      <c r="C12" s="73" t="s">
        <v>592</v>
      </c>
      <c r="D12" s="74">
        <v>2013</v>
      </c>
      <c r="E12" s="105" t="s">
        <v>1092</v>
      </c>
      <c r="F12" s="105" t="s">
        <v>1060</v>
      </c>
      <c r="G12" s="105" t="s">
        <v>576</v>
      </c>
      <c r="H12" s="75"/>
      <c r="I12" s="76" t="s">
        <v>566</v>
      </c>
      <c r="J12" s="76"/>
      <c r="K12" s="76" t="s">
        <v>805</v>
      </c>
      <c r="L12" s="76" t="s">
        <v>689</v>
      </c>
      <c r="M12" s="76" t="s">
        <v>682</v>
      </c>
      <c r="N12" s="76"/>
      <c r="O12" s="76" t="s">
        <v>568</v>
      </c>
      <c r="P12" s="76" t="s">
        <v>570</v>
      </c>
      <c r="Q12" s="76" t="s">
        <v>569</v>
      </c>
      <c r="R12" s="75"/>
      <c r="S12" s="113" t="str">
        <f>TRIM(IF(ISBLANK(I12), IF(ISBLANK(N12), "MISSING [VULNTYPE] OR [ROOT CAUSE]! ", CONCATENATE(J12,IF(ISBLANK(J12), "", " in "),K12, IF(ISBLANK(K12), "", " "), L12, IF(ISBLANK(L12), "[PRODUCT] ", " "), M12, IF(ISBLANK(M12), "", " "),  N12, ", which allows ", O12, IF(ISBLANK(O12), "attackers to ", " to "), P12, IF(ISBLANK(P12), "unspecified impact ", ""), "via ", Q12, IF(ISBLANK(Q12), "unspecified vectors.", "."))), CONCATENATE(I12,IF(ISBLANK(I12), "", " in "),J12,IF(ISBLANK(J12), "", " in "),K12, IF(ISBLANK(K12), "", " "), L12, IF(ISBLANK(L12), "[PRODUCT] ", " "), M12, IF(ISBLANK(M12), "", " "), "allows ", O12, IF(ISBLANK(O12), "attackers to ", " to "), P12, IF(ISBLANK(P12), " unspecified impact", ""), " via ", Q12, IF(ISBLANK(Q12), "unspecified vectors.", "."))))</f>
        <v>A write protection and execution bypass vulnerability in McAfee (now Intel Security) Application Control (MAC) 6.1.0 for Linux and earlier allows authenticated users to change binaries that are part of the Application Control whitelist and allows execution of binaries via specific conditions.</v>
      </c>
      <c r="T12" s="77"/>
      <c r="U12" s="77" t="s">
        <v>575</v>
      </c>
      <c r="V12" s="143"/>
      <c r="W12" s="129" t="s">
        <v>793</v>
      </c>
      <c r="X12" s="73" t="s">
        <v>3368</v>
      </c>
    </row>
    <row r="13" spans="1:24" ht="45" x14ac:dyDescent="0.25">
      <c r="A13" s="104" t="s">
        <v>1315</v>
      </c>
      <c r="B13" s="73" t="s">
        <v>565</v>
      </c>
      <c r="C13" s="73" t="s">
        <v>592</v>
      </c>
      <c r="D13" s="74">
        <v>2013</v>
      </c>
      <c r="E13" s="105" t="s">
        <v>1092</v>
      </c>
      <c r="F13" s="105" t="s">
        <v>1060</v>
      </c>
      <c r="G13" s="105" t="s">
        <v>576</v>
      </c>
      <c r="H13" s="75"/>
      <c r="I13" s="76" t="s">
        <v>566</v>
      </c>
      <c r="J13" s="76"/>
      <c r="K13" s="76" t="s">
        <v>805</v>
      </c>
      <c r="L13" s="76" t="s">
        <v>690</v>
      </c>
      <c r="M13" s="76" t="s">
        <v>682</v>
      </c>
      <c r="N13" s="76"/>
      <c r="O13" s="76" t="s">
        <v>568</v>
      </c>
      <c r="P13" s="76" t="s">
        <v>571</v>
      </c>
      <c r="Q13" s="76" t="s">
        <v>569</v>
      </c>
      <c r="R13" s="75"/>
      <c r="S13" s="113" t="str">
        <f t="shared" ref="S13:S16" si="0">TRIM(IF(ISBLANK(I13), IF(ISBLANK(N13), "MISSING [VULNTYPE] OR [ROOT CAUSE]! ", CONCATENATE(J13,IF(ISBLANK(J13), "", " in "),K13, IF(ISBLANK(K13), "", " "), L13, IF(ISBLANK(L13), "[PRODUCT] ", " "), M13, IF(ISBLANK(M13), "", " "),  N13, ", which allows ", O13, IF(ISBLANK(O13), "attackers to ", " to "), P13, IF(ISBLANK(P13), "unspecified impact ", ""), "via ", Q13, IF(ISBLANK(Q13), "unspecified vectors.", "."))), CONCATENATE(I13,IF(ISBLANK(I13), "", " in "),J13,IF(ISBLANK(J13), "", " in "),K13, IF(ISBLANK(K13), "", " "), L13, IF(ISBLANK(L13), "[PRODUCT] ", " "), M13, IF(ISBLANK(M13), "", " "), "allows ", O13, IF(ISBLANK(O13), "attackers to ", " to "), P13, IF(ISBLANK(P13), " unspecified impact", ""), " via ", Q13, IF(ISBLANK(Q13), "unspecified vectors.", "."))))</f>
        <v>A write protection and execution bypass vulnerability in McAfee (now Intel Security) Change Control (MCC) 6.1.0 for Linux and earlier allows authenticated users to change files that are part of write protection rules via specific conditions.</v>
      </c>
      <c r="T13" s="77"/>
      <c r="U13" s="77" t="s">
        <v>575</v>
      </c>
      <c r="V13" s="143"/>
      <c r="W13" s="129" t="s">
        <v>793</v>
      </c>
      <c r="X13" s="73" t="s">
        <v>3368</v>
      </c>
    </row>
    <row r="14" spans="1:24" ht="45" x14ac:dyDescent="0.25">
      <c r="A14" s="104" t="s">
        <v>1314</v>
      </c>
      <c r="B14" s="73" t="s">
        <v>577</v>
      </c>
      <c r="C14" s="73" t="s">
        <v>592</v>
      </c>
      <c r="D14" s="74">
        <v>2013</v>
      </c>
      <c r="E14" s="105" t="s">
        <v>1092</v>
      </c>
      <c r="F14" s="105" t="s">
        <v>1060</v>
      </c>
      <c r="G14" s="105" t="s">
        <v>576</v>
      </c>
      <c r="H14" s="75"/>
      <c r="I14" s="76" t="s">
        <v>594</v>
      </c>
      <c r="J14" s="76" t="s">
        <v>794</v>
      </c>
      <c r="K14" s="76" t="s">
        <v>805</v>
      </c>
      <c r="L14" s="76" t="s">
        <v>693</v>
      </c>
      <c r="M14" s="76" t="s">
        <v>694</v>
      </c>
      <c r="N14" s="76"/>
      <c r="O14" s="76" t="s">
        <v>695</v>
      </c>
      <c r="P14" s="76" t="s">
        <v>697</v>
      </c>
      <c r="Q14" s="76" t="s">
        <v>696</v>
      </c>
      <c r="R14" s="75"/>
      <c r="S14" s="113" t="str">
        <f t="shared" si="0"/>
        <v>A directory traversal vulnerability in the web application in McAfee (now Intel Security) SaaS Control Console (SCC) Platform 6.14 before patch 1070, and 6.15 before patch 1076 allows unauthenticated users to view contents of arbitrary system files that did not have file system level read access restrictions via a null-byte injection exploit.</v>
      </c>
      <c r="T14" s="77"/>
      <c r="U14" s="77" t="s">
        <v>41</v>
      </c>
      <c r="V14" s="143"/>
      <c r="W14" s="132" t="s">
        <v>3367</v>
      </c>
      <c r="X14" s="73" t="s">
        <v>1382</v>
      </c>
    </row>
    <row r="15" spans="1:24" ht="90" x14ac:dyDescent="0.25">
      <c r="A15" s="104" t="s">
        <v>1313</v>
      </c>
      <c r="B15" s="73" t="s">
        <v>578</v>
      </c>
      <c r="C15" s="73" t="s">
        <v>592</v>
      </c>
      <c r="D15" s="74">
        <v>2013</v>
      </c>
      <c r="E15" s="105" t="s">
        <v>1092</v>
      </c>
      <c r="F15" s="105" t="s">
        <v>1060</v>
      </c>
      <c r="G15" s="105" t="s">
        <v>576</v>
      </c>
      <c r="H15" s="75"/>
      <c r="I15" s="76" t="s">
        <v>761</v>
      </c>
      <c r="J15" s="76" t="s">
        <v>1265</v>
      </c>
      <c r="K15" s="76" t="s">
        <v>805</v>
      </c>
      <c r="L15" s="76" t="s">
        <v>692</v>
      </c>
      <c r="M15" s="76" t="s">
        <v>698</v>
      </c>
      <c r="N15" s="76"/>
      <c r="O15" s="76" t="s">
        <v>24</v>
      </c>
      <c r="P15" s="76" t="s">
        <v>700</v>
      </c>
      <c r="Q15" s="76" t="s">
        <v>699</v>
      </c>
      <c r="R15" s="75"/>
      <c r="S15" s="113" t="str">
        <f t="shared" si="0"/>
        <v>Cross site scripting (XSS) vulnerability in the web portal component in McAfee (now Intel Security) Vulnerability Manager (MVM) 7.0.11 before hotfix 7.0.11.05002_EM, 7.5.4 before hotfix 7.5.4.05007_EM, and 7.5.5 before hotfix 7.5.5.05002_EM allows remote attackers to allow arbitrary HTML code to be reflected in the response web page via modification of the HTTP request.</v>
      </c>
      <c r="T15" s="77"/>
      <c r="U15" s="77" t="s">
        <v>41</v>
      </c>
      <c r="V15" s="143"/>
      <c r="W15" s="132" t="s">
        <v>1380</v>
      </c>
      <c r="X15" s="73" t="s">
        <v>1379</v>
      </c>
    </row>
    <row r="16" spans="1:24" ht="90" x14ac:dyDescent="0.25">
      <c r="A16" s="104" t="s">
        <v>1313</v>
      </c>
      <c r="B16" s="73" t="s">
        <v>578</v>
      </c>
      <c r="C16" s="73" t="s">
        <v>592</v>
      </c>
      <c r="D16" s="74">
        <v>2013</v>
      </c>
      <c r="E16" s="105" t="s">
        <v>1092</v>
      </c>
      <c r="F16" s="105" t="s">
        <v>1060</v>
      </c>
      <c r="G16" s="105" t="s">
        <v>576</v>
      </c>
      <c r="H16" s="75"/>
      <c r="I16" s="76" t="s">
        <v>778</v>
      </c>
      <c r="J16" s="76" t="s">
        <v>1265</v>
      </c>
      <c r="K16" s="76" t="s">
        <v>805</v>
      </c>
      <c r="L16" s="76" t="s">
        <v>692</v>
      </c>
      <c r="M16" s="76" t="s">
        <v>698</v>
      </c>
      <c r="N16" s="76"/>
      <c r="O16" s="76" t="s">
        <v>24</v>
      </c>
      <c r="P16" s="76" t="s">
        <v>700</v>
      </c>
      <c r="Q16" s="76" t="s">
        <v>699</v>
      </c>
      <c r="R16" s="75"/>
      <c r="S16" s="113" t="str">
        <f t="shared" si="0"/>
        <v>Cross site request forgery (CSRF) vulnerability in the web portal component in McAfee (now Intel Security) Vulnerability Manager (MVM) 7.0.11 before hotfix 7.0.11.05002_EM, 7.5.4 before hotfix 7.5.4.05007_EM, and 7.5.5 before hotfix 7.5.5.05002_EM allows remote attackers to allow arbitrary HTML code to be reflected in the response web page via modification of the HTTP request.</v>
      </c>
      <c r="T16" s="77"/>
      <c r="U16" s="77" t="s">
        <v>41</v>
      </c>
      <c r="V16" s="143"/>
      <c r="W16" s="132" t="s">
        <v>1381</v>
      </c>
      <c r="X16" s="73" t="s">
        <v>1378</v>
      </c>
    </row>
    <row r="17" spans="1:24" s="6" customFormat="1" x14ac:dyDescent="0.25">
      <c r="A17" s="42"/>
      <c r="B17" s="42"/>
      <c r="C17" s="87">
        <v>2014</v>
      </c>
      <c r="D17" s="45"/>
      <c r="E17" s="45"/>
      <c r="F17" s="45"/>
      <c r="G17" s="45"/>
      <c r="I17" s="26"/>
      <c r="J17" s="26"/>
      <c r="K17" s="39"/>
      <c r="L17" s="39"/>
      <c r="M17" s="26"/>
      <c r="N17" s="26"/>
      <c r="O17" s="26"/>
      <c r="P17" s="26"/>
      <c r="Q17" s="26"/>
      <c r="S17" s="37"/>
      <c r="T17" s="37"/>
      <c r="U17" s="37"/>
      <c r="W17" s="144"/>
      <c r="X17" s="128"/>
    </row>
    <row r="18" spans="1:24" ht="75" x14ac:dyDescent="0.25">
      <c r="A18" s="104" t="s">
        <v>1312</v>
      </c>
      <c r="B18" s="73" t="s">
        <v>579</v>
      </c>
      <c r="C18" s="73" t="s">
        <v>572</v>
      </c>
      <c r="D18" s="74">
        <v>2014</v>
      </c>
      <c r="E18" s="105" t="s">
        <v>1092</v>
      </c>
      <c r="F18" s="105" t="s">
        <v>1060</v>
      </c>
      <c r="G18" s="105" t="s">
        <v>576</v>
      </c>
      <c r="H18" s="75"/>
      <c r="I18" s="76" t="s">
        <v>595</v>
      </c>
      <c r="J18" s="76" t="s">
        <v>701</v>
      </c>
      <c r="K18" s="76" t="s">
        <v>805</v>
      </c>
      <c r="L18" s="76" t="s">
        <v>598</v>
      </c>
      <c r="M18" s="76" t="s">
        <v>702</v>
      </c>
      <c r="N18" s="76"/>
      <c r="O18" s="76" t="s">
        <v>568</v>
      </c>
      <c r="P18" s="76" t="s">
        <v>704</v>
      </c>
      <c r="Q18" s="76" t="s">
        <v>703</v>
      </c>
      <c r="R18" s="75"/>
      <c r="S18" s="113" t="str">
        <f t="shared" ref="S18:S26" si="1">TRIM(IF(ISBLANK(I18), IF(ISBLANK(N18), "MISSING [VULNTYPE] OR [ROOT CAUSE]! ", CONCATENATE(J18,IF(ISBLANK(J18), "", " in "),K18, IF(ISBLANK(K18), "", " "), L18, IF(ISBLANK(L18), "[PRODUCT] ", " "), M18, IF(ISBLANK(M18), "", " "),  N18, ", which allows ", O18, IF(ISBLANK(O18), "attackers to ", " to "), P18, IF(ISBLANK(P18), "unspecified impact ", ""), "via ", Q18, IF(ISBLANK(Q18), "unspecified vectors.", "."))), CONCATENATE(I18,IF(ISBLANK(I18), "", " in "),J18,IF(ISBLANK(J18), "", " in "),K18, IF(ISBLANK(K18), "", " "), L18, IF(ISBLANK(L18), "[PRODUCT] ", " "), M18, IF(ISBLANK(M18), "", " "), "allows ", O18, IF(ISBLANK(O18), "attackers to ", " to "), P18, IF(ISBLANK(P18), " unspecified impact", ""), " via ", Q18, IF(ISBLANK(Q18), "unspecified vectors.", "."))))</f>
        <v>XML entity injection vulnerability in the import and export framework used for dashboards, queries, reports and server tasks in McAfee (now Intel Security) Enterprise Policy Orchestrator (ePO) 4.6.7 before hotfix 940148 and earlier allows authenticated users to read a large number of server side system files, including the database configuration properties to further other attacks via importation of malicious XML definitions.</v>
      </c>
      <c r="T18" s="77"/>
      <c r="U18" s="77" t="s">
        <v>41</v>
      </c>
      <c r="V18" s="143"/>
      <c r="W18" s="73" t="s">
        <v>1377</v>
      </c>
      <c r="X18" s="73" t="s">
        <v>1364</v>
      </c>
    </row>
    <row r="19" spans="1:24" ht="60" x14ac:dyDescent="0.25">
      <c r="A19" s="104" t="s">
        <v>1311</v>
      </c>
      <c r="B19" s="73" t="s">
        <v>580</v>
      </c>
      <c r="C19" s="73" t="s">
        <v>572</v>
      </c>
      <c r="D19" s="74">
        <v>2014</v>
      </c>
      <c r="E19" s="105" t="s">
        <v>1092</v>
      </c>
      <c r="F19" s="105" t="s">
        <v>792</v>
      </c>
      <c r="G19" s="105" t="s">
        <v>550</v>
      </c>
      <c r="H19" s="75"/>
      <c r="I19" s="76"/>
      <c r="J19" s="76" t="s">
        <v>733</v>
      </c>
      <c r="K19" s="76" t="s">
        <v>805</v>
      </c>
      <c r="L19" s="76" t="s">
        <v>596</v>
      </c>
      <c r="M19" s="76" t="s">
        <v>606</v>
      </c>
      <c r="N19" s="76" t="s">
        <v>791</v>
      </c>
      <c r="O19" s="76" t="s">
        <v>32</v>
      </c>
      <c r="P19" s="76" t="s">
        <v>705</v>
      </c>
      <c r="Q19" s="76" t="s">
        <v>706</v>
      </c>
      <c r="R19" s="75"/>
      <c r="S19" s="113" t="str">
        <f t="shared" si="1"/>
        <v>the RSA BSafe Dual Elliptic Curve DRBG algorithm used in McAfee (now Intel Security) Vulnerability Manager for Databases (DVM) 4.4.5 and earlier a potentially compromised algorithm, which allows attackers to decrypt messagesvia a skeleton key.</v>
      </c>
      <c r="T19" s="77"/>
      <c r="U19" s="77" t="s">
        <v>41</v>
      </c>
      <c r="V19" s="143"/>
      <c r="W19" s="145" t="s">
        <v>1376</v>
      </c>
      <c r="X19" s="73" t="s">
        <v>1375</v>
      </c>
    </row>
    <row r="20" spans="1:24" ht="60" x14ac:dyDescent="0.25">
      <c r="A20" s="104" t="s">
        <v>1311</v>
      </c>
      <c r="B20" s="73" t="s">
        <v>580</v>
      </c>
      <c r="C20" s="73" t="s">
        <v>572</v>
      </c>
      <c r="D20" s="74">
        <v>2014</v>
      </c>
      <c r="E20" s="105" t="s">
        <v>1092</v>
      </c>
      <c r="F20" s="105" t="s">
        <v>792</v>
      </c>
      <c r="G20" s="105" t="s">
        <v>550</v>
      </c>
      <c r="H20" s="75"/>
      <c r="I20" s="76"/>
      <c r="J20" s="76" t="s">
        <v>733</v>
      </c>
      <c r="K20" s="76" t="s">
        <v>805</v>
      </c>
      <c r="L20" s="76" t="s">
        <v>597</v>
      </c>
      <c r="M20" s="76" t="s">
        <v>606</v>
      </c>
      <c r="N20" s="76" t="s">
        <v>791</v>
      </c>
      <c r="O20" s="76" t="s">
        <v>32</v>
      </c>
      <c r="P20" s="76" t="s">
        <v>705</v>
      </c>
      <c r="Q20" s="76" t="s">
        <v>706</v>
      </c>
      <c r="R20" s="75"/>
      <c r="S20" s="113" t="str">
        <f t="shared" si="1"/>
        <v>the RSA BSafe Dual Elliptic Curve DRBG algorithm used in McAfee (now Intel Security) Database Activity Monitoring (DAM) 4.4.5 and earlier a potentially compromised algorithm, which allows attackers to decrypt messagesvia a skeleton key.</v>
      </c>
      <c r="T20" s="77"/>
      <c r="U20" s="77" t="s">
        <v>41</v>
      </c>
      <c r="V20" s="143"/>
      <c r="W20" s="145" t="s">
        <v>1376</v>
      </c>
      <c r="X20" s="73" t="s">
        <v>1375</v>
      </c>
    </row>
    <row r="21" spans="1:24" ht="60" x14ac:dyDescent="0.25">
      <c r="A21" s="104" t="s">
        <v>1311</v>
      </c>
      <c r="B21" s="73" t="s">
        <v>580</v>
      </c>
      <c r="C21" s="73" t="s">
        <v>572</v>
      </c>
      <c r="D21" s="74">
        <v>2014</v>
      </c>
      <c r="E21" s="105" t="s">
        <v>1092</v>
      </c>
      <c r="F21" s="105" t="s">
        <v>792</v>
      </c>
      <c r="G21" s="105" t="s">
        <v>550</v>
      </c>
      <c r="H21" s="75"/>
      <c r="I21" s="76"/>
      <c r="J21" s="76" t="s">
        <v>733</v>
      </c>
      <c r="K21" s="76" t="s">
        <v>805</v>
      </c>
      <c r="L21" s="76" t="s">
        <v>599</v>
      </c>
      <c r="M21" s="76" t="s">
        <v>684</v>
      </c>
      <c r="N21" s="76" t="s">
        <v>791</v>
      </c>
      <c r="O21" s="76" t="s">
        <v>32</v>
      </c>
      <c r="P21" s="76" t="s">
        <v>705</v>
      </c>
      <c r="Q21" s="76" t="s">
        <v>706</v>
      </c>
      <c r="R21" s="75"/>
      <c r="S21" s="113" t="str">
        <f t="shared" si="1"/>
        <v>the RSA BSafe Dual Elliptic Curve DRBG algorithm used in McAfee (now Intel Security) Network Security Management (NSM) 7.1.15, 6.1.15, and earlier a potentially compromised algorithm, which allows attackers to decrypt messagesvia a skeleton key.</v>
      </c>
      <c r="T21" s="77"/>
      <c r="U21" s="77" t="s">
        <v>41</v>
      </c>
      <c r="V21" s="143"/>
      <c r="W21" s="145" t="s">
        <v>1376</v>
      </c>
      <c r="X21" s="73" t="s">
        <v>1375</v>
      </c>
    </row>
    <row r="22" spans="1:24" ht="105" x14ac:dyDescent="0.25">
      <c r="A22" s="108" t="s">
        <v>1316</v>
      </c>
      <c r="B22" s="73" t="s">
        <v>581</v>
      </c>
      <c r="C22" s="73" t="s">
        <v>572</v>
      </c>
      <c r="D22" s="74">
        <v>2014</v>
      </c>
      <c r="E22" s="105" t="s">
        <v>1092</v>
      </c>
      <c r="F22" s="105" t="s">
        <v>1060</v>
      </c>
      <c r="G22" s="105" t="s">
        <v>576</v>
      </c>
      <c r="H22" s="75"/>
      <c r="I22" s="76" t="s">
        <v>685</v>
      </c>
      <c r="J22" s="76"/>
      <c r="K22" s="76" t="s">
        <v>805</v>
      </c>
      <c r="L22" s="76" t="s">
        <v>1270</v>
      </c>
      <c r="M22" s="76" t="s">
        <v>688</v>
      </c>
      <c r="N22" s="76"/>
      <c r="O22" s="76" t="s">
        <v>32</v>
      </c>
      <c r="P22" s="76" t="s">
        <v>687</v>
      </c>
      <c r="Q22" s="76" t="s">
        <v>686</v>
      </c>
      <c r="R22" s="75"/>
      <c r="S22" s="113" t="str">
        <f t="shared" si="1"/>
        <v>Unauthorized execution of binary vulnerability in McAfee (now Intel Security) McAfee Application Control (MAC) 6.0.0 before hotfix 9726, 6.0.1 before hotfix 9068, 6.1.0 before hotfix 692, 6.1.1 before hotfix 399, 6.1.2 before hotfix 426, and 6.1.3 before hotfix 357 and earlier allows attackers to create a malformed Windows binary that is considered non-executable and is not protected through the whitelisting protection feature via a specific set of circumstances.</v>
      </c>
      <c r="T22" s="77"/>
      <c r="U22" s="77" t="s">
        <v>41</v>
      </c>
      <c r="V22" s="143"/>
      <c r="W22" s="131" t="s">
        <v>1374</v>
      </c>
      <c r="X22" s="146" t="s">
        <v>1373</v>
      </c>
    </row>
    <row r="23" spans="1:24" ht="60" x14ac:dyDescent="0.25">
      <c r="A23" s="104" t="s">
        <v>1310</v>
      </c>
      <c r="B23" s="73" t="s">
        <v>582</v>
      </c>
      <c r="C23" s="73" t="s">
        <v>572</v>
      </c>
      <c r="D23" s="74">
        <v>2014</v>
      </c>
      <c r="E23" s="105" t="s">
        <v>1092</v>
      </c>
      <c r="F23" s="105" t="s">
        <v>1060</v>
      </c>
      <c r="G23" s="105" t="s">
        <v>576</v>
      </c>
      <c r="H23" s="75"/>
      <c r="I23" s="76" t="s">
        <v>717</v>
      </c>
      <c r="J23" s="76" t="s">
        <v>788</v>
      </c>
      <c r="K23" s="76" t="s">
        <v>805</v>
      </c>
      <c r="L23" s="76" t="s">
        <v>708</v>
      </c>
      <c r="M23" s="76" t="s">
        <v>709</v>
      </c>
      <c r="N23" s="76"/>
      <c r="O23" s="76" t="s">
        <v>710</v>
      </c>
      <c r="P23" s="76" t="s">
        <v>711</v>
      </c>
      <c r="Q23" s="76" t="s">
        <v>734</v>
      </c>
      <c r="R23" s="75"/>
      <c r="S23" s="113" t="str">
        <f t="shared" si="1"/>
        <v>Brute-force password attack vulnerability in The administrative user interface in McAfee (now Intel Security) Web Gateway (MWG) 7.3.2.8, 7.4.1.3, and earlier allows authenticated users on authorized accounts to read hashed administrator passwords via viewing the top level Accounts tab.</v>
      </c>
      <c r="T23" s="77"/>
      <c r="U23" s="77" t="s">
        <v>41</v>
      </c>
      <c r="V23" s="143"/>
      <c r="W23" s="145" t="s">
        <v>1371</v>
      </c>
      <c r="X23" s="73" t="s">
        <v>1372</v>
      </c>
    </row>
    <row r="24" spans="1:24" ht="45" x14ac:dyDescent="0.25">
      <c r="A24" s="104" t="s">
        <v>1309</v>
      </c>
      <c r="B24" s="73" t="s">
        <v>583</v>
      </c>
      <c r="C24" s="73" t="s">
        <v>572</v>
      </c>
      <c r="D24" s="74">
        <v>2014</v>
      </c>
      <c r="E24" s="105" t="s">
        <v>1092</v>
      </c>
      <c r="F24" s="105" t="s">
        <v>1060</v>
      </c>
      <c r="G24" s="105" t="s">
        <v>576</v>
      </c>
      <c r="H24" s="75"/>
      <c r="I24" s="115" t="s">
        <v>707</v>
      </c>
      <c r="J24" s="76"/>
      <c r="K24" s="76" t="s">
        <v>805</v>
      </c>
      <c r="L24" s="76" t="s">
        <v>712</v>
      </c>
      <c r="M24" s="76" t="s">
        <v>713</v>
      </c>
      <c r="N24" s="76"/>
      <c r="O24" s="76" t="s">
        <v>715</v>
      </c>
      <c r="P24" s="76" t="s">
        <v>716</v>
      </c>
      <c r="Q24" s="76" t="s">
        <v>714</v>
      </c>
      <c r="R24" s="75"/>
      <c r="S24" s="113" t="str">
        <f t="shared" si="1"/>
        <v>Information disclosure vulnerability in McAfee (now Intel Security) Cloud Analysis and Deconstructive Services (CADS) 1.0.0.3x, 1.0.0.4d and earlier allows remote unauthenticated users to view, add, and remove users via a configuration error.</v>
      </c>
      <c r="T24" s="77"/>
      <c r="U24" s="77" t="s">
        <v>41</v>
      </c>
      <c r="V24" s="143"/>
      <c r="W24" s="145" t="s">
        <v>1369</v>
      </c>
      <c r="X24" s="73" t="s">
        <v>1370</v>
      </c>
    </row>
    <row r="25" spans="1:24" ht="45" x14ac:dyDescent="0.25">
      <c r="A25" s="104" t="s">
        <v>1308</v>
      </c>
      <c r="B25" s="73" t="s">
        <v>584</v>
      </c>
      <c r="C25" s="73" t="s">
        <v>572</v>
      </c>
      <c r="D25" s="74">
        <v>2014</v>
      </c>
      <c r="E25" s="105" t="s">
        <v>1092</v>
      </c>
      <c r="F25" s="105" t="s">
        <v>1060</v>
      </c>
      <c r="G25" s="105" t="s">
        <v>576</v>
      </c>
      <c r="H25" s="75"/>
      <c r="I25" s="76" t="s">
        <v>717</v>
      </c>
      <c r="J25" s="76" t="s">
        <v>722</v>
      </c>
      <c r="K25" s="76" t="s">
        <v>805</v>
      </c>
      <c r="L25" s="76" t="s">
        <v>718</v>
      </c>
      <c r="M25" s="76" t="s">
        <v>720</v>
      </c>
      <c r="N25" s="76"/>
      <c r="O25" s="76" t="s">
        <v>32</v>
      </c>
      <c r="P25" s="76" t="s">
        <v>725</v>
      </c>
      <c r="Q25" s="76" t="s">
        <v>726</v>
      </c>
      <c r="R25" s="75"/>
      <c r="S25" s="113" t="str">
        <f t="shared" si="1"/>
        <v>Brute-force password attack vulnerability in the non-certificate-based authentication mechanism in McAfee (now Intel Security) Endpoint Encryption for Files and Folders (EEFF) 3.2.x, 4.0.x, 4.1.x, and 4.2.x allows attackers to crack user passwords via a brute-force attack .</v>
      </c>
      <c r="T25" s="77"/>
      <c r="U25" s="77" t="s">
        <v>41</v>
      </c>
      <c r="V25" s="143"/>
      <c r="W25" s="145" t="s">
        <v>1368</v>
      </c>
      <c r="X25" s="73" t="s">
        <v>1367</v>
      </c>
    </row>
    <row r="26" spans="1:24" ht="45" x14ac:dyDescent="0.25">
      <c r="A26" s="104" t="s">
        <v>1308</v>
      </c>
      <c r="B26" s="73" t="s">
        <v>584</v>
      </c>
      <c r="C26" s="73" t="s">
        <v>572</v>
      </c>
      <c r="D26" s="74">
        <v>2014</v>
      </c>
      <c r="E26" s="105" t="s">
        <v>1092</v>
      </c>
      <c r="F26" s="105" t="s">
        <v>1060</v>
      </c>
      <c r="G26" s="105" t="s">
        <v>576</v>
      </c>
      <c r="H26" s="75"/>
      <c r="I26" s="76" t="s">
        <v>717</v>
      </c>
      <c r="J26" s="76" t="s">
        <v>722</v>
      </c>
      <c r="K26" s="76" t="s">
        <v>805</v>
      </c>
      <c r="L26" s="76" t="s">
        <v>744</v>
      </c>
      <c r="M26" s="76" t="s">
        <v>719</v>
      </c>
      <c r="N26" s="76"/>
      <c r="O26" s="76" t="s">
        <v>32</v>
      </c>
      <c r="P26" s="76" t="s">
        <v>725</v>
      </c>
      <c r="Q26" s="76" t="s">
        <v>726</v>
      </c>
      <c r="R26" s="75"/>
      <c r="S26" s="113" t="str">
        <f t="shared" si="1"/>
        <v>Brute-force password attack vulnerability in the non-certificate-based authentication mechanism in McAfee (now Intel Security) File and Removable Media Protection (FRP, formerly EEFF) 4.3.0.x allows attackers to crack user passwords via a brute-force attack .</v>
      </c>
      <c r="T26" s="77"/>
      <c r="U26" s="77" t="s">
        <v>41</v>
      </c>
      <c r="V26" s="143"/>
      <c r="W26" s="145" t="s">
        <v>1368</v>
      </c>
      <c r="X26" s="73" t="s">
        <v>1367</v>
      </c>
    </row>
    <row r="27" spans="1:24" s="6" customFormat="1" x14ac:dyDescent="0.25">
      <c r="A27" s="42"/>
      <c r="B27" s="42"/>
      <c r="C27" s="87">
        <v>2015</v>
      </c>
      <c r="D27" s="45"/>
      <c r="E27" s="45"/>
      <c r="F27" s="45"/>
      <c r="G27" s="45"/>
      <c r="I27" s="26"/>
      <c r="J27" s="26"/>
      <c r="K27" s="39"/>
      <c r="L27" s="39"/>
      <c r="M27" s="26"/>
      <c r="N27" s="26"/>
      <c r="O27" s="26"/>
      <c r="P27" s="26"/>
      <c r="Q27" s="26"/>
      <c r="S27" s="37"/>
      <c r="T27" s="37"/>
      <c r="U27" s="37"/>
      <c r="W27" s="144"/>
      <c r="X27" s="128"/>
    </row>
    <row r="28" spans="1:24" ht="60" x14ac:dyDescent="0.25">
      <c r="A28" s="104" t="s">
        <v>1304</v>
      </c>
      <c r="B28" s="73" t="s">
        <v>585</v>
      </c>
      <c r="C28" s="73" t="s">
        <v>593</v>
      </c>
      <c r="D28" s="74">
        <v>2015</v>
      </c>
      <c r="E28" s="105" t="s">
        <v>1092</v>
      </c>
      <c r="F28" s="105" t="s">
        <v>1060</v>
      </c>
      <c r="G28" s="105" t="s">
        <v>576</v>
      </c>
      <c r="H28" s="75"/>
      <c r="I28" s="76" t="s">
        <v>595</v>
      </c>
      <c r="J28" s="76" t="s">
        <v>732</v>
      </c>
      <c r="K28" s="76" t="s">
        <v>805</v>
      </c>
      <c r="L28" s="76" t="s">
        <v>598</v>
      </c>
      <c r="M28" s="76" t="s">
        <v>727</v>
      </c>
      <c r="N28" s="76"/>
      <c r="O28" s="76" t="s">
        <v>710</v>
      </c>
      <c r="P28" s="76" t="s">
        <v>784</v>
      </c>
      <c r="Q28" s="76" t="s">
        <v>728</v>
      </c>
      <c r="R28" s="75"/>
      <c r="S28" s="113" t="str">
        <f t="shared" ref="S28:S45" si="2">TRIM(IF(ISBLANK(I28), IF(ISBLANK(N28), "MISSING [VULNTYPE] OR [ROOT CAUSE]! ", CONCATENATE(J28,IF(ISBLANK(J28), "", " in "),K28, IF(ISBLANK(K28), "", " "), L28, IF(ISBLANK(L28), "[PRODUCT] ", " "), M28, IF(ISBLANK(M28), "", " "),  N28, ", which allows ", O28, IF(ISBLANK(O28), "attackers to ", " to "), P28, IF(ISBLANK(P28), "unspecified impact ", ""), "via ", Q28, IF(ISBLANK(Q28), "unspecified vectors.", "."))), CONCATENATE(I28,IF(ISBLANK(I28), "", " in "),J28,IF(ISBLANK(J28), "", " in "),K28, IF(ISBLANK(K28), "", " "), L28, IF(ISBLANK(L28), "[PRODUCT] ", " "), M28, IF(ISBLANK(M28), "", " "), "allows ", O28, IF(ISBLANK(O28), "attackers to ", " to "), P28, IF(ISBLANK(P28), " unspecified impact", ""), " via ", Q28, IF(ISBLANK(Q28), "unspecified vectors.", "."))))</f>
        <v>XML entity injection vulnerability in the custom filter feature in McAfee (now Intel Security) Enterprise Policy Orchestrator (ePO) 4.6.8, 5.1.1, and earlier allows authenticated users on authorized accounts to expose confidential data via injecting malicious XML definitions.</v>
      </c>
      <c r="T28" s="77"/>
      <c r="U28" s="77" t="s">
        <v>41</v>
      </c>
      <c r="V28" s="143"/>
      <c r="W28" s="131" t="s">
        <v>1366</v>
      </c>
      <c r="X28" s="73" t="s">
        <v>1364</v>
      </c>
    </row>
    <row r="29" spans="1:24" ht="75" x14ac:dyDescent="0.25">
      <c r="A29" s="104" t="s">
        <v>1304</v>
      </c>
      <c r="B29" s="73" t="s">
        <v>585</v>
      </c>
      <c r="C29" s="73" t="s">
        <v>593</v>
      </c>
      <c r="D29" s="74">
        <v>2015</v>
      </c>
      <c r="E29" s="105" t="s">
        <v>1092</v>
      </c>
      <c r="F29" s="105" t="s">
        <v>1060</v>
      </c>
      <c r="G29" s="105" t="s">
        <v>576</v>
      </c>
      <c r="H29" s="75"/>
      <c r="I29" s="76" t="s">
        <v>729</v>
      </c>
      <c r="J29" s="76" t="s">
        <v>732</v>
      </c>
      <c r="K29" s="76" t="s">
        <v>805</v>
      </c>
      <c r="L29" s="76" t="s">
        <v>598</v>
      </c>
      <c r="M29" s="76" t="s">
        <v>727</v>
      </c>
      <c r="N29" s="76"/>
      <c r="O29" s="76" t="s">
        <v>568</v>
      </c>
      <c r="P29" s="76" t="s">
        <v>730</v>
      </c>
      <c r="Q29" s="76" t="s">
        <v>731</v>
      </c>
      <c r="R29" s="75"/>
      <c r="S29" s="113" t="str">
        <f t="shared" si="2"/>
        <v>Metasploit credential disclosure vulnerability in the custom filter feature in McAfee (now Intel Security) Enterprise Policy Orchestrator (ePO) 4.6.8, 5.1.1, and earlier allows authenticated users to read a large number of ePO server side system files, including the database configuration properties, to further other attacks via Metasploit after a successful XML entity injection attack.</v>
      </c>
      <c r="T29" s="77"/>
      <c r="U29" s="77" t="s">
        <v>41</v>
      </c>
      <c r="V29" s="143"/>
      <c r="W29" s="131" t="s">
        <v>1366</v>
      </c>
      <c r="X29" s="73" t="s">
        <v>1365</v>
      </c>
    </row>
    <row r="30" spans="1:24" ht="75" x14ac:dyDescent="0.25">
      <c r="A30" s="104" t="s">
        <v>1303</v>
      </c>
      <c r="B30" s="73" t="s">
        <v>586</v>
      </c>
      <c r="C30" s="73" t="s">
        <v>593</v>
      </c>
      <c r="D30" s="74">
        <v>2015</v>
      </c>
      <c r="E30" s="105" t="s">
        <v>1092</v>
      </c>
      <c r="F30" s="105" t="s">
        <v>1060</v>
      </c>
      <c r="G30" s="105" t="s">
        <v>576</v>
      </c>
      <c r="H30" s="75"/>
      <c r="I30" s="76" t="s">
        <v>739</v>
      </c>
      <c r="J30" s="76" t="s">
        <v>736</v>
      </c>
      <c r="K30" s="76" t="s">
        <v>805</v>
      </c>
      <c r="L30" s="76" t="s">
        <v>735</v>
      </c>
      <c r="M30" s="76" t="s">
        <v>738</v>
      </c>
      <c r="N30" s="76"/>
      <c r="O30" s="76" t="s">
        <v>32</v>
      </c>
      <c r="P30" s="76" t="s">
        <v>740</v>
      </c>
      <c r="Q30" s="76" t="s">
        <v>737</v>
      </c>
      <c r="R30" s="75"/>
      <c r="S30" s="113" t="str">
        <f t="shared" si="2"/>
        <v>Sandbox detection evasion vulnerability in hardware appliances in McAfee (now Intel Security) Advanced Threat Defense (MATD) 3.4.2.32 and earlier allows attackers to detect the sandbox environment, then bypass proper malware detection resulting in failure to detect a malware file (false-negative) via specially crafted malware.</v>
      </c>
      <c r="T30" s="77"/>
      <c r="U30" s="77" t="s">
        <v>41</v>
      </c>
      <c r="V30" s="143"/>
      <c r="W30" s="131" t="s">
        <v>1363</v>
      </c>
      <c r="X30" s="73" t="s">
        <v>1359</v>
      </c>
    </row>
    <row r="31" spans="1:24" ht="60" x14ac:dyDescent="0.25">
      <c r="A31" s="104" t="s">
        <v>1302</v>
      </c>
      <c r="B31" s="73" t="s">
        <v>587</v>
      </c>
      <c r="C31" s="73" t="s">
        <v>593</v>
      </c>
      <c r="D31" s="74">
        <v>2015</v>
      </c>
      <c r="E31" s="105" t="s">
        <v>1092</v>
      </c>
      <c r="F31" s="105" t="s">
        <v>1060</v>
      </c>
      <c r="G31" s="105" t="s">
        <v>576</v>
      </c>
      <c r="H31" s="75"/>
      <c r="I31" s="76" t="s">
        <v>743</v>
      </c>
      <c r="J31" s="76" t="s">
        <v>747</v>
      </c>
      <c r="K31" s="76" t="s">
        <v>805</v>
      </c>
      <c r="L31" s="76" t="s">
        <v>741</v>
      </c>
      <c r="M31" s="76" t="s">
        <v>742</v>
      </c>
      <c r="N31" s="76"/>
      <c r="O31" s="76" t="s">
        <v>32</v>
      </c>
      <c r="P31" s="76" t="s">
        <v>745</v>
      </c>
      <c r="Q31" s="76" t="s">
        <v>746</v>
      </c>
      <c r="R31" s="75"/>
      <c r="S31" s="113" t="str">
        <f t="shared" si="2"/>
        <v>Privilege escalation vulnerability in the agent in McAfee (now Intel Security) Data Loss Prevention Endpoint (DLPe) 9.3.300 and earlier allows attackers to gain elevated privileges on Windows XP via sending specifically crafted commands to a Windows kernel driver.</v>
      </c>
      <c r="T31" s="77"/>
      <c r="U31" s="77" t="s">
        <v>41</v>
      </c>
      <c r="V31" s="143"/>
      <c r="W31" s="145" t="s">
        <v>1361</v>
      </c>
      <c r="X31" s="73" t="s">
        <v>1362</v>
      </c>
    </row>
    <row r="32" spans="1:24" ht="45" x14ac:dyDescent="0.25">
      <c r="A32" s="104" t="s">
        <v>1301</v>
      </c>
      <c r="B32" s="73" t="s">
        <v>588</v>
      </c>
      <c r="C32" s="73" t="s">
        <v>593</v>
      </c>
      <c r="D32" s="74">
        <v>2015</v>
      </c>
      <c r="E32" s="105" t="s">
        <v>1092</v>
      </c>
      <c r="F32" s="105" t="s">
        <v>1060</v>
      </c>
      <c r="G32" s="105" t="s">
        <v>576</v>
      </c>
      <c r="H32" s="75"/>
      <c r="I32" s="76" t="s">
        <v>748</v>
      </c>
      <c r="J32" s="76" t="s">
        <v>751</v>
      </c>
      <c r="K32" s="76" t="s">
        <v>805</v>
      </c>
      <c r="L32" s="76" t="s">
        <v>749</v>
      </c>
      <c r="M32" s="76" t="s">
        <v>750</v>
      </c>
      <c r="N32" s="76"/>
      <c r="O32" s="76" t="s">
        <v>32</v>
      </c>
      <c r="P32" s="76" t="s">
        <v>753</v>
      </c>
      <c r="Q32" s="76" t="s">
        <v>752</v>
      </c>
      <c r="R32" s="75"/>
      <c r="S32" s="113" t="str">
        <f t="shared" si="2"/>
        <v>Reflected cross site scripting (XSS) vulnerability in secure web mail client user interface in McAfee (now Intel Security) Email Gateway (MEG) 5.6, 7.0.5, 7.5.5, 7.6.3.1, and earlier allows attackers to view and compose secure emails via certain tokens in digest messages that are not escaped.</v>
      </c>
      <c r="T32" s="77"/>
      <c r="U32" s="77" t="s">
        <v>41</v>
      </c>
      <c r="V32" s="143"/>
      <c r="W32" s="145" t="s">
        <v>1360</v>
      </c>
      <c r="X32" s="73" t="s">
        <v>1359</v>
      </c>
    </row>
    <row r="33" spans="1:24" ht="45" x14ac:dyDescent="0.25">
      <c r="A33" s="104" t="s">
        <v>1300</v>
      </c>
      <c r="B33" s="73" t="s">
        <v>589</v>
      </c>
      <c r="C33" s="73" t="s">
        <v>593</v>
      </c>
      <c r="D33" s="74">
        <v>2015</v>
      </c>
      <c r="E33" s="105" t="s">
        <v>1092</v>
      </c>
      <c r="F33" s="105" t="s">
        <v>1060</v>
      </c>
      <c r="G33" s="105" t="s">
        <v>576</v>
      </c>
      <c r="H33" s="75"/>
      <c r="I33" s="76" t="s">
        <v>769</v>
      </c>
      <c r="J33" s="76" t="s">
        <v>759</v>
      </c>
      <c r="K33" s="76" t="s">
        <v>805</v>
      </c>
      <c r="L33" s="76" t="s">
        <v>754</v>
      </c>
      <c r="M33" s="76" t="s">
        <v>755</v>
      </c>
      <c r="N33" s="76"/>
      <c r="O33" s="76" t="s">
        <v>32</v>
      </c>
      <c r="P33" s="76" t="s">
        <v>758</v>
      </c>
      <c r="Q33" s="76" t="s">
        <v>757</v>
      </c>
      <c r="R33" s="75"/>
      <c r="S33" s="113" t="str">
        <f t="shared" si="2"/>
        <v>Man-in-the-middle (MitM) attack vulnerability in non-Mac OS agents in McAfee (now Intel Security) Agent (MA) 4.8.0 patch 2 and earlier allows attackers to make a McAfee Agent talk with another, possibly rogue, ePO server via McAfee Agent migration to another ePO server.</v>
      </c>
      <c r="T33" s="77"/>
      <c r="U33" s="77" t="s">
        <v>41</v>
      </c>
      <c r="V33" s="143"/>
      <c r="W33" s="145" t="s">
        <v>1358</v>
      </c>
      <c r="X33" s="73" t="s">
        <v>1357</v>
      </c>
    </row>
    <row r="34" spans="1:24" ht="60" x14ac:dyDescent="0.25">
      <c r="A34" s="104" t="s">
        <v>1299</v>
      </c>
      <c r="B34" s="73" t="s">
        <v>590</v>
      </c>
      <c r="C34" s="73" t="s">
        <v>593</v>
      </c>
      <c r="D34" s="74">
        <v>2015</v>
      </c>
      <c r="E34" s="105" t="s">
        <v>1092</v>
      </c>
      <c r="F34" s="105" t="s">
        <v>1060</v>
      </c>
      <c r="G34" s="105" t="s">
        <v>576</v>
      </c>
      <c r="H34" s="75"/>
      <c r="I34" s="76" t="s">
        <v>761</v>
      </c>
      <c r="J34" s="76" t="s">
        <v>780</v>
      </c>
      <c r="K34" s="76" t="s">
        <v>790</v>
      </c>
      <c r="L34" s="76" t="s">
        <v>741</v>
      </c>
      <c r="M34" s="76" t="s">
        <v>760</v>
      </c>
      <c r="N34" s="76"/>
      <c r="O34" s="76" t="s">
        <v>568</v>
      </c>
      <c r="P34" s="76" t="s">
        <v>762</v>
      </c>
      <c r="Q34" s="76" t="s">
        <v>763</v>
      </c>
      <c r="R34" s="75"/>
      <c r="S34" s="113" t="str">
        <f t="shared" si="2"/>
        <v>Cross site scripting (XSS) vulnerability in the ePO extension in Intel Security (formerly McAfee) Data Loss Prevention Endpoint (DLPe) 9.3.400 and earlier allows authenticated users to exploit or harm a user’s browser via injecting malicious JavaScript into a user’s browsing session.</v>
      </c>
      <c r="T34" s="77"/>
      <c r="U34" s="77" t="s">
        <v>41</v>
      </c>
      <c r="V34" s="143"/>
      <c r="W34" s="145" t="s">
        <v>1353</v>
      </c>
      <c r="X34" s="73" t="s">
        <v>1352</v>
      </c>
    </row>
    <row r="35" spans="1:24" ht="45" x14ac:dyDescent="0.25">
      <c r="A35" s="104" t="s">
        <v>1299</v>
      </c>
      <c r="B35" s="73" t="s">
        <v>590</v>
      </c>
      <c r="C35" s="73" t="s">
        <v>593</v>
      </c>
      <c r="D35" s="74">
        <v>2015</v>
      </c>
      <c r="E35" s="105" t="s">
        <v>1092</v>
      </c>
      <c r="F35" s="105" t="s">
        <v>1060</v>
      </c>
      <c r="G35" s="105" t="s">
        <v>576</v>
      </c>
      <c r="H35" s="75"/>
      <c r="I35" s="76" t="s">
        <v>770</v>
      </c>
      <c r="J35" s="76" t="s">
        <v>780</v>
      </c>
      <c r="K35" s="76" t="s">
        <v>790</v>
      </c>
      <c r="L35" s="76" t="s">
        <v>741</v>
      </c>
      <c r="M35" s="76" t="s">
        <v>760</v>
      </c>
      <c r="N35" s="76"/>
      <c r="O35" s="76" t="s">
        <v>568</v>
      </c>
      <c r="P35" s="76" t="s">
        <v>1266</v>
      </c>
      <c r="Q35" s="76" t="s">
        <v>764</v>
      </c>
      <c r="R35" s="75"/>
      <c r="S35" s="113" t="str">
        <f t="shared" si="2"/>
        <v>Denial of service (DoS) vulnerability in the ePO extension in Intel Security (formerly McAfee) Data Loss Prevention Endpoint (DLPe) 9.3.400 and earlier allows authenticated users to lock the database or corrupt the license via a denial of service attack.</v>
      </c>
      <c r="T35" s="77"/>
      <c r="U35" s="77" t="s">
        <v>41</v>
      </c>
      <c r="V35" s="143"/>
      <c r="W35" s="145" t="s">
        <v>1354</v>
      </c>
      <c r="X35" s="73" t="s">
        <v>1352</v>
      </c>
    </row>
    <row r="36" spans="1:24" ht="60" x14ac:dyDescent="0.25">
      <c r="A36" s="104" t="s">
        <v>1299</v>
      </c>
      <c r="B36" s="73" t="s">
        <v>590</v>
      </c>
      <c r="C36" s="73" t="s">
        <v>593</v>
      </c>
      <c r="D36" s="74">
        <v>2015</v>
      </c>
      <c r="E36" s="105" t="s">
        <v>1092</v>
      </c>
      <c r="F36" s="105" t="s">
        <v>1060</v>
      </c>
      <c r="G36" s="105" t="s">
        <v>576</v>
      </c>
      <c r="H36" s="75"/>
      <c r="I36" s="115" t="s">
        <v>767</v>
      </c>
      <c r="J36" s="76" t="s">
        <v>780</v>
      </c>
      <c r="K36" s="76" t="s">
        <v>790</v>
      </c>
      <c r="L36" s="76" t="s">
        <v>741</v>
      </c>
      <c r="M36" s="76" t="s">
        <v>760</v>
      </c>
      <c r="N36" s="76"/>
      <c r="O36" s="76" t="s">
        <v>568</v>
      </c>
      <c r="P36" s="76" t="s">
        <v>765</v>
      </c>
      <c r="Q36" s="76" t="s">
        <v>766</v>
      </c>
      <c r="R36" s="75"/>
      <c r="S36" s="113" t="str">
        <f t="shared" si="2"/>
        <v>Unauthorized feature access vulnerability in the ePO extension in Intel Security (formerly McAfee) Data Loss Prevention Endpoint (DLPe) 9.3.400 and earlier allows authenticated users to perform unauthorized tasks such as retrieving internal system information or manipulating the database via specially crafted URLs.</v>
      </c>
      <c r="T36" s="77"/>
      <c r="U36" s="77" t="s">
        <v>41</v>
      </c>
      <c r="V36" s="143"/>
      <c r="W36" s="145" t="s">
        <v>1355</v>
      </c>
      <c r="X36" s="73" t="s">
        <v>1352</v>
      </c>
    </row>
    <row r="37" spans="1:24" ht="45" x14ac:dyDescent="0.25">
      <c r="A37" s="104" t="s">
        <v>1299</v>
      </c>
      <c r="B37" s="73" t="s">
        <v>590</v>
      </c>
      <c r="C37" s="73" t="s">
        <v>593</v>
      </c>
      <c r="D37" s="74">
        <v>2015</v>
      </c>
      <c r="E37" s="105" t="s">
        <v>1092</v>
      </c>
      <c r="F37" s="105" t="s">
        <v>1060</v>
      </c>
      <c r="G37" s="105" t="s">
        <v>576</v>
      </c>
      <c r="H37" s="75"/>
      <c r="I37" s="76" t="s">
        <v>768</v>
      </c>
      <c r="J37" s="76" t="s">
        <v>780</v>
      </c>
      <c r="K37" s="76" t="s">
        <v>790</v>
      </c>
      <c r="L37" s="76" t="s">
        <v>741</v>
      </c>
      <c r="M37" s="76" t="s">
        <v>760</v>
      </c>
      <c r="N37" s="76"/>
      <c r="O37" s="76" t="s">
        <v>568</v>
      </c>
      <c r="P37" s="76" t="s">
        <v>771</v>
      </c>
      <c r="Q37" s="76" t="s">
        <v>772</v>
      </c>
      <c r="R37" s="75"/>
      <c r="S37" s="113" t="str">
        <f t="shared" si="2"/>
        <v>Cross site request forgery (XSRF) vulnerability in the ePO extension in Intel Security (formerly McAfee) Data Loss Prevention Endpoint (DLPe) 9.3.400 and earlier allows authenticated users to disclose sensitive information or manipulate the database via a cross site request forgery attack.</v>
      </c>
      <c r="T37" s="77"/>
      <c r="U37" s="77" t="s">
        <v>41</v>
      </c>
      <c r="V37" s="143"/>
      <c r="W37" s="145" t="s">
        <v>1356</v>
      </c>
      <c r="X37" s="73" t="s">
        <v>1352</v>
      </c>
    </row>
    <row r="38" spans="1:24" ht="30" x14ac:dyDescent="0.25">
      <c r="A38" s="73" t="s">
        <v>1298</v>
      </c>
      <c r="B38" s="73" t="s">
        <v>591</v>
      </c>
      <c r="C38" s="73" t="s">
        <v>593</v>
      </c>
      <c r="D38" s="74">
        <v>2015</v>
      </c>
      <c r="E38" s="105" t="s">
        <v>1092</v>
      </c>
      <c r="F38" s="105" t="s">
        <v>1060</v>
      </c>
      <c r="G38" s="105" t="s">
        <v>576</v>
      </c>
      <c r="H38" s="75"/>
      <c r="I38" s="76" t="s">
        <v>777</v>
      </c>
      <c r="J38" s="76"/>
      <c r="K38" s="76" t="s">
        <v>11</v>
      </c>
      <c r="L38" s="76" t="s">
        <v>773</v>
      </c>
      <c r="M38" s="76" t="s">
        <v>774</v>
      </c>
      <c r="N38" s="76"/>
      <c r="O38" s="76" t="s">
        <v>568</v>
      </c>
      <c r="P38" s="76" t="s">
        <v>776</v>
      </c>
      <c r="Q38" s="76" t="s">
        <v>775</v>
      </c>
      <c r="R38" s="75"/>
      <c r="S38" s="113" t="str">
        <f t="shared" si="2"/>
        <v>Configuration information exposure in Intel Security McAfee Advanced Threat Defense (MATD) 3.4.4.14 and earlier allows authenticated users to view configuration information in plain text format via appliance web interface.</v>
      </c>
      <c r="T38" s="77"/>
      <c r="U38" s="77" t="s">
        <v>41</v>
      </c>
      <c r="V38" s="143"/>
      <c r="W38" s="145" t="s">
        <v>1347</v>
      </c>
      <c r="X38" s="73" t="s">
        <v>1193</v>
      </c>
    </row>
    <row r="39" spans="1:24" ht="45" x14ac:dyDescent="0.25">
      <c r="A39" s="73" t="s">
        <v>1298</v>
      </c>
      <c r="B39" s="73" t="s">
        <v>591</v>
      </c>
      <c r="C39" s="73" t="s">
        <v>593</v>
      </c>
      <c r="D39" s="74">
        <v>2015</v>
      </c>
      <c r="E39" s="105" t="s">
        <v>1092</v>
      </c>
      <c r="F39" s="105" t="s">
        <v>1060</v>
      </c>
      <c r="G39" s="105" t="s">
        <v>576</v>
      </c>
      <c r="H39" s="75"/>
      <c r="I39" s="76" t="s">
        <v>783</v>
      </c>
      <c r="J39" s="76" t="s">
        <v>779</v>
      </c>
      <c r="K39" s="76" t="s">
        <v>11</v>
      </c>
      <c r="L39" s="76" t="s">
        <v>773</v>
      </c>
      <c r="M39" s="76" t="s">
        <v>774</v>
      </c>
      <c r="N39" s="116"/>
      <c r="O39" s="76" t="s">
        <v>568</v>
      </c>
      <c r="P39" s="76" t="s">
        <v>782</v>
      </c>
      <c r="Q39" s="76" t="s">
        <v>781</v>
      </c>
      <c r="R39" s="75"/>
      <c r="S39" s="113" t="str">
        <f t="shared" si="2"/>
        <v>Application protections bypass vulnerability in the web interface in Intel Security McAfee Advanced Threat Defense (MATD) 3.4.4.14 and earlier allows authenticated users to view confidential information via loose enforcement of authentication and authorization.</v>
      </c>
      <c r="T39" s="77"/>
      <c r="U39" s="77" t="s">
        <v>41</v>
      </c>
      <c r="V39" s="143"/>
      <c r="W39" s="145" t="s">
        <v>1349</v>
      </c>
      <c r="X39" s="73" t="s">
        <v>1350</v>
      </c>
    </row>
    <row r="40" spans="1:24" ht="45" x14ac:dyDescent="0.25">
      <c r="A40" s="73" t="s">
        <v>1298</v>
      </c>
      <c r="B40" s="73" t="s">
        <v>591</v>
      </c>
      <c r="C40" s="73" t="s">
        <v>593</v>
      </c>
      <c r="D40" s="74">
        <v>2015</v>
      </c>
      <c r="E40" s="105" t="s">
        <v>1092</v>
      </c>
      <c r="F40" s="105" t="s">
        <v>1060</v>
      </c>
      <c r="G40" s="105" t="s">
        <v>576</v>
      </c>
      <c r="H40" s="75"/>
      <c r="I40" s="76" t="s">
        <v>743</v>
      </c>
      <c r="J40" s="76"/>
      <c r="K40" s="76" t="s">
        <v>11</v>
      </c>
      <c r="L40" s="76" t="s">
        <v>773</v>
      </c>
      <c r="M40" s="76" t="s">
        <v>774</v>
      </c>
      <c r="N40" s="76"/>
      <c r="O40" s="76" t="s">
        <v>568</v>
      </c>
      <c r="P40" s="76" t="s">
        <v>785</v>
      </c>
      <c r="Q40" s="76" t="s">
        <v>786</v>
      </c>
      <c r="R40" s="75"/>
      <c r="S40" s="113" t="str">
        <f t="shared" si="2"/>
        <v>Privilege escalation vulnerability in Intel Security McAfee Advanced Threat Defense (MATD) 3.4.4.14 and earlier allows authenticated users to change or update any configuration settings, or gain administrator functionality via manipulation of some parameters.</v>
      </c>
      <c r="T40" s="77"/>
      <c r="U40" s="77" t="s">
        <v>41</v>
      </c>
      <c r="V40" s="143"/>
      <c r="W40" s="145" t="s">
        <v>1348</v>
      </c>
      <c r="X40" s="73" t="s">
        <v>1351</v>
      </c>
    </row>
    <row r="41" spans="1:24" ht="45" x14ac:dyDescent="0.25">
      <c r="A41" s="104" t="s">
        <v>1307</v>
      </c>
      <c r="B41" s="104" t="s">
        <v>830</v>
      </c>
      <c r="C41" s="73" t="s">
        <v>593</v>
      </c>
      <c r="D41" s="74">
        <v>2015</v>
      </c>
      <c r="E41" s="105" t="s">
        <v>1092</v>
      </c>
      <c r="F41" s="105" t="s">
        <v>1060</v>
      </c>
      <c r="G41" s="105" t="s">
        <v>576</v>
      </c>
      <c r="H41" s="75"/>
      <c r="I41" s="76" t="s">
        <v>1170</v>
      </c>
      <c r="J41" s="76" t="s">
        <v>1174</v>
      </c>
      <c r="K41" s="76" t="s">
        <v>805</v>
      </c>
      <c r="L41" s="76" t="s">
        <v>548</v>
      </c>
      <c r="M41" s="76" t="s">
        <v>1169</v>
      </c>
      <c r="N41" s="76"/>
      <c r="O41" s="76" t="s">
        <v>568</v>
      </c>
      <c r="P41" s="76" t="s">
        <v>1171</v>
      </c>
      <c r="Q41" s="76" t="s">
        <v>1172</v>
      </c>
      <c r="R41" s="75"/>
      <c r="S41" s="113" t="str">
        <f t="shared" si="2"/>
        <v>Unquoted executable path vulnerability in Client Management and Gateway components in McAfee (now Intel Security) ePO Deep Command 2.2 and 2.1 allows authenticated users to execute a command of their choice via dropping a malicious file for the path.</v>
      </c>
      <c r="T41" s="77"/>
      <c r="U41" s="77" t="s">
        <v>41</v>
      </c>
      <c r="V41" s="143"/>
      <c r="W41" s="145" t="s">
        <v>1199</v>
      </c>
      <c r="X41" s="129" t="s">
        <v>1198</v>
      </c>
    </row>
    <row r="42" spans="1:24" ht="45" x14ac:dyDescent="0.25">
      <c r="A42" s="104" t="s">
        <v>1297</v>
      </c>
      <c r="B42" s="104" t="s">
        <v>831</v>
      </c>
      <c r="C42" s="73" t="s">
        <v>593</v>
      </c>
      <c r="D42" s="74">
        <v>2015</v>
      </c>
      <c r="E42" s="105" t="s">
        <v>1092</v>
      </c>
      <c r="F42" s="105" t="s">
        <v>1060</v>
      </c>
      <c r="G42" s="105" t="s">
        <v>576</v>
      </c>
      <c r="H42" s="75"/>
      <c r="I42" s="76" t="s">
        <v>1176</v>
      </c>
      <c r="J42" s="76" t="s">
        <v>1177</v>
      </c>
      <c r="K42" s="76" t="s">
        <v>11</v>
      </c>
      <c r="L42" s="76" t="s">
        <v>1175</v>
      </c>
      <c r="M42" s="76" t="s">
        <v>1173</v>
      </c>
      <c r="N42" s="76"/>
      <c r="O42" s="76" t="s">
        <v>32</v>
      </c>
      <c r="P42" s="76" t="s">
        <v>1178</v>
      </c>
      <c r="Q42" s="76" t="s">
        <v>1179</v>
      </c>
      <c r="R42" s="75"/>
      <c r="S42" s="113" t="str">
        <f t="shared" si="2"/>
        <v>Unsalted password vulnerability in the Enterprise Manager (web portal) component in Intel Security McAfee Vulnerability Manager (MVM) 7.5.8 and earlier allows attackers to more easily decrypt user passwords via brute force attacks against the database.</v>
      </c>
      <c r="T42" s="77"/>
      <c r="U42" s="77" t="s">
        <v>41</v>
      </c>
      <c r="V42" s="143"/>
      <c r="W42" s="145" t="s">
        <v>1192</v>
      </c>
      <c r="X42" s="129" t="s">
        <v>1196</v>
      </c>
    </row>
    <row r="43" spans="1:24" ht="30" x14ac:dyDescent="0.25">
      <c r="A43" s="104" t="s">
        <v>1296</v>
      </c>
      <c r="B43" s="104" t="s">
        <v>832</v>
      </c>
      <c r="C43" s="73" t="s">
        <v>593</v>
      </c>
      <c r="D43" s="74">
        <v>2015</v>
      </c>
      <c r="E43" s="105" t="s">
        <v>1092</v>
      </c>
      <c r="F43" s="105" t="s">
        <v>1060</v>
      </c>
      <c r="G43" s="105" t="s">
        <v>576</v>
      </c>
      <c r="H43" s="75"/>
      <c r="I43" s="76" t="s">
        <v>1181</v>
      </c>
      <c r="J43" s="76"/>
      <c r="K43" s="76" t="s">
        <v>11</v>
      </c>
      <c r="L43" s="76" t="s">
        <v>1180</v>
      </c>
      <c r="M43" s="76" t="s">
        <v>1182</v>
      </c>
      <c r="N43" s="76"/>
      <c r="O43" s="76" t="s">
        <v>1184</v>
      </c>
      <c r="P43" s="76" t="s">
        <v>1183</v>
      </c>
      <c r="Q43" s="76" t="s">
        <v>1185</v>
      </c>
      <c r="R43" s="75"/>
      <c r="S43" s="113" t="str">
        <f t="shared" si="2"/>
        <v>Detection bypass vulnerability in Intel Security Advanced Threat Defense (ATD) 3.4.6 and earlier allows malware samples to bypass ATD detection via renaming the malware.</v>
      </c>
      <c r="T43" s="77"/>
      <c r="U43" s="77" t="s">
        <v>41</v>
      </c>
      <c r="V43" s="143"/>
      <c r="W43" s="147" t="s">
        <v>1214</v>
      </c>
      <c r="X43" s="129" t="s">
        <v>1193</v>
      </c>
    </row>
    <row r="44" spans="1:24" ht="60" x14ac:dyDescent="0.25">
      <c r="A44" s="104" t="s">
        <v>1295</v>
      </c>
      <c r="B44" s="104" t="s">
        <v>833</v>
      </c>
      <c r="C44" s="73" t="s">
        <v>593</v>
      </c>
      <c r="D44" s="74">
        <v>2015</v>
      </c>
      <c r="E44" s="105" t="s">
        <v>1092</v>
      </c>
      <c r="F44" s="105" t="s">
        <v>1060</v>
      </c>
      <c r="G44" s="105" t="s">
        <v>576</v>
      </c>
      <c r="H44" s="75"/>
      <c r="I44" s="76" t="s">
        <v>1186</v>
      </c>
      <c r="J44" s="76" t="s">
        <v>1187</v>
      </c>
      <c r="K44" s="76" t="s">
        <v>11</v>
      </c>
      <c r="L44" s="76" t="s">
        <v>1088</v>
      </c>
      <c r="M44" s="76" t="s">
        <v>1188</v>
      </c>
      <c r="N44" s="76"/>
      <c r="O44" s="76" t="s">
        <v>568</v>
      </c>
      <c r="P44" s="76" t="s">
        <v>1189</v>
      </c>
      <c r="Q44" s="76" t="s">
        <v>1190</v>
      </c>
      <c r="R44" s="75"/>
      <c r="S44" s="113" t="str">
        <f t="shared" si="2"/>
        <v>OS command injection vulnerability in Enterprise Security Manager (ESM), ESMLM, and ESMREC appliances in Intel Security McAfee Security Information and Event Management (SIEM) 9.3.2MR17, 9.4.2MR7, 9.5.0MR6, and earlier allows authenticated users to cause command execution in the context of the ESM web server via a carefully crafted filename, when downloaded.</v>
      </c>
      <c r="T44" s="77"/>
      <c r="U44" s="77" t="s">
        <v>41</v>
      </c>
      <c r="V44" s="143"/>
      <c r="W44" s="145" t="s">
        <v>1191</v>
      </c>
      <c r="X44" s="129" t="s">
        <v>1195</v>
      </c>
    </row>
    <row r="45" spans="1:24" ht="44.25" customHeight="1" x14ac:dyDescent="0.25">
      <c r="A45" s="104" t="s">
        <v>1294</v>
      </c>
      <c r="B45" s="104" t="s">
        <v>834</v>
      </c>
      <c r="C45" s="73" t="s">
        <v>593</v>
      </c>
      <c r="D45" s="74">
        <v>2015</v>
      </c>
      <c r="E45" s="105" t="s">
        <v>1092</v>
      </c>
      <c r="F45" s="105" t="s">
        <v>1060</v>
      </c>
      <c r="G45" s="105" t="s">
        <v>576</v>
      </c>
      <c r="H45" s="75"/>
      <c r="I45" s="76" t="s">
        <v>1202</v>
      </c>
      <c r="J45" s="76"/>
      <c r="K45" s="76" t="s">
        <v>11</v>
      </c>
      <c r="L45" s="76" t="s">
        <v>1203</v>
      </c>
      <c r="M45" s="76" t="s">
        <v>1204</v>
      </c>
      <c r="N45" s="76"/>
      <c r="O45" s="76" t="s">
        <v>32</v>
      </c>
      <c r="P45" s="76" t="s">
        <v>1205</v>
      </c>
      <c r="Q45" s="76" t="s">
        <v>1206</v>
      </c>
      <c r="R45" s="75"/>
      <c r="S45" s="113" t="str">
        <f t="shared" si="2"/>
        <v>Insecure deserialization of data vulnerability in Intel Security McAfee ePolicy Orchestrator (ePO) 5.3.1 and earlier, 5.1.3 and earlier, and 4.6.9 and earlier allows attackers to execution arbitrary code via Apache Commons Collections library 3.2.1.</v>
      </c>
      <c r="T45" s="77"/>
      <c r="U45" s="77" t="s">
        <v>41</v>
      </c>
      <c r="V45" s="143"/>
      <c r="W45" s="145" t="s">
        <v>1201</v>
      </c>
      <c r="X45" s="129" t="s">
        <v>1200</v>
      </c>
    </row>
    <row r="46" spans="1:24" s="6" customFormat="1" x14ac:dyDescent="0.25">
      <c r="A46" s="42"/>
      <c r="B46" s="42"/>
      <c r="C46" s="87">
        <v>2016</v>
      </c>
      <c r="D46" s="45"/>
      <c r="E46" s="45"/>
      <c r="F46" s="45"/>
      <c r="G46" s="45"/>
      <c r="I46" s="26"/>
      <c r="J46" s="26"/>
      <c r="K46" s="39"/>
      <c r="L46" s="39"/>
      <c r="M46" s="26"/>
      <c r="N46" s="26"/>
      <c r="O46" s="26"/>
      <c r="P46" s="26"/>
      <c r="Q46" s="26"/>
      <c r="S46" s="37"/>
      <c r="T46" s="37"/>
      <c r="U46" s="37"/>
      <c r="W46" s="144"/>
      <c r="X46" s="128"/>
    </row>
    <row r="47" spans="1:24" s="32" customFormat="1" ht="75" x14ac:dyDescent="0.25">
      <c r="A47" s="104" t="s">
        <v>1306</v>
      </c>
      <c r="B47" s="104" t="s">
        <v>835</v>
      </c>
      <c r="C47" s="104" t="s">
        <v>847</v>
      </c>
      <c r="D47" s="117">
        <v>2016</v>
      </c>
      <c r="E47" s="118" t="s">
        <v>1092</v>
      </c>
      <c r="F47" s="105" t="s">
        <v>1060</v>
      </c>
      <c r="G47" s="118" t="s">
        <v>576</v>
      </c>
      <c r="H47" s="75"/>
      <c r="I47" s="115" t="s">
        <v>1208</v>
      </c>
      <c r="J47" s="115" t="s">
        <v>1210</v>
      </c>
      <c r="K47" s="115" t="s">
        <v>11</v>
      </c>
      <c r="L47" s="76" t="s">
        <v>1180</v>
      </c>
      <c r="M47" s="115" t="s">
        <v>1207</v>
      </c>
      <c r="N47" s="115"/>
      <c r="O47" s="76" t="s">
        <v>32</v>
      </c>
      <c r="P47" s="115" t="s">
        <v>1211</v>
      </c>
      <c r="Q47" s="115" t="s">
        <v>1212</v>
      </c>
      <c r="R47" s="75"/>
      <c r="S47" s="113" t="str">
        <f t="shared" ref="S47:S99" si="3">TRIM(IF(ISBLANK(I47), IF(ISBLANK(N47), "MISSING [VULNTYPE] OR [ROOT CAUSE]! ", CONCATENATE(J47,IF(ISBLANK(J47), "", " in "),K47, IF(ISBLANK(K47), "", " "), L47, IF(ISBLANK(L47), "[PRODUCT] ", " "), M47, IF(ISBLANK(M47), "", " "),  N47, ", which allows ", O47, IF(ISBLANK(O47), "attackers to ", " to "), P47, IF(ISBLANK(P47), "unspecified impact ", ""), "via ", Q47, IF(ISBLANK(Q47), "unspecified vectors.", "."))), CONCATENATE(I47,IF(ISBLANK(I47), "", " in "),J47,IF(ISBLANK(J47), "", " in "),K47, IF(ISBLANK(K47), "", " "), L47, IF(ISBLANK(L47), "[PRODUCT] ", " "), M47, IF(ISBLANK(M47), "", " "), "allows ", O47, IF(ISBLANK(O47), "attackers to ", " to "), P47, IF(ISBLANK(P47), " unspecified impact", ""), " via ", Q47, IF(ISBLANK(Q47), "unspecified vectors.", "."))))</f>
        <v>Security bypass vulnerability in the appliance in Intel Security Advanced Threat Defense (ATD) 3.4.8.178 and earlier allows attackers to terminate processes and escape the complete analysis via malware discovering that it is working under a parent process other than expected.</v>
      </c>
      <c r="T47" s="110"/>
      <c r="U47" s="77" t="s">
        <v>41</v>
      </c>
      <c r="V47" s="143"/>
      <c r="W47" s="145" t="s">
        <v>1213</v>
      </c>
      <c r="X47" s="130" t="s">
        <v>1209</v>
      </c>
    </row>
    <row r="48" spans="1:24" ht="30" x14ac:dyDescent="0.25">
      <c r="A48" s="73" t="s">
        <v>1130</v>
      </c>
      <c r="B48" s="73" t="s">
        <v>1137</v>
      </c>
      <c r="C48" s="73" t="s">
        <v>848</v>
      </c>
      <c r="D48" s="74">
        <v>2016</v>
      </c>
      <c r="E48" s="118" t="s">
        <v>1092</v>
      </c>
      <c r="F48" s="109" t="s">
        <v>1060</v>
      </c>
      <c r="G48" s="105" t="s">
        <v>576</v>
      </c>
      <c r="H48" s="75"/>
      <c r="I48" s="76" t="s">
        <v>783</v>
      </c>
      <c r="J48" s="76"/>
      <c r="K48" s="76" t="s">
        <v>11</v>
      </c>
      <c r="L48" s="76" t="s">
        <v>1280</v>
      </c>
      <c r="M48" s="107" t="s">
        <v>1305</v>
      </c>
      <c r="N48" s="76"/>
      <c r="O48" s="76" t="s">
        <v>26</v>
      </c>
      <c r="P48" s="76" t="s">
        <v>1131</v>
      </c>
      <c r="Q48" s="76" t="s">
        <v>1132</v>
      </c>
      <c r="R48" s="75"/>
      <c r="S48" s="113" t="str">
        <f t="shared" si="3"/>
        <v>Application protections bypass vulnerability in Intel Security Endpoint Security (ENS) 10.2 and earlier allows local users to bypass local security protection via a command-line utility .</v>
      </c>
      <c r="T48" s="77"/>
      <c r="U48" s="77" t="s">
        <v>40</v>
      </c>
      <c r="V48" s="143"/>
      <c r="W48" s="145" t="s">
        <v>1336</v>
      </c>
      <c r="X48" s="131" t="s">
        <v>1338</v>
      </c>
    </row>
    <row r="49" spans="1:24" s="32" customFormat="1" ht="45" x14ac:dyDescent="0.25">
      <c r="A49" s="104" t="s">
        <v>1291</v>
      </c>
      <c r="B49" s="104" t="s">
        <v>837</v>
      </c>
      <c r="C49" s="104" t="s">
        <v>849</v>
      </c>
      <c r="D49" s="117">
        <v>2016</v>
      </c>
      <c r="E49" s="118" t="s">
        <v>1092</v>
      </c>
      <c r="F49" s="105" t="s">
        <v>1060</v>
      </c>
      <c r="G49" s="118" t="s">
        <v>576</v>
      </c>
      <c r="H49" s="75"/>
      <c r="I49" s="115" t="s">
        <v>45</v>
      </c>
      <c r="J49" s="115"/>
      <c r="K49" s="115" t="s">
        <v>11</v>
      </c>
      <c r="L49" s="115" t="s">
        <v>1247</v>
      </c>
      <c r="M49" s="115" t="s">
        <v>1248</v>
      </c>
      <c r="N49" s="115"/>
      <c r="O49" s="115" t="s">
        <v>32</v>
      </c>
      <c r="P49" s="115" t="s">
        <v>1252</v>
      </c>
      <c r="Q49" s="115" t="s">
        <v>1251</v>
      </c>
      <c r="R49" s="75"/>
      <c r="S49" s="113" t="str">
        <f t="shared" si="3"/>
        <v>Cross-site scripting (XSS) vulnerability in Intel Security McAfee Email Gateway (MEG) before 7.6.404 allows attackers to perform arbitrary command execution via enabling file filtering with the action set to ESERVICES:REPLACE.</v>
      </c>
      <c r="T49" s="110"/>
      <c r="U49" s="77" t="s">
        <v>41</v>
      </c>
      <c r="V49" s="143"/>
      <c r="W49" s="145" t="s">
        <v>1249</v>
      </c>
      <c r="X49" s="130" t="s">
        <v>1250</v>
      </c>
    </row>
    <row r="50" spans="1:24" s="32" customFormat="1" ht="90" x14ac:dyDescent="0.25">
      <c r="A50" s="104" t="s">
        <v>1292</v>
      </c>
      <c r="B50" s="104" t="s">
        <v>838</v>
      </c>
      <c r="C50" s="104" t="s">
        <v>850</v>
      </c>
      <c r="D50" s="117">
        <v>2016</v>
      </c>
      <c r="E50" s="118" t="s">
        <v>1092</v>
      </c>
      <c r="F50" s="105" t="s">
        <v>1060</v>
      </c>
      <c r="G50" s="118" t="s">
        <v>576</v>
      </c>
      <c r="H50" s="75"/>
      <c r="I50" s="115" t="s">
        <v>1253</v>
      </c>
      <c r="J50" s="115"/>
      <c r="K50" s="115" t="s">
        <v>790</v>
      </c>
      <c r="L50" s="115" t="s">
        <v>1222</v>
      </c>
      <c r="M50" s="115" t="s">
        <v>1256</v>
      </c>
      <c r="N50" s="115"/>
      <c r="O50" s="115" t="s">
        <v>32</v>
      </c>
      <c r="P50" s="115" t="s">
        <v>1257</v>
      </c>
      <c r="Q50" s="115" t="s">
        <v>1258</v>
      </c>
      <c r="R50" s="75"/>
      <c r="S50" s="113" t="str">
        <f t="shared" si="3"/>
        <v>Protections bypass vulnerability in Intel Security (formerly McAfee) VirusScan Enterprise (VSE) before 8.8.0.1546 allows attackers to unlock the password protected VirusScan Console window via closing the registry handles for the VSE process mcconsole.exe using Process Explorer or similar tools.</v>
      </c>
      <c r="T50" s="110"/>
      <c r="U50" s="77" t="s">
        <v>41</v>
      </c>
      <c r="V50" s="143"/>
      <c r="W50" s="145" t="s">
        <v>1254</v>
      </c>
      <c r="X50" s="131" t="s">
        <v>1255</v>
      </c>
    </row>
    <row r="51" spans="1:24" s="32" customFormat="1" ht="90" x14ac:dyDescent="0.25">
      <c r="A51" s="104" t="s">
        <v>1293</v>
      </c>
      <c r="B51" s="104" t="s">
        <v>839</v>
      </c>
      <c r="C51" s="104" t="s">
        <v>851</v>
      </c>
      <c r="D51" s="117">
        <v>2016</v>
      </c>
      <c r="E51" s="118" t="s">
        <v>1092</v>
      </c>
      <c r="F51" s="105" t="s">
        <v>1060</v>
      </c>
      <c r="G51" s="118" t="s">
        <v>576</v>
      </c>
      <c r="H51" s="75"/>
      <c r="I51" s="115" t="s">
        <v>1259</v>
      </c>
      <c r="J51" s="115"/>
      <c r="K51" s="115" t="s">
        <v>11</v>
      </c>
      <c r="L51" s="115" t="s">
        <v>1247</v>
      </c>
      <c r="M51" s="115" t="s">
        <v>1260</v>
      </c>
      <c r="N51" s="115"/>
      <c r="O51" s="115" t="s">
        <v>32</v>
      </c>
      <c r="P51" s="115" t="s">
        <v>1261</v>
      </c>
      <c r="Q51" s="115" t="s">
        <v>1264</v>
      </c>
      <c r="R51" s="75"/>
      <c r="S51" s="113" t="str">
        <f t="shared" si="3"/>
        <v>File extension filtering vulnerability in Intel Security McAfee Email Gateway (MEG) before 7.6.404h1128596 allows attackers to fail to identify the file name properly via scanning an email with a forged attached filename that uses a null byte within the filename extension.</v>
      </c>
      <c r="T51" s="110"/>
      <c r="U51" s="77" t="s">
        <v>41</v>
      </c>
      <c r="V51" s="143"/>
      <c r="W51" s="145" t="s">
        <v>1339</v>
      </c>
      <c r="X51" s="131" t="s">
        <v>1340</v>
      </c>
    </row>
    <row r="52" spans="1:24" ht="75" x14ac:dyDescent="0.25">
      <c r="A52" s="73" t="s">
        <v>1105</v>
      </c>
      <c r="B52" s="104" t="s">
        <v>1081</v>
      </c>
      <c r="C52" s="73" t="s">
        <v>852</v>
      </c>
      <c r="D52" s="74">
        <v>2016</v>
      </c>
      <c r="E52" s="118" t="s">
        <v>1092</v>
      </c>
      <c r="F52" s="109" t="s">
        <v>1060</v>
      </c>
      <c r="G52" s="105" t="s">
        <v>576</v>
      </c>
      <c r="H52" s="75"/>
      <c r="I52" s="76" t="s">
        <v>1086</v>
      </c>
      <c r="J52" s="76" t="s">
        <v>1091</v>
      </c>
      <c r="K52" s="76" t="s">
        <v>11</v>
      </c>
      <c r="L52" s="76" t="s">
        <v>1088</v>
      </c>
      <c r="M52" s="76" t="s">
        <v>1087</v>
      </c>
      <c r="N52" s="76"/>
      <c r="O52" s="76" t="s">
        <v>789</v>
      </c>
      <c r="P52" s="76" t="s">
        <v>1089</v>
      </c>
      <c r="Q52" s="76" t="s">
        <v>1090</v>
      </c>
      <c r="R52" s="75"/>
      <c r="S52" s="113" t="str">
        <f t="shared" si="3"/>
        <v>Authentication bypass vulnerability in Enterprise Security Manager (ESM) and License Manager (LM) in Intel Security McAfee Security Information and Event Management (SIEM) 9.6.0 MR3 allows administrator to make changes to other SIEM users’ information including user passwords without supplying the current administrator password a second time via the GUI or GUI terminal commands.</v>
      </c>
      <c r="T52" s="77"/>
      <c r="U52" s="77" t="s">
        <v>40</v>
      </c>
      <c r="V52" s="143"/>
      <c r="W52" s="145" t="s">
        <v>1341</v>
      </c>
      <c r="X52" s="129" t="s">
        <v>1342</v>
      </c>
    </row>
    <row r="53" spans="1:24" ht="30" x14ac:dyDescent="0.25">
      <c r="A53" s="73" t="s">
        <v>1106</v>
      </c>
      <c r="B53" s="73" t="s">
        <v>1140</v>
      </c>
      <c r="C53" s="73" t="s">
        <v>853</v>
      </c>
      <c r="D53" s="74">
        <v>2016</v>
      </c>
      <c r="E53" s="105" t="s">
        <v>1146</v>
      </c>
      <c r="F53" s="109" t="s">
        <v>1060</v>
      </c>
      <c r="G53" s="105" t="s">
        <v>576</v>
      </c>
      <c r="H53" s="75"/>
      <c r="I53" s="76" t="s">
        <v>1086</v>
      </c>
      <c r="J53" s="76"/>
      <c r="K53" s="76" t="s">
        <v>549</v>
      </c>
      <c r="L53" s="76" t="s">
        <v>1150</v>
      </c>
      <c r="M53" s="76" t="s">
        <v>1151</v>
      </c>
      <c r="N53" s="116"/>
      <c r="O53" s="76" t="s">
        <v>568</v>
      </c>
      <c r="P53" s="76" t="s">
        <v>1267</v>
      </c>
      <c r="Q53" s="76" t="s">
        <v>569</v>
      </c>
      <c r="R53" s="75"/>
      <c r="S53" s="113" t="str">
        <f t="shared" si="3"/>
        <v>Authentication bypass vulnerability in McAfee Host Intrusion Prevention Services (HIPS) 8.0 Patch 7 and earlier allows authenticated users to manipulate the product's registry keys via specific conditions.</v>
      </c>
      <c r="T53" s="77" t="s">
        <v>1141</v>
      </c>
      <c r="U53" s="77" t="s">
        <v>40</v>
      </c>
      <c r="V53" s="143"/>
      <c r="W53" s="145" t="s">
        <v>1343</v>
      </c>
      <c r="X53" s="131" t="s">
        <v>1344</v>
      </c>
    </row>
    <row r="54" spans="1:24" ht="45" x14ac:dyDescent="0.25">
      <c r="A54" s="104" t="s">
        <v>1142</v>
      </c>
      <c r="B54" s="104" t="s">
        <v>1143</v>
      </c>
      <c r="C54" s="73" t="s">
        <v>854</v>
      </c>
      <c r="D54" s="74">
        <v>2016</v>
      </c>
      <c r="E54" s="118" t="s">
        <v>1092</v>
      </c>
      <c r="F54" s="109" t="s">
        <v>1060</v>
      </c>
      <c r="G54" s="105" t="s">
        <v>576</v>
      </c>
      <c r="H54" s="75"/>
      <c r="I54" s="76" t="s">
        <v>743</v>
      </c>
      <c r="J54" s="76" t="s">
        <v>1155</v>
      </c>
      <c r="K54" s="76" t="s">
        <v>549</v>
      </c>
      <c r="L54" s="76" t="s">
        <v>1152</v>
      </c>
      <c r="M54" s="76" t="s">
        <v>1153</v>
      </c>
      <c r="N54" s="116"/>
      <c r="O54" s="76" t="s">
        <v>32</v>
      </c>
      <c r="P54" s="76" t="s">
        <v>1268</v>
      </c>
      <c r="Q54" s="76" t="s">
        <v>1154</v>
      </c>
      <c r="R54" s="75"/>
      <c r="S54" s="113" t="str">
        <f t="shared" si="3"/>
        <v>Privilege escalation vulnerability in Windows 7 and Windows 10 in McAfee Security Scan Plus 3.11.376 allows attackers to load a replacement of the version.dll file via McAfee McUICnt.exe onto a Windows system.</v>
      </c>
      <c r="T54" s="77" t="s">
        <v>1144</v>
      </c>
      <c r="U54" s="77" t="s">
        <v>40</v>
      </c>
      <c r="V54" s="143"/>
      <c r="W54" s="148" t="str">
        <f t="shared" ref="W54:W97" si="4">IF(NOT(ISBLANK($B54)), CONCATENATE("https://kc.mcafee.com/corporate/index?page=content&amp;id=",$B54),"")</f>
        <v>https://kc.mcafee.com/corporate/index?page=content&amp;id=TS102593</v>
      </c>
      <c r="X54" s="129"/>
    </row>
    <row r="55" spans="1:24" ht="45" x14ac:dyDescent="0.25">
      <c r="A55" s="73" t="s">
        <v>1134</v>
      </c>
      <c r="B55" s="73" t="s">
        <v>1133</v>
      </c>
      <c r="C55" s="73" t="s">
        <v>855</v>
      </c>
      <c r="D55" s="74">
        <v>2016</v>
      </c>
      <c r="E55" s="105" t="s">
        <v>1146</v>
      </c>
      <c r="F55" s="109" t="s">
        <v>1060</v>
      </c>
      <c r="G55" s="105" t="s">
        <v>576</v>
      </c>
      <c r="H55" s="75"/>
      <c r="I55" s="76" t="s">
        <v>743</v>
      </c>
      <c r="J55" s="76"/>
      <c r="K55" s="76" t="s">
        <v>11</v>
      </c>
      <c r="L55" s="76" t="s">
        <v>1270</v>
      </c>
      <c r="M55" s="107" t="s">
        <v>1135</v>
      </c>
      <c r="N55" s="76"/>
      <c r="O55" s="76" t="s">
        <v>32</v>
      </c>
      <c r="P55" s="76" t="s">
        <v>1269</v>
      </c>
      <c r="Q55" s="76" t="s">
        <v>1136</v>
      </c>
      <c r="R55" s="75"/>
      <c r="S55" s="113" t="str">
        <f t="shared" si="3"/>
        <v>Privilege escalation vulnerability in Intel Security McAfee Application Control (MAC) 7.0 and 6.x versions allows attackers to cause DoS, unexpected behavior, or potentially unauthorized code execution via an unauthorized use of IOCTL call.</v>
      </c>
      <c r="T55" s="77"/>
      <c r="U55" s="77" t="s">
        <v>40</v>
      </c>
      <c r="V55" s="143"/>
      <c r="W55" s="145" t="s">
        <v>1346</v>
      </c>
      <c r="X55" s="131" t="s">
        <v>1345</v>
      </c>
    </row>
    <row r="56" spans="1:24" ht="30" x14ac:dyDescent="0.25">
      <c r="A56" s="73" t="s">
        <v>1283</v>
      </c>
      <c r="B56" s="73" t="s">
        <v>1137</v>
      </c>
      <c r="C56" s="73" t="s">
        <v>856</v>
      </c>
      <c r="D56" s="74">
        <v>2016</v>
      </c>
      <c r="E56" s="105" t="s">
        <v>1146</v>
      </c>
      <c r="F56" s="109" t="s">
        <v>1060</v>
      </c>
      <c r="G56" s="105" t="s">
        <v>576</v>
      </c>
      <c r="H56" s="75"/>
      <c r="I56" s="76" t="s">
        <v>783</v>
      </c>
      <c r="J56" s="76"/>
      <c r="K56" s="76" t="s">
        <v>11</v>
      </c>
      <c r="L56" s="76" t="s">
        <v>1270</v>
      </c>
      <c r="M56" s="107" t="s">
        <v>1129</v>
      </c>
      <c r="N56" s="76"/>
      <c r="O56" s="76" t="s">
        <v>26</v>
      </c>
      <c r="P56" s="76" t="s">
        <v>1131</v>
      </c>
      <c r="Q56" s="76" t="s">
        <v>1132</v>
      </c>
      <c r="R56" s="75"/>
      <c r="S56" s="113" t="str">
        <f t="shared" si="3"/>
        <v>Application protections bypass vulnerability in Intel Security McAfee Application Control (MAC) 7.0 allows local users to bypass local security protection via a command-line utility .</v>
      </c>
      <c r="T56" s="77"/>
      <c r="U56" s="77" t="s">
        <v>40</v>
      </c>
      <c r="V56" s="143"/>
      <c r="W56" s="130" t="s">
        <v>1336</v>
      </c>
      <c r="X56" s="131" t="s">
        <v>1337</v>
      </c>
    </row>
    <row r="57" spans="1:24" ht="30" x14ac:dyDescent="0.25">
      <c r="A57" s="73" t="s">
        <v>1142</v>
      </c>
      <c r="B57" s="73" t="s">
        <v>1138</v>
      </c>
      <c r="C57" s="73" t="s">
        <v>857</v>
      </c>
      <c r="D57" s="74">
        <v>2016</v>
      </c>
      <c r="E57" s="105" t="s">
        <v>1146</v>
      </c>
      <c r="F57" s="109" t="s">
        <v>1060</v>
      </c>
      <c r="G57" s="105" t="s">
        <v>576</v>
      </c>
      <c r="H57" s="75"/>
      <c r="I57" s="76" t="s">
        <v>1156</v>
      </c>
      <c r="J57" s="76"/>
      <c r="K57" s="76" t="s">
        <v>11</v>
      </c>
      <c r="L57" s="76" t="s">
        <v>1274</v>
      </c>
      <c r="M57" s="76" t="s">
        <v>1275</v>
      </c>
      <c r="N57" s="76"/>
      <c r="O57" s="76" t="s">
        <v>32</v>
      </c>
      <c r="P57" s="76" t="s">
        <v>60</v>
      </c>
      <c r="Q57" s="76" t="s">
        <v>561</v>
      </c>
      <c r="R57" s="75"/>
      <c r="S57" s="113" t="str">
        <f t="shared" si="3"/>
        <v>Cross-site scripting vulnerability in Intel Security McAfee Endpoint Security (ENS) Web Control before 10.2.0.408.10 allows attackers to inject arbitrary web script or HTML via a crafted web site.</v>
      </c>
      <c r="T57" s="77"/>
      <c r="U57" s="77" t="s">
        <v>40</v>
      </c>
      <c r="V57" s="143"/>
      <c r="W57" s="130" t="s">
        <v>1335</v>
      </c>
      <c r="X57" s="131" t="s">
        <v>1334</v>
      </c>
    </row>
    <row r="58" spans="1:24" ht="30" x14ac:dyDescent="0.25">
      <c r="A58" s="73" t="s">
        <v>1142</v>
      </c>
      <c r="B58" s="73" t="s">
        <v>1138</v>
      </c>
      <c r="C58" s="73" t="s">
        <v>858</v>
      </c>
      <c r="D58" s="74">
        <v>2016</v>
      </c>
      <c r="E58" s="105" t="s">
        <v>1092</v>
      </c>
      <c r="F58" s="109" t="s">
        <v>1060</v>
      </c>
      <c r="G58" s="105" t="s">
        <v>576</v>
      </c>
      <c r="H58" s="75"/>
      <c r="I58" s="76" t="s">
        <v>1156</v>
      </c>
      <c r="J58" s="76"/>
      <c r="K58" s="76" t="s">
        <v>11</v>
      </c>
      <c r="L58" s="76" t="s">
        <v>1277</v>
      </c>
      <c r="M58" s="76" t="s">
        <v>1276</v>
      </c>
      <c r="N58" s="76"/>
      <c r="O58" s="76" t="s">
        <v>32</v>
      </c>
      <c r="P58" s="76" t="s">
        <v>60</v>
      </c>
      <c r="Q58" s="76" t="s">
        <v>561</v>
      </c>
      <c r="R58" s="75"/>
      <c r="S58" s="113" t="str">
        <f t="shared" si="3"/>
        <v>Cross-site scripting vulnerability in Intel Security SiteAdvisor Enterprise (SAE) before 3.5.0.1460.6 allows attackers to inject arbitrary web script or HTML via a crafted web site.</v>
      </c>
      <c r="T58" s="77"/>
      <c r="U58" s="77" t="s">
        <v>40</v>
      </c>
      <c r="V58" s="143"/>
      <c r="W58" s="130" t="s">
        <v>1335</v>
      </c>
      <c r="X58" s="131" t="s">
        <v>1334</v>
      </c>
    </row>
    <row r="59" spans="1:24" s="32" customFormat="1" ht="30" x14ac:dyDescent="0.25">
      <c r="A59" s="104" t="s">
        <v>1284</v>
      </c>
      <c r="B59" s="108"/>
      <c r="C59" s="104" t="s">
        <v>859</v>
      </c>
      <c r="D59" s="117">
        <v>2016</v>
      </c>
      <c r="E59" s="118" t="s">
        <v>1092</v>
      </c>
      <c r="F59" s="109" t="s">
        <v>1060</v>
      </c>
      <c r="G59" s="118" t="s">
        <v>576</v>
      </c>
      <c r="H59" s="75"/>
      <c r="I59" s="115" t="s">
        <v>1287</v>
      </c>
      <c r="J59" s="115"/>
      <c r="K59" s="115" t="s">
        <v>11</v>
      </c>
      <c r="L59" s="115" t="s">
        <v>1285</v>
      </c>
      <c r="M59" s="115"/>
      <c r="N59" s="115"/>
      <c r="O59" s="115" t="s">
        <v>568</v>
      </c>
      <c r="P59" s="115" t="s">
        <v>1286</v>
      </c>
      <c r="Q59" s="115" t="s">
        <v>1288</v>
      </c>
      <c r="R59" s="75"/>
      <c r="S59" s="113" t="str">
        <f t="shared" si="3"/>
        <v>XML Path Language (XPath) injection vulnerability in Intel Security McAfee Foundation Services (MFS) allows authenticated users to read an arbitrary file via certain conditions.</v>
      </c>
      <c r="T59" s="110"/>
      <c r="U59" s="110"/>
      <c r="V59" s="143"/>
      <c r="W59" s="148" t="str">
        <f t="shared" si="4"/>
        <v/>
      </c>
      <c r="X59" s="130"/>
    </row>
    <row r="60" spans="1:24" s="32" customFormat="1" ht="30" x14ac:dyDescent="0.25">
      <c r="A60" s="104" t="s">
        <v>1279</v>
      </c>
      <c r="B60" s="108"/>
      <c r="C60" s="104" t="s">
        <v>860</v>
      </c>
      <c r="D60" s="117">
        <v>2016</v>
      </c>
      <c r="E60" s="118" t="s">
        <v>1092</v>
      </c>
      <c r="F60" s="109" t="s">
        <v>1060</v>
      </c>
      <c r="G60" s="118" t="s">
        <v>576</v>
      </c>
      <c r="H60" s="75"/>
      <c r="I60" s="76" t="s">
        <v>748</v>
      </c>
      <c r="J60" s="115"/>
      <c r="K60" s="115" t="s">
        <v>11</v>
      </c>
      <c r="L60" s="115" t="s">
        <v>1225</v>
      </c>
      <c r="M60" s="115"/>
      <c r="N60" s="115"/>
      <c r="O60" s="115" t="s">
        <v>568</v>
      </c>
      <c r="P60" s="115" t="s">
        <v>1282</v>
      </c>
      <c r="Q60" s="115" t="s">
        <v>1281</v>
      </c>
      <c r="R60" s="75"/>
      <c r="S60" s="113" t="str">
        <f t="shared" si="3"/>
        <v>Reflected cross site scripting (XSS) vulnerability in Intel Security McAfee Active Response (MAR) allows authenticated users to reflect stored Javascript to unaware application users via certain user interaction.</v>
      </c>
      <c r="T60" s="110"/>
      <c r="U60" s="110"/>
      <c r="V60" s="143"/>
      <c r="W60" s="148" t="str">
        <f t="shared" si="4"/>
        <v/>
      </c>
      <c r="X60" s="130"/>
    </row>
    <row r="61" spans="1:24" x14ac:dyDescent="0.25">
      <c r="A61" s="108" t="s">
        <v>1106</v>
      </c>
      <c r="B61" s="73" t="s">
        <v>841</v>
      </c>
      <c r="C61" s="73" t="s">
        <v>861</v>
      </c>
      <c r="D61" s="74">
        <v>2016</v>
      </c>
      <c r="E61" s="105" t="s">
        <v>1147</v>
      </c>
      <c r="F61" s="105" t="s">
        <v>576</v>
      </c>
      <c r="G61" s="105" t="s">
        <v>576</v>
      </c>
      <c r="H61" s="75"/>
      <c r="I61" s="76"/>
      <c r="J61" s="76"/>
      <c r="K61" s="76" t="s">
        <v>11</v>
      </c>
      <c r="L61" s="76"/>
      <c r="M61" s="76"/>
      <c r="N61" s="76"/>
      <c r="O61" s="76"/>
      <c r="P61" s="76"/>
      <c r="Q61" s="76"/>
      <c r="R61" s="75"/>
      <c r="S61" s="113" t="str">
        <f t="shared" si="3"/>
        <v>MISSING [VULNTYPE] OR [ROOT CAUSE]!</v>
      </c>
      <c r="T61" s="77"/>
      <c r="U61" s="77"/>
      <c r="V61" s="143"/>
      <c r="W61" s="148" t="str">
        <f t="shared" si="4"/>
        <v>https://kc.mcafee.com/corporate/index?page=content&amp;id=SB101xx</v>
      </c>
      <c r="X61" s="129"/>
    </row>
    <row r="62" spans="1:24" ht="45" x14ac:dyDescent="0.25">
      <c r="A62" s="73" t="s">
        <v>1126</v>
      </c>
      <c r="B62" s="73" t="s">
        <v>1111</v>
      </c>
      <c r="C62" s="73" t="s">
        <v>862</v>
      </c>
      <c r="D62" s="74">
        <v>2016</v>
      </c>
      <c r="E62" s="105" t="s">
        <v>1146</v>
      </c>
      <c r="F62" s="109" t="s">
        <v>1060</v>
      </c>
      <c r="G62" s="105" t="s">
        <v>576</v>
      </c>
      <c r="H62" s="75"/>
      <c r="I62" s="76" t="s">
        <v>1157</v>
      </c>
      <c r="J62" s="76"/>
      <c r="K62" s="76" t="s">
        <v>11</v>
      </c>
      <c r="L62" s="76" t="s">
        <v>551</v>
      </c>
      <c r="M62" s="76" t="s">
        <v>1113</v>
      </c>
      <c r="N62" s="76"/>
      <c r="O62" s="76" t="s">
        <v>1271</v>
      </c>
      <c r="P62" s="76" t="s">
        <v>1127</v>
      </c>
      <c r="Q62" s="76" t="s">
        <v>1128</v>
      </c>
      <c r="R62" s="75"/>
      <c r="S62" s="113" t="str">
        <f t="shared" si="3"/>
        <v>Information exposure in Intel Security VirusScan Enterprise Linux 2.0.3 (and earlier) allows authenticated remote attackers to obtain the existence of unauthorized files on the system via a URL parameter.</v>
      </c>
      <c r="T62" s="77"/>
      <c r="U62" s="77" t="s">
        <v>1168</v>
      </c>
      <c r="V62" s="143"/>
      <c r="W62" s="130" t="s">
        <v>1332</v>
      </c>
      <c r="X62" s="131" t="s">
        <v>1317</v>
      </c>
    </row>
    <row r="63" spans="1:24" ht="45" x14ac:dyDescent="0.25">
      <c r="A63" s="73" t="s">
        <v>1126</v>
      </c>
      <c r="B63" s="73" t="s">
        <v>1111</v>
      </c>
      <c r="C63" s="73" t="s">
        <v>863</v>
      </c>
      <c r="D63" s="74">
        <v>2016</v>
      </c>
      <c r="E63" s="105" t="s">
        <v>1146</v>
      </c>
      <c r="F63" s="109" t="s">
        <v>1060</v>
      </c>
      <c r="G63" s="105" t="s">
        <v>576</v>
      </c>
      <c r="H63" s="75"/>
      <c r="I63" s="76" t="s">
        <v>1158</v>
      </c>
      <c r="J63" s="76"/>
      <c r="K63" s="76" t="s">
        <v>11</v>
      </c>
      <c r="L63" s="76" t="s">
        <v>551</v>
      </c>
      <c r="M63" s="76" t="s">
        <v>1113</v>
      </c>
      <c r="N63" s="76"/>
      <c r="O63" s="76" t="s">
        <v>1271</v>
      </c>
      <c r="P63" s="76" t="s">
        <v>1272</v>
      </c>
      <c r="Q63" s="76" t="s">
        <v>1114</v>
      </c>
      <c r="R63" s="75"/>
      <c r="S63" s="113" t="str">
        <f t="shared" si="3"/>
        <v>Special element injection vulnerability in Intel Security VirusScan Enterprise Linux 2.0.3 (and earlier) allows authenticated remote attackers to read files on the webserver via a crafted user input.</v>
      </c>
      <c r="T63" s="77"/>
      <c r="U63" s="77" t="s">
        <v>1168</v>
      </c>
      <c r="V63" s="143"/>
      <c r="W63" s="130" t="s">
        <v>1333</v>
      </c>
      <c r="X63" s="131" t="s">
        <v>1317</v>
      </c>
    </row>
    <row r="64" spans="1:24" ht="45" x14ac:dyDescent="0.25">
      <c r="A64" s="73" t="s">
        <v>1126</v>
      </c>
      <c r="B64" s="73" t="s">
        <v>1111</v>
      </c>
      <c r="C64" s="73" t="s">
        <v>864</v>
      </c>
      <c r="D64" s="74">
        <v>2016</v>
      </c>
      <c r="E64" s="105" t="s">
        <v>1146</v>
      </c>
      <c r="F64" s="109" t="s">
        <v>1060</v>
      </c>
      <c r="G64" s="105" t="s">
        <v>576</v>
      </c>
      <c r="H64" s="75"/>
      <c r="I64" s="76" t="s">
        <v>1159</v>
      </c>
      <c r="J64" s="76"/>
      <c r="K64" s="76" t="s">
        <v>11</v>
      </c>
      <c r="L64" s="76" t="s">
        <v>551</v>
      </c>
      <c r="M64" s="76" t="s">
        <v>1113</v>
      </c>
      <c r="N64" s="76"/>
      <c r="O64" s="76" t="s">
        <v>1271</v>
      </c>
      <c r="P64" s="76" t="s">
        <v>1115</v>
      </c>
      <c r="Q64" s="76" t="s">
        <v>1114</v>
      </c>
      <c r="R64" s="75"/>
      <c r="S64" s="113" t="str">
        <f t="shared" si="3"/>
        <v>Cross-site request forgery (CSRF) vulnerability in Intel Security VirusScan Enterprise Linux 2.0.3 (and earlier) allows authenticated remote attackers to execute unauthorized commands via a crafted user input.</v>
      </c>
      <c r="T64" s="77"/>
      <c r="U64" s="77" t="s">
        <v>1168</v>
      </c>
      <c r="V64" s="143"/>
      <c r="W64" s="130" t="s">
        <v>1330</v>
      </c>
      <c r="X64" s="131" t="s">
        <v>1318</v>
      </c>
    </row>
    <row r="65" spans="1:24" ht="45" x14ac:dyDescent="0.25">
      <c r="A65" s="73" t="s">
        <v>1126</v>
      </c>
      <c r="B65" s="73" t="s">
        <v>1111</v>
      </c>
      <c r="C65" s="73" t="s">
        <v>865</v>
      </c>
      <c r="D65" s="74">
        <v>2016</v>
      </c>
      <c r="E65" s="105" t="s">
        <v>1146</v>
      </c>
      <c r="F65" s="109" t="s">
        <v>1060</v>
      </c>
      <c r="G65" s="105" t="s">
        <v>576</v>
      </c>
      <c r="H65" s="75"/>
      <c r="I65" s="76" t="s">
        <v>45</v>
      </c>
      <c r="J65" s="76" t="s">
        <v>1160</v>
      </c>
      <c r="K65" s="76" t="s">
        <v>11</v>
      </c>
      <c r="L65" s="76" t="s">
        <v>551</v>
      </c>
      <c r="M65" s="76" t="s">
        <v>1113</v>
      </c>
      <c r="N65" s="76"/>
      <c r="O65" s="76" t="s">
        <v>1116</v>
      </c>
      <c r="P65" s="76" t="s">
        <v>60</v>
      </c>
      <c r="Q65" s="76" t="s">
        <v>1114</v>
      </c>
      <c r="R65" s="75"/>
      <c r="S65" s="113" t="str">
        <f t="shared" si="3"/>
        <v>Cross-site scripting (XSS) vulnerability in attributes in Intel Security VirusScan Enterprise Linux 2.0.3 (and earlier) allows unauthenticated remote attackers to inject arbitrary web script or HTML via a crafted user input.</v>
      </c>
      <c r="T65" s="77"/>
      <c r="U65" s="77" t="s">
        <v>1168</v>
      </c>
      <c r="V65" s="143"/>
      <c r="W65" s="130" t="s">
        <v>1331</v>
      </c>
      <c r="X65" s="131" t="s">
        <v>1318</v>
      </c>
    </row>
    <row r="66" spans="1:24" ht="45" x14ac:dyDescent="0.25">
      <c r="A66" s="73" t="s">
        <v>1126</v>
      </c>
      <c r="B66" s="73" t="s">
        <v>1111</v>
      </c>
      <c r="C66" s="73" t="s">
        <v>866</v>
      </c>
      <c r="D66" s="74">
        <v>2016</v>
      </c>
      <c r="E66" s="105" t="s">
        <v>1146</v>
      </c>
      <c r="F66" s="109" t="s">
        <v>1060</v>
      </c>
      <c r="G66" s="105" t="s">
        <v>576</v>
      </c>
      <c r="H66" s="75"/>
      <c r="I66" s="76" t="s">
        <v>1273</v>
      </c>
      <c r="J66" s="76"/>
      <c r="K66" s="76" t="s">
        <v>11</v>
      </c>
      <c r="L66" s="76" t="s">
        <v>551</v>
      </c>
      <c r="M66" s="76" t="s">
        <v>1113</v>
      </c>
      <c r="N66" s="76"/>
      <c r="O66" s="76" t="s">
        <v>25</v>
      </c>
      <c r="P66" s="76" t="s">
        <v>58</v>
      </c>
      <c r="Q66" s="76" t="s">
        <v>1117</v>
      </c>
      <c r="R66" s="75"/>
      <c r="S66" s="113" t="str">
        <f t="shared" si="3"/>
        <v>Improper control of generation of code vulnerability in Intel Security VirusScan Enterprise Linux 2.0.3 (and earlier) allows remote authenticated users to execute arbitrary code via a crafted HTTP request parameter.</v>
      </c>
      <c r="T66" s="77"/>
      <c r="U66" s="77" t="s">
        <v>1168</v>
      </c>
      <c r="V66" s="143"/>
      <c r="W66" s="130" t="s">
        <v>1326</v>
      </c>
      <c r="X66" s="131" t="s">
        <v>1319</v>
      </c>
    </row>
    <row r="67" spans="1:24" ht="45" x14ac:dyDescent="0.25">
      <c r="A67" s="73" t="s">
        <v>1126</v>
      </c>
      <c r="B67" s="73" t="s">
        <v>1111</v>
      </c>
      <c r="C67" s="73" t="s">
        <v>867</v>
      </c>
      <c r="D67" s="74">
        <v>2016</v>
      </c>
      <c r="E67" s="105" t="s">
        <v>1146</v>
      </c>
      <c r="F67" s="109" t="s">
        <v>1060</v>
      </c>
      <c r="G67" s="105" t="s">
        <v>576</v>
      </c>
      <c r="H67" s="75"/>
      <c r="I67" s="76" t="s">
        <v>1161</v>
      </c>
      <c r="J67" s="76"/>
      <c r="K67" s="76" t="s">
        <v>11</v>
      </c>
      <c r="L67" s="76" t="s">
        <v>551</v>
      </c>
      <c r="M67" s="76" t="s">
        <v>1113</v>
      </c>
      <c r="N67" s="76"/>
      <c r="O67" s="76" t="s">
        <v>25</v>
      </c>
      <c r="P67" s="76" t="s">
        <v>1118</v>
      </c>
      <c r="Q67" s="76" t="s">
        <v>1119</v>
      </c>
      <c r="R67" s="75"/>
      <c r="S67" s="113" t="str">
        <f t="shared" si="3"/>
        <v>Improper verification of cryptographic signature vulnerability in Intel Security VirusScan Enterprise Linux 2.0.3 (and earlier) allows remote authenticated users to spoof update server and execute arbitrary code via a crafted input file.</v>
      </c>
      <c r="T67" s="77"/>
      <c r="U67" s="77" t="s">
        <v>1168</v>
      </c>
      <c r="V67" s="143"/>
      <c r="W67" s="130" t="s">
        <v>1329</v>
      </c>
      <c r="X67" s="131" t="s">
        <v>1320</v>
      </c>
    </row>
    <row r="68" spans="1:24" ht="45" x14ac:dyDescent="0.25">
      <c r="A68" s="73" t="s">
        <v>1126</v>
      </c>
      <c r="B68" s="73" t="s">
        <v>1111</v>
      </c>
      <c r="C68" s="73" t="s">
        <v>868</v>
      </c>
      <c r="D68" s="74">
        <v>2016</v>
      </c>
      <c r="E68" s="105" t="s">
        <v>1146</v>
      </c>
      <c r="F68" s="109" t="s">
        <v>1060</v>
      </c>
      <c r="G68" s="105" t="s">
        <v>576</v>
      </c>
      <c r="H68" s="75"/>
      <c r="I68" s="76" t="s">
        <v>1162</v>
      </c>
      <c r="J68" s="76"/>
      <c r="K68" s="76" t="s">
        <v>11</v>
      </c>
      <c r="L68" s="76" t="s">
        <v>551</v>
      </c>
      <c r="M68" s="76" t="s">
        <v>1113</v>
      </c>
      <c r="N68" s="76"/>
      <c r="O68" s="76" t="s">
        <v>1120</v>
      </c>
      <c r="P68" s="76" t="s">
        <v>1121</v>
      </c>
      <c r="Q68" s="76" t="s">
        <v>1122</v>
      </c>
      <c r="R68" s="75"/>
      <c r="S68" s="113" t="str">
        <f t="shared" si="3"/>
        <v>Authentication bypass by spoofing vulnerability in Intel Security VirusScan Enterprise Linux 2.0.3 (and earlier) allows remote unauthenticated attacker to execute arbitrary code or cause a denial of service via a crafted authentication cookie.</v>
      </c>
      <c r="T68" s="77"/>
      <c r="U68" s="77" t="s">
        <v>1168</v>
      </c>
      <c r="V68" s="143"/>
      <c r="W68" s="130" t="s">
        <v>1327</v>
      </c>
      <c r="X68" s="131" t="s">
        <v>1321</v>
      </c>
    </row>
    <row r="69" spans="1:24" ht="45" x14ac:dyDescent="0.25">
      <c r="A69" s="73" t="s">
        <v>1126</v>
      </c>
      <c r="B69" s="73" t="s">
        <v>1111</v>
      </c>
      <c r="C69" s="73" t="s">
        <v>869</v>
      </c>
      <c r="D69" s="74">
        <v>2016</v>
      </c>
      <c r="E69" s="105" t="s">
        <v>1146</v>
      </c>
      <c r="F69" s="109" t="s">
        <v>1060</v>
      </c>
      <c r="G69" s="105" t="s">
        <v>576</v>
      </c>
      <c r="H69" s="75"/>
      <c r="I69" s="76" t="s">
        <v>1163</v>
      </c>
      <c r="J69" s="76"/>
      <c r="K69" s="76" t="s">
        <v>11</v>
      </c>
      <c r="L69" s="76" t="s">
        <v>551</v>
      </c>
      <c r="M69" s="76" t="s">
        <v>1113</v>
      </c>
      <c r="N69" s="76"/>
      <c r="O69" s="76" t="s">
        <v>1120</v>
      </c>
      <c r="P69" s="76" t="s">
        <v>1123</v>
      </c>
      <c r="Q69" s="76" t="s">
        <v>1122</v>
      </c>
      <c r="R69" s="75"/>
      <c r="S69" s="113" t="str">
        <f t="shared" si="3"/>
        <v>Authentication bypass by assumed-immutable data vulnerability in Intel Security VirusScan Enterprise Linux 2.0.3 (and earlier) allows remote unauthenticated attacker to bypass server authentication via a crafted authentication cookie.</v>
      </c>
      <c r="T69" s="77"/>
      <c r="U69" s="77" t="s">
        <v>1168</v>
      </c>
      <c r="V69" s="143"/>
      <c r="W69" s="130" t="s">
        <v>1324</v>
      </c>
      <c r="X69" s="131" t="s">
        <v>1322</v>
      </c>
    </row>
    <row r="70" spans="1:24" ht="45" x14ac:dyDescent="0.25">
      <c r="A70" s="73" t="s">
        <v>1126</v>
      </c>
      <c r="B70" s="73" t="s">
        <v>1111</v>
      </c>
      <c r="C70" s="73" t="s">
        <v>870</v>
      </c>
      <c r="D70" s="74">
        <v>2016</v>
      </c>
      <c r="E70" s="105" t="s">
        <v>1146</v>
      </c>
      <c r="F70" s="109" t="s">
        <v>1060</v>
      </c>
      <c r="G70" s="105" t="s">
        <v>576</v>
      </c>
      <c r="H70" s="75"/>
      <c r="I70" s="76" t="s">
        <v>1164</v>
      </c>
      <c r="J70" s="76"/>
      <c r="K70" s="76" t="s">
        <v>11</v>
      </c>
      <c r="L70" s="76" t="s">
        <v>551</v>
      </c>
      <c r="M70" s="76" t="s">
        <v>1113</v>
      </c>
      <c r="N70" s="76"/>
      <c r="O70" s="76" t="s">
        <v>1120</v>
      </c>
      <c r="P70" s="76" t="s">
        <v>555</v>
      </c>
      <c r="Q70" s="76" t="s">
        <v>1124</v>
      </c>
      <c r="R70" s="75"/>
      <c r="S70" s="113" t="str">
        <f t="shared" si="3"/>
        <v>Improper neutralization of CRLF sequences in HTTP headers vulnerability in Intel Security VirusScan Enterprise Linux 2.0.3 (and earlier) allows remote unauthenticated attacker to obtain sensitive information via the server HTTP response spoofing.</v>
      </c>
      <c r="T70" s="77"/>
      <c r="U70" s="77" t="s">
        <v>1168</v>
      </c>
      <c r="V70" s="143"/>
      <c r="W70" s="130" t="s">
        <v>1325</v>
      </c>
      <c r="X70" s="131" t="s">
        <v>1322</v>
      </c>
    </row>
    <row r="71" spans="1:24" ht="45" x14ac:dyDescent="0.25">
      <c r="A71" s="73" t="s">
        <v>1126</v>
      </c>
      <c r="B71" s="73" t="s">
        <v>1111</v>
      </c>
      <c r="C71" s="73" t="s">
        <v>871</v>
      </c>
      <c r="D71" s="74">
        <v>2016</v>
      </c>
      <c r="E71" s="105" t="s">
        <v>1146</v>
      </c>
      <c r="F71" s="109" t="s">
        <v>1060</v>
      </c>
      <c r="G71" s="105" t="s">
        <v>576</v>
      </c>
      <c r="H71" s="75"/>
      <c r="I71" s="76" t="s">
        <v>43</v>
      </c>
      <c r="J71" s="76"/>
      <c r="K71" s="76" t="s">
        <v>11</v>
      </c>
      <c r="L71" s="76" t="s">
        <v>551</v>
      </c>
      <c r="M71" s="76" t="s">
        <v>1113</v>
      </c>
      <c r="N71" s="76"/>
      <c r="O71" s="76" t="s">
        <v>25</v>
      </c>
      <c r="P71" s="76" t="s">
        <v>1125</v>
      </c>
      <c r="Q71" s="76" t="s">
        <v>1117</v>
      </c>
      <c r="R71" s="75"/>
      <c r="S71" s="113" t="str">
        <f t="shared" si="3"/>
        <v>SQL injection vulnerability in Intel Security VirusScan Enterprise Linux 2.0.3 (and earlier) allows remote authenticated users to obtain product information via a crafted HTTP request parameter.</v>
      </c>
      <c r="T71" s="77"/>
      <c r="U71" s="77" t="s">
        <v>1168</v>
      </c>
      <c r="V71" s="143"/>
      <c r="W71" s="130" t="s">
        <v>1328</v>
      </c>
      <c r="X71" s="131" t="s">
        <v>1323</v>
      </c>
    </row>
    <row r="72" spans="1:24" ht="30" x14ac:dyDescent="0.25">
      <c r="A72" s="108" t="s">
        <v>1289</v>
      </c>
      <c r="B72" s="108"/>
      <c r="C72" s="108" t="s">
        <v>872</v>
      </c>
      <c r="D72" s="74">
        <v>2016</v>
      </c>
      <c r="E72" s="105" t="s">
        <v>1092</v>
      </c>
      <c r="F72" s="105" t="s">
        <v>1060</v>
      </c>
      <c r="G72" s="105" t="s">
        <v>576</v>
      </c>
      <c r="H72" s="75"/>
      <c r="I72" s="76" t="s">
        <v>1242</v>
      </c>
      <c r="J72" s="76"/>
      <c r="K72" s="76" t="s">
        <v>11</v>
      </c>
      <c r="L72" s="76" t="s">
        <v>1240</v>
      </c>
      <c r="M72" s="76" t="s">
        <v>1243</v>
      </c>
      <c r="N72" s="76"/>
      <c r="O72" s="76" t="s">
        <v>568</v>
      </c>
      <c r="P72" s="76" t="s">
        <v>1245</v>
      </c>
      <c r="Q72" s="76" t="s">
        <v>1246</v>
      </c>
      <c r="R72" s="75"/>
      <c r="S72" s="113" t="str">
        <f t="shared" si="3"/>
        <v>Arbitrary command execution vulnerability in Intel Security McAfee Security Scan Plus 3.11.469 and earlier allows authenticated users to gain elevated privileges via unspecified vectors.</v>
      </c>
      <c r="T72" s="77"/>
      <c r="U72" s="77"/>
      <c r="V72" s="143"/>
      <c r="W72" s="129" t="s">
        <v>1241</v>
      </c>
      <c r="X72" s="131" t="s">
        <v>1244</v>
      </c>
    </row>
    <row r="73" spans="1:24" x14ac:dyDescent="0.25">
      <c r="A73" s="73" t="s">
        <v>1106</v>
      </c>
      <c r="B73" s="73" t="s">
        <v>841</v>
      </c>
      <c r="C73" s="73" t="s">
        <v>873</v>
      </c>
      <c r="D73" s="74">
        <v>2016</v>
      </c>
      <c r="E73" s="105" t="s">
        <v>1147</v>
      </c>
      <c r="F73" s="105" t="s">
        <v>576</v>
      </c>
      <c r="G73" s="105" t="s">
        <v>576</v>
      </c>
      <c r="H73" s="75"/>
      <c r="I73" s="76"/>
      <c r="J73" s="76"/>
      <c r="K73" s="76" t="s">
        <v>11</v>
      </c>
      <c r="L73" s="76"/>
      <c r="M73" s="76"/>
      <c r="N73" s="76"/>
      <c r="O73" s="76"/>
      <c r="P73" s="76"/>
      <c r="Q73" s="76"/>
      <c r="R73" s="75"/>
      <c r="S73" s="113" t="str">
        <f t="shared" si="3"/>
        <v>MISSING [VULNTYPE] OR [ROOT CAUSE]!</v>
      </c>
      <c r="T73" s="77"/>
      <c r="U73" s="77"/>
      <c r="V73" s="143"/>
      <c r="W73" s="148" t="str">
        <f t="shared" si="4"/>
        <v>https://kc.mcafee.com/corporate/index?page=content&amp;id=SB101xx</v>
      </c>
      <c r="X73" s="129"/>
    </row>
    <row r="74" spans="1:24" x14ac:dyDescent="0.25">
      <c r="A74" s="73" t="s">
        <v>1106</v>
      </c>
      <c r="B74" s="73" t="s">
        <v>841</v>
      </c>
      <c r="C74" s="73" t="s">
        <v>874</v>
      </c>
      <c r="D74" s="74">
        <v>2016</v>
      </c>
      <c r="E74" s="105" t="s">
        <v>1147</v>
      </c>
      <c r="F74" s="105" t="s">
        <v>576</v>
      </c>
      <c r="G74" s="105" t="s">
        <v>576</v>
      </c>
      <c r="H74" s="75"/>
      <c r="I74" s="76"/>
      <c r="J74" s="76"/>
      <c r="K74" s="76" t="s">
        <v>11</v>
      </c>
      <c r="L74" s="76"/>
      <c r="M74" s="76"/>
      <c r="N74" s="76"/>
      <c r="O74" s="76"/>
      <c r="P74" s="76"/>
      <c r="Q74" s="76"/>
      <c r="R74" s="75"/>
      <c r="S74" s="113" t="str">
        <f t="shared" si="3"/>
        <v>MISSING [VULNTYPE] OR [ROOT CAUSE]!</v>
      </c>
      <c r="T74" s="77"/>
      <c r="U74" s="77"/>
      <c r="V74" s="143"/>
      <c r="W74" s="148" t="str">
        <f t="shared" si="4"/>
        <v>https://kc.mcafee.com/corporate/index?page=content&amp;id=SB101xx</v>
      </c>
      <c r="X74" s="129"/>
    </row>
    <row r="75" spans="1:24" x14ac:dyDescent="0.25">
      <c r="A75" s="73" t="s">
        <v>1106</v>
      </c>
      <c r="B75" s="73" t="s">
        <v>841</v>
      </c>
      <c r="C75" s="73" t="s">
        <v>875</v>
      </c>
      <c r="D75" s="74">
        <v>2016</v>
      </c>
      <c r="E75" s="105" t="s">
        <v>1147</v>
      </c>
      <c r="F75" s="105" t="s">
        <v>576</v>
      </c>
      <c r="G75" s="105" t="s">
        <v>576</v>
      </c>
      <c r="H75" s="75"/>
      <c r="I75" s="76"/>
      <c r="J75" s="76"/>
      <c r="K75" s="76" t="s">
        <v>11</v>
      </c>
      <c r="L75" s="76"/>
      <c r="M75" s="76"/>
      <c r="N75" s="76"/>
      <c r="O75" s="76"/>
      <c r="P75" s="76"/>
      <c r="Q75" s="76"/>
      <c r="R75" s="75"/>
      <c r="S75" s="113" t="str">
        <f t="shared" si="3"/>
        <v>MISSING [VULNTYPE] OR [ROOT CAUSE]!</v>
      </c>
      <c r="T75" s="77"/>
      <c r="U75" s="77"/>
      <c r="V75" s="143"/>
      <c r="W75" s="148" t="str">
        <f t="shared" si="4"/>
        <v>https://kc.mcafee.com/corporate/index?page=content&amp;id=SB101xx</v>
      </c>
      <c r="X75" s="129"/>
    </row>
    <row r="76" spans="1:24" x14ac:dyDescent="0.25">
      <c r="A76" s="73" t="s">
        <v>1106</v>
      </c>
      <c r="B76" s="73" t="s">
        <v>841</v>
      </c>
      <c r="C76" s="73" t="s">
        <v>876</v>
      </c>
      <c r="D76" s="74">
        <v>2016</v>
      </c>
      <c r="E76" s="105" t="s">
        <v>1147</v>
      </c>
      <c r="F76" s="105" t="s">
        <v>576</v>
      </c>
      <c r="G76" s="105" t="s">
        <v>576</v>
      </c>
      <c r="H76" s="75"/>
      <c r="I76" s="76"/>
      <c r="J76" s="76"/>
      <c r="K76" s="76" t="s">
        <v>11</v>
      </c>
      <c r="L76" s="76"/>
      <c r="M76" s="76"/>
      <c r="N76" s="76"/>
      <c r="O76" s="76"/>
      <c r="P76" s="76"/>
      <c r="Q76" s="76"/>
      <c r="R76" s="75"/>
      <c r="S76" s="113" t="str">
        <f t="shared" si="3"/>
        <v>MISSING [VULNTYPE] OR [ROOT CAUSE]!</v>
      </c>
      <c r="T76" s="77"/>
      <c r="U76" s="77"/>
      <c r="V76" s="143"/>
      <c r="W76" s="148" t="str">
        <f t="shared" si="4"/>
        <v>https://kc.mcafee.com/corporate/index?page=content&amp;id=SB101xx</v>
      </c>
      <c r="X76" s="129"/>
    </row>
    <row r="77" spans="1:24" x14ac:dyDescent="0.25">
      <c r="A77" s="73" t="s">
        <v>1106</v>
      </c>
      <c r="B77" s="73" t="s">
        <v>841</v>
      </c>
      <c r="C77" s="73" t="s">
        <v>877</v>
      </c>
      <c r="D77" s="74">
        <v>2016</v>
      </c>
      <c r="E77" s="105" t="s">
        <v>1147</v>
      </c>
      <c r="F77" s="105" t="s">
        <v>576</v>
      </c>
      <c r="G77" s="105" t="s">
        <v>576</v>
      </c>
      <c r="H77" s="75"/>
      <c r="I77" s="76"/>
      <c r="J77" s="76"/>
      <c r="K77" s="76" t="s">
        <v>11</v>
      </c>
      <c r="L77" s="76"/>
      <c r="M77" s="76"/>
      <c r="N77" s="76"/>
      <c r="O77" s="76"/>
      <c r="P77" s="76"/>
      <c r="Q77" s="76"/>
      <c r="R77" s="75"/>
      <c r="S77" s="113" t="str">
        <f t="shared" si="3"/>
        <v>MISSING [VULNTYPE] OR [ROOT CAUSE]!</v>
      </c>
      <c r="T77" s="77"/>
      <c r="U77" s="77"/>
      <c r="V77" s="143"/>
      <c r="W77" s="148" t="str">
        <f t="shared" si="4"/>
        <v>https://kc.mcafee.com/corporate/index?page=content&amp;id=SB101xx</v>
      </c>
      <c r="X77" s="129"/>
    </row>
    <row r="78" spans="1:24" x14ac:dyDescent="0.25">
      <c r="A78" s="73" t="s">
        <v>1106</v>
      </c>
      <c r="B78" s="73" t="s">
        <v>841</v>
      </c>
      <c r="C78" s="73" t="s">
        <v>878</v>
      </c>
      <c r="D78" s="74">
        <v>2016</v>
      </c>
      <c r="E78" s="105" t="s">
        <v>1147</v>
      </c>
      <c r="F78" s="105" t="s">
        <v>576</v>
      </c>
      <c r="G78" s="105" t="s">
        <v>576</v>
      </c>
      <c r="H78" s="75"/>
      <c r="I78" s="76"/>
      <c r="J78" s="76"/>
      <c r="K78" s="76" t="s">
        <v>11</v>
      </c>
      <c r="L78" s="76"/>
      <c r="M78" s="76"/>
      <c r="N78" s="76"/>
      <c r="O78" s="76"/>
      <c r="P78" s="76"/>
      <c r="Q78" s="76"/>
      <c r="R78" s="75"/>
      <c r="S78" s="113" t="str">
        <f t="shared" si="3"/>
        <v>MISSING [VULNTYPE] OR [ROOT CAUSE]!</v>
      </c>
      <c r="T78" s="77"/>
      <c r="U78" s="77"/>
      <c r="V78" s="143"/>
      <c r="W78" s="148" t="str">
        <f t="shared" si="4"/>
        <v>https://kc.mcafee.com/corporate/index?page=content&amp;id=SB101xx</v>
      </c>
      <c r="X78" s="129"/>
    </row>
    <row r="79" spans="1:24" x14ac:dyDescent="0.25">
      <c r="A79" s="73" t="s">
        <v>1106</v>
      </c>
      <c r="B79" s="73" t="s">
        <v>841</v>
      </c>
      <c r="C79" s="73" t="s">
        <v>879</v>
      </c>
      <c r="D79" s="74">
        <v>2016</v>
      </c>
      <c r="E79" s="105" t="s">
        <v>1147</v>
      </c>
      <c r="F79" s="105" t="s">
        <v>576</v>
      </c>
      <c r="G79" s="105" t="s">
        <v>576</v>
      </c>
      <c r="H79" s="75"/>
      <c r="I79" s="76"/>
      <c r="J79" s="76"/>
      <c r="K79" s="76" t="s">
        <v>11</v>
      </c>
      <c r="L79" s="76"/>
      <c r="M79" s="76"/>
      <c r="N79" s="76"/>
      <c r="O79" s="76"/>
      <c r="P79" s="76"/>
      <c r="Q79" s="76"/>
      <c r="R79" s="75"/>
      <c r="S79" s="113" t="str">
        <f t="shared" si="3"/>
        <v>MISSING [VULNTYPE] OR [ROOT CAUSE]!</v>
      </c>
      <c r="T79" s="77"/>
      <c r="U79" s="77"/>
      <c r="V79" s="143"/>
      <c r="W79" s="148" t="str">
        <f t="shared" si="4"/>
        <v>https://kc.mcafee.com/corporate/index?page=content&amp;id=SB101xx</v>
      </c>
      <c r="X79" s="129"/>
    </row>
    <row r="80" spans="1:24" x14ac:dyDescent="0.25">
      <c r="A80" s="73" t="s">
        <v>1106</v>
      </c>
      <c r="B80" s="73" t="s">
        <v>841</v>
      </c>
      <c r="C80" s="73" t="s">
        <v>880</v>
      </c>
      <c r="D80" s="74">
        <v>2016</v>
      </c>
      <c r="E80" s="105" t="s">
        <v>1147</v>
      </c>
      <c r="F80" s="105" t="s">
        <v>576</v>
      </c>
      <c r="G80" s="105" t="s">
        <v>576</v>
      </c>
      <c r="H80" s="75"/>
      <c r="I80" s="76"/>
      <c r="J80" s="76"/>
      <c r="K80" s="76" t="s">
        <v>11</v>
      </c>
      <c r="L80" s="76"/>
      <c r="M80" s="76"/>
      <c r="N80" s="76"/>
      <c r="O80" s="76"/>
      <c r="P80" s="76"/>
      <c r="Q80" s="76"/>
      <c r="R80" s="75"/>
      <c r="S80" s="113" t="str">
        <f t="shared" si="3"/>
        <v>MISSING [VULNTYPE] OR [ROOT CAUSE]!</v>
      </c>
      <c r="T80" s="77"/>
      <c r="U80" s="77"/>
      <c r="V80" s="143"/>
      <c r="W80" s="148" t="str">
        <f t="shared" si="4"/>
        <v>https://kc.mcafee.com/corporate/index?page=content&amp;id=SB101xx</v>
      </c>
      <c r="X80" s="129"/>
    </row>
    <row r="81" spans="1:24" x14ac:dyDescent="0.25">
      <c r="A81" s="73" t="s">
        <v>1106</v>
      </c>
      <c r="B81" s="73" t="s">
        <v>841</v>
      </c>
      <c r="C81" s="73" t="s">
        <v>881</v>
      </c>
      <c r="D81" s="74">
        <v>2016</v>
      </c>
      <c r="E81" s="105" t="s">
        <v>1147</v>
      </c>
      <c r="F81" s="105" t="s">
        <v>576</v>
      </c>
      <c r="G81" s="105" t="s">
        <v>576</v>
      </c>
      <c r="H81" s="75"/>
      <c r="I81" s="76"/>
      <c r="J81" s="76"/>
      <c r="K81" s="76" t="s">
        <v>11</v>
      </c>
      <c r="L81" s="76"/>
      <c r="M81" s="76"/>
      <c r="N81" s="76"/>
      <c r="O81" s="76"/>
      <c r="P81" s="76"/>
      <c r="Q81" s="76"/>
      <c r="R81" s="75"/>
      <c r="S81" s="113" t="str">
        <f t="shared" si="3"/>
        <v>MISSING [VULNTYPE] OR [ROOT CAUSE]!</v>
      </c>
      <c r="T81" s="77"/>
      <c r="U81" s="77"/>
      <c r="V81" s="143"/>
      <c r="W81" s="148" t="str">
        <f t="shared" si="4"/>
        <v>https://kc.mcafee.com/corporate/index?page=content&amp;id=SB101xx</v>
      </c>
      <c r="X81" s="129"/>
    </row>
    <row r="82" spans="1:24" x14ac:dyDescent="0.25">
      <c r="A82" s="73" t="s">
        <v>1106</v>
      </c>
      <c r="B82" s="73" t="s">
        <v>841</v>
      </c>
      <c r="C82" s="73" t="s">
        <v>882</v>
      </c>
      <c r="D82" s="74">
        <v>2016</v>
      </c>
      <c r="E82" s="105" t="s">
        <v>1147</v>
      </c>
      <c r="F82" s="105" t="s">
        <v>576</v>
      </c>
      <c r="G82" s="105" t="s">
        <v>576</v>
      </c>
      <c r="H82" s="75"/>
      <c r="I82" s="76"/>
      <c r="J82" s="76"/>
      <c r="K82" s="76" t="s">
        <v>11</v>
      </c>
      <c r="L82" s="76"/>
      <c r="M82" s="76"/>
      <c r="N82" s="76"/>
      <c r="O82" s="76"/>
      <c r="P82" s="76"/>
      <c r="Q82" s="76"/>
      <c r="R82" s="75"/>
      <c r="S82" s="113" t="str">
        <f t="shared" si="3"/>
        <v>MISSING [VULNTYPE] OR [ROOT CAUSE]!</v>
      </c>
      <c r="T82" s="77"/>
      <c r="U82" s="77"/>
      <c r="V82" s="143"/>
      <c r="W82" s="148" t="str">
        <f t="shared" si="4"/>
        <v>https://kc.mcafee.com/corporate/index?page=content&amp;id=SB101xx</v>
      </c>
      <c r="X82" s="129"/>
    </row>
    <row r="83" spans="1:24" x14ac:dyDescent="0.25">
      <c r="A83" s="73" t="s">
        <v>1106</v>
      </c>
      <c r="B83" s="73" t="s">
        <v>841</v>
      </c>
      <c r="C83" s="73" t="s">
        <v>883</v>
      </c>
      <c r="D83" s="74">
        <v>2016</v>
      </c>
      <c r="E83" s="105" t="s">
        <v>1147</v>
      </c>
      <c r="F83" s="105" t="s">
        <v>576</v>
      </c>
      <c r="G83" s="105" t="s">
        <v>576</v>
      </c>
      <c r="H83" s="75"/>
      <c r="I83" s="76"/>
      <c r="J83" s="76"/>
      <c r="K83" s="76" t="s">
        <v>11</v>
      </c>
      <c r="L83" s="76"/>
      <c r="M83" s="76"/>
      <c r="N83" s="76"/>
      <c r="O83" s="76"/>
      <c r="P83" s="76"/>
      <c r="Q83" s="76"/>
      <c r="R83" s="75"/>
      <c r="S83" s="113" t="str">
        <f t="shared" si="3"/>
        <v>MISSING [VULNTYPE] OR [ROOT CAUSE]!</v>
      </c>
      <c r="T83" s="77"/>
      <c r="U83" s="77"/>
      <c r="V83" s="143"/>
      <c r="W83" s="148" t="str">
        <f t="shared" si="4"/>
        <v>https://kc.mcafee.com/corporate/index?page=content&amp;id=SB101xx</v>
      </c>
      <c r="X83" s="129"/>
    </row>
    <row r="84" spans="1:24" x14ac:dyDescent="0.25">
      <c r="A84" s="73" t="s">
        <v>1106</v>
      </c>
      <c r="B84" s="73" t="s">
        <v>841</v>
      </c>
      <c r="C84" s="73" t="s">
        <v>884</v>
      </c>
      <c r="D84" s="74">
        <v>2016</v>
      </c>
      <c r="E84" s="105" t="s">
        <v>1147</v>
      </c>
      <c r="F84" s="105" t="s">
        <v>576</v>
      </c>
      <c r="G84" s="105" t="s">
        <v>576</v>
      </c>
      <c r="H84" s="75"/>
      <c r="I84" s="76"/>
      <c r="J84" s="76"/>
      <c r="K84" s="76" t="s">
        <v>11</v>
      </c>
      <c r="L84" s="76"/>
      <c r="M84" s="76"/>
      <c r="N84" s="76"/>
      <c r="O84" s="76"/>
      <c r="P84" s="76"/>
      <c r="Q84" s="76"/>
      <c r="R84" s="75"/>
      <c r="S84" s="113" t="str">
        <f t="shared" si="3"/>
        <v>MISSING [VULNTYPE] OR [ROOT CAUSE]!</v>
      </c>
      <c r="T84" s="77"/>
      <c r="U84" s="77"/>
      <c r="V84" s="143"/>
      <c r="W84" s="148" t="str">
        <f t="shared" si="4"/>
        <v>https://kc.mcafee.com/corporate/index?page=content&amp;id=SB101xx</v>
      </c>
      <c r="X84" s="129"/>
    </row>
    <row r="85" spans="1:24" x14ac:dyDescent="0.25">
      <c r="A85" s="73" t="s">
        <v>1106</v>
      </c>
      <c r="B85" s="73" t="s">
        <v>841</v>
      </c>
      <c r="C85" s="73" t="s">
        <v>885</v>
      </c>
      <c r="D85" s="74">
        <v>2016</v>
      </c>
      <c r="E85" s="105" t="s">
        <v>1147</v>
      </c>
      <c r="F85" s="105" t="s">
        <v>576</v>
      </c>
      <c r="G85" s="105" t="s">
        <v>576</v>
      </c>
      <c r="H85" s="75"/>
      <c r="I85" s="76"/>
      <c r="J85" s="76"/>
      <c r="K85" s="76" t="s">
        <v>11</v>
      </c>
      <c r="L85" s="76"/>
      <c r="M85" s="76"/>
      <c r="N85" s="76"/>
      <c r="O85" s="76"/>
      <c r="P85" s="76"/>
      <c r="Q85" s="76"/>
      <c r="R85" s="75"/>
      <c r="S85" s="113" t="str">
        <f t="shared" si="3"/>
        <v>MISSING [VULNTYPE] OR [ROOT CAUSE]!</v>
      </c>
      <c r="T85" s="77"/>
      <c r="U85" s="77"/>
      <c r="V85" s="143"/>
      <c r="W85" s="148" t="str">
        <f t="shared" si="4"/>
        <v>https://kc.mcafee.com/corporate/index?page=content&amp;id=SB101xx</v>
      </c>
      <c r="X85" s="129"/>
    </row>
    <row r="86" spans="1:24" s="32" customFormat="1" ht="60" x14ac:dyDescent="0.25">
      <c r="A86" s="104" t="s">
        <v>1290</v>
      </c>
      <c r="B86" s="104" t="s">
        <v>836</v>
      </c>
      <c r="C86" s="104" t="s">
        <v>886</v>
      </c>
      <c r="D86" s="117">
        <v>2016</v>
      </c>
      <c r="E86" s="118" t="s">
        <v>1092</v>
      </c>
      <c r="F86" s="105" t="s">
        <v>1060</v>
      </c>
      <c r="G86" s="118" t="s">
        <v>576</v>
      </c>
      <c r="H86" s="75"/>
      <c r="I86" s="115" t="s">
        <v>1217</v>
      </c>
      <c r="J86" s="115" t="s">
        <v>1218</v>
      </c>
      <c r="K86" s="115" t="s">
        <v>11</v>
      </c>
      <c r="L86" s="115" t="s">
        <v>1222</v>
      </c>
      <c r="M86" s="115" t="s">
        <v>1232</v>
      </c>
      <c r="N86" s="115"/>
      <c r="O86" s="76" t="s">
        <v>789</v>
      </c>
      <c r="P86" s="115" t="s">
        <v>1220</v>
      </c>
      <c r="Q86" s="115" t="s">
        <v>1221</v>
      </c>
      <c r="R86" s="75"/>
      <c r="S86" s="113" t="str">
        <f t="shared" si="3"/>
        <v>Protected resource access bypass vulnerability in Microsoft Windows in Intel Security VirusScan Enterprise (VSE) before 8.8 Patch 7 and before 8.8 Patch 7 HF11233565 allows administrator to bypass product self-protection, tamper with policies and product files, and uninstall McAfee software without permission via knowledge of the internal trust mechanism.</v>
      </c>
      <c r="T86" s="110"/>
      <c r="U86" s="77" t="s">
        <v>41</v>
      </c>
      <c r="V86" s="143"/>
      <c r="W86" s="145" t="s">
        <v>1215</v>
      </c>
      <c r="X86" s="130" t="s">
        <v>1216</v>
      </c>
    </row>
    <row r="87" spans="1:24" s="32" customFormat="1" ht="60" x14ac:dyDescent="0.25">
      <c r="A87" s="104" t="s">
        <v>1290</v>
      </c>
      <c r="B87" s="104" t="s">
        <v>836</v>
      </c>
      <c r="C87" s="104" t="s">
        <v>887</v>
      </c>
      <c r="D87" s="117">
        <v>2016</v>
      </c>
      <c r="E87" s="118" t="s">
        <v>1092</v>
      </c>
      <c r="F87" s="105" t="s">
        <v>1060</v>
      </c>
      <c r="G87" s="118" t="s">
        <v>576</v>
      </c>
      <c r="H87" s="75"/>
      <c r="I87" s="115" t="s">
        <v>1217</v>
      </c>
      <c r="J87" s="115" t="s">
        <v>1218</v>
      </c>
      <c r="K87" s="115" t="s">
        <v>11</v>
      </c>
      <c r="L87" s="115" t="s">
        <v>1223</v>
      </c>
      <c r="M87" s="115" t="s">
        <v>1237</v>
      </c>
      <c r="N87" s="115"/>
      <c r="O87" s="76" t="s">
        <v>789</v>
      </c>
      <c r="P87" s="115" t="s">
        <v>1220</v>
      </c>
      <c r="Q87" s="115" t="s">
        <v>1221</v>
      </c>
      <c r="R87" s="75"/>
      <c r="S87" s="113" t="str">
        <f t="shared" si="3"/>
        <v>Protected resource access bypass vulnerability in Microsoft Windows in Intel Security Data Exchange Layer (DXL) before 2.0.1.140.1 allows administrator to bypass product self-protection, tamper with policies and product files, and uninstall McAfee software without permission via knowledge of the internal trust mechanism.</v>
      </c>
      <c r="T87" s="110"/>
      <c r="U87" s="77" t="s">
        <v>41</v>
      </c>
      <c r="V87" s="143"/>
      <c r="W87" s="145" t="s">
        <v>1215</v>
      </c>
      <c r="X87" s="130" t="s">
        <v>1216</v>
      </c>
    </row>
    <row r="88" spans="1:24" s="32" customFormat="1" ht="60" x14ac:dyDescent="0.25">
      <c r="A88" s="104" t="s">
        <v>1290</v>
      </c>
      <c r="B88" s="104" t="s">
        <v>836</v>
      </c>
      <c r="C88" s="104" t="s">
        <v>888</v>
      </c>
      <c r="D88" s="117">
        <v>2016</v>
      </c>
      <c r="E88" s="118" t="s">
        <v>1092</v>
      </c>
      <c r="F88" s="105" t="s">
        <v>1060</v>
      </c>
      <c r="G88" s="118" t="s">
        <v>576</v>
      </c>
      <c r="H88" s="75"/>
      <c r="I88" s="115" t="s">
        <v>1217</v>
      </c>
      <c r="J88" s="115" t="s">
        <v>1218</v>
      </c>
      <c r="K88" s="115" t="s">
        <v>11</v>
      </c>
      <c r="L88" s="115" t="s">
        <v>1224</v>
      </c>
      <c r="M88" s="115" t="s">
        <v>1235</v>
      </c>
      <c r="N88" s="115"/>
      <c r="O88" s="76" t="s">
        <v>789</v>
      </c>
      <c r="P88" s="115" t="s">
        <v>1220</v>
      </c>
      <c r="Q88" s="115" t="s">
        <v>1221</v>
      </c>
      <c r="R88" s="75"/>
      <c r="S88" s="113" t="str">
        <f t="shared" si="3"/>
        <v>Protected resource access bypass vulnerability in Microsoft Windows in Intel Security Host Intrusion Prevention Service (Host IPS) before 8.0.0.3624 (Patch 7) allows administrator to bypass product self-protection, tamper with policies and product files, and uninstall McAfee software without permission via knowledge of the internal trust mechanism.</v>
      </c>
      <c r="T88" s="110"/>
      <c r="U88" s="77" t="s">
        <v>41</v>
      </c>
      <c r="V88" s="143"/>
      <c r="W88" s="145" t="s">
        <v>1215</v>
      </c>
      <c r="X88" s="130" t="s">
        <v>1216</v>
      </c>
    </row>
    <row r="89" spans="1:24" s="32" customFormat="1" ht="60" x14ac:dyDescent="0.25">
      <c r="A89" s="104" t="s">
        <v>1290</v>
      </c>
      <c r="B89" s="104" t="s">
        <v>836</v>
      </c>
      <c r="C89" s="104" t="s">
        <v>889</v>
      </c>
      <c r="D89" s="117">
        <v>2016</v>
      </c>
      <c r="E89" s="118" t="s">
        <v>1092</v>
      </c>
      <c r="F89" s="105" t="s">
        <v>1060</v>
      </c>
      <c r="G89" s="118" t="s">
        <v>576</v>
      </c>
      <c r="H89" s="75"/>
      <c r="I89" s="115" t="s">
        <v>1217</v>
      </c>
      <c r="J89" s="115" t="s">
        <v>1218</v>
      </c>
      <c r="K89" s="115" t="s">
        <v>11</v>
      </c>
      <c r="L89" s="115" t="s">
        <v>1225</v>
      </c>
      <c r="M89" s="115" t="s">
        <v>1233</v>
      </c>
      <c r="N89" s="115"/>
      <c r="O89" s="76" t="s">
        <v>789</v>
      </c>
      <c r="P89" s="115" t="s">
        <v>1220</v>
      </c>
      <c r="Q89" s="115" t="s">
        <v>1221</v>
      </c>
      <c r="R89" s="75"/>
      <c r="S89" s="113" t="str">
        <f t="shared" si="3"/>
        <v>Protected resource access bypass vulnerability in Microsoft Windows in Intel Security McAfee Active Response (MAR) before 1.1.0.161 allows administrator to bypass product self-protection, tamper with policies and product files, and uninstall McAfee software without permission via knowledge of the internal trust mechanism.</v>
      </c>
      <c r="T89" s="110"/>
      <c r="U89" s="77" t="s">
        <v>41</v>
      </c>
      <c r="V89" s="143"/>
      <c r="W89" s="145" t="s">
        <v>1215</v>
      </c>
      <c r="X89" s="130" t="s">
        <v>1216</v>
      </c>
    </row>
    <row r="90" spans="1:24" s="32" customFormat="1" ht="60" x14ac:dyDescent="0.25">
      <c r="A90" s="104" t="s">
        <v>1290</v>
      </c>
      <c r="B90" s="104" t="s">
        <v>836</v>
      </c>
      <c r="C90" s="104" t="s">
        <v>890</v>
      </c>
      <c r="D90" s="117">
        <v>2016</v>
      </c>
      <c r="E90" s="118" t="s">
        <v>1092</v>
      </c>
      <c r="F90" s="105" t="s">
        <v>1060</v>
      </c>
      <c r="G90" s="118" t="s">
        <v>576</v>
      </c>
      <c r="H90" s="75"/>
      <c r="I90" s="115" t="s">
        <v>1217</v>
      </c>
      <c r="J90" s="115" t="s">
        <v>1218</v>
      </c>
      <c r="K90" s="115" t="s">
        <v>11</v>
      </c>
      <c r="L90" s="115" t="s">
        <v>1226</v>
      </c>
      <c r="M90" s="115" t="s">
        <v>1234</v>
      </c>
      <c r="N90" s="115"/>
      <c r="O90" s="76" t="s">
        <v>789</v>
      </c>
      <c r="P90" s="115" t="s">
        <v>1220</v>
      </c>
      <c r="Q90" s="115" t="s">
        <v>1221</v>
      </c>
      <c r="R90" s="75"/>
      <c r="S90" s="113" t="str">
        <f t="shared" si="3"/>
        <v>Protected resource access bypass vulnerability in Microsoft Windows in Intel Security McAfee Agent (MA) before 5.0.3 and before 5.0.2.333 allows administrator to bypass product self-protection, tamper with policies and product files, and uninstall McAfee software without permission via knowledge of the internal trust mechanism.</v>
      </c>
      <c r="T90" s="110"/>
      <c r="U90" s="77" t="s">
        <v>41</v>
      </c>
      <c r="V90" s="143"/>
      <c r="W90" s="145" t="s">
        <v>1215</v>
      </c>
      <c r="X90" s="130" t="s">
        <v>1216</v>
      </c>
    </row>
    <row r="91" spans="1:24" s="32" customFormat="1" ht="60" x14ac:dyDescent="0.25">
      <c r="A91" s="104" t="s">
        <v>1290</v>
      </c>
      <c r="B91" s="104" t="s">
        <v>836</v>
      </c>
      <c r="C91" s="104" t="s">
        <v>891</v>
      </c>
      <c r="D91" s="117">
        <v>2016</v>
      </c>
      <c r="E91" s="118" t="s">
        <v>1092</v>
      </c>
      <c r="F91" s="105" t="s">
        <v>1060</v>
      </c>
      <c r="G91" s="118" t="s">
        <v>576</v>
      </c>
      <c r="H91" s="75"/>
      <c r="I91" s="115" t="s">
        <v>1217</v>
      </c>
      <c r="J91" s="115" t="s">
        <v>1230</v>
      </c>
      <c r="K91" s="115" t="s">
        <v>11</v>
      </c>
      <c r="L91" s="115" t="s">
        <v>1227</v>
      </c>
      <c r="M91" s="115" t="s">
        <v>1238</v>
      </c>
      <c r="N91" s="115"/>
      <c r="O91" s="76" t="s">
        <v>789</v>
      </c>
      <c r="P91" s="115" t="s">
        <v>1220</v>
      </c>
      <c r="Q91" s="115" t="s">
        <v>1221</v>
      </c>
      <c r="R91" s="75"/>
      <c r="S91" s="113" t="str">
        <f t="shared" si="3"/>
        <v>Protected resource access bypass vulnerability in Microsoft Windows client in Intel Security McAfee Data Loss Prevention Endpoint (DLPe) before 9.4.103.4, and before 9.3.600.32 allows administrator to bypass product self-protection, tamper with policies and product files, and uninstall McAfee software without permission via knowledge of the internal trust mechanism.</v>
      </c>
      <c r="T91" s="110"/>
      <c r="U91" s="77" t="s">
        <v>41</v>
      </c>
      <c r="V91" s="143"/>
      <c r="W91" s="145" t="s">
        <v>1215</v>
      </c>
      <c r="X91" s="130" t="s">
        <v>1216</v>
      </c>
    </row>
    <row r="92" spans="1:24" s="32" customFormat="1" ht="60" x14ac:dyDescent="0.25">
      <c r="A92" s="104" t="s">
        <v>1290</v>
      </c>
      <c r="B92" s="104" t="s">
        <v>836</v>
      </c>
      <c r="C92" s="104" t="s">
        <v>892</v>
      </c>
      <c r="D92" s="117">
        <v>2016</v>
      </c>
      <c r="E92" s="118" t="s">
        <v>1092</v>
      </c>
      <c r="F92" s="105" t="s">
        <v>1060</v>
      </c>
      <c r="G92" s="118" t="s">
        <v>576</v>
      </c>
      <c r="H92" s="75"/>
      <c r="I92" s="115" t="s">
        <v>1217</v>
      </c>
      <c r="J92" s="115" t="s">
        <v>1231</v>
      </c>
      <c r="K92" s="115" t="s">
        <v>11</v>
      </c>
      <c r="L92" s="115" t="s">
        <v>1227</v>
      </c>
      <c r="M92" s="115" t="s">
        <v>1239</v>
      </c>
      <c r="N92" s="115"/>
      <c r="O92" s="76" t="s">
        <v>789</v>
      </c>
      <c r="P92" s="115" t="s">
        <v>1220</v>
      </c>
      <c r="Q92" s="115" t="s">
        <v>1221</v>
      </c>
      <c r="R92" s="75"/>
      <c r="S92" s="113" t="str">
        <f t="shared" si="3"/>
        <v>Protected resource access bypass vulnerability in Microsoft Windows ePO extension in Intel Security McAfee Data Loss Prevention Endpoint (DLPe) before 9.4.100.15, and before 9.3.600.5 allows administrator to bypass product self-protection, tamper with policies and product files, and uninstall McAfee software without permission via knowledge of the internal trust mechanism.</v>
      </c>
      <c r="T92" s="110"/>
      <c r="U92" s="77" t="s">
        <v>41</v>
      </c>
      <c r="V92" s="143"/>
      <c r="W92" s="145" t="s">
        <v>1215</v>
      </c>
      <c r="X92" s="130" t="s">
        <v>1216</v>
      </c>
    </row>
    <row r="93" spans="1:24" s="32" customFormat="1" ht="60" x14ac:dyDescent="0.25">
      <c r="A93" s="104" t="s">
        <v>1290</v>
      </c>
      <c r="B93" s="104" t="s">
        <v>836</v>
      </c>
      <c r="C93" s="104" t="s">
        <v>893</v>
      </c>
      <c r="D93" s="117">
        <v>2016</v>
      </c>
      <c r="E93" s="118" t="s">
        <v>1092</v>
      </c>
      <c r="F93" s="105" t="s">
        <v>1060</v>
      </c>
      <c r="G93" s="118" t="s">
        <v>576</v>
      </c>
      <c r="H93" s="75"/>
      <c r="I93" s="115" t="s">
        <v>1217</v>
      </c>
      <c r="J93" s="115" t="s">
        <v>1218</v>
      </c>
      <c r="K93" s="115" t="s">
        <v>11</v>
      </c>
      <c r="L93" s="115" t="s">
        <v>1228</v>
      </c>
      <c r="M93" s="115" t="s">
        <v>1238</v>
      </c>
      <c r="N93" s="115"/>
      <c r="O93" s="76" t="s">
        <v>789</v>
      </c>
      <c r="P93" s="115" t="s">
        <v>1220</v>
      </c>
      <c r="Q93" s="115" t="s">
        <v>1221</v>
      </c>
      <c r="R93" s="75"/>
      <c r="S93" s="113" t="str">
        <f t="shared" si="3"/>
        <v>Protected resource access bypass vulnerability in Microsoft Windows in Intel Security McAfee Device Control (MDC) before 9.4.103.4, and before 9.3.600.32 allows administrator to bypass product self-protection, tamper with policies and product files, and uninstall McAfee software without permission via knowledge of the internal trust mechanism.</v>
      </c>
      <c r="T93" s="110"/>
      <c r="U93" s="77" t="s">
        <v>41</v>
      </c>
      <c r="V93" s="143"/>
      <c r="W93" s="145" t="s">
        <v>1215</v>
      </c>
      <c r="X93" s="130" t="s">
        <v>1216</v>
      </c>
    </row>
    <row r="94" spans="1:24" s="32" customFormat="1" ht="60" x14ac:dyDescent="0.25">
      <c r="A94" s="104" t="s">
        <v>1290</v>
      </c>
      <c r="B94" s="104" t="s">
        <v>836</v>
      </c>
      <c r="C94" s="104" t="s">
        <v>894</v>
      </c>
      <c r="D94" s="117">
        <v>2016</v>
      </c>
      <c r="E94" s="118" t="s">
        <v>1092</v>
      </c>
      <c r="F94" s="105" t="s">
        <v>1060</v>
      </c>
      <c r="G94" s="118" t="s">
        <v>576</v>
      </c>
      <c r="H94" s="75"/>
      <c r="I94" s="115" t="s">
        <v>1217</v>
      </c>
      <c r="J94" s="115" t="s">
        <v>1231</v>
      </c>
      <c r="K94" s="115" t="s">
        <v>11</v>
      </c>
      <c r="L94" s="115" t="s">
        <v>1228</v>
      </c>
      <c r="M94" s="115" t="s">
        <v>1239</v>
      </c>
      <c r="N94" s="115"/>
      <c r="O94" s="76" t="s">
        <v>789</v>
      </c>
      <c r="P94" s="115" t="s">
        <v>1220</v>
      </c>
      <c r="Q94" s="115" t="s">
        <v>1221</v>
      </c>
      <c r="R94" s="75"/>
      <c r="S94" s="113" t="str">
        <f t="shared" si="3"/>
        <v>Protected resource access bypass vulnerability in Microsoft Windows ePO extension in Intel Security McAfee Device Control (MDC) before 9.4.100.15, and before 9.3.600.5 allows administrator to bypass product self-protection, tamper with policies and product files, and uninstall McAfee software without permission via knowledge of the internal trust mechanism.</v>
      </c>
      <c r="T94" s="110"/>
      <c r="U94" s="77" t="s">
        <v>41</v>
      </c>
      <c r="V94" s="143"/>
      <c r="W94" s="145" t="s">
        <v>1215</v>
      </c>
      <c r="X94" s="130" t="s">
        <v>1216</v>
      </c>
    </row>
    <row r="95" spans="1:24" s="32" customFormat="1" ht="120" customHeight="1" x14ac:dyDescent="0.25">
      <c r="A95" s="104" t="s">
        <v>1290</v>
      </c>
      <c r="B95" s="104" t="s">
        <v>836</v>
      </c>
      <c r="C95" s="104" t="s">
        <v>894</v>
      </c>
      <c r="D95" s="117">
        <v>2016</v>
      </c>
      <c r="E95" s="118" t="s">
        <v>1092</v>
      </c>
      <c r="F95" s="105" t="s">
        <v>1060</v>
      </c>
      <c r="G95" s="118" t="s">
        <v>576</v>
      </c>
      <c r="H95" s="75"/>
      <c r="I95" s="115" t="s">
        <v>1217</v>
      </c>
      <c r="J95" s="115" t="s">
        <v>1262</v>
      </c>
      <c r="K95" s="115" t="s">
        <v>11</v>
      </c>
      <c r="L95" s="115" t="s">
        <v>1229</v>
      </c>
      <c r="M95" s="115" t="s">
        <v>1236</v>
      </c>
      <c r="N95" s="115"/>
      <c r="O95" s="76" t="s">
        <v>789</v>
      </c>
      <c r="P95" s="115" t="s">
        <v>1220</v>
      </c>
      <c r="Q95" s="115" t="s">
        <v>1221</v>
      </c>
      <c r="R95" s="75"/>
      <c r="S95" s="113" t="str">
        <f t="shared" si="3"/>
        <v>Protected resource access bypass vulnerability in Microsoft Windows and Apple iOS in Intel Security McAfee Endpoint Security (ENS) before 10.1 allows administrator to bypass product self-protection, tamper with policies and product files, and uninstall McAfee software without permission via knowledge of the internal trust mechanism.</v>
      </c>
      <c r="T95" s="110"/>
      <c r="U95" s="77" t="s">
        <v>41</v>
      </c>
      <c r="V95" s="143"/>
      <c r="W95" s="145" t="s">
        <v>1215</v>
      </c>
      <c r="X95" s="130" t="s">
        <v>1216</v>
      </c>
    </row>
    <row r="96" spans="1:24" x14ac:dyDescent="0.25">
      <c r="A96" s="108" t="s">
        <v>1106</v>
      </c>
      <c r="B96" s="73" t="s">
        <v>841</v>
      </c>
      <c r="C96" s="73" t="s">
        <v>895</v>
      </c>
      <c r="D96" s="74">
        <v>2016</v>
      </c>
      <c r="E96" s="105" t="s">
        <v>1147</v>
      </c>
      <c r="F96" s="105" t="s">
        <v>576</v>
      </c>
      <c r="G96" s="105" t="s">
        <v>576</v>
      </c>
      <c r="H96" s="75"/>
      <c r="I96" s="76"/>
      <c r="J96" s="76"/>
      <c r="K96" s="76" t="s">
        <v>11</v>
      </c>
      <c r="L96" s="76"/>
      <c r="M96" s="76"/>
      <c r="N96" s="76"/>
      <c r="O96" s="76"/>
      <c r="P96" s="76"/>
      <c r="Q96" s="76"/>
      <c r="R96" s="75"/>
      <c r="S96" s="113" t="str">
        <f t="shared" si="3"/>
        <v>MISSING [VULNTYPE] OR [ROOT CAUSE]!</v>
      </c>
      <c r="T96" s="77"/>
      <c r="U96" s="77"/>
      <c r="V96" s="143"/>
      <c r="W96" s="148" t="str">
        <f t="shared" si="4"/>
        <v>https://kc.mcafee.com/corporate/index?page=content&amp;id=SB101xx</v>
      </c>
      <c r="X96" s="129"/>
    </row>
    <row r="97" spans="1:24" x14ac:dyDescent="0.25">
      <c r="A97" s="108" t="s">
        <v>1106</v>
      </c>
      <c r="B97" s="73" t="s">
        <v>841</v>
      </c>
      <c r="C97" s="73" t="s">
        <v>896</v>
      </c>
      <c r="D97" s="74">
        <v>2016</v>
      </c>
      <c r="E97" s="105" t="s">
        <v>1147</v>
      </c>
      <c r="F97" s="105" t="s">
        <v>576</v>
      </c>
      <c r="G97" s="105" t="s">
        <v>576</v>
      </c>
      <c r="H97" s="75"/>
      <c r="I97" s="76"/>
      <c r="J97" s="76"/>
      <c r="K97" s="76" t="s">
        <v>11</v>
      </c>
      <c r="L97" s="76"/>
      <c r="M97" s="76"/>
      <c r="N97" s="76"/>
      <c r="O97" s="76"/>
      <c r="P97" s="76"/>
      <c r="Q97" s="76"/>
      <c r="R97" s="75"/>
      <c r="S97" s="113" t="str">
        <f t="shared" si="3"/>
        <v>MISSING [VULNTYPE] OR [ROOT CAUSE]!</v>
      </c>
      <c r="T97" s="77"/>
      <c r="U97" s="77"/>
      <c r="V97" s="143"/>
      <c r="W97" s="148" t="str">
        <f t="shared" si="4"/>
        <v>https://kc.mcafee.com/corporate/index?page=content&amp;id=SB101xx</v>
      </c>
      <c r="X97" s="129"/>
    </row>
    <row r="98" spans="1:24" s="6" customFormat="1" x14ac:dyDescent="0.25">
      <c r="A98" s="42"/>
      <c r="B98" s="42"/>
      <c r="C98" s="87">
        <v>2017</v>
      </c>
      <c r="D98" s="45"/>
      <c r="E98" s="45"/>
      <c r="F98" s="45"/>
      <c r="G98" s="45"/>
      <c r="I98" s="26"/>
      <c r="J98" s="26"/>
      <c r="K98" s="39"/>
      <c r="L98" s="39"/>
      <c r="M98" s="26"/>
      <c r="N98" s="26"/>
      <c r="O98" s="26"/>
      <c r="P98" s="26"/>
      <c r="Q98" s="26"/>
      <c r="S98" s="37"/>
      <c r="T98" s="37"/>
      <c r="U98" s="37"/>
      <c r="W98" s="144"/>
      <c r="X98" s="128"/>
    </row>
    <row r="99" spans="1:24" x14ac:dyDescent="0.25">
      <c r="A99" s="73" t="s">
        <v>1149</v>
      </c>
      <c r="B99" s="73" t="s">
        <v>841</v>
      </c>
      <c r="C99" s="73" t="s">
        <v>840</v>
      </c>
      <c r="D99" s="74">
        <v>2017</v>
      </c>
      <c r="E99" s="105" t="s">
        <v>1147</v>
      </c>
      <c r="F99" s="105" t="s">
        <v>576</v>
      </c>
      <c r="G99" s="105" t="s">
        <v>576</v>
      </c>
      <c r="H99" s="75"/>
      <c r="I99" s="76"/>
      <c r="J99" s="76"/>
      <c r="K99" s="76" t="s">
        <v>11</v>
      </c>
      <c r="L99" s="76"/>
      <c r="M99" s="76"/>
      <c r="N99" s="76"/>
      <c r="O99" s="76"/>
      <c r="P99" s="76"/>
      <c r="Q99" s="76"/>
      <c r="R99" s="75"/>
      <c r="S99" s="113" t="str">
        <f t="shared" si="3"/>
        <v>MISSING [VULNTYPE] OR [ROOT CAUSE]!</v>
      </c>
      <c r="T99" s="77"/>
      <c r="U99" s="77"/>
      <c r="V99" s="143"/>
      <c r="W99" s="148" t="str">
        <f t="shared" ref="W99" si="5">IF(NOT(ISBLANK($B99)), CONCATENATE("https://kc.mcafee.com/corporate/index?page=content&amp;id=",$B99),"")</f>
        <v>https://kc.mcafee.com/corporate/index?page=content&amp;id=SB101xx</v>
      </c>
      <c r="X99" s="129"/>
    </row>
    <row r="101" spans="1:24" ht="21" x14ac:dyDescent="0.25">
      <c r="I101" s="122"/>
      <c r="J101" s="120" t="s">
        <v>1103</v>
      </c>
      <c r="K101" s="123"/>
      <c r="L101" s="123"/>
    </row>
    <row r="102" spans="1:24" ht="15.75" thickBot="1" x14ac:dyDescent="0.3">
      <c r="I102" s="124" t="s">
        <v>1102</v>
      </c>
      <c r="J102" s="121">
        <v>43</v>
      </c>
      <c r="K102" s="123"/>
      <c r="L102" s="123"/>
    </row>
    <row r="103" spans="1:24" x14ac:dyDescent="0.25">
      <c r="I103" s="125" t="s">
        <v>1099</v>
      </c>
      <c r="J103" s="156" t="str">
        <f ca="1">INDIRECT("$C" &amp; $J$102)</f>
        <v>CVE-2015-nnnn</v>
      </c>
      <c r="K103" s="157"/>
      <c r="L103" s="157"/>
      <c r="M103" s="158"/>
    </row>
    <row r="104" spans="1:24" x14ac:dyDescent="0.25">
      <c r="I104" s="114" t="s">
        <v>1100</v>
      </c>
      <c r="J104" s="152" t="str">
        <f ca="1">INDIRECT("$L" &amp; $J$102)</f>
        <v>Advanced Threat Defense (ATD)</v>
      </c>
      <c r="K104" s="153"/>
      <c r="L104" s="154"/>
      <c r="M104" s="155"/>
    </row>
    <row r="105" spans="1:24" x14ac:dyDescent="0.25">
      <c r="I105" s="114" t="s">
        <v>1108</v>
      </c>
      <c r="J105" s="152" t="str">
        <f ca="1">INDIRECT("$M" &amp; $J$102)</f>
        <v>3.4.6 and earlier</v>
      </c>
      <c r="K105" s="153"/>
      <c r="L105" s="154"/>
      <c r="M105" s="155"/>
    </row>
    <row r="106" spans="1:24" x14ac:dyDescent="0.25">
      <c r="I106" s="114" t="s">
        <v>1101</v>
      </c>
      <c r="J106" s="152" t="str">
        <f ca="1">INDIRECT("$I" &amp; $J$102)</f>
        <v>Detection bypass vulnerability</v>
      </c>
      <c r="K106" s="153"/>
      <c r="L106" s="154"/>
      <c r="M106" s="155"/>
    </row>
    <row r="107" spans="1:24" ht="55.5" customHeight="1" x14ac:dyDescent="0.25">
      <c r="I107" s="114" t="s">
        <v>1107</v>
      </c>
      <c r="J107" s="152" t="str">
        <f ca="1">INDIRECT("$W" &amp; $J$102)</f>
        <v>https://kc.mcafee.com/corporate/index?page=content&amp;id=SB10127</v>
      </c>
      <c r="K107" s="153"/>
      <c r="L107" s="154"/>
      <c r="M107" s="155"/>
    </row>
    <row r="108" spans="1:24" ht="61.5" customHeight="1" x14ac:dyDescent="0.25">
      <c r="I108" s="114"/>
      <c r="J108" s="152" t="str">
        <f ca="1">INDIRECT("$X" &amp; $J$102)</f>
        <v>https://nvd.nist.gov/cvss.cfm?calculator&amp;version=2&amp;vector=(AV:N/AC:M/Au:S/C:P/I:P/A:N/E:F/RL:OF/RC:C)</v>
      </c>
      <c r="K108" s="153"/>
      <c r="L108" s="154"/>
      <c r="M108" s="155"/>
    </row>
    <row r="109" spans="1:24" ht="74.25" customHeight="1" thickBot="1" x14ac:dyDescent="0.3">
      <c r="I109" s="126" t="s">
        <v>1194</v>
      </c>
      <c r="J109" s="159" t="str">
        <f ca="1">INDIRECT("$S" &amp; $J$102)</f>
        <v>Detection bypass vulnerability in Intel Security Advanced Threat Defense (ATD) 3.4.6 and earlier allows malware samples to bypass ATD detection via renaming the malware.</v>
      </c>
      <c r="K109" s="160"/>
      <c r="L109" s="160"/>
      <c r="M109" s="161"/>
    </row>
    <row r="110" spans="1:24" x14ac:dyDescent="0.25">
      <c r="I110" s="10"/>
    </row>
    <row r="111" spans="1:24" x14ac:dyDescent="0.25">
      <c r="I111" s="10"/>
    </row>
    <row r="112" spans="1:24" x14ac:dyDescent="0.25">
      <c r="I112" s="10" t="s">
        <v>3369</v>
      </c>
    </row>
    <row r="113" spans="9:9" x14ac:dyDescent="0.25">
      <c r="I113" s="10"/>
    </row>
    <row r="114" spans="9:9" x14ac:dyDescent="0.25">
      <c r="I114" s="10"/>
    </row>
    <row r="115" spans="9:9" x14ac:dyDescent="0.25">
      <c r="I115" s="10"/>
    </row>
    <row r="116" spans="9:9" x14ac:dyDescent="0.25">
      <c r="I116" s="10"/>
    </row>
    <row r="117" spans="9:9" x14ac:dyDescent="0.25">
      <c r="I117" s="10"/>
    </row>
    <row r="118" spans="9:9" x14ac:dyDescent="0.25">
      <c r="I118" s="10"/>
    </row>
    <row r="119" spans="9:9" x14ac:dyDescent="0.25">
      <c r="I119" s="10"/>
    </row>
    <row r="120" spans="9:9" x14ac:dyDescent="0.25">
      <c r="I120" s="10"/>
    </row>
    <row r="121" spans="9:9" x14ac:dyDescent="0.25">
      <c r="I121" s="10"/>
    </row>
    <row r="122" spans="9:9" x14ac:dyDescent="0.25">
      <c r="I122" s="10"/>
    </row>
  </sheetData>
  <autoFilter ref="A1:X122" xr:uid="{00000000-0009-0000-0000-000000000000}"/>
  <mergeCells count="7">
    <mergeCell ref="J104:M104"/>
    <mergeCell ref="J103:M103"/>
    <mergeCell ref="J108:M108"/>
    <mergeCell ref="J107:M107"/>
    <mergeCell ref="J109:M109"/>
    <mergeCell ref="J106:M106"/>
    <mergeCell ref="J105:M105"/>
  </mergeCells>
  <conditionalFormatting sqref="N12:N14 N29:N33 N35 N38 N16 N22:N25 N18:N19 N41:N45 N99 N86 N57 N47:N51 N74">
    <cfRule type="expression" dxfId="204" priority="369">
      <formula>NOT(ISBLANK(I12))</formula>
    </cfRule>
  </conditionalFormatting>
  <conditionalFormatting sqref="I12:I14 I29:I33 I35 I38 I16 I18:I22 I41:I45 I99 I24:I25 I47 I86 I49:I51 I74">
    <cfRule type="expression" dxfId="203" priority="364">
      <formula>NOT(ISBLANK(N12))</formula>
    </cfRule>
  </conditionalFormatting>
  <conditionalFormatting sqref="N26">
    <cfRule type="expression" dxfId="202" priority="363">
      <formula>NOT(ISBLANK(I26))</formula>
    </cfRule>
  </conditionalFormatting>
  <conditionalFormatting sqref="I26">
    <cfRule type="expression" dxfId="201" priority="362">
      <formula>NOT(ISBLANK(N26))</formula>
    </cfRule>
  </conditionalFormatting>
  <conditionalFormatting sqref="N28">
    <cfRule type="expression" dxfId="200" priority="361">
      <formula>NOT(ISBLANK(I28))</formula>
    </cfRule>
  </conditionalFormatting>
  <conditionalFormatting sqref="I28">
    <cfRule type="expression" dxfId="199" priority="360">
      <formula>NOT(ISBLANK(N28))</formula>
    </cfRule>
  </conditionalFormatting>
  <conditionalFormatting sqref="N34">
    <cfRule type="expression" dxfId="198" priority="359">
      <formula>NOT(ISBLANK(I34))</formula>
    </cfRule>
  </conditionalFormatting>
  <conditionalFormatting sqref="I34">
    <cfRule type="expression" dxfId="197" priority="353">
      <formula>NOT(ISBLANK(N34))</formula>
    </cfRule>
  </conditionalFormatting>
  <conditionalFormatting sqref="N37">
    <cfRule type="expression" dxfId="196" priority="357">
      <formula>NOT(ISBLANK(I37))</formula>
    </cfRule>
  </conditionalFormatting>
  <conditionalFormatting sqref="I37">
    <cfRule type="expression" dxfId="195" priority="351">
      <formula>NOT(ISBLANK(N37))</formula>
    </cfRule>
  </conditionalFormatting>
  <conditionalFormatting sqref="N36">
    <cfRule type="expression" dxfId="194" priority="355">
      <formula>NOT(ISBLANK(I36))</formula>
    </cfRule>
  </conditionalFormatting>
  <conditionalFormatting sqref="I36">
    <cfRule type="expression" dxfId="193" priority="352">
      <formula>NOT(ISBLANK(N36))</formula>
    </cfRule>
  </conditionalFormatting>
  <conditionalFormatting sqref="I39">
    <cfRule type="expression" dxfId="192" priority="349">
      <formula>NOT(ISBLANK(N39))</formula>
    </cfRule>
  </conditionalFormatting>
  <conditionalFormatting sqref="N39">
    <cfRule type="expression" dxfId="191" priority="350">
      <formula>NOT(ISBLANK(I39))</formula>
    </cfRule>
  </conditionalFormatting>
  <conditionalFormatting sqref="N40">
    <cfRule type="expression" dxfId="190" priority="348">
      <formula>NOT(ISBLANK(I40))</formula>
    </cfRule>
  </conditionalFormatting>
  <conditionalFormatting sqref="I40">
    <cfRule type="expression" dxfId="189" priority="347">
      <formula>NOT(ISBLANK(N40))</formula>
    </cfRule>
  </conditionalFormatting>
  <conditionalFormatting sqref="N15">
    <cfRule type="expression" dxfId="188" priority="346">
      <formula>NOT(ISBLANK(I15))</formula>
    </cfRule>
  </conditionalFormatting>
  <conditionalFormatting sqref="I15">
    <cfRule type="expression" dxfId="187" priority="345">
      <formula>NOT(ISBLANK(N15))</formula>
    </cfRule>
  </conditionalFormatting>
  <conditionalFormatting sqref="N20:N21">
    <cfRule type="expression" dxfId="186" priority="344">
      <formula>NOT(ISBLANK(I20))</formula>
    </cfRule>
  </conditionalFormatting>
  <conditionalFormatting sqref="N79:N82">
    <cfRule type="expression" dxfId="185" priority="339">
      <formula>NOT(ISBLANK(I79))</formula>
    </cfRule>
  </conditionalFormatting>
  <conditionalFormatting sqref="I79:I82">
    <cfRule type="expression" dxfId="184" priority="338">
      <formula>NOT(ISBLANK(N79))</formula>
    </cfRule>
  </conditionalFormatting>
  <conditionalFormatting sqref="N75:N78">
    <cfRule type="expression" dxfId="183" priority="333">
      <formula>NOT(ISBLANK(I75))</formula>
    </cfRule>
  </conditionalFormatting>
  <conditionalFormatting sqref="I75:I78">
    <cfRule type="expression" dxfId="182" priority="332">
      <formula>NOT(ISBLANK(N75))</formula>
    </cfRule>
  </conditionalFormatting>
  <conditionalFormatting sqref="N52">
    <cfRule type="expression" dxfId="181" priority="331">
      <formula>NOT(ISBLANK(I52))</formula>
    </cfRule>
  </conditionalFormatting>
  <conditionalFormatting sqref="I52">
    <cfRule type="expression" dxfId="180" priority="330">
      <formula>NOT(ISBLANK(N52))</formula>
    </cfRule>
  </conditionalFormatting>
  <conditionalFormatting sqref="C57 C47:C48 C74:C82">
    <cfRule type="expression" dxfId="179" priority="317">
      <formula>NOT(RIGHT(C47,4)="nnnn")</formula>
    </cfRule>
  </conditionalFormatting>
  <conditionalFormatting sqref="C86 C49:C52">
    <cfRule type="expression" dxfId="178" priority="316">
      <formula>NOT(RIGHT(C49,4)="nnnn")</formula>
    </cfRule>
  </conditionalFormatting>
  <conditionalFormatting sqref="C99">
    <cfRule type="expression" dxfId="177" priority="315">
      <formula>NOT(RIGHT(C99,4)="nnnn")</formula>
    </cfRule>
  </conditionalFormatting>
  <conditionalFormatting sqref="C28:C45">
    <cfRule type="expression" dxfId="176" priority="314">
      <formula>NOT(RIGHT(C28,4)="nnnn")</formula>
    </cfRule>
  </conditionalFormatting>
  <conditionalFormatting sqref="C18:C26">
    <cfRule type="expression" dxfId="175" priority="313">
      <formula>NOT(RIGHT(C18,4)="nnnn")</formula>
    </cfRule>
  </conditionalFormatting>
  <conditionalFormatting sqref="C12:C16">
    <cfRule type="expression" dxfId="174" priority="312">
      <formula>NOT(RIGHT(C12,4)="nnnn")</formula>
    </cfRule>
  </conditionalFormatting>
  <conditionalFormatting sqref="N62">
    <cfRule type="expression" dxfId="173" priority="283">
      <formula>NOT(ISBLANK(I62))</formula>
    </cfRule>
  </conditionalFormatting>
  <conditionalFormatting sqref="I62">
    <cfRule type="expression" dxfId="172" priority="282">
      <formula>NOT(ISBLANK(N62))</formula>
    </cfRule>
  </conditionalFormatting>
  <conditionalFormatting sqref="C62">
    <cfRule type="expression" dxfId="171" priority="279">
      <formula>NOT(RIGHT(C62,4)="nnnn")</formula>
    </cfRule>
  </conditionalFormatting>
  <conditionalFormatting sqref="G62 G57 G48">
    <cfRule type="expression" dxfId="170" priority="280">
      <formula>G48="Y"</formula>
    </cfRule>
    <cfRule type="expression" dxfId="169" priority="281">
      <formula>G48="N"</formula>
    </cfRule>
  </conditionalFormatting>
  <conditionalFormatting sqref="C71">
    <cfRule type="expression" dxfId="168" priority="274">
      <formula>NOT(RIGHT(C71,4)="nnnn")</formula>
    </cfRule>
  </conditionalFormatting>
  <conditionalFormatting sqref="N71">
    <cfRule type="expression" dxfId="167" priority="278">
      <formula>NOT(ISBLANK(I71))</formula>
    </cfRule>
  </conditionalFormatting>
  <conditionalFormatting sqref="I71">
    <cfRule type="expression" dxfId="166" priority="277">
      <formula>NOT(ISBLANK(N71))</formula>
    </cfRule>
  </conditionalFormatting>
  <conditionalFormatting sqref="C68">
    <cfRule type="expression" dxfId="165" priority="246">
      <formula>NOT(RIGHT(C68,4)="nnnn")</formula>
    </cfRule>
  </conditionalFormatting>
  <conditionalFormatting sqref="G71">
    <cfRule type="expression" dxfId="164" priority="275">
      <formula>G71="Y"</formula>
    </cfRule>
    <cfRule type="expression" dxfId="163" priority="276">
      <formula>G71="N"</formula>
    </cfRule>
  </conditionalFormatting>
  <conditionalFormatting sqref="N63">
    <cfRule type="expression" dxfId="162" priority="273">
      <formula>NOT(ISBLANK(I63))</formula>
    </cfRule>
  </conditionalFormatting>
  <conditionalFormatting sqref="I63">
    <cfRule type="expression" dxfId="161" priority="272">
      <formula>NOT(ISBLANK(N63))</formula>
    </cfRule>
  </conditionalFormatting>
  <conditionalFormatting sqref="C63">
    <cfRule type="expression" dxfId="160" priority="269">
      <formula>NOT(RIGHT(C63,4)="nnnn")</formula>
    </cfRule>
  </conditionalFormatting>
  <conditionalFormatting sqref="G63">
    <cfRule type="expression" dxfId="159" priority="270">
      <formula>G63="Y"</formula>
    </cfRule>
    <cfRule type="expression" dxfId="158" priority="271">
      <formula>G63="N"</formula>
    </cfRule>
  </conditionalFormatting>
  <conditionalFormatting sqref="N64">
    <cfRule type="expression" dxfId="157" priority="268">
      <formula>NOT(ISBLANK(I64))</formula>
    </cfRule>
  </conditionalFormatting>
  <conditionalFormatting sqref="I64">
    <cfRule type="expression" dxfId="156" priority="267">
      <formula>NOT(ISBLANK(N64))</formula>
    </cfRule>
  </conditionalFormatting>
  <conditionalFormatting sqref="C64">
    <cfRule type="expression" dxfId="155" priority="264">
      <formula>NOT(RIGHT(C64,4)="nnnn")</formula>
    </cfRule>
  </conditionalFormatting>
  <conditionalFormatting sqref="G64">
    <cfRule type="expression" dxfId="154" priority="265">
      <formula>G64="Y"</formula>
    </cfRule>
    <cfRule type="expression" dxfId="153" priority="266">
      <formula>G64="N"</formula>
    </cfRule>
  </conditionalFormatting>
  <conditionalFormatting sqref="N65">
    <cfRule type="expression" dxfId="152" priority="263">
      <formula>NOT(ISBLANK(I65))</formula>
    </cfRule>
  </conditionalFormatting>
  <conditionalFormatting sqref="I65">
    <cfRule type="expression" dxfId="151" priority="262">
      <formula>NOT(ISBLANK(N65))</formula>
    </cfRule>
  </conditionalFormatting>
  <conditionalFormatting sqref="C65">
    <cfRule type="expression" dxfId="150" priority="259">
      <formula>NOT(RIGHT(C65,4)="nnnn")</formula>
    </cfRule>
  </conditionalFormatting>
  <conditionalFormatting sqref="G65">
    <cfRule type="expression" dxfId="149" priority="260">
      <formula>G65="Y"</formula>
    </cfRule>
    <cfRule type="expression" dxfId="148" priority="261">
      <formula>G65="N"</formula>
    </cfRule>
  </conditionalFormatting>
  <conditionalFormatting sqref="N66">
    <cfRule type="expression" dxfId="147" priority="258">
      <formula>NOT(ISBLANK(I66))</formula>
    </cfRule>
  </conditionalFormatting>
  <conditionalFormatting sqref="I66">
    <cfRule type="expression" dxfId="146" priority="257">
      <formula>NOT(ISBLANK(N66))</formula>
    </cfRule>
  </conditionalFormatting>
  <conditionalFormatting sqref="C66">
    <cfRule type="expression" dxfId="145" priority="254">
      <formula>NOT(RIGHT(C66,4)="nnnn")</formula>
    </cfRule>
  </conditionalFormatting>
  <conditionalFormatting sqref="G66">
    <cfRule type="expression" dxfId="144" priority="255">
      <formula>G66="Y"</formula>
    </cfRule>
    <cfRule type="expression" dxfId="143" priority="256">
      <formula>G66="N"</formula>
    </cfRule>
  </conditionalFormatting>
  <conditionalFormatting sqref="N67">
    <cfRule type="expression" dxfId="142" priority="253">
      <formula>NOT(ISBLANK(I67))</formula>
    </cfRule>
  </conditionalFormatting>
  <conditionalFormatting sqref="C67">
    <cfRule type="expression" dxfId="141" priority="250">
      <formula>NOT(RIGHT(C67,4)="nnnn")</formula>
    </cfRule>
  </conditionalFormatting>
  <conditionalFormatting sqref="G67">
    <cfRule type="expression" dxfId="140" priority="251">
      <formula>G67="Y"</formula>
    </cfRule>
    <cfRule type="expression" dxfId="139" priority="252">
      <formula>G67="N"</formula>
    </cfRule>
  </conditionalFormatting>
  <conditionalFormatting sqref="N68">
    <cfRule type="expression" dxfId="138" priority="249">
      <formula>NOT(ISBLANK(I68))</formula>
    </cfRule>
  </conditionalFormatting>
  <conditionalFormatting sqref="G68">
    <cfRule type="expression" dxfId="137" priority="247">
      <formula>G68="Y"</formula>
    </cfRule>
    <cfRule type="expression" dxfId="136" priority="248">
      <formula>G68="N"</formula>
    </cfRule>
  </conditionalFormatting>
  <conditionalFormatting sqref="C69">
    <cfRule type="expression" dxfId="135" priority="242">
      <formula>NOT(RIGHT(C69,4)="nnnn")</formula>
    </cfRule>
  </conditionalFormatting>
  <conditionalFormatting sqref="N69">
    <cfRule type="expression" dxfId="134" priority="245">
      <formula>NOT(ISBLANK(I69))</formula>
    </cfRule>
  </conditionalFormatting>
  <conditionalFormatting sqref="G69">
    <cfRule type="expression" dxfId="133" priority="243">
      <formula>G69="Y"</formula>
    </cfRule>
    <cfRule type="expression" dxfId="132" priority="244">
      <formula>G69="N"</formula>
    </cfRule>
  </conditionalFormatting>
  <conditionalFormatting sqref="C70">
    <cfRule type="expression" dxfId="131" priority="238">
      <formula>NOT(RIGHT(C70,4)="nnnn")</formula>
    </cfRule>
  </conditionalFormatting>
  <conditionalFormatting sqref="N70">
    <cfRule type="expression" dxfId="130" priority="241">
      <formula>NOT(ISBLANK(I70))</formula>
    </cfRule>
  </conditionalFormatting>
  <conditionalFormatting sqref="G70">
    <cfRule type="expression" dxfId="129" priority="239">
      <formula>G70="Y"</formula>
    </cfRule>
    <cfRule type="expression" dxfId="128" priority="240">
      <formula>G70="N"</formula>
    </cfRule>
  </conditionalFormatting>
  <conditionalFormatting sqref="I57">
    <cfRule type="expression" dxfId="127" priority="236">
      <formula>NOT(ISBLANK(N57))</formula>
    </cfRule>
  </conditionalFormatting>
  <conditionalFormatting sqref="N55">
    <cfRule type="expression" dxfId="126" priority="235">
      <formula>NOT(ISBLANK(I55))</formula>
    </cfRule>
  </conditionalFormatting>
  <conditionalFormatting sqref="I55">
    <cfRule type="expression" dxfId="125" priority="234">
      <formula>NOT(ISBLANK(N55))</formula>
    </cfRule>
  </conditionalFormatting>
  <conditionalFormatting sqref="C55">
    <cfRule type="expression" dxfId="124" priority="231">
      <formula>NOT(RIGHT(C55,4)="nnnn")</formula>
    </cfRule>
  </conditionalFormatting>
  <conditionalFormatting sqref="G55">
    <cfRule type="expression" dxfId="123" priority="232">
      <formula>G55="Y"</formula>
    </cfRule>
    <cfRule type="expression" dxfId="122" priority="233">
      <formula>G55="N"</formula>
    </cfRule>
  </conditionalFormatting>
  <conditionalFormatting sqref="I53">
    <cfRule type="expression" dxfId="121" priority="229">
      <formula>NOT(ISBLANK(N53))</formula>
    </cfRule>
  </conditionalFormatting>
  <conditionalFormatting sqref="C53">
    <cfRule type="expression" dxfId="120" priority="226">
      <formula>NOT(RIGHT(C53,4)="nnnn")</formula>
    </cfRule>
  </conditionalFormatting>
  <conditionalFormatting sqref="I54">
    <cfRule type="expression" dxfId="119" priority="224">
      <formula>NOT(ISBLANK(N54))</formula>
    </cfRule>
  </conditionalFormatting>
  <conditionalFormatting sqref="C54">
    <cfRule type="expression" dxfId="118" priority="221">
      <formula>NOT(RIGHT(C54,4)="nnnn")</formula>
    </cfRule>
  </conditionalFormatting>
  <conditionalFormatting sqref="N59">
    <cfRule type="expression" dxfId="117" priority="215">
      <formula>NOT(ISBLANK(I59))</formula>
    </cfRule>
  </conditionalFormatting>
  <conditionalFormatting sqref="I59">
    <cfRule type="expression" dxfId="116" priority="214">
      <formula>NOT(ISBLANK(N59))</formula>
    </cfRule>
  </conditionalFormatting>
  <conditionalFormatting sqref="C59">
    <cfRule type="expression" dxfId="115" priority="211">
      <formula>NOT(RIGHT(C59,4)="nnnn")</formula>
    </cfRule>
  </conditionalFormatting>
  <conditionalFormatting sqref="N60">
    <cfRule type="expression" dxfId="114" priority="210">
      <formula>NOT(ISBLANK(I60))</formula>
    </cfRule>
  </conditionalFormatting>
  <conditionalFormatting sqref="C60">
    <cfRule type="expression" dxfId="113" priority="206">
      <formula>NOT(RIGHT(C60,4)="nnnn")</formula>
    </cfRule>
  </conditionalFormatting>
  <conditionalFormatting sqref="I23">
    <cfRule type="expression" dxfId="112" priority="164">
      <formula>NOT(ISBLANK(N23))</formula>
    </cfRule>
  </conditionalFormatting>
  <conditionalFormatting sqref="I67:I70">
    <cfRule type="expression" dxfId="111" priority="159">
      <formula>NOT(ISBLANK(N67))</formula>
    </cfRule>
  </conditionalFormatting>
  <conditionalFormatting sqref="I48">
    <cfRule type="expression" dxfId="110" priority="158">
      <formula>NOT(ISBLANK(N48))</formula>
    </cfRule>
  </conditionalFormatting>
  <conditionalFormatting sqref="N87:N90 N94:N95 N92">
    <cfRule type="expression" dxfId="109" priority="157">
      <formula>NOT(ISBLANK(I87))</formula>
    </cfRule>
  </conditionalFormatting>
  <conditionalFormatting sqref="I87:I90 I94:I95 I92">
    <cfRule type="expression" dxfId="108" priority="156">
      <formula>NOT(ISBLANK(N87))</formula>
    </cfRule>
  </conditionalFormatting>
  <conditionalFormatting sqref="C87:C90 C92:C95">
    <cfRule type="expression" dxfId="107" priority="153">
      <formula>NOT(RIGHT(C87,4)="nnnn")</formula>
    </cfRule>
  </conditionalFormatting>
  <conditionalFormatting sqref="F93">
    <cfRule type="expression" dxfId="106" priority="146">
      <formula>F93="Y"</formula>
    </cfRule>
    <cfRule type="expression" dxfId="105" priority="147">
      <formula>F93="N"</formula>
    </cfRule>
  </conditionalFormatting>
  <conditionalFormatting sqref="N93">
    <cfRule type="expression" dxfId="104" priority="145">
      <formula>NOT(ISBLANK(I93))</formula>
    </cfRule>
  </conditionalFormatting>
  <conditionalFormatting sqref="I93">
    <cfRule type="expression" dxfId="103" priority="144">
      <formula>NOT(ISBLANK(N93))</formula>
    </cfRule>
  </conditionalFormatting>
  <conditionalFormatting sqref="C93">
    <cfRule type="expression" dxfId="102" priority="141">
      <formula>NOT(RIGHT(C93,4)="nnnn")</formula>
    </cfRule>
  </conditionalFormatting>
  <conditionalFormatting sqref="F91">
    <cfRule type="expression" dxfId="101" priority="134">
      <formula>F91="Y"</formula>
    </cfRule>
    <cfRule type="expression" dxfId="100" priority="135">
      <formula>F91="N"</formula>
    </cfRule>
  </conditionalFormatting>
  <conditionalFormatting sqref="N91">
    <cfRule type="expression" dxfId="99" priority="133">
      <formula>NOT(ISBLANK(I91))</formula>
    </cfRule>
  </conditionalFormatting>
  <conditionalFormatting sqref="I91">
    <cfRule type="expression" dxfId="98" priority="132">
      <formula>NOT(ISBLANK(N91))</formula>
    </cfRule>
  </conditionalFormatting>
  <conditionalFormatting sqref="C91">
    <cfRule type="expression" dxfId="97" priority="129">
      <formula>NOT(RIGHT(C91,4)="nnnn")</formula>
    </cfRule>
  </conditionalFormatting>
  <conditionalFormatting sqref="C92">
    <cfRule type="expression" dxfId="96" priority="123">
      <formula>NOT(RIGHT(C92,4)="nnnn")</formula>
    </cfRule>
  </conditionalFormatting>
  <conditionalFormatting sqref="N72">
    <cfRule type="expression" dxfId="95" priority="122">
      <formula>NOT(ISBLANK(I72))</formula>
    </cfRule>
  </conditionalFormatting>
  <conditionalFormatting sqref="I72">
    <cfRule type="expression" dxfId="94" priority="121">
      <formula>NOT(ISBLANK(N72))</formula>
    </cfRule>
  </conditionalFormatting>
  <conditionalFormatting sqref="C72">
    <cfRule type="expression" dxfId="93" priority="108">
      <formula>NOT(RIGHT(C72,4)="nnnn")</formula>
    </cfRule>
  </conditionalFormatting>
  <conditionalFormatting sqref="F72:G72">
    <cfRule type="expression" dxfId="92" priority="120">
      <formula>F72="N"</formula>
    </cfRule>
  </conditionalFormatting>
  <conditionalFormatting sqref="F98:G99 F86:G95 F57:G57 F59:G60 F74:G82 F62:G72 F11:G55">
    <cfRule type="expression" dxfId="91" priority="95">
      <formula>F11="NA"</formula>
    </cfRule>
    <cfRule type="expression" dxfId="90" priority="96">
      <formula>F11="N"</formula>
    </cfRule>
    <cfRule type="expression" dxfId="89" priority="119">
      <formula>F11="Y"</formula>
    </cfRule>
  </conditionalFormatting>
  <conditionalFormatting sqref="N56">
    <cfRule type="expression" dxfId="88" priority="91">
      <formula>NOT(ISBLANK(I56))</formula>
    </cfRule>
  </conditionalFormatting>
  <conditionalFormatting sqref="C56">
    <cfRule type="expression" dxfId="87" priority="88">
      <formula>NOT(RIGHT(C56,4)="nnnn")</formula>
    </cfRule>
  </conditionalFormatting>
  <conditionalFormatting sqref="G56">
    <cfRule type="expression" dxfId="86" priority="89">
      <formula>G56="Y"</formula>
    </cfRule>
    <cfRule type="expression" dxfId="85" priority="90">
      <formula>G56="N"</formula>
    </cfRule>
  </conditionalFormatting>
  <conditionalFormatting sqref="I56">
    <cfRule type="expression" dxfId="84" priority="87">
      <formula>NOT(ISBLANK(N56))</formula>
    </cfRule>
  </conditionalFormatting>
  <conditionalFormatting sqref="F56:G56">
    <cfRule type="expression" dxfId="83" priority="84">
      <formula>F56="NA"</formula>
    </cfRule>
    <cfRule type="expression" dxfId="82" priority="85">
      <formula>F56="N"</formula>
    </cfRule>
    <cfRule type="expression" dxfId="81" priority="86">
      <formula>F56="Y"</formula>
    </cfRule>
  </conditionalFormatting>
  <conditionalFormatting sqref="N83:N85 N97">
    <cfRule type="expression" dxfId="80" priority="80">
      <formula>NOT(ISBLANK(I83))</formula>
    </cfRule>
  </conditionalFormatting>
  <conditionalFormatting sqref="I83:I85 I97">
    <cfRule type="expression" dxfId="79" priority="79">
      <formula>NOT(ISBLANK(N83))</formula>
    </cfRule>
  </conditionalFormatting>
  <conditionalFormatting sqref="C83:C85 C97">
    <cfRule type="expression" dxfId="78" priority="78">
      <formula>NOT(RIGHT(C83,4)="nnnn")</formula>
    </cfRule>
  </conditionalFormatting>
  <conditionalFormatting sqref="F83:G85 F97:G97">
    <cfRule type="expression" dxfId="77" priority="75">
      <formula>F83="NA"</formula>
    </cfRule>
    <cfRule type="expression" dxfId="76" priority="76">
      <formula>F83="N"</formula>
    </cfRule>
    <cfRule type="expression" dxfId="75" priority="77">
      <formula>F83="Y"</formula>
    </cfRule>
  </conditionalFormatting>
  <conditionalFormatting sqref="N96">
    <cfRule type="expression" dxfId="74" priority="71">
      <formula>NOT(ISBLANK(I96))</formula>
    </cfRule>
  </conditionalFormatting>
  <conditionalFormatting sqref="I96">
    <cfRule type="expression" dxfId="73" priority="70">
      <formula>NOT(ISBLANK(N96))</formula>
    </cfRule>
  </conditionalFormatting>
  <conditionalFormatting sqref="C96">
    <cfRule type="expression" dxfId="72" priority="69">
      <formula>NOT(RIGHT(C96,4)="nnnn")</formula>
    </cfRule>
  </conditionalFormatting>
  <conditionalFormatting sqref="F96:G96">
    <cfRule type="expression" dxfId="71" priority="66">
      <formula>F96="NA"</formula>
    </cfRule>
    <cfRule type="expression" dxfId="70" priority="67">
      <formula>F96="N"</formula>
    </cfRule>
    <cfRule type="expression" dxfId="69" priority="68">
      <formula>F96="Y"</formula>
    </cfRule>
  </conditionalFormatting>
  <conditionalFormatting sqref="N58">
    <cfRule type="expression" dxfId="68" priority="62">
      <formula>NOT(ISBLANK(I58))</formula>
    </cfRule>
  </conditionalFormatting>
  <conditionalFormatting sqref="C58">
    <cfRule type="expression" dxfId="67" priority="61">
      <formula>NOT(RIGHT(C58,4)="nnnn")</formula>
    </cfRule>
  </conditionalFormatting>
  <conditionalFormatting sqref="G58">
    <cfRule type="expression" dxfId="66" priority="59">
      <formula>G58="Y"</formula>
    </cfRule>
    <cfRule type="expression" dxfId="65" priority="60">
      <formula>G58="N"</formula>
    </cfRule>
  </conditionalFormatting>
  <conditionalFormatting sqref="I58">
    <cfRule type="expression" dxfId="64" priority="58">
      <formula>NOT(ISBLANK(N58))</formula>
    </cfRule>
  </conditionalFormatting>
  <conditionalFormatting sqref="F58:G58">
    <cfRule type="expression" dxfId="63" priority="55">
      <formula>F58="NA"</formula>
    </cfRule>
    <cfRule type="expression" dxfId="62" priority="56">
      <formula>F58="N"</formula>
    </cfRule>
    <cfRule type="expression" dxfId="61" priority="57">
      <formula>F58="Y"</formula>
    </cfRule>
  </conditionalFormatting>
  <conditionalFormatting sqref="N61">
    <cfRule type="expression" dxfId="60" priority="6">
      <formula>NOT(ISBLANK(I61))</formula>
    </cfRule>
  </conditionalFormatting>
  <conditionalFormatting sqref="I61">
    <cfRule type="expression" dxfId="59" priority="5">
      <formula>NOT(ISBLANK(N61))</formula>
    </cfRule>
  </conditionalFormatting>
  <conditionalFormatting sqref="C61">
    <cfRule type="expression" dxfId="58" priority="4">
      <formula>NOT(RIGHT(C61,4)="nnnn")</formula>
    </cfRule>
  </conditionalFormatting>
  <conditionalFormatting sqref="F61:G61">
    <cfRule type="expression" dxfId="57" priority="1">
      <formula>F61="NA"</formula>
    </cfRule>
    <cfRule type="expression" dxfId="56" priority="2">
      <formula>F61="N"</formula>
    </cfRule>
    <cfRule type="expression" dxfId="55" priority="3">
      <formula>F61="Y"</formula>
    </cfRule>
  </conditionalFormatting>
  <conditionalFormatting sqref="I60">
    <cfRule type="expression" dxfId="54" priority="30">
      <formula>NOT(ISBLANK(N60))</formula>
    </cfRule>
  </conditionalFormatting>
  <conditionalFormatting sqref="I73">
    <cfRule type="expression" dxfId="53" priority="14">
      <formula>NOT(ISBLANK(N73))</formula>
    </cfRule>
  </conditionalFormatting>
  <conditionalFormatting sqref="N73">
    <cfRule type="expression" dxfId="52" priority="15">
      <formula>NOT(ISBLANK(I73))</formula>
    </cfRule>
  </conditionalFormatting>
  <conditionalFormatting sqref="C73">
    <cfRule type="expression" dxfId="51" priority="13">
      <formula>NOT(RIGHT(C73,4)="nnnn")</formula>
    </cfRule>
  </conditionalFormatting>
  <conditionalFormatting sqref="F73:G73">
    <cfRule type="expression" dxfId="50" priority="10">
      <formula>F73="NA"</formula>
    </cfRule>
    <cfRule type="expression" dxfId="49" priority="11">
      <formula>F73="N"</formula>
    </cfRule>
    <cfRule type="expression" dxfId="48" priority="12">
      <formula>F73="Y"</formula>
    </cfRule>
  </conditionalFormatting>
  <dataValidations count="9">
    <dataValidation type="list" allowBlank="1" showInputMessage="1" promptTitle="Default" prompt="&quot;Intel Security&quot;" sqref="K99 K12:K16 K18:K26 K28:K45 K47:K97" xr:uid="{00000000-0002-0000-0000-000000000000}">
      <formula1>VENDOR</formula1>
    </dataValidation>
    <dataValidation type="list" allowBlank="1" sqref="L99 L12:L16 L18:L26 L28:L45 L47:L97" xr:uid="{00000000-0002-0000-0000-000001000000}">
      <formula1>PRODUCT</formula1>
    </dataValidation>
    <dataValidation type="list" allowBlank="1" sqref="O99 O12:O16 O18:O26 O28:O45 O47:O97" xr:uid="{00000000-0002-0000-0000-000002000000}">
      <formula1>ATTACKER</formula1>
    </dataValidation>
    <dataValidation type="list" allowBlank="1" sqref="P99 P12:P16 P18:P26 P28:P45 P47:P97" xr:uid="{00000000-0002-0000-0000-000003000000}">
      <formula1>IMPACT</formula1>
    </dataValidation>
    <dataValidation type="list" allowBlank="1" sqref="Q99 Q12:Q16 Q18:Q26 Q28:Q45 Q47:Q97" xr:uid="{00000000-0002-0000-0000-000004000000}">
      <formula1>VECTOR</formula1>
    </dataValidation>
    <dataValidation type="list" allowBlank="1" sqref="U99 U12:U16 U18:U26 U28:U45 U47:U97" xr:uid="{00000000-0002-0000-0000-000005000000}">
      <formula1>AUTHOR</formula1>
    </dataValidation>
    <dataValidation type="list" allowBlank="1" sqref="J99 J12:J16 J18:J26 J28:J45 J96:J97 J47:J85" xr:uid="{00000000-0002-0000-0000-000006000000}">
      <formula1>COMPONENT</formula1>
    </dataValidation>
    <dataValidation type="list" allowBlank="1" sqref="E99 E12:E16 E18:E26 E28:E45 E47:E97" xr:uid="{00000000-0002-0000-0000-000007000000}">
      <formula1>Status</formula1>
    </dataValidation>
    <dataValidation type="list" allowBlank="1" sqref="I12:I99" xr:uid="{00000000-0002-0000-0000-000008000000}">
      <formula1>VULNTYPE2</formula1>
    </dataValidation>
  </dataValidations>
  <hyperlinks>
    <hyperlink ref="L4" r:id="rId1" xr:uid="{00000000-0004-0000-0000-000000000000}"/>
    <hyperlink ref="L5" r:id="rId2" xr:uid="{00000000-0004-0000-0000-000001000000}"/>
  </hyperlinks>
  <pageMargins left="0.7" right="0.7" top="0.75" bottom="0.75" header="0.3" footer="0.3"/>
  <pageSetup orientation="portrait" r:id="rId3"/>
  <customProperties>
    <customPr name="Guid" r:id="rId4"/>
  </customProperties>
  <extLst>
    <ext xmlns:x14="http://schemas.microsoft.com/office/spreadsheetml/2009/9/main" uri="{78C0D931-6437-407d-A8EE-F0AAD7539E65}">
      <x14:conditionalFormattings>
        <x14:conditionalFormatting xmlns:xm="http://schemas.microsoft.com/office/excel/2006/main">
          <x14:cfRule type="expression" priority="370" id="{4B6A489D-B444-4DE8-9DB0-BDF05A4C0844}">
            <xm:f>$E12=Drop_Downs!$A$36</xm:f>
            <x14:dxf>
              <fill>
                <patternFill>
                  <bgColor rgb="FF00B050"/>
                </patternFill>
              </fill>
            </x14:dxf>
          </x14:cfRule>
          <x14:cfRule type="expression" priority="372" id="{159285F0-C97D-4C82-91F7-879CEDE9577A}">
            <xm:f>$E12=Drop_Downs!$A$35</xm:f>
            <x14:dxf>
              <font>
                <color auto="1"/>
              </font>
              <fill>
                <patternFill>
                  <bgColor rgb="FFFFFF00"/>
                </patternFill>
              </fill>
            </x14:dxf>
          </x14:cfRule>
          <x14:cfRule type="expression" priority="373" id="{69B0C84E-F57C-4633-A4A1-75C97BE20EC5}">
            <xm:f>$E12=Drop_Downs!$A$34</xm:f>
            <x14:dxf>
              <fill>
                <patternFill>
                  <bgColor theme="0"/>
                </patternFill>
              </fill>
            </x14:dxf>
          </x14:cfRule>
          <xm:sqref>E86:E95 E59:E60 E74:E82 E12:E55 E62:E72 E97:E99</xm:sqref>
        </x14:conditionalFormatting>
        <x14:conditionalFormatting xmlns:xm="http://schemas.microsoft.com/office/excel/2006/main">
          <x14:cfRule type="expression" priority="92" id="{23CA7ACC-3EEF-4253-A0BE-0FF14B83D3D6}">
            <xm:f>$E56=Drop_Downs!$A$36</xm:f>
            <x14:dxf>
              <fill>
                <patternFill>
                  <bgColor rgb="FF00B050"/>
                </patternFill>
              </fill>
            </x14:dxf>
          </x14:cfRule>
          <x14:cfRule type="expression" priority="93" id="{01836C9E-D907-4FE8-A125-8C6B4E7182CA}">
            <xm:f>$E56=Drop_Downs!$A$35</xm:f>
            <x14:dxf>
              <font>
                <color auto="1"/>
              </font>
              <fill>
                <patternFill>
                  <bgColor rgb="FFFFFF00"/>
                </patternFill>
              </fill>
            </x14:dxf>
          </x14:cfRule>
          <x14:cfRule type="expression" priority="94" id="{76F4DDC6-E712-4384-A0D1-ADD1FE76BEF0}">
            <xm:f>$E56=Drop_Downs!$A$34</xm:f>
            <x14:dxf>
              <fill>
                <patternFill>
                  <bgColor theme="0"/>
                </patternFill>
              </fill>
            </x14:dxf>
          </x14:cfRule>
          <xm:sqref>E56</xm:sqref>
        </x14:conditionalFormatting>
        <x14:conditionalFormatting xmlns:xm="http://schemas.microsoft.com/office/excel/2006/main">
          <x14:cfRule type="expression" priority="81" id="{1360979B-4CC1-4DFF-BEC1-09DEF2C00F0A}">
            <xm:f>$E83=Drop_Downs!$A$36</xm:f>
            <x14:dxf>
              <fill>
                <patternFill>
                  <bgColor rgb="FF00B050"/>
                </patternFill>
              </fill>
            </x14:dxf>
          </x14:cfRule>
          <x14:cfRule type="expression" priority="82" id="{E23C5D7F-564C-4095-9157-145F62E34007}">
            <xm:f>$E83=Drop_Downs!$A$35</xm:f>
            <x14:dxf>
              <font>
                <color auto="1"/>
              </font>
              <fill>
                <patternFill>
                  <bgColor rgb="FFFFFF00"/>
                </patternFill>
              </fill>
            </x14:dxf>
          </x14:cfRule>
          <x14:cfRule type="expression" priority="83" id="{D730C128-8480-4A90-A5C6-5FC75B9AEF48}">
            <xm:f>$E83=Drop_Downs!$A$34</xm:f>
            <x14:dxf>
              <fill>
                <patternFill>
                  <bgColor theme="0"/>
                </patternFill>
              </fill>
            </x14:dxf>
          </x14:cfRule>
          <xm:sqref>E83:E85</xm:sqref>
        </x14:conditionalFormatting>
        <x14:conditionalFormatting xmlns:xm="http://schemas.microsoft.com/office/excel/2006/main">
          <x14:cfRule type="expression" priority="72" id="{A2E26476-F4A6-475A-915B-6BFE075B420C}">
            <xm:f>$E96=Drop_Downs!$A$36</xm:f>
            <x14:dxf>
              <fill>
                <patternFill>
                  <bgColor rgb="FF00B050"/>
                </patternFill>
              </fill>
            </x14:dxf>
          </x14:cfRule>
          <x14:cfRule type="expression" priority="73" id="{E1A00C8D-79FF-4F6F-B63A-032AE556803F}">
            <xm:f>$E96=Drop_Downs!$A$35</xm:f>
            <x14:dxf>
              <font>
                <color auto="1"/>
              </font>
              <fill>
                <patternFill>
                  <bgColor rgb="FFFFFF00"/>
                </patternFill>
              </fill>
            </x14:dxf>
          </x14:cfRule>
          <x14:cfRule type="expression" priority="74" id="{D2D0DE1C-060D-4D37-BF8D-AF5C261718A2}">
            <xm:f>$E96=Drop_Downs!$A$34</xm:f>
            <x14:dxf>
              <fill>
                <patternFill>
                  <bgColor theme="0"/>
                </patternFill>
              </fill>
            </x14:dxf>
          </x14:cfRule>
          <xm:sqref>E96</xm:sqref>
        </x14:conditionalFormatting>
        <x14:conditionalFormatting xmlns:xm="http://schemas.microsoft.com/office/excel/2006/main">
          <x14:cfRule type="expression" priority="63" id="{BFD4D928-D75E-477F-B649-76D3391CDE15}">
            <xm:f>$E58=Drop_Downs!$A$36</xm:f>
            <x14:dxf>
              <fill>
                <patternFill>
                  <bgColor rgb="FF00B050"/>
                </patternFill>
              </fill>
            </x14:dxf>
          </x14:cfRule>
          <x14:cfRule type="expression" priority="64" id="{DCF22879-D541-43ED-ACC7-FC2A2B2CDEC8}">
            <xm:f>$E58=Drop_Downs!$A$35</xm:f>
            <x14:dxf>
              <font>
                <color auto="1"/>
              </font>
              <fill>
                <patternFill>
                  <bgColor rgb="FFFFFF00"/>
                </patternFill>
              </fill>
            </x14:dxf>
          </x14:cfRule>
          <x14:cfRule type="expression" priority="65" id="{FFA5767F-2C31-4F04-99C5-885B1212F589}">
            <xm:f>$E58=Drop_Downs!$A$34</xm:f>
            <x14:dxf>
              <fill>
                <patternFill>
                  <bgColor theme="0"/>
                </patternFill>
              </fill>
            </x14:dxf>
          </x14:cfRule>
          <xm:sqref>E58</xm:sqref>
        </x14:conditionalFormatting>
        <x14:conditionalFormatting xmlns:xm="http://schemas.microsoft.com/office/excel/2006/main">
          <x14:cfRule type="expression" priority="7" id="{3C3ED65C-A1D2-4DC3-B209-DBFFD31E7E22}">
            <xm:f>$E61=Drop_Downs!$A$36</xm:f>
            <x14:dxf>
              <fill>
                <patternFill>
                  <bgColor rgb="FF00B050"/>
                </patternFill>
              </fill>
            </x14:dxf>
          </x14:cfRule>
          <x14:cfRule type="expression" priority="8" id="{FD9B325A-B929-4D55-8329-ABD071A0C7A8}">
            <xm:f>$E61=Drop_Downs!$A$35</xm:f>
            <x14:dxf>
              <font>
                <color auto="1"/>
              </font>
              <fill>
                <patternFill>
                  <bgColor rgb="FFFFFF00"/>
                </patternFill>
              </fill>
            </x14:dxf>
          </x14:cfRule>
          <x14:cfRule type="expression" priority="9" id="{6199B66A-6355-470E-92AC-810BDFDEC110}">
            <xm:f>$E61=Drop_Downs!$A$34</xm:f>
            <x14:dxf>
              <fill>
                <patternFill>
                  <bgColor theme="0"/>
                </patternFill>
              </fill>
            </x14:dxf>
          </x14:cfRule>
          <xm:sqref>E61</xm:sqref>
        </x14:conditionalFormatting>
        <x14:conditionalFormatting xmlns:xm="http://schemas.microsoft.com/office/excel/2006/main">
          <x14:cfRule type="expression" priority="31" id="{1576CEE7-81E4-4CA3-B6C3-20169CE70313}">
            <xm:f>$E57=Drop_Downs!$A$36</xm:f>
            <x14:dxf>
              <fill>
                <patternFill>
                  <bgColor rgb="FF00B050"/>
                </patternFill>
              </fill>
            </x14:dxf>
          </x14:cfRule>
          <x14:cfRule type="expression" priority="32" id="{C3747793-4CFE-4BBC-B165-F5E30425872F}">
            <xm:f>$E57=Drop_Downs!$A$35</xm:f>
            <x14:dxf>
              <font>
                <color auto="1"/>
              </font>
              <fill>
                <patternFill>
                  <bgColor rgb="FFFFFF00"/>
                </patternFill>
              </fill>
            </x14:dxf>
          </x14:cfRule>
          <x14:cfRule type="expression" priority="33" id="{B38BE3C1-627C-4B45-A235-671608E3C59F}">
            <xm:f>$E57=Drop_Downs!$A$34</xm:f>
            <x14:dxf>
              <fill>
                <patternFill>
                  <bgColor theme="0"/>
                </patternFill>
              </fill>
            </x14:dxf>
          </x14:cfRule>
          <xm:sqref>E57</xm:sqref>
        </x14:conditionalFormatting>
        <x14:conditionalFormatting xmlns:xm="http://schemas.microsoft.com/office/excel/2006/main">
          <x14:cfRule type="expression" priority="16" id="{454C8E0A-B7A0-44F3-8B66-C0CB683EFD07}">
            <xm:f>$E73=Drop_Downs!$A$36</xm:f>
            <x14:dxf>
              <fill>
                <patternFill>
                  <bgColor rgb="FF00B050"/>
                </patternFill>
              </fill>
            </x14:dxf>
          </x14:cfRule>
          <x14:cfRule type="expression" priority="17" id="{5B136A98-2C6B-4E7C-B181-A801B9630DAA}">
            <xm:f>$E73=Drop_Downs!$A$35</xm:f>
            <x14:dxf>
              <font>
                <color auto="1"/>
              </font>
              <fill>
                <patternFill>
                  <bgColor rgb="FFFFFF00"/>
                </patternFill>
              </fill>
            </x14:dxf>
          </x14:cfRule>
          <x14:cfRule type="expression" priority="18" id="{EFA77786-4B65-4259-A0E8-92DE6B6E0077}">
            <xm:f>$E73=Drop_Downs!$A$34</xm:f>
            <x14:dxf>
              <fill>
                <patternFill>
                  <bgColor theme="0"/>
                </patternFill>
              </fill>
            </x14:dxf>
          </x14:cfRule>
          <xm:sqref>E73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F78"/>
  <sheetViews>
    <sheetView zoomScaleNormal="100" workbookViewId="0">
      <selection activeCell="A80" sqref="A80"/>
    </sheetView>
  </sheetViews>
  <sheetFormatPr defaultRowHeight="15" x14ac:dyDescent="0.25"/>
  <cols>
    <col min="1" max="1" width="51.28515625" style="15" customWidth="1"/>
    <col min="2" max="2" width="51.85546875" bestFit="1" customWidth="1"/>
    <col min="3" max="3" width="31.85546875" customWidth="1"/>
    <col min="4" max="4" width="17.42578125" bestFit="1" customWidth="1"/>
    <col min="5" max="5" width="33.85546875" customWidth="1"/>
  </cols>
  <sheetData>
    <row r="1" spans="1:6" ht="23.25" x14ac:dyDescent="0.35">
      <c r="A1" s="78" t="s">
        <v>22</v>
      </c>
    </row>
    <row r="4" spans="1:6" ht="18.75" x14ac:dyDescent="0.3">
      <c r="A4" s="53" t="s">
        <v>20</v>
      </c>
    </row>
    <row r="5" spans="1:6" x14ac:dyDescent="0.25">
      <c r="A5" s="61" t="s">
        <v>51</v>
      </c>
      <c r="B5" s="62"/>
    </row>
    <row r="6" spans="1:6" x14ac:dyDescent="0.25">
      <c r="A6" s="15" t="s">
        <v>52</v>
      </c>
    </row>
    <row r="8" spans="1:6" ht="18.75" x14ac:dyDescent="0.3">
      <c r="A8" s="53" t="s">
        <v>21</v>
      </c>
      <c r="B8" s="53" t="s">
        <v>816</v>
      </c>
    </row>
    <row r="9" spans="1:6" ht="195" x14ac:dyDescent="0.25">
      <c r="A9" s="7" t="s">
        <v>1219</v>
      </c>
      <c r="B9" s="86" t="s">
        <v>817</v>
      </c>
    </row>
    <row r="11" spans="1:6" ht="18.75" x14ac:dyDescent="0.3">
      <c r="A11" s="54" t="s">
        <v>810</v>
      </c>
      <c r="B11" s="54" t="s">
        <v>814</v>
      </c>
    </row>
    <row r="12" spans="1:6" x14ac:dyDescent="0.25">
      <c r="A12" s="31" t="s">
        <v>11</v>
      </c>
      <c r="B12" t="s">
        <v>788</v>
      </c>
      <c r="C12" s="31" t="s">
        <v>815</v>
      </c>
      <c r="D12" t="s">
        <v>751</v>
      </c>
      <c r="F12" s="31"/>
    </row>
    <row r="13" spans="1:6" x14ac:dyDescent="0.25">
      <c r="A13" s="31" t="s">
        <v>790</v>
      </c>
      <c r="B13" t="s">
        <v>722</v>
      </c>
      <c r="C13" s="31" t="s">
        <v>47</v>
      </c>
      <c r="F13" s="31"/>
    </row>
    <row r="14" spans="1:6" x14ac:dyDescent="0.25">
      <c r="A14" s="31" t="s">
        <v>10</v>
      </c>
      <c r="B14" t="s">
        <v>747</v>
      </c>
      <c r="C14" s="31" t="s">
        <v>605</v>
      </c>
      <c r="F14" s="31"/>
    </row>
    <row r="15" spans="1:6" x14ac:dyDescent="0.25">
      <c r="A15" s="31" t="s">
        <v>549</v>
      </c>
      <c r="B15" t="s">
        <v>732</v>
      </c>
      <c r="C15" s="31" t="s">
        <v>604</v>
      </c>
      <c r="F15" s="31"/>
    </row>
    <row r="16" spans="1:6" x14ac:dyDescent="0.25">
      <c r="A16" s="31" t="s">
        <v>805</v>
      </c>
      <c r="B16" t="s">
        <v>759</v>
      </c>
      <c r="C16" s="31" t="s">
        <v>603</v>
      </c>
      <c r="F16" s="31"/>
    </row>
    <row r="17" spans="1:6" x14ac:dyDescent="0.25">
      <c r="A17" s="31"/>
      <c r="B17" t="s">
        <v>780</v>
      </c>
      <c r="C17" s="31" t="s">
        <v>602</v>
      </c>
      <c r="F17" s="31"/>
    </row>
    <row r="18" spans="1:6" x14ac:dyDescent="0.25">
      <c r="B18" t="s">
        <v>736</v>
      </c>
      <c r="C18" s="31" t="s">
        <v>601</v>
      </c>
      <c r="F18" s="31"/>
    </row>
    <row r="19" spans="1:6" x14ac:dyDescent="0.25">
      <c r="B19" s="31"/>
    </row>
    <row r="20" spans="1:6" ht="18.75" x14ac:dyDescent="0.3">
      <c r="A20" s="53" t="s">
        <v>641</v>
      </c>
      <c r="B20" s="31"/>
    </row>
    <row r="21" spans="1:6" x14ac:dyDescent="0.25">
      <c r="A21" s="83" t="s">
        <v>609</v>
      </c>
      <c r="B21" s="84" t="s">
        <v>610</v>
      </c>
      <c r="C21" s="84" t="s">
        <v>611</v>
      </c>
    </row>
    <row r="22" spans="1:6" x14ac:dyDescent="0.25">
      <c r="A22" s="50" t="s">
        <v>546</v>
      </c>
      <c r="B22" s="15" t="s">
        <v>626</v>
      </c>
      <c r="C22" s="15" t="s">
        <v>627</v>
      </c>
    </row>
    <row r="23" spans="1:6" x14ac:dyDescent="0.25">
      <c r="A23" s="50" t="s">
        <v>613</v>
      </c>
      <c r="B23" s="15" t="s">
        <v>640</v>
      </c>
      <c r="C23" s="15" t="s">
        <v>625</v>
      </c>
    </row>
    <row r="24" spans="1:6" x14ac:dyDescent="0.25">
      <c r="A24" s="50" t="s">
        <v>614</v>
      </c>
      <c r="B24" s="15" t="s">
        <v>623</v>
      </c>
      <c r="C24" s="15" t="s">
        <v>624</v>
      </c>
    </row>
    <row r="25" spans="1:6" x14ac:dyDescent="0.25">
      <c r="A25" s="50" t="s">
        <v>615</v>
      </c>
      <c r="B25" s="15" t="s">
        <v>628</v>
      </c>
      <c r="C25" s="15" t="s">
        <v>629</v>
      </c>
    </row>
    <row r="26" spans="1:6" x14ac:dyDescent="0.25">
      <c r="A26" s="50" t="s">
        <v>616</v>
      </c>
      <c r="B26" s="15" t="s">
        <v>630</v>
      </c>
      <c r="C26" s="15" t="s">
        <v>631</v>
      </c>
    </row>
    <row r="27" spans="1:6" x14ac:dyDescent="0.25">
      <c r="A27" s="50" t="s">
        <v>617</v>
      </c>
      <c r="B27" s="15" t="s">
        <v>632</v>
      </c>
      <c r="C27" s="15" t="s">
        <v>633</v>
      </c>
    </row>
    <row r="28" spans="1:6" x14ac:dyDescent="0.25">
      <c r="A28" s="50" t="s">
        <v>618</v>
      </c>
      <c r="B28" s="15" t="s">
        <v>619</v>
      </c>
      <c r="C28" s="15" t="s">
        <v>612</v>
      </c>
    </row>
    <row r="29" spans="1:6" x14ac:dyDescent="0.25">
      <c r="A29" s="50" t="s">
        <v>620</v>
      </c>
      <c r="B29" s="15" t="s">
        <v>634</v>
      </c>
      <c r="C29" s="15" t="s">
        <v>635</v>
      </c>
    </row>
    <row r="30" spans="1:6" x14ac:dyDescent="0.25">
      <c r="A30" s="50" t="s">
        <v>621</v>
      </c>
      <c r="B30" s="15" t="s">
        <v>636</v>
      </c>
      <c r="C30" s="15" t="s">
        <v>637</v>
      </c>
    </row>
    <row r="31" spans="1:6" x14ac:dyDescent="0.25">
      <c r="A31" s="50" t="s">
        <v>622</v>
      </c>
      <c r="B31" s="15" t="s">
        <v>638</v>
      </c>
      <c r="C31" s="15" t="s">
        <v>639</v>
      </c>
    </row>
    <row r="33" spans="1:5" ht="18.75" x14ac:dyDescent="0.3">
      <c r="A33" s="54" t="s">
        <v>642</v>
      </c>
    </row>
    <row r="34" spans="1:5" x14ac:dyDescent="0.25">
      <c r="A34" s="81" t="s">
        <v>643</v>
      </c>
      <c r="B34" s="82" t="s">
        <v>644</v>
      </c>
      <c r="C34" s="82" t="s">
        <v>645</v>
      </c>
      <c r="D34" s="82" t="s">
        <v>646</v>
      </c>
      <c r="E34" s="82" t="s">
        <v>647</v>
      </c>
    </row>
    <row r="35" spans="1:5" x14ac:dyDescent="0.25">
      <c r="A35" s="80" t="s">
        <v>648</v>
      </c>
      <c r="B35" s="36" t="s">
        <v>649</v>
      </c>
      <c r="C35" s="36" t="s">
        <v>650</v>
      </c>
      <c r="D35" s="52" t="s">
        <v>651</v>
      </c>
      <c r="E35" s="36" t="s">
        <v>652</v>
      </c>
    </row>
    <row r="36" spans="1:5" ht="30" x14ac:dyDescent="0.25">
      <c r="A36" s="80" t="s">
        <v>653</v>
      </c>
      <c r="B36" s="36" t="s">
        <v>654</v>
      </c>
      <c r="C36" s="36" t="s">
        <v>655</v>
      </c>
      <c r="D36" s="52" t="s">
        <v>681</v>
      </c>
      <c r="E36" s="36" t="s">
        <v>656</v>
      </c>
    </row>
    <row r="37" spans="1:5" ht="30" x14ac:dyDescent="0.25">
      <c r="A37" s="80" t="s">
        <v>657</v>
      </c>
      <c r="B37" s="36" t="s">
        <v>658</v>
      </c>
      <c r="C37" s="36" t="s">
        <v>659</v>
      </c>
      <c r="D37" s="52" t="s">
        <v>660</v>
      </c>
      <c r="E37" s="36" t="s">
        <v>661</v>
      </c>
    </row>
    <row r="38" spans="1:5" ht="30" x14ac:dyDescent="0.25">
      <c r="A38" s="80" t="s">
        <v>662</v>
      </c>
      <c r="B38" s="36" t="s">
        <v>663</v>
      </c>
      <c r="C38" s="36" t="s">
        <v>664</v>
      </c>
      <c r="D38" s="52" t="s">
        <v>665</v>
      </c>
      <c r="E38" s="36" t="s">
        <v>666</v>
      </c>
    </row>
    <row r="39" spans="1:5" ht="30" x14ac:dyDescent="0.25">
      <c r="A39" s="80" t="s">
        <v>667</v>
      </c>
      <c r="B39" s="36" t="s">
        <v>668</v>
      </c>
      <c r="C39" s="36" t="s">
        <v>669</v>
      </c>
      <c r="D39" s="52" t="s">
        <v>624</v>
      </c>
      <c r="E39" s="36" t="s">
        <v>624</v>
      </c>
    </row>
    <row r="40" spans="1:5" ht="30" x14ac:dyDescent="0.25">
      <c r="A40" s="80" t="s">
        <v>673</v>
      </c>
      <c r="B40" s="51" t="s">
        <v>547</v>
      </c>
      <c r="C40" s="36" t="s">
        <v>674</v>
      </c>
      <c r="D40" s="52" t="s">
        <v>624</v>
      </c>
      <c r="E40" s="36" t="s">
        <v>675</v>
      </c>
    </row>
    <row r="41" spans="1:5" ht="45" x14ac:dyDescent="0.25">
      <c r="A41" s="80" t="s">
        <v>676</v>
      </c>
      <c r="B41" s="36" t="s">
        <v>677</v>
      </c>
      <c r="C41" s="36" t="s">
        <v>678</v>
      </c>
      <c r="D41" s="52" t="s">
        <v>679</v>
      </c>
      <c r="E41" s="36" t="s">
        <v>680</v>
      </c>
    </row>
    <row r="42" spans="1:5" x14ac:dyDescent="0.25">
      <c r="A42" s="80" t="s">
        <v>670</v>
      </c>
      <c r="B42" s="36" t="s">
        <v>671</v>
      </c>
      <c r="C42" s="36" t="s">
        <v>672</v>
      </c>
      <c r="D42" s="52" t="s">
        <v>651</v>
      </c>
      <c r="E42" s="36" t="s">
        <v>624</v>
      </c>
    </row>
    <row r="45" spans="1:5" x14ac:dyDescent="0.25">
      <c r="A45" s="17"/>
    </row>
    <row r="46" spans="1:5" ht="18.75" x14ac:dyDescent="0.3">
      <c r="A46" s="54" t="s">
        <v>806</v>
      </c>
      <c r="B46" s="54" t="s">
        <v>811</v>
      </c>
      <c r="C46" s="54" t="s">
        <v>812</v>
      </c>
      <c r="D46" s="15" t="s">
        <v>818</v>
      </c>
    </row>
    <row r="47" spans="1:5" x14ac:dyDescent="0.25">
      <c r="A47" s="31" t="s">
        <v>33</v>
      </c>
      <c r="B47" s="36" t="s">
        <v>58</v>
      </c>
      <c r="C47" s="36" t="s">
        <v>53</v>
      </c>
    </row>
    <row r="48" spans="1:5" x14ac:dyDescent="0.25">
      <c r="A48" s="31" t="s">
        <v>32</v>
      </c>
      <c r="B48" s="36" t="s">
        <v>556</v>
      </c>
      <c r="C48" s="36" t="s">
        <v>59</v>
      </c>
    </row>
    <row r="49" spans="1:3" x14ac:dyDescent="0.25">
      <c r="A49" s="31" t="s">
        <v>568</v>
      </c>
      <c r="B49" s="36" t="s">
        <v>60</v>
      </c>
      <c r="C49" s="31" t="s">
        <v>813</v>
      </c>
    </row>
    <row r="50" spans="1:3" x14ac:dyDescent="0.25">
      <c r="A50" s="31" t="s">
        <v>31</v>
      </c>
      <c r="B50" s="36" t="s">
        <v>555</v>
      </c>
      <c r="C50" s="36" t="s">
        <v>557</v>
      </c>
    </row>
    <row r="51" spans="1:3" x14ac:dyDescent="0.25">
      <c r="A51" s="31" t="s">
        <v>30</v>
      </c>
      <c r="B51" s="36" t="s">
        <v>558</v>
      </c>
      <c r="C51" s="36" t="s">
        <v>561</v>
      </c>
    </row>
    <row r="52" spans="1:3" ht="30" x14ac:dyDescent="0.25">
      <c r="A52" s="31" t="s">
        <v>29</v>
      </c>
      <c r="B52" s="36" t="s">
        <v>559</v>
      </c>
      <c r="C52" s="36" t="s">
        <v>569</v>
      </c>
    </row>
    <row r="53" spans="1:3" x14ac:dyDescent="0.25">
      <c r="A53" s="31" t="s">
        <v>26</v>
      </c>
      <c r="B53" s="36" t="s">
        <v>560</v>
      </c>
    </row>
    <row r="54" spans="1:3" x14ac:dyDescent="0.25">
      <c r="A54" s="31" t="s">
        <v>34</v>
      </c>
      <c r="B54" s="36" t="s">
        <v>562</v>
      </c>
    </row>
    <row r="55" spans="1:3" ht="30" x14ac:dyDescent="0.25">
      <c r="A55" s="31" t="s">
        <v>27</v>
      </c>
      <c r="B55" s="36" t="s">
        <v>563</v>
      </c>
    </row>
    <row r="56" spans="1:3" x14ac:dyDescent="0.25">
      <c r="A56" s="31" t="s">
        <v>28</v>
      </c>
    </row>
    <row r="57" spans="1:3" x14ac:dyDescent="0.25">
      <c r="A57" s="31" t="s">
        <v>24</v>
      </c>
    </row>
    <row r="58" spans="1:3" x14ac:dyDescent="0.25">
      <c r="A58" s="31" t="s">
        <v>25</v>
      </c>
    </row>
    <row r="59" spans="1:3" x14ac:dyDescent="0.25">
      <c r="A59" s="31" t="s">
        <v>789</v>
      </c>
    </row>
    <row r="60" spans="1:3" x14ac:dyDescent="0.25">
      <c r="A60" s="31"/>
    </row>
    <row r="62" spans="1:3" ht="18.75" x14ac:dyDescent="0.3">
      <c r="A62" s="54" t="s">
        <v>795</v>
      </c>
      <c r="B62" s="79" t="s">
        <v>798</v>
      </c>
      <c r="C62" s="79" t="s">
        <v>800</v>
      </c>
    </row>
    <row r="63" spans="1:3" x14ac:dyDescent="0.25">
      <c r="A63" s="17" t="s">
        <v>796</v>
      </c>
      <c r="B63" t="s">
        <v>797</v>
      </c>
    </row>
    <row r="64" spans="1:3" x14ac:dyDescent="0.25">
      <c r="A64" s="17" t="s">
        <v>799</v>
      </c>
      <c r="B64" t="s">
        <v>797</v>
      </c>
      <c r="C64" t="s">
        <v>801</v>
      </c>
    </row>
    <row r="65" spans="1:3" x14ac:dyDescent="0.25">
      <c r="A65" s="17" t="s">
        <v>802</v>
      </c>
      <c r="C65" t="s">
        <v>803</v>
      </c>
    </row>
    <row r="66" spans="1:3" x14ac:dyDescent="0.25">
      <c r="A66" s="17" t="s">
        <v>804</v>
      </c>
    </row>
    <row r="67" spans="1:3" x14ac:dyDescent="0.25">
      <c r="A67" s="17"/>
    </row>
    <row r="68" spans="1:3" ht="18.75" x14ac:dyDescent="0.3">
      <c r="A68" s="54" t="s">
        <v>819</v>
      </c>
    </row>
    <row r="69" spans="1:3" x14ac:dyDescent="0.25">
      <c r="A69" s="15" t="s">
        <v>827</v>
      </c>
    </row>
    <row r="70" spans="1:3" x14ac:dyDescent="0.25">
      <c r="A70" s="15" t="s">
        <v>820</v>
      </c>
    </row>
    <row r="71" spans="1:3" x14ac:dyDescent="0.25">
      <c r="A71" s="35" t="s">
        <v>829</v>
      </c>
    </row>
    <row r="72" spans="1:3" x14ac:dyDescent="0.25">
      <c r="A72" s="35" t="s">
        <v>826</v>
      </c>
    </row>
    <row r="73" spans="1:3" x14ac:dyDescent="0.25">
      <c r="A73" s="15" t="s">
        <v>821</v>
      </c>
    </row>
    <row r="74" spans="1:3" x14ac:dyDescent="0.25">
      <c r="A74" s="15" t="s">
        <v>822</v>
      </c>
    </row>
    <row r="75" spans="1:3" x14ac:dyDescent="0.25">
      <c r="A75" s="35" t="s">
        <v>823</v>
      </c>
    </row>
    <row r="76" spans="1:3" x14ac:dyDescent="0.25">
      <c r="A76" s="35" t="s">
        <v>824</v>
      </c>
    </row>
    <row r="77" spans="1:3" x14ac:dyDescent="0.25">
      <c r="A77" s="35" t="s">
        <v>825</v>
      </c>
    </row>
    <row r="78" spans="1:3" x14ac:dyDescent="0.25">
      <c r="A78" s="15" t="s">
        <v>828</v>
      </c>
    </row>
  </sheetData>
  <dataValidations count="1">
    <dataValidation type="list" allowBlank="1" sqref="B18 B13:B15" xr:uid="{00000000-0002-0000-0100-000000000000}">
      <formula1>COMPONENT</formula1>
    </dataValidation>
  </dataValidations>
  <pageMargins left="0.7" right="0.7" top="0.75" bottom="0.75" header="0.3" footer="0.3"/>
  <pageSetup orientation="portrait" verticalDpi="0" r:id="rId1"/>
  <customProperties>
    <customPr name="Guid" r:id="rId2"/>
  </customPropertie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5"/>
  <sheetViews>
    <sheetView zoomScaleNormal="100" workbookViewId="0">
      <pane ySplit="7" topLeftCell="A8" activePane="bottomLeft" state="frozen"/>
      <selection pane="bottomLeft" activeCell="A42" sqref="A42"/>
    </sheetView>
  </sheetViews>
  <sheetFormatPr defaultRowHeight="15" x14ac:dyDescent="0.25"/>
  <cols>
    <col min="1" max="1" width="44.85546875" bestFit="1" customWidth="1"/>
    <col min="2" max="2" width="14.42578125" bestFit="1" customWidth="1"/>
    <col min="3" max="3" width="21.85546875" bestFit="1" customWidth="1"/>
    <col min="4" max="4" width="19.28515625" bestFit="1" customWidth="1"/>
    <col min="5" max="5" width="10.28515625" bestFit="1" customWidth="1"/>
    <col min="6" max="6" width="13.85546875" bestFit="1" customWidth="1"/>
    <col min="7" max="7" width="32.7109375" bestFit="1" customWidth="1"/>
    <col min="8" max="8" width="32" style="7" customWidth="1"/>
    <col min="9" max="9" width="24.42578125" style="7" customWidth="1"/>
    <col min="10" max="10" width="14.85546875" bestFit="1" customWidth="1"/>
  </cols>
  <sheetData>
    <row r="1" spans="1:10" ht="21" x14ac:dyDescent="0.35">
      <c r="A1" s="2" t="s">
        <v>0</v>
      </c>
    </row>
    <row r="2" spans="1:10" x14ac:dyDescent="0.25">
      <c r="A2" s="112">
        <v>42724</v>
      </c>
    </row>
    <row r="3" spans="1:10" x14ac:dyDescent="0.25">
      <c r="A3" s="17"/>
    </row>
    <row r="4" spans="1:10" x14ac:dyDescent="0.25">
      <c r="A4" t="s">
        <v>554</v>
      </c>
      <c r="E4" t="s">
        <v>50</v>
      </c>
      <c r="H4" s="7" t="s">
        <v>552</v>
      </c>
      <c r="I4" s="7" t="s">
        <v>553</v>
      </c>
    </row>
    <row r="6" spans="1:10" x14ac:dyDescent="0.25">
      <c r="B6" s="27" t="s">
        <v>54</v>
      </c>
      <c r="C6" s="27" t="s">
        <v>54</v>
      </c>
      <c r="D6" s="27"/>
      <c r="E6" s="27"/>
      <c r="F6" s="27"/>
      <c r="G6" s="27" t="s">
        <v>55</v>
      </c>
      <c r="H6" s="56" t="s">
        <v>56</v>
      </c>
      <c r="I6" s="56" t="s">
        <v>57</v>
      </c>
    </row>
    <row r="7" spans="1:10" x14ac:dyDescent="0.25">
      <c r="A7" s="9" t="s">
        <v>1</v>
      </c>
      <c r="B7" s="13" t="s">
        <v>2</v>
      </c>
      <c r="C7" s="13" t="s">
        <v>3</v>
      </c>
      <c r="D7" s="8" t="s">
        <v>4</v>
      </c>
      <c r="E7" s="13" t="s">
        <v>5</v>
      </c>
      <c r="F7" s="9" t="s">
        <v>9</v>
      </c>
      <c r="G7" s="13" t="s">
        <v>6</v>
      </c>
      <c r="H7" s="21" t="s">
        <v>7</v>
      </c>
      <c r="I7" s="21" t="s">
        <v>8</v>
      </c>
      <c r="J7" s="1" t="s">
        <v>17</v>
      </c>
    </row>
    <row r="8" spans="1:10" s="31" customFormat="1" x14ac:dyDescent="0.25">
      <c r="A8" s="31" t="s">
        <v>545</v>
      </c>
      <c r="B8" s="31" t="s">
        <v>600</v>
      </c>
      <c r="C8" s="31" t="s">
        <v>11</v>
      </c>
      <c r="D8" s="31" t="s">
        <v>1096</v>
      </c>
      <c r="G8" s="31" t="s">
        <v>33</v>
      </c>
      <c r="H8" s="36" t="s">
        <v>58</v>
      </c>
      <c r="I8" s="36" t="s">
        <v>53</v>
      </c>
      <c r="J8" s="31" t="s">
        <v>39</v>
      </c>
    </row>
    <row r="9" spans="1:10" s="31" customFormat="1" ht="30" x14ac:dyDescent="0.25">
      <c r="A9" s="31" t="s">
        <v>43</v>
      </c>
      <c r="B9" s="31" t="s">
        <v>47</v>
      </c>
      <c r="C9" s="31" t="s">
        <v>790</v>
      </c>
      <c r="G9" s="31" t="s">
        <v>32</v>
      </c>
      <c r="H9" s="36" t="s">
        <v>556</v>
      </c>
      <c r="I9" s="36" t="s">
        <v>59</v>
      </c>
      <c r="J9" s="31" t="s">
        <v>41</v>
      </c>
    </row>
    <row r="10" spans="1:10" s="31" customFormat="1" ht="30" x14ac:dyDescent="0.25">
      <c r="A10" s="31" t="s">
        <v>44</v>
      </c>
      <c r="B10" s="31" t="s">
        <v>605</v>
      </c>
      <c r="C10" s="31" t="s">
        <v>10</v>
      </c>
      <c r="G10" s="31" t="s">
        <v>568</v>
      </c>
      <c r="H10" s="36" t="s">
        <v>60</v>
      </c>
      <c r="I10" s="36" t="s">
        <v>813</v>
      </c>
      <c r="J10" s="31" t="s">
        <v>42</v>
      </c>
    </row>
    <row r="11" spans="1:10" s="31" customFormat="1" x14ac:dyDescent="0.25">
      <c r="A11" s="31" t="s">
        <v>45</v>
      </c>
      <c r="B11" s="31" t="s">
        <v>604</v>
      </c>
      <c r="C11" s="31" t="s">
        <v>549</v>
      </c>
      <c r="G11" s="31" t="s">
        <v>31</v>
      </c>
      <c r="H11" s="36" t="s">
        <v>555</v>
      </c>
      <c r="I11" s="36" t="s">
        <v>557</v>
      </c>
      <c r="J11" s="31" t="s">
        <v>40</v>
      </c>
    </row>
    <row r="12" spans="1:10" s="31" customFormat="1" x14ac:dyDescent="0.25">
      <c r="A12" s="31" t="s">
        <v>46</v>
      </c>
      <c r="B12" s="31" t="s">
        <v>603</v>
      </c>
      <c r="C12" s="31" t="s">
        <v>805</v>
      </c>
      <c r="G12" s="31" t="s">
        <v>30</v>
      </c>
      <c r="H12" s="36" t="s">
        <v>558</v>
      </c>
      <c r="I12" s="36" t="s">
        <v>561</v>
      </c>
      <c r="J12" s="31" t="s">
        <v>575</v>
      </c>
    </row>
    <row r="13" spans="1:10" s="31" customFormat="1" ht="45" x14ac:dyDescent="0.25">
      <c r="A13" s="31" t="s">
        <v>594</v>
      </c>
      <c r="B13" s="31" t="s">
        <v>602</v>
      </c>
      <c r="G13" s="31" t="s">
        <v>29</v>
      </c>
      <c r="H13" s="36" t="s">
        <v>559</v>
      </c>
      <c r="I13" s="36" t="s">
        <v>569</v>
      </c>
    </row>
    <row r="14" spans="1:10" s="31" customFormat="1" ht="30" x14ac:dyDescent="0.25">
      <c r="A14" s="31" t="s">
        <v>783</v>
      </c>
      <c r="B14" s="31" t="s">
        <v>601</v>
      </c>
      <c r="G14" s="31" t="s">
        <v>26</v>
      </c>
      <c r="H14" s="36" t="s">
        <v>560</v>
      </c>
      <c r="I14" s="36" t="s">
        <v>1246</v>
      </c>
    </row>
    <row r="15" spans="1:10" s="31" customFormat="1" x14ac:dyDescent="0.25">
      <c r="A15" s="31" t="s">
        <v>1086</v>
      </c>
      <c r="G15" s="31" t="s">
        <v>34</v>
      </c>
      <c r="H15" s="36" t="s">
        <v>562</v>
      </c>
      <c r="I15" s="36"/>
    </row>
    <row r="16" spans="1:10" s="31" customFormat="1" ht="45" x14ac:dyDescent="0.25">
      <c r="A16" s="31" t="s">
        <v>717</v>
      </c>
      <c r="G16" s="31" t="s">
        <v>27</v>
      </c>
      <c r="H16" s="36" t="s">
        <v>563</v>
      </c>
      <c r="I16" s="36"/>
    </row>
    <row r="17" spans="1:9" s="31" customFormat="1" x14ac:dyDescent="0.25">
      <c r="A17" s="31" t="s">
        <v>777</v>
      </c>
      <c r="G17" s="31" t="s">
        <v>28</v>
      </c>
      <c r="H17" s="36"/>
      <c r="I17" s="36"/>
    </row>
    <row r="18" spans="1:9" s="31" customFormat="1" x14ac:dyDescent="0.25">
      <c r="A18" s="31" t="s">
        <v>778</v>
      </c>
      <c r="G18" s="31" t="s">
        <v>24</v>
      </c>
      <c r="H18" s="36"/>
      <c r="I18" s="36"/>
    </row>
    <row r="19" spans="1:9" s="31" customFormat="1" x14ac:dyDescent="0.25">
      <c r="A19" s="31" t="s">
        <v>770</v>
      </c>
      <c r="G19" s="31" t="s">
        <v>25</v>
      </c>
      <c r="H19" s="36"/>
      <c r="I19" s="36"/>
    </row>
    <row r="20" spans="1:9" s="31" customFormat="1" ht="45" x14ac:dyDescent="0.25">
      <c r="A20" s="31" t="s">
        <v>707</v>
      </c>
      <c r="G20" s="31" t="s">
        <v>789</v>
      </c>
      <c r="H20" s="36" t="s">
        <v>697</v>
      </c>
      <c r="I20" s="36" t="s">
        <v>696</v>
      </c>
    </row>
    <row r="21" spans="1:9" s="31" customFormat="1" ht="30" x14ac:dyDescent="0.25">
      <c r="A21" s="31" t="s">
        <v>769</v>
      </c>
      <c r="G21" s="85" t="s">
        <v>808</v>
      </c>
      <c r="H21" s="36"/>
      <c r="I21" s="36"/>
    </row>
    <row r="22" spans="1:9" s="31" customFormat="1" ht="30" x14ac:dyDescent="0.25">
      <c r="A22" s="31" t="s">
        <v>729</v>
      </c>
      <c r="G22" s="85" t="s">
        <v>807</v>
      </c>
      <c r="H22" s="36"/>
      <c r="I22" s="36"/>
    </row>
    <row r="23" spans="1:9" s="31" customFormat="1" ht="30" x14ac:dyDescent="0.25">
      <c r="A23" s="31" t="s">
        <v>743</v>
      </c>
      <c r="G23" s="85" t="s">
        <v>809</v>
      </c>
      <c r="H23" s="36"/>
      <c r="I23" s="36"/>
    </row>
    <row r="24" spans="1:9" s="31" customFormat="1" x14ac:dyDescent="0.25">
      <c r="A24" s="31" t="s">
        <v>1095</v>
      </c>
      <c r="H24" s="36"/>
      <c r="I24" s="36"/>
    </row>
    <row r="25" spans="1:9" x14ac:dyDescent="0.25">
      <c r="A25" s="31" t="s">
        <v>739</v>
      </c>
    </row>
    <row r="26" spans="1:9" x14ac:dyDescent="0.25">
      <c r="A26" s="31" t="s">
        <v>685</v>
      </c>
    </row>
    <row r="27" spans="1:9" x14ac:dyDescent="0.25">
      <c r="A27" s="31" t="s">
        <v>767</v>
      </c>
    </row>
    <row r="28" spans="1:9" x14ac:dyDescent="0.25">
      <c r="A28" s="31" t="s">
        <v>595</v>
      </c>
    </row>
    <row r="29" spans="1:9" x14ac:dyDescent="0.25">
      <c r="A29" s="31"/>
    </row>
    <row r="30" spans="1:9" s="6" customFormat="1" ht="8.25" customHeight="1" x14ac:dyDescent="0.25">
      <c r="H30" s="20"/>
      <c r="I30" s="20"/>
    </row>
    <row r="31" spans="1:9" x14ac:dyDescent="0.25">
      <c r="A31" s="31"/>
    </row>
    <row r="32" spans="1:9" x14ac:dyDescent="0.25">
      <c r="A32" s="31"/>
    </row>
    <row r="33" spans="1:9" x14ac:dyDescent="0.25">
      <c r="A33" s="96" t="s">
        <v>3371</v>
      </c>
    </row>
    <row r="34" spans="1:9" x14ac:dyDescent="0.25">
      <c r="A34" s="111" t="s">
        <v>1147</v>
      </c>
    </row>
    <row r="35" spans="1:9" x14ac:dyDescent="0.25">
      <c r="A35" s="111" t="s">
        <v>1092</v>
      </c>
    </row>
    <row r="36" spans="1:9" x14ac:dyDescent="0.25">
      <c r="A36" s="111" t="s">
        <v>1146</v>
      </c>
    </row>
    <row r="37" spans="1:9" x14ac:dyDescent="0.25">
      <c r="A37" s="31"/>
    </row>
    <row r="38" spans="1:9" x14ac:dyDescent="0.25">
      <c r="A38" s="31"/>
    </row>
    <row r="39" spans="1:9" s="6" customFormat="1" ht="8.25" customHeight="1" x14ac:dyDescent="0.25">
      <c r="H39" s="20"/>
      <c r="I39" s="20"/>
    </row>
    <row r="40" spans="1:9" x14ac:dyDescent="0.25">
      <c r="A40" s="31"/>
    </row>
    <row r="41" spans="1:9" x14ac:dyDescent="0.25">
      <c r="A41" s="31"/>
    </row>
    <row r="42" spans="1:9" x14ac:dyDescent="0.25">
      <c r="A42" s="31"/>
    </row>
    <row r="43" spans="1:9" x14ac:dyDescent="0.25">
      <c r="A43" s="31"/>
    </row>
    <row r="44" spans="1:9" x14ac:dyDescent="0.25">
      <c r="A44" s="31"/>
    </row>
    <row r="45" spans="1:9" x14ac:dyDescent="0.25">
      <c r="A45" s="31"/>
    </row>
    <row r="46" spans="1:9" x14ac:dyDescent="0.25">
      <c r="A46" s="31"/>
    </row>
    <row r="47" spans="1:9" x14ac:dyDescent="0.25">
      <c r="A47" s="31"/>
    </row>
    <row r="48" spans="1:9" x14ac:dyDescent="0.25">
      <c r="A48" s="31"/>
    </row>
    <row r="49" spans="1:1" x14ac:dyDescent="0.25">
      <c r="A49" s="31"/>
    </row>
    <row r="50" spans="1:1" x14ac:dyDescent="0.25">
      <c r="A50" s="31"/>
    </row>
    <row r="51" spans="1:1" x14ac:dyDescent="0.25">
      <c r="A51" s="31"/>
    </row>
    <row r="52" spans="1:1" x14ac:dyDescent="0.25">
      <c r="A52" s="31"/>
    </row>
    <row r="53" spans="1:1" x14ac:dyDescent="0.25">
      <c r="A53" s="31"/>
    </row>
    <row r="54" spans="1:1" x14ac:dyDescent="0.25">
      <c r="A54" s="31"/>
    </row>
    <row r="55" spans="1:1" x14ac:dyDescent="0.25">
      <c r="A55" s="31"/>
    </row>
    <row r="56" spans="1:1" x14ac:dyDescent="0.25">
      <c r="A56" s="31"/>
    </row>
    <row r="57" spans="1:1" x14ac:dyDescent="0.25">
      <c r="A57" s="31"/>
    </row>
    <row r="58" spans="1:1" x14ac:dyDescent="0.25">
      <c r="A58" s="31"/>
    </row>
    <row r="59" spans="1:1" x14ac:dyDescent="0.25">
      <c r="A59" s="31"/>
    </row>
    <row r="60" spans="1:1" x14ac:dyDescent="0.25">
      <c r="A60" s="31"/>
    </row>
    <row r="61" spans="1:1" x14ac:dyDescent="0.25">
      <c r="A61" s="31"/>
    </row>
    <row r="62" spans="1:1" x14ac:dyDescent="0.25">
      <c r="A62" s="31"/>
    </row>
    <row r="63" spans="1:1" x14ac:dyDescent="0.25">
      <c r="A63" s="31"/>
    </row>
    <row r="64" spans="1:1" x14ac:dyDescent="0.25">
      <c r="A64" s="31"/>
    </row>
    <row r="65" spans="1:1" x14ac:dyDescent="0.25">
      <c r="A65" s="31"/>
    </row>
    <row r="66" spans="1:1" x14ac:dyDescent="0.25">
      <c r="A66" s="31"/>
    </row>
    <row r="67" spans="1:1" x14ac:dyDescent="0.25">
      <c r="A67" s="31"/>
    </row>
    <row r="68" spans="1:1" x14ac:dyDescent="0.25">
      <c r="A68" s="31"/>
    </row>
    <row r="69" spans="1:1" x14ac:dyDescent="0.25">
      <c r="A69" s="31"/>
    </row>
    <row r="70" spans="1:1" x14ac:dyDescent="0.25">
      <c r="A70" s="31"/>
    </row>
    <row r="71" spans="1:1" x14ac:dyDescent="0.25">
      <c r="A71" s="31"/>
    </row>
    <row r="72" spans="1:1" x14ac:dyDescent="0.25">
      <c r="A72" s="31"/>
    </row>
    <row r="73" spans="1:1" x14ac:dyDescent="0.25">
      <c r="A73" s="31"/>
    </row>
    <row r="74" spans="1:1" x14ac:dyDescent="0.25">
      <c r="A74" s="31"/>
    </row>
    <row r="75" spans="1:1" x14ac:dyDescent="0.25">
      <c r="A75" s="31"/>
    </row>
    <row r="76" spans="1:1" x14ac:dyDescent="0.25">
      <c r="A76" s="31"/>
    </row>
    <row r="77" spans="1:1" x14ac:dyDescent="0.25">
      <c r="A77" s="31"/>
    </row>
    <row r="78" spans="1:1" x14ac:dyDescent="0.25">
      <c r="A78" s="31"/>
    </row>
    <row r="79" spans="1:1" x14ac:dyDescent="0.25">
      <c r="A79" s="31"/>
    </row>
    <row r="80" spans="1:1" x14ac:dyDescent="0.25">
      <c r="A80" s="31"/>
    </row>
    <row r="81" spans="1:1" x14ac:dyDescent="0.25">
      <c r="A81" s="31"/>
    </row>
    <row r="82" spans="1:1" x14ac:dyDescent="0.25">
      <c r="A82" s="31"/>
    </row>
    <row r="83" spans="1:1" x14ac:dyDescent="0.25">
      <c r="A83" s="31"/>
    </row>
    <row r="84" spans="1:1" x14ac:dyDescent="0.25">
      <c r="A84" s="31"/>
    </row>
    <row r="85" spans="1:1" x14ac:dyDescent="0.25">
      <c r="A85" s="31"/>
    </row>
  </sheetData>
  <sortState xmlns:xlrd2="http://schemas.microsoft.com/office/spreadsheetml/2017/richdata2" ref="A13:A41">
    <sortCondition ref="A13"/>
  </sortState>
  <dataValidations count="1">
    <dataValidation type="list" allowBlank="1" sqref="A43:A48 A19:A27 A15:A17 A29 A31:A33 A37:A38 A40:A41" xr:uid="{00000000-0002-0000-0200-000000000000}">
      <formula1>VULNTYPE</formula1>
    </dataValidation>
  </dataValidations>
  <pageMargins left="0.7" right="0.7" top="0.75" bottom="0.75" header="0.3" footer="0.3"/>
  <pageSetup orientation="portrait" r:id="rId1"/>
  <customProperties>
    <customPr name="Guid" r:id="rId2"/>
  </customProperties>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18"/>
  <sheetViews>
    <sheetView workbookViewId="0">
      <pane ySplit="6" topLeftCell="A7" activePane="bottomLeft" state="frozen"/>
      <selection pane="bottomLeft" activeCell="C85" sqref="C85"/>
    </sheetView>
  </sheetViews>
  <sheetFormatPr defaultRowHeight="15" x14ac:dyDescent="0.25"/>
  <cols>
    <col min="1" max="1" width="14.5703125" style="29" customWidth="1"/>
    <col min="2" max="2" width="15.140625" style="10" customWidth="1"/>
    <col min="3" max="3" width="12.85546875" style="3" bestFit="1" customWidth="1"/>
    <col min="4" max="4" width="11.28515625" style="10" bestFit="1" customWidth="1"/>
    <col min="5" max="5" width="11.28515625" style="10" customWidth="1"/>
    <col min="6" max="6" width="1.5703125" style="6" customWidth="1"/>
    <col min="7" max="7" width="15.42578125" style="29" customWidth="1"/>
    <col min="8" max="8" width="15.140625" style="10" customWidth="1"/>
    <col min="9" max="9" width="12.85546875" style="3" bestFit="1" customWidth="1"/>
    <col min="10" max="10" width="15.7109375" style="10" customWidth="1"/>
    <col min="11" max="11" width="11.28515625" style="10" customWidth="1"/>
    <col min="12" max="12" width="1.7109375" style="6" customWidth="1"/>
  </cols>
  <sheetData>
    <row r="1" spans="1:12" ht="21" x14ac:dyDescent="0.25">
      <c r="A1" s="92" t="s">
        <v>1059</v>
      </c>
      <c r="G1" s="92"/>
    </row>
    <row r="2" spans="1:12" x14ac:dyDescent="0.25">
      <c r="A2" s="93">
        <v>42627</v>
      </c>
      <c r="G2" s="93"/>
    </row>
    <row r="3" spans="1:12" x14ac:dyDescent="0.25">
      <c r="A3" s="93" t="s">
        <v>1062</v>
      </c>
      <c r="G3" s="93"/>
    </row>
    <row r="4" spans="1:12" x14ac:dyDescent="0.25">
      <c r="A4" s="95"/>
      <c r="G4" s="95"/>
    </row>
    <row r="5" spans="1:12" s="101" customFormat="1" ht="18.75" x14ac:dyDescent="0.3">
      <c r="A5" s="97" t="s">
        <v>1057</v>
      </c>
      <c r="B5" s="98"/>
      <c r="C5" s="106"/>
      <c r="D5" s="98"/>
      <c r="E5" s="98"/>
      <c r="F5" s="100"/>
      <c r="G5" s="97" t="s">
        <v>1057</v>
      </c>
      <c r="H5" s="98"/>
      <c r="I5" s="99"/>
      <c r="J5" s="98"/>
      <c r="K5" s="98"/>
      <c r="L5" s="100"/>
    </row>
    <row r="6" spans="1:12" x14ac:dyDescent="0.25">
      <c r="A6" s="94" t="s">
        <v>1047</v>
      </c>
      <c r="B6" s="91" t="s">
        <v>1045</v>
      </c>
      <c r="C6" s="91" t="s">
        <v>1048</v>
      </c>
      <c r="D6" s="91" t="s">
        <v>1046</v>
      </c>
      <c r="E6" s="91" t="s">
        <v>1082</v>
      </c>
      <c r="G6" s="94" t="s">
        <v>1047</v>
      </c>
      <c r="H6" s="91" t="s">
        <v>1045</v>
      </c>
      <c r="I6" s="91" t="s">
        <v>1048</v>
      </c>
      <c r="J6" s="91" t="s">
        <v>1058</v>
      </c>
      <c r="K6" s="91" t="s">
        <v>1082</v>
      </c>
    </row>
    <row r="7" spans="1:12" x14ac:dyDescent="0.25">
      <c r="A7" s="29">
        <v>42627</v>
      </c>
      <c r="B7" s="10" t="s">
        <v>847</v>
      </c>
      <c r="C7" s="89" t="s">
        <v>549</v>
      </c>
      <c r="D7" s="10" t="s">
        <v>835</v>
      </c>
      <c r="E7" s="10" t="s">
        <v>1083</v>
      </c>
      <c r="G7" s="29">
        <v>42627</v>
      </c>
      <c r="H7" s="10" t="s">
        <v>946</v>
      </c>
      <c r="I7" s="90" t="s">
        <v>10</v>
      </c>
      <c r="J7" s="10" t="s">
        <v>1063</v>
      </c>
      <c r="K7" s="10" t="s">
        <v>1085</v>
      </c>
    </row>
    <row r="8" spans="1:12" x14ac:dyDescent="0.25">
      <c r="A8" s="29">
        <v>42627</v>
      </c>
      <c r="B8" s="10" t="s">
        <v>848</v>
      </c>
      <c r="C8" s="89" t="s">
        <v>549</v>
      </c>
      <c r="D8" s="10" t="s">
        <v>836</v>
      </c>
      <c r="E8" s="10" t="s">
        <v>1083</v>
      </c>
      <c r="H8" s="10" t="s">
        <v>947</v>
      </c>
      <c r="I8" s="90" t="s">
        <v>10</v>
      </c>
      <c r="J8" s="10" t="s">
        <v>1064</v>
      </c>
      <c r="K8" s="10" t="s">
        <v>1085</v>
      </c>
    </row>
    <row r="9" spans="1:12" x14ac:dyDescent="0.25">
      <c r="A9" s="29">
        <v>42627</v>
      </c>
      <c r="B9" s="10" t="s">
        <v>849</v>
      </c>
      <c r="C9" s="89" t="s">
        <v>549</v>
      </c>
      <c r="D9" s="10" t="s">
        <v>837</v>
      </c>
      <c r="E9" s="10" t="s">
        <v>1083</v>
      </c>
      <c r="H9" s="10" t="s">
        <v>948</v>
      </c>
      <c r="I9" s="90" t="s">
        <v>10</v>
      </c>
    </row>
    <row r="10" spans="1:12" x14ac:dyDescent="0.25">
      <c r="A10" s="29">
        <v>42627</v>
      </c>
      <c r="B10" s="10" t="s">
        <v>850</v>
      </c>
      <c r="C10" s="89" t="s">
        <v>549</v>
      </c>
      <c r="D10" s="10" t="s">
        <v>838</v>
      </c>
      <c r="E10" s="10" t="s">
        <v>1083</v>
      </c>
      <c r="H10" s="10" t="s">
        <v>949</v>
      </c>
      <c r="I10" s="90" t="s">
        <v>10</v>
      </c>
    </row>
    <row r="11" spans="1:12" x14ac:dyDescent="0.25">
      <c r="A11" s="29">
        <v>42627</v>
      </c>
      <c r="B11" s="10" t="s">
        <v>851</v>
      </c>
      <c r="C11" s="89" t="s">
        <v>549</v>
      </c>
      <c r="D11" s="10" t="s">
        <v>839</v>
      </c>
      <c r="E11" s="10" t="s">
        <v>1083</v>
      </c>
      <c r="H11" s="10" t="s">
        <v>950</v>
      </c>
      <c r="I11" s="90" t="s">
        <v>10</v>
      </c>
    </row>
    <row r="12" spans="1:12" x14ac:dyDescent="0.25">
      <c r="A12" s="29">
        <v>42629</v>
      </c>
      <c r="B12" s="10" t="s">
        <v>852</v>
      </c>
      <c r="C12" s="89" t="s">
        <v>549</v>
      </c>
      <c r="D12" s="10" t="s">
        <v>1081</v>
      </c>
      <c r="E12" s="10" t="s">
        <v>1084</v>
      </c>
      <c r="H12" s="10" t="s">
        <v>951</v>
      </c>
      <c r="I12" s="90" t="s">
        <v>10</v>
      </c>
    </row>
    <row r="13" spans="1:12" x14ac:dyDescent="0.25">
      <c r="B13" s="10" t="s">
        <v>853</v>
      </c>
      <c r="C13" s="89" t="s">
        <v>549</v>
      </c>
      <c r="H13" s="10" t="s">
        <v>952</v>
      </c>
      <c r="I13" s="90" t="s">
        <v>10</v>
      </c>
    </row>
    <row r="14" spans="1:12" x14ac:dyDescent="0.25">
      <c r="B14" s="10" t="s">
        <v>854</v>
      </c>
      <c r="C14" s="89" t="s">
        <v>549</v>
      </c>
      <c r="H14" s="10" t="s">
        <v>953</v>
      </c>
      <c r="I14" s="90" t="s">
        <v>10</v>
      </c>
    </row>
    <row r="15" spans="1:12" x14ac:dyDescent="0.25">
      <c r="B15" s="10" t="s">
        <v>855</v>
      </c>
      <c r="C15" s="89" t="s">
        <v>549</v>
      </c>
      <c r="H15" s="10" t="s">
        <v>954</v>
      </c>
      <c r="I15" s="90" t="s">
        <v>10</v>
      </c>
    </row>
    <row r="16" spans="1:12" x14ac:dyDescent="0.25">
      <c r="B16" s="10" t="s">
        <v>856</v>
      </c>
      <c r="C16" s="89" t="s">
        <v>549</v>
      </c>
      <c r="H16" s="10" t="s">
        <v>955</v>
      </c>
      <c r="I16" s="90" t="s">
        <v>10</v>
      </c>
    </row>
    <row r="17" spans="2:9" x14ac:dyDescent="0.25">
      <c r="B17" s="10" t="s">
        <v>857</v>
      </c>
      <c r="C17" s="89" t="s">
        <v>549</v>
      </c>
      <c r="H17" s="10" t="s">
        <v>956</v>
      </c>
      <c r="I17" s="90" t="s">
        <v>10</v>
      </c>
    </row>
    <row r="18" spans="2:9" x14ac:dyDescent="0.25">
      <c r="B18" s="10" t="s">
        <v>858</v>
      </c>
      <c r="C18" s="89" t="s">
        <v>549</v>
      </c>
      <c r="H18" s="10" t="s">
        <v>957</v>
      </c>
      <c r="I18" s="90" t="s">
        <v>10</v>
      </c>
    </row>
    <row r="19" spans="2:9" x14ac:dyDescent="0.25">
      <c r="B19" s="10" t="s">
        <v>859</v>
      </c>
      <c r="C19" s="89" t="s">
        <v>549</v>
      </c>
      <c r="H19" s="10" t="s">
        <v>958</v>
      </c>
      <c r="I19" s="90" t="s">
        <v>10</v>
      </c>
    </row>
    <row r="20" spans="2:9" x14ac:dyDescent="0.25">
      <c r="B20" s="10" t="s">
        <v>860</v>
      </c>
      <c r="C20" s="89" t="s">
        <v>549</v>
      </c>
      <c r="H20" s="10" t="s">
        <v>959</v>
      </c>
      <c r="I20" s="90" t="s">
        <v>10</v>
      </c>
    </row>
    <row r="21" spans="2:9" x14ac:dyDescent="0.25">
      <c r="B21" s="10" t="s">
        <v>861</v>
      </c>
      <c r="C21" s="89" t="s">
        <v>549</v>
      </c>
      <c r="H21" s="10" t="s">
        <v>960</v>
      </c>
      <c r="I21" s="90" t="s">
        <v>10</v>
      </c>
    </row>
    <row r="22" spans="2:9" x14ac:dyDescent="0.25">
      <c r="B22" s="10" t="s">
        <v>862</v>
      </c>
      <c r="C22" s="89" t="s">
        <v>549</v>
      </c>
      <c r="D22" s="10" t="s">
        <v>1111</v>
      </c>
      <c r="E22" s="10" t="s">
        <v>1112</v>
      </c>
      <c r="H22" s="10" t="s">
        <v>961</v>
      </c>
      <c r="I22" s="90" t="s">
        <v>10</v>
      </c>
    </row>
    <row r="23" spans="2:9" x14ac:dyDescent="0.25">
      <c r="B23" s="10" t="s">
        <v>863</v>
      </c>
      <c r="C23" s="89" t="s">
        <v>549</v>
      </c>
      <c r="D23" s="10" t="s">
        <v>1111</v>
      </c>
      <c r="E23" s="10" t="s">
        <v>1112</v>
      </c>
      <c r="H23" s="10" t="s">
        <v>962</v>
      </c>
      <c r="I23" s="90" t="s">
        <v>10</v>
      </c>
    </row>
    <row r="24" spans="2:9" x14ac:dyDescent="0.25">
      <c r="B24" s="10" t="s">
        <v>864</v>
      </c>
      <c r="C24" s="89" t="s">
        <v>549</v>
      </c>
      <c r="D24" s="10" t="s">
        <v>1111</v>
      </c>
      <c r="E24" s="10" t="s">
        <v>1112</v>
      </c>
      <c r="H24" s="10" t="s">
        <v>963</v>
      </c>
      <c r="I24" s="90" t="s">
        <v>10</v>
      </c>
    </row>
    <row r="25" spans="2:9" x14ac:dyDescent="0.25">
      <c r="B25" s="10" t="s">
        <v>865</v>
      </c>
      <c r="C25" s="89" t="s">
        <v>549</v>
      </c>
      <c r="D25" s="10" t="s">
        <v>1111</v>
      </c>
      <c r="E25" s="10" t="s">
        <v>1112</v>
      </c>
      <c r="H25" s="10" t="s">
        <v>964</v>
      </c>
      <c r="I25" s="90" t="s">
        <v>10</v>
      </c>
    </row>
    <row r="26" spans="2:9" x14ac:dyDescent="0.25">
      <c r="B26" s="10" t="s">
        <v>866</v>
      </c>
      <c r="C26" s="89" t="s">
        <v>549</v>
      </c>
      <c r="D26" s="10" t="s">
        <v>1111</v>
      </c>
      <c r="E26" s="10" t="s">
        <v>1112</v>
      </c>
      <c r="H26" s="10" t="s">
        <v>965</v>
      </c>
      <c r="I26" s="90" t="s">
        <v>10</v>
      </c>
    </row>
    <row r="27" spans="2:9" x14ac:dyDescent="0.25">
      <c r="B27" s="10" t="s">
        <v>867</v>
      </c>
      <c r="C27" s="89" t="s">
        <v>549</v>
      </c>
      <c r="D27" s="10" t="s">
        <v>1111</v>
      </c>
      <c r="E27" s="10" t="s">
        <v>1112</v>
      </c>
      <c r="H27" s="10" t="s">
        <v>966</v>
      </c>
      <c r="I27" s="90" t="s">
        <v>10</v>
      </c>
    </row>
    <row r="28" spans="2:9" x14ac:dyDescent="0.25">
      <c r="B28" s="10" t="s">
        <v>868</v>
      </c>
      <c r="C28" s="89" t="s">
        <v>549</v>
      </c>
      <c r="D28" s="10" t="s">
        <v>1111</v>
      </c>
      <c r="E28" s="10" t="s">
        <v>1112</v>
      </c>
      <c r="H28" s="10" t="s">
        <v>967</v>
      </c>
      <c r="I28" s="90" t="s">
        <v>10</v>
      </c>
    </row>
    <row r="29" spans="2:9" x14ac:dyDescent="0.25">
      <c r="B29" s="10" t="s">
        <v>869</v>
      </c>
      <c r="C29" s="89" t="s">
        <v>549</v>
      </c>
      <c r="D29" s="10" t="s">
        <v>1111</v>
      </c>
      <c r="E29" s="10" t="s">
        <v>1112</v>
      </c>
      <c r="H29" s="10" t="s">
        <v>968</v>
      </c>
      <c r="I29" s="90" t="s">
        <v>10</v>
      </c>
    </row>
    <row r="30" spans="2:9" x14ac:dyDescent="0.25">
      <c r="B30" s="10" t="s">
        <v>870</v>
      </c>
      <c r="C30" s="89" t="s">
        <v>549</v>
      </c>
      <c r="D30" s="10" t="s">
        <v>1111</v>
      </c>
      <c r="E30" s="10" t="s">
        <v>1112</v>
      </c>
      <c r="H30" s="10" t="s">
        <v>969</v>
      </c>
      <c r="I30" s="90" t="s">
        <v>10</v>
      </c>
    </row>
    <row r="31" spans="2:9" x14ac:dyDescent="0.25">
      <c r="B31" s="10" t="s">
        <v>871</v>
      </c>
      <c r="C31" s="89" t="s">
        <v>549</v>
      </c>
      <c r="D31" s="10" t="s">
        <v>1111</v>
      </c>
      <c r="E31" s="10" t="s">
        <v>1112</v>
      </c>
      <c r="H31" s="10" t="s">
        <v>970</v>
      </c>
      <c r="I31" s="90" t="s">
        <v>10</v>
      </c>
    </row>
    <row r="32" spans="2:9" x14ac:dyDescent="0.25">
      <c r="B32" s="10" t="s">
        <v>872</v>
      </c>
      <c r="C32" s="89" t="s">
        <v>549</v>
      </c>
      <c r="H32" s="10" t="s">
        <v>971</v>
      </c>
      <c r="I32" s="90" t="s">
        <v>10</v>
      </c>
    </row>
    <row r="33" spans="2:9" x14ac:dyDescent="0.25">
      <c r="B33" s="10" t="s">
        <v>873</v>
      </c>
      <c r="C33" s="89" t="s">
        <v>549</v>
      </c>
      <c r="H33" s="10" t="s">
        <v>972</v>
      </c>
      <c r="I33" s="90" t="s">
        <v>10</v>
      </c>
    </row>
    <row r="34" spans="2:9" x14ac:dyDescent="0.25">
      <c r="B34" s="10" t="s">
        <v>874</v>
      </c>
      <c r="C34" s="89" t="s">
        <v>549</v>
      </c>
      <c r="H34" s="10" t="s">
        <v>973</v>
      </c>
      <c r="I34" s="90" t="s">
        <v>10</v>
      </c>
    </row>
    <row r="35" spans="2:9" x14ac:dyDescent="0.25">
      <c r="B35" s="10" t="s">
        <v>875</v>
      </c>
      <c r="C35" s="89" t="s">
        <v>549</v>
      </c>
      <c r="H35" s="10" t="s">
        <v>974</v>
      </c>
      <c r="I35" s="90" t="s">
        <v>10</v>
      </c>
    </row>
    <row r="36" spans="2:9" x14ac:dyDescent="0.25">
      <c r="B36" s="10" t="s">
        <v>876</v>
      </c>
      <c r="C36" s="89" t="s">
        <v>549</v>
      </c>
      <c r="H36" s="10" t="s">
        <v>975</v>
      </c>
      <c r="I36" s="90" t="s">
        <v>10</v>
      </c>
    </row>
    <row r="37" spans="2:9" x14ac:dyDescent="0.25">
      <c r="B37" s="10" t="s">
        <v>877</v>
      </c>
      <c r="C37" s="89" t="s">
        <v>549</v>
      </c>
      <c r="H37" s="10" t="s">
        <v>976</v>
      </c>
      <c r="I37" s="90" t="s">
        <v>10</v>
      </c>
    </row>
    <row r="38" spans="2:9" x14ac:dyDescent="0.25">
      <c r="B38" s="10" t="s">
        <v>878</v>
      </c>
      <c r="C38" s="89" t="s">
        <v>549</v>
      </c>
      <c r="H38" s="10" t="s">
        <v>977</v>
      </c>
      <c r="I38" s="90" t="s">
        <v>10</v>
      </c>
    </row>
    <row r="39" spans="2:9" x14ac:dyDescent="0.25">
      <c r="B39" s="10" t="s">
        <v>879</v>
      </c>
      <c r="C39" s="89" t="s">
        <v>549</v>
      </c>
      <c r="H39" s="10" t="s">
        <v>978</v>
      </c>
      <c r="I39" s="90" t="s">
        <v>10</v>
      </c>
    </row>
    <row r="40" spans="2:9" x14ac:dyDescent="0.25">
      <c r="B40" s="10" t="s">
        <v>880</v>
      </c>
      <c r="C40" s="89" t="s">
        <v>549</v>
      </c>
      <c r="H40" s="10" t="s">
        <v>979</v>
      </c>
      <c r="I40" s="90" t="s">
        <v>10</v>
      </c>
    </row>
    <row r="41" spans="2:9" x14ac:dyDescent="0.25">
      <c r="B41" s="10" t="s">
        <v>881</v>
      </c>
      <c r="C41" s="89" t="s">
        <v>549</v>
      </c>
      <c r="H41" s="10" t="s">
        <v>980</v>
      </c>
      <c r="I41" s="90" t="s">
        <v>10</v>
      </c>
    </row>
    <row r="42" spans="2:9" x14ac:dyDescent="0.25">
      <c r="B42" s="10" t="s">
        <v>882</v>
      </c>
      <c r="C42" s="89" t="s">
        <v>549</v>
      </c>
      <c r="H42" s="10" t="s">
        <v>981</v>
      </c>
      <c r="I42" s="90" t="s">
        <v>10</v>
      </c>
    </row>
    <row r="43" spans="2:9" x14ac:dyDescent="0.25">
      <c r="B43" s="10" t="s">
        <v>883</v>
      </c>
      <c r="C43" s="89" t="s">
        <v>549</v>
      </c>
      <c r="H43" s="10" t="s">
        <v>982</v>
      </c>
      <c r="I43" s="90" t="s">
        <v>10</v>
      </c>
    </row>
    <row r="44" spans="2:9" x14ac:dyDescent="0.25">
      <c r="B44" s="10" t="s">
        <v>884</v>
      </c>
      <c r="C44" s="89" t="s">
        <v>549</v>
      </c>
      <c r="H44" s="10" t="s">
        <v>983</v>
      </c>
      <c r="I44" s="90" t="s">
        <v>10</v>
      </c>
    </row>
    <row r="45" spans="2:9" x14ac:dyDescent="0.25">
      <c r="B45" s="10" t="s">
        <v>885</v>
      </c>
      <c r="C45" s="89" t="s">
        <v>549</v>
      </c>
      <c r="H45" s="10" t="s">
        <v>984</v>
      </c>
      <c r="I45" s="90" t="s">
        <v>10</v>
      </c>
    </row>
    <row r="46" spans="2:9" x14ac:dyDescent="0.25">
      <c r="B46" s="10" t="s">
        <v>886</v>
      </c>
      <c r="C46" s="89" t="s">
        <v>549</v>
      </c>
      <c r="H46" s="10" t="s">
        <v>985</v>
      </c>
      <c r="I46" s="90" t="s">
        <v>10</v>
      </c>
    </row>
    <row r="47" spans="2:9" x14ac:dyDescent="0.25">
      <c r="B47" s="10" t="s">
        <v>887</v>
      </c>
      <c r="C47" s="89" t="s">
        <v>549</v>
      </c>
      <c r="H47" s="10" t="s">
        <v>986</v>
      </c>
      <c r="I47" s="90" t="s">
        <v>10</v>
      </c>
    </row>
    <row r="48" spans="2:9" x14ac:dyDescent="0.25">
      <c r="B48" s="10" t="s">
        <v>888</v>
      </c>
      <c r="C48" s="89" t="s">
        <v>549</v>
      </c>
      <c r="H48" s="10" t="s">
        <v>987</v>
      </c>
      <c r="I48" s="90" t="s">
        <v>10</v>
      </c>
    </row>
    <row r="49" spans="2:9" x14ac:dyDescent="0.25">
      <c r="B49" s="10" t="s">
        <v>889</v>
      </c>
      <c r="C49" s="89" t="s">
        <v>549</v>
      </c>
      <c r="H49" s="10" t="s">
        <v>988</v>
      </c>
      <c r="I49" s="90" t="s">
        <v>10</v>
      </c>
    </row>
    <row r="50" spans="2:9" x14ac:dyDescent="0.25">
      <c r="B50" s="10" t="s">
        <v>890</v>
      </c>
      <c r="C50" s="89" t="s">
        <v>549</v>
      </c>
      <c r="H50" s="10" t="s">
        <v>989</v>
      </c>
      <c r="I50" s="90" t="s">
        <v>10</v>
      </c>
    </row>
    <row r="51" spans="2:9" x14ac:dyDescent="0.25">
      <c r="B51" s="10" t="s">
        <v>891</v>
      </c>
      <c r="C51" s="89" t="s">
        <v>549</v>
      </c>
      <c r="H51" s="10" t="s">
        <v>990</v>
      </c>
      <c r="I51" s="90" t="s">
        <v>10</v>
      </c>
    </row>
    <row r="52" spans="2:9" x14ac:dyDescent="0.25">
      <c r="B52" s="10" t="s">
        <v>892</v>
      </c>
      <c r="C52" s="89" t="s">
        <v>549</v>
      </c>
      <c r="H52" s="10" t="s">
        <v>991</v>
      </c>
      <c r="I52" s="90" t="s">
        <v>10</v>
      </c>
    </row>
    <row r="53" spans="2:9" x14ac:dyDescent="0.25">
      <c r="B53" s="10" t="s">
        <v>893</v>
      </c>
      <c r="C53" s="89" t="s">
        <v>549</v>
      </c>
      <c r="H53" s="10" t="s">
        <v>992</v>
      </c>
      <c r="I53" s="90" t="s">
        <v>10</v>
      </c>
    </row>
    <row r="54" spans="2:9" x14ac:dyDescent="0.25">
      <c r="B54" s="10" t="s">
        <v>894</v>
      </c>
      <c r="C54" s="89" t="s">
        <v>549</v>
      </c>
      <c r="H54" s="10" t="s">
        <v>993</v>
      </c>
      <c r="I54" s="90" t="s">
        <v>10</v>
      </c>
    </row>
    <row r="55" spans="2:9" x14ac:dyDescent="0.25">
      <c r="B55" s="10" t="s">
        <v>895</v>
      </c>
      <c r="C55" s="89" t="s">
        <v>549</v>
      </c>
      <c r="H55" s="10" t="s">
        <v>994</v>
      </c>
      <c r="I55" s="90" t="s">
        <v>10</v>
      </c>
    </row>
    <row r="56" spans="2:9" x14ac:dyDescent="0.25">
      <c r="B56" s="10" t="s">
        <v>896</v>
      </c>
      <c r="C56" s="89" t="s">
        <v>549</v>
      </c>
      <c r="H56" s="10" t="s">
        <v>995</v>
      </c>
      <c r="I56" s="90" t="s">
        <v>10</v>
      </c>
    </row>
    <row r="57" spans="2:9" x14ac:dyDescent="0.25">
      <c r="B57" s="10" t="s">
        <v>897</v>
      </c>
      <c r="C57" s="89" t="s">
        <v>549</v>
      </c>
      <c r="H57" s="10" t="s">
        <v>996</v>
      </c>
      <c r="I57" s="90" t="s">
        <v>10</v>
      </c>
    </row>
    <row r="58" spans="2:9" x14ac:dyDescent="0.25">
      <c r="B58" s="10" t="s">
        <v>898</v>
      </c>
      <c r="C58" s="89" t="s">
        <v>549</v>
      </c>
      <c r="H58" s="10" t="s">
        <v>997</v>
      </c>
      <c r="I58" s="90" t="s">
        <v>10</v>
      </c>
    </row>
    <row r="59" spans="2:9" x14ac:dyDescent="0.25">
      <c r="B59" s="10" t="s">
        <v>899</v>
      </c>
      <c r="C59" s="89" t="s">
        <v>549</v>
      </c>
      <c r="H59" s="10" t="s">
        <v>998</v>
      </c>
      <c r="I59" s="90" t="s">
        <v>10</v>
      </c>
    </row>
    <row r="60" spans="2:9" x14ac:dyDescent="0.25">
      <c r="B60" s="10" t="s">
        <v>900</v>
      </c>
      <c r="C60" s="89" t="s">
        <v>549</v>
      </c>
      <c r="H60" s="10" t="s">
        <v>999</v>
      </c>
      <c r="I60" s="90" t="s">
        <v>10</v>
      </c>
    </row>
    <row r="61" spans="2:9" x14ac:dyDescent="0.25">
      <c r="B61" s="10" t="s">
        <v>901</v>
      </c>
      <c r="C61" s="89" t="s">
        <v>549</v>
      </c>
      <c r="H61" s="10" t="s">
        <v>1000</v>
      </c>
      <c r="I61" s="90" t="s">
        <v>10</v>
      </c>
    </row>
    <row r="62" spans="2:9" x14ac:dyDescent="0.25">
      <c r="B62" s="10" t="s">
        <v>902</v>
      </c>
      <c r="C62" s="89" t="s">
        <v>549</v>
      </c>
      <c r="H62" s="10" t="s">
        <v>1001</v>
      </c>
      <c r="I62" s="90" t="s">
        <v>10</v>
      </c>
    </row>
    <row r="63" spans="2:9" x14ac:dyDescent="0.25">
      <c r="B63" s="10" t="s">
        <v>903</v>
      </c>
      <c r="C63" s="89" t="s">
        <v>549</v>
      </c>
      <c r="H63" s="10" t="s">
        <v>1002</v>
      </c>
      <c r="I63" s="90" t="s">
        <v>10</v>
      </c>
    </row>
    <row r="64" spans="2:9" x14ac:dyDescent="0.25">
      <c r="B64" s="10" t="s">
        <v>904</v>
      </c>
      <c r="C64" s="89" t="s">
        <v>549</v>
      </c>
      <c r="H64" s="10" t="s">
        <v>1003</v>
      </c>
      <c r="I64" s="90" t="s">
        <v>10</v>
      </c>
    </row>
    <row r="65" spans="2:9" x14ac:dyDescent="0.25">
      <c r="B65" s="10" t="s">
        <v>905</v>
      </c>
      <c r="C65" s="89" t="s">
        <v>549</v>
      </c>
      <c r="H65" s="10" t="s">
        <v>1004</v>
      </c>
      <c r="I65" s="90" t="s">
        <v>10</v>
      </c>
    </row>
    <row r="66" spans="2:9" x14ac:dyDescent="0.25">
      <c r="B66" s="10" t="s">
        <v>906</v>
      </c>
      <c r="C66" s="89" t="s">
        <v>549</v>
      </c>
      <c r="H66" s="10" t="s">
        <v>1005</v>
      </c>
      <c r="I66" s="90" t="s">
        <v>10</v>
      </c>
    </row>
    <row r="67" spans="2:9" x14ac:dyDescent="0.25">
      <c r="B67" s="10" t="s">
        <v>907</v>
      </c>
      <c r="C67" s="89" t="s">
        <v>549</v>
      </c>
      <c r="H67" s="10" t="s">
        <v>1006</v>
      </c>
      <c r="I67" s="90" t="s">
        <v>10</v>
      </c>
    </row>
    <row r="68" spans="2:9" x14ac:dyDescent="0.25">
      <c r="B68" s="10" t="s">
        <v>908</v>
      </c>
      <c r="C68" s="89" t="s">
        <v>549</v>
      </c>
      <c r="H68" s="10" t="s">
        <v>1007</v>
      </c>
      <c r="I68" s="90" t="s">
        <v>10</v>
      </c>
    </row>
    <row r="69" spans="2:9" x14ac:dyDescent="0.25">
      <c r="B69" s="10" t="s">
        <v>909</v>
      </c>
      <c r="C69" s="89" t="s">
        <v>549</v>
      </c>
      <c r="H69" s="10" t="s">
        <v>1008</v>
      </c>
      <c r="I69" s="90" t="s">
        <v>10</v>
      </c>
    </row>
    <row r="70" spans="2:9" x14ac:dyDescent="0.25">
      <c r="B70" s="10" t="s">
        <v>910</v>
      </c>
      <c r="C70" s="89" t="s">
        <v>549</v>
      </c>
      <c r="H70" s="10" t="s">
        <v>1009</v>
      </c>
      <c r="I70" s="90" t="s">
        <v>10</v>
      </c>
    </row>
    <row r="71" spans="2:9" x14ac:dyDescent="0.25">
      <c r="B71" s="10" t="s">
        <v>911</v>
      </c>
      <c r="C71" s="89" t="s">
        <v>549</v>
      </c>
      <c r="H71" s="10" t="s">
        <v>1010</v>
      </c>
      <c r="I71" s="90" t="s">
        <v>10</v>
      </c>
    </row>
    <row r="72" spans="2:9" x14ac:dyDescent="0.25">
      <c r="B72" s="10" t="s">
        <v>912</v>
      </c>
      <c r="C72" s="89" t="s">
        <v>549</v>
      </c>
      <c r="H72" s="10" t="s">
        <v>1011</v>
      </c>
      <c r="I72" s="90" t="s">
        <v>10</v>
      </c>
    </row>
    <row r="73" spans="2:9" x14ac:dyDescent="0.25">
      <c r="B73" s="10" t="s">
        <v>913</v>
      </c>
      <c r="C73" s="89" t="s">
        <v>549</v>
      </c>
      <c r="H73" s="10" t="s">
        <v>1012</v>
      </c>
      <c r="I73" s="90" t="s">
        <v>10</v>
      </c>
    </row>
    <row r="74" spans="2:9" x14ac:dyDescent="0.25">
      <c r="B74" s="10" t="s">
        <v>914</v>
      </c>
      <c r="C74" s="89" t="s">
        <v>549</v>
      </c>
      <c r="H74" s="10" t="s">
        <v>1013</v>
      </c>
      <c r="I74" s="90" t="s">
        <v>10</v>
      </c>
    </row>
    <row r="75" spans="2:9" x14ac:dyDescent="0.25">
      <c r="B75" s="10" t="s">
        <v>915</v>
      </c>
      <c r="C75" s="89" t="s">
        <v>549</v>
      </c>
      <c r="H75" s="10" t="s">
        <v>1014</v>
      </c>
      <c r="I75" s="90" t="s">
        <v>10</v>
      </c>
    </row>
    <row r="76" spans="2:9" x14ac:dyDescent="0.25">
      <c r="B76" s="10" t="s">
        <v>916</v>
      </c>
      <c r="C76" s="89" t="s">
        <v>549</v>
      </c>
      <c r="H76" s="10" t="s">
        <v>1015</v>
      </c>
      <c r="I76" s="90" t="s">
        <v>10</v>
      </c>
    </row>
    <row r="77" spans="2:9" x14ac:dyDescent="0.25">
      <c r="B77" s="10" t="s">
        <v>917</v>
      </c>
      <c r="C77" s="89" t="s">
        <v>549</v>
      </c>
      <c r="H77" s="10" t="s">
        <v>1016</v>
      </c>
      <c r="I77" s="90" t="s">
        <v>10</v>
      </c>
    </row>
    <row r="78" spans="2:9" x14ac:dyDescent="0.25">
      <c r="B78" s="10" t="s">
        <v>918</v>
      </c>
      <c r="C78" s="89" t="s">
        <v>549</v>
      </c>
      <c r="H78" s="10" t="s">
        <v>1017</v>
      </c>
      <c r="I78" s="90" t="s">
        <v>10</v>
      </c>
    </row>
    <row r="79" spans="2:9" x14ac:dyDescent="0.25">
      <c r="B79" s="10" t="s">
        <v>919</v>
      </c>
      <c r="C79" s="89" t="s">
        <v>549</v>
      </c>
      <c r="H79" s="10" t="s">
        <v>1018</v>
      </c>
      <c r="I79" s="90" t="s">
        <v>10</v>
      </c>
    </row>
    <row r="80" spans="2:9" x14ac:dyDescent="0.25">
      <c r="B80" s="10" t="s">
        <v>920</v>
      </c>
      <c r="C80" s="89" t="s">
        <v>549</v>
      </c>
      <c r="H80" s="10" t="s">
        <v>1019</v>
      </c>
      <c r="I80" s="90" t="s">
        <v>10</v>
      </c>
    </row>
    <row r="81" spans="2:9" x14ac:dyDescent="0.25">
      <c r="B81" s="10" t="s">
        <v>921</v>
      </c>
      <c r="C81" s="89" t="s">
        <v>549</v>
      </c>
      <c r="H81" s="10" t="s">
        <v>1020</v>
      </c>
      <c r="I81" s="90" t="s">
        <v>10</v>
      </c>
    </row>
    <row r="82" spans="2:9" x14ac:dyDescent="0.25">
      <c r="B82" s="10" t="s">
        <v>922</v>
      </c>
      <c r="C82" s="89" t="s">
        <v>549</v>
      </c>
      <c r="H82" s="10" t="s">
        <v>1021</v>
      </c>
      <c r="I82" s="90" t="s">
        <v>10</v>
      </c>
    </row>
    <row r="83" spans="2:9" x14ac:dyDescent="0.25">
      <c r="B83" s="10" t="s">
        <v>923</v>
      </c>
      <c r="C83" s="89" t="s">
        <v>549</v>
      </c>
      <c r="H83" s="10" t="s">
        <v>1022</v>
      </c>
      <c r="I83" s="90" t="s">
        <v>10</v>
      </c>
    </row>
    <row r="84" spans="2:9" x14ac:dyDescent="0.25">
      <c r="B84" s="10" t="s">
        <v>924</v>
      </c>
      <c r="C84" s="89" t="s">
        <v>549</v>
      </c>
      <c r="H84" s="10" t="s">
        <v>1023</v>
      </c>
      <c r="I84" s="90" t="s">
        <v>10</v>
      </c>
    </row>
    <row r="85" spans="2:9" x14ac:dyDescent="0.25">
      <c r="B85" s="10" t="s">
        <v>925</v>
      </c>
      <c r="C85" s="89" t="s">
        <v>549</v>
      </c>
      <c r="H85" s="10" t="s">
        <v>1024</v>
      </c>
      <c r="I85" s="90" t="s">
        <v>10</v>
      </c>
    </row>
    <row r="86" spans="2:9" x14ac:dyDescent="0.25">
      <c r="B86" s="10" t="s">
        <v>926</v>
      </c>
      <c r="C86" s="89" t="s">
        <v>549</v>
      </c>
      <c r="H86" s="10" t="s">
        <v>1025</v>
      </c>
      <c r="I86" s="90" t="s">
        <v>10</v>
      </c>
    </row>
    <row r="87" spans="2:9" x14ac:dyDescent="0.25">
      <c r="B87" s="10" t="s">
        <v>927</v>
      </c>
      <c r="C87" s="89" t="s">
        <v>549</v>
      </c>
      <c r="H87" s="10" t="s">
        <v>1026</v>
      </c>
      <c r="I87" s="90" t="s">
        <v>10</v>
      </c>
    </row>
    <row r="88" spans="2:9" x14ac:dyDescent="0.25">
      <c r="B88" s="10" t="s">
        <v>928</v>
      </c>
      <c r="C88" s="89" t="s">
        <v>549</v>
      </c>
      <c r="H88" s="10" t="s">
        <v>1027</v>
      </c>
      <c r="I88" s="90" t="s">
        <v>10</v>
      </c>
    </row>
    <row r="89" spans="2:9" x14ac:dyDescent="0.25">
      <c r="B89" s="10" t="s">
        <v>929</v>
      </c>
      <c r="C89" s="89" t="s">
        <v>549</v>
      </c>
      <c r="H89" s="10" t="s">
        <v>1028</v>
      </c>
      <c r="I89" s="90" t="s">
        <v>10</v>
      </c>
    </row>
    <row r="90" spans="2:9" x14ac:dyDescent="0.25">
      <c r="B90" s="10" t="s">
        <v>930</v>
      </c>
      <c r="C90" s="89" t="s">
        <v>549</v>
      </c>
      <c r="H90" s="10" t="s">
        <v>1029</v>
      </c>
      <c r="I90" s="90" t="s">
        <v>10</v>
      </c>
    </row>
    <row r="91" spans="2:9" x14ac:dyDescent="0.25">
      <c r="B91" s="10" t="s">
        <v>931</v>
      </c>
      <c r="C91" s="89" t="s">
        <v>549</v>
      </c>
      <c r="H91" s="10" t="s">
        <v>1030</v>
      </c>
      <c r="I91" s="90" t="s">
        <v>10</v>
      </c>
    </row>
    <row r="92" spans="2:9" x14ac:dyDescent="0.25">
      <c r="B92" s="10" t="s">
        <v>932</v>
      </c>
      <c r="C92" s="89" t="s">
        <v>549</v>
      </c>
      <c r="H92" s="10" t="s">
        <v>1031</v>
      </c>
      <c r="I92" s="90" t="s">
        <v>10</v>
      </c>
    </row>
    <row r="93" spans="2:9" x14ac:dyDescent="0.25">
      <c r="B93" s="10" t="s">
        <v>933</v>
      </c>
      <c r="C93" s="89" t="s">
        <v>549</v>
      </c>
      <c r="H93" s="10" t="s">
        <v>1032</v>
      </c>
      <c r="I93" s="90" t="s">
        <v>10</v>
      </c>
    </row>
    <row r="94" spans="2:9" x14ac:dyDescent="0.25">
      <c r="B94" s="10" t="s">
        <v>934</v>
      </c>
      <c r="C94" s="89" t="s">
        <v>549</v>
      </c>
      <c r="H94" s="10" t="s">
        <v>1033</v>
      </c>
      <c r="I94" s="90" t="s">
        <v>10</v>
      </c>
    </row>
    <row r="95" spans="2:9" x14ac:dyDescent="0.25">
      <c r="B95" s="10" t="s">
        <v>935</v>
      </c>
      <c r="C95" s="89" t="s">
        <v>549</v>
      </c>
      <c r="H95" s="10" t="s">
        <v>1034</v>
      </c>
      <c r="I95" s="90" t="s">
        <v>10</v>
      </c>
    </row>
    <row r="96" spans="2:9" x14ac:dyDescent="0.25">
      <c r="B96" s="10" t="s">
        <v>936</v>
      </c>
      <c r="C96" s="89" t="s">
        <v>549</v>
      </c>
      <c r="H96" s="10" t="s">
        <v>1035</v>
      </c>
      <c r="I96" s="90" t="s">
        <v>10</v>
      </c>
    </row>
    <row r="97" spans="1:11" x14ac:dyDescent="0.25">
      <c r="B97" s="10" t="s">
        <v>937</v>
      </c>
      <c r="C97" s="89" t="s">
        <v>549</v>
      </c>
      <c r="H97" s="10" t="s">
        <v>1036</v>
      </c>
      <c r="I97" s="90" t="s">
        <v>10</v>
      </c>
    </row>
    <row r="98" spans="1:11" x14ac:dyDescent="0.25">
      <c r="B98" s="10" t="s">
        <v>938</v>
      </c>
      <c r="C98" s="89" t="s">
        <v>549</v>
      </c>
      <c r="H98" s="10" t="s">
        <v>1037</v>
      </c>
      <c r="I98" s="90" t="s">
        <v>10</v>
      </c>
    </row>
    <row r="99" spans="1:11" x14ac:dyDescent="0.25">
      <c r="B99" s="10" t="s">
        <v>939</v>
      </c>
      <c r="C99" s="89" t="s">
        <v>549</v>
      </c>
      <c r="H99" s="10" t="s">
        <v>1038</v>
      </c>
      <c r="I99" s="90" t="s">
        <v>10</v>
      </c>
    </row>
    <row r="100" spans="1:11" x14ac:dyDescent="0.25">
      <c r="B100" s="10" t="s">
        <v>940</v>
      </c>
      <c r="C100" s="89" t="s">
        <v>549</v>
      </c>
      <c r="H100" s="10" t="s">
        <v>1039</v>
      </c>
      <c r="I100" s="90" t="s">
        <v>10</v>
      </c>
    </row>
    <row r="101" spans="1:11" x14ac:dyDescent="0.25">
      <c r="B101" s="10" t="s">
        <v>941</v>
      </c>
      <c r="C101" s="89" t="s">
        <v>549</v>
      </c>
      <c r="H101" s="10" t="s">
        <v>1040</v>
      </c>
      <c r="I101" s="90" t="s">
        <v>10</v>
      </c>
    </row>
    <row r="102" spans="1:11" x14ac:dyDescent="0.25">
      <c r="B102" s="10" t="s">
        <v>942</v>
      </c>
      <c r="C102" s="89" t="s">
        <v>549</v>
      </c>
      <c r="H102" s="10" t="s">
        <v>1041</v>
      </c>
      <c r="I102" s="90" t="s">
        <v>10</v>
      </c>
    </row>
    <row r="103" spans="1:11" x14ac:dyDescent="0.25">
      <c r="B103" s="10" t="s">
        <v>943</v>
      </c>
      <c r="C103" s="89" t="s">
        <v>549</v>
      </c>
      <c r="H103" s="10" t="s">
        <v>1042</v>
      </c>
      <c r="I103" s="90" t="s">
        <v>10</v>
      </c>
    </row>
    <row r="104" spans="1:11" x14ac:dyDescent="0.25">
      <c r="B104" s="10" t="s">
        <v>944</v>
      </c>
      <c r="C104" s="89" t="s">
        <v>549</v>
      </c>
      <c r="H104" s="10" t="s">
        <v>1043</v>
      </c>
      <c r="I104" s="90" t="s">
        <v>10</v>
      </c>
    </row>
    <row r="105" spans="1:11" x14ac:dyDescent="0.25">
      <c r="B105" s="10" t="s">
        <v>945</v>
      </c>
      <c r="C105" s="89" t="s">
        <v>549</v>
      </c>
      <c r="H105" s="10" t="s">
        <v>1044</v>
      </c>
      <c r="I105" s="90" t="s">
        <v>10</v>
      </c>
    </row>
    <row r="106" spans="1:11" s="6" customFormat="1" x14ac:dyDescent="0.25">
      <c r="A106" s="34"/>
      <c r="B106" s="88"/>
      <c r="C106" s="26"/>
      <c r="D106" s="88"/>
      <c r="E106" s="88"/>
      <c r="G106" s="34"/>
      <c r="H106" s="88"/>
      <c r="I106" s="26"/>
      <c r="J106" s="88"/>
      <c r="K106" s="88"/>
    </row>
    <row r="110" spans="1:11" x14ac:dyDescent="0.25">
      <c r="A110" t="s">
        <v>1050</v>
      </c>
      <c r="G110" t="s">
        <v>1050</v>
      </c>
    </row>
    <row r="111" spans="1:11" x14ac:dyDescent="0.25">
      <c r="A111" t="s">
        <v>1051</v>
      </c>
      <c r="G111" t="s">
        <v>1051</v>
      </c>
    </row>
    <row r="112" spans="1:11" x14ac:dyDescent="0.25">
      <c r="A112" t="s">
        <v>1052</v>
      </c>
      <c r="G112" t="s">
        <v>1052</v>
      </c>
    </row>
    <row r="113" spans="1:7" x14ac:dyDescent="0.25">
      <c r="A113" t="s">
        <v>1053</v>
      </c>
      <c r="G113" t="s">
        <v>1053</v>
      </c>
    </row>
    <row r="114" spans="1:7" x14ac:dyDescent="0.25">
      <c r="A114" t="s">
        <v>1054</v>
      </c>
      <c r="G114" t="s">
        <v>1054</v>
      </c>
    </row>
    <row r="116" spans="1:7" x14ac:dyDescent="0.25">
      <c r="A116" s="96" t="s">
        <v>1049</v>
      </c>
      <c r="G116" s="96" t="s">
        <v>1049</v>
      </c>
    </row>
    <row r="117" spans="1:7" x14ac:dyDescent="0.25">
      <c r="A117" s="31" t="s">
        <v>1056</v>
      </c>
      <c r="G117" s="31" t="s">
        <v>1056</v>
      </c>
    </row>
    <row r="118" spans="1:7" x14ac:dyDescent="0.25">
      <c r="A118" s="30" t="s">
        <v>1055</v>
      </c>
      <c r="G118" s="30" t="s">
        <v>1055</v>
      </c>
    </row>
  </sheetData>
  <hyperlinks>
    <hyperlink ref="A118" r:id="rId1" xr:uid="{00000000-0004-0000-0300-000000000000}"/>
    <hyperlink ref="G118" r:id="rId2" xr:uid="{00000000-0004-0000-0300-000001000000}"/>
  </hyperlinks>
  <pageMargins left="0.7" right="0.7" top="0.75" bottom="0.75" header="0.3" footer="0.3"/>
  <pageSetup orientation="portrait" r:id="rId3"/>
  <customProperties>
    <customPr name="Guid" r:id="rId4"/>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B1:E480"/>
  <sheetViews>
    <sheetView zoomScaleNormal="100" workbookViewId="0">
      <pane ySplit="5" topLeftCell="A6" activePane="bottomLeft" state="frozen"/>
      <selection pane="bottomLeft" activeCell="A6" sqref="A6"/>
    </sheetView>
  </sheetViews>
  <sheetFormatPr defaultColWidth="8.7109375" defaultRowHeight="15" x14ac:dyDescent="0.25"/>
  <cols>
    <col min="2" max="2" width="58.7109375" customWidth="1"/>
    <col min="3" max="3" width="62.28515625" style="10" customWidth="1"/>
    <col min="4" max="4" width="63.85546875" style="10" customWidth="1"/>
    <col min="5" max="5" width="13.7109375" style="10" bestFit="1" customWidth="1"/>
    <col min="6" max="6" width="52.7109375" bestFit="1" customWidth="1"/>
    <col min="7" max="7" width="16.42578125" bestFit="1" customWidth="1"/>
  </cols>
  <sheetData>
    <row r="1" spans="2:5" ht="21" x14ac:dyDescent="0.25">
      <c r="B1" s="22" t="s">
        <v>61</v>
      </c>
      <c r="C1" s="22"/>
    </row>
    <row r="2" spans="2:5" x14ac:dyDescent="0.25">
      <c r="B2" s="23" t="s">
        <v>62</v>
      </c>
      <c r="C2" s="23"/>
    </row>
    <row r="3" spans="2:5" x14ac:dyDescent="0.25">
      <c r="B3" s="24" t="s">
        <v>63</v>
      </c>
      <c r="C3" s="24"/>
      <c r="D3" s="10">
        <v>473</v>
      </c>
    </row>
    <row r="5" spans="2:5" s="25" customFormat="1" x14ac:dyDescent="0.25">
      <c r="B5" s="149" t="s">
        <v>3370</v>
      </c>
      <c r="C5" s="149" t="s">
        <v>64</v>
      </c>
      <c r="D5" s="149" t="s">
        <v>65</v>
      </c>
      <c r="E5" s="149" t="s">
        <v>66</v>
      </c>
    </row>
    <row r="6" spans="2:5" x14ac:dyDescent="0.25">
      <c r="B6" s="150" t="str">
        <f t="shared" ref="B6:B69" si="0">LEFT($C6,FIND(" - ",$C6))</f>
        <v xml:space="preserve">Abuse of Communication Channels </v>
      </c>
      <c r="C6" s="131" t="s">
        <v>67</v>
      </c>
      <c r="D6" s="151" t="s">
        <v>67</v>
      </c>
      <c r="E6" s="131" t="s">
        <v>68</v>
      </c>
    </row>
    <row r="7" spans="2:5" x14ac:dyDescent="0.25">
      <c r="B7" s="150" t="str">
        <f t="shared" si="0"/>
        <v xml:space="preserve">Abuse of Functionality </v>
      </c>
      <c r="C7" s="131" t="s">
        <v>69</v>
      </c>
      <c r="D7" s="151" t="s">
        <v>69</v>
      </c>
      <c r="E7" s="131" t="s">
        <v>68</v>
      </c>
    </row>
    <row r="8" spans="2:5" x14ac:dyDescent="0.25">
      <c r="B8" s="150" t="str">
        <f t="shared" si="0"/>
        <v xml:space="preserve">Abuse of transaction data strutcture </v>
      </c>
      <c r="C8" s="131" t="s">
        <v>70</v>
      </c>
      <c r="D8" s="151" t="s">
        <v>70</v>
      </c>
      <c r="E8" s="131" t="s">
        <v>71</v>
      </c>
    </row>
    <row r="9" spans="2:5" x14ac:dyDescent="0.25">
      <c r="B9" s="150" t="str">
        <f t="shared" si="0"/>
        <v xml:space="preserve">Accessing Functionality Not Properly Constrained by ACLs </v>
      </c>
      <c r="C9" s="131" t="s">
        <v>72</v>
      </c>
      <c r="D9" s="151" t="s">
        <v>72</v>
      </c>
      <c r="E9" s="131" t="s">
        <v>71</v>
      </c>
    </row>
    <row r="10" spans="2:5" x14ac:dyDescent="0.25">
      <c r="B10" s="150" t="str">
        <f t="shared" si="0"/>
        <v xml:space="preserve">Accessing, Modifying or Executing Executable Files </v>
      </c>
      <c r="C10" s="131" t="s">
        <v>73</v>
      </c>
      <c r="D10" s="151" t="s">
        <v>73</v>
      </c>
      <c r="E10" s="131" t="s">
        <v>71</v>
      </c>
    </row>
    <row r="11" spans="2:5" x14ac:dyDescent="0.25">
      <c r="B11" s="150" t="str">
        <f t="shared" si="0"/>
        <v xml:space="preserve">Accessing/Intercepting/Modifying HTTP Cookies </v>
      </c>
      <c r="C11" s="131" t="s">
        <v>74</v>
      </c>
      <c r="D11" s="151" t="s">
        <v>74</v>
      </c>
      <c r="E11" s="131" t="s">
        <v>71</v>
      </c>
    </row>
    <row r="12" spans="2:5" x14ac:dyDescent="0.25">
      <c r="B12" s="150" t="str">
        <f t="shared" si="0"/>
        <v xml:space="preserve">Action Spoofing </v>
      </c>
      <c r="C12" s="131" t="s">
        <v>75</v>
      </c>
      <c r="D12" s="151" t="s">
        <v>75</v>
      </c>
      <c r="E12" s="131" t="s">
        <v>71</v>
      </c>
    </row>
    <row r="13" spans="2:5" x14ac:dyDescent="0.25">
      <c r="B13" s="150" t="str">
        <f t="shared" si="0"/>
        <v xml:space="preserve">Active OS Fingerprinting </v>
      </c>
      <c r="C13" s="131" t="s">
        <v>76</v>
      </c>
      <c r="D13" s="151" t="s">
        <v>76</v>
      </c>
      <c r="E13" s="131" t="s">
        <v>71</v>
      </c>
    </row>
    <row r="14" spans="2:5" x14ac:dyDescent="0.25">
      <c r="B14" s="150" t="str">
        <f t="shared" si="0"/>
        <v xml:space="preserve">Analog In-band Switching Signals (aka Blue Boxing) </v>
      </c>
      <c r="C14" s="131" t="s">
        <v>77</v>
      </c>
      <c r="D14" s="151" t="s">
        <v>77</v>
      </c>
      <c r="E14" s="131" t="s">
        <v>71</v>
      </c>
    </row>
    <row r="15" spans="2:5" x14ac:dyDescent="0.25">
      <c r="B15" s="150" t="str">
        <f t="shared" si="0"/>
        <v xml:space="preserve">Analytic Attacks </v>
      </c>
      <c r="C15" s="131" t="s">
        <v>78</v>
      </c>
      <c r="D15" s="151" t="s">
        <v>78</v>
      </c>
      <c r="E15" s="131" t="s">
        <v>71</v>
      </c>
    </row>
    <row r="16" spans="2:5" x14ac:dyDescent="0.25">
      <c r="B16" s="150" t="str">
        <f t="shared" si="0"/>
        <v xml:space="preserve">API Abuse/Misuse </v>
      </c>
      <c r="C16" s="131" t="s">
        <v>79</v>
      </c>
      <c r="D16" s="151" t="s">
        <v>79</v>
      </c>
      <c r="E16" s="131" t="s">
        <v>71</v>
      </c>
    </row>
    <row r="17" spans="2:5" x14ac:dyDescent="0.25">
      <c r="B17" s="150" t="str">
        <f t="shared" si="0"/>
        <v xml:space="preserve">Application API Button Hijacking </v>
      </c>
      <c r="C17" s="131" t="s">
        <v>80</v>
      </c>
      <c r="D17" s="151" t="s">
        <v>80</v>
      </c>
      <c r="E17" s="131" t="s">
        <v>71</v>
      </c>
    </row>
    <row r="18" spans="2:5" x14ac:dyDescent="0.25">
      <c r="B18" s="150" t="str">
        <f t="shared" si="0"/>
        <v xml:space="preserve">Application API Message Manipulation via Man-in-the-Middle </v>
      </c>
      <c r="C18" s="131" t="s">
        <v>81</v>
      </c>
      <c r="D18" s="151" t="s">
        <v>81</v>
      </c>
      <c r="E18" s="131" t="s">
        <v>71</v>
      </c>
    </row>
    <row r="19" spans="2:5" x14ac:dyDescent="0.25">
      <c r="B19" s="150" t="str">
        <f t="shared" si="0"/>
        <v xml:space="preserve">Application API Navigation Remapping </v>
      </c>
      <c r="C19" s="131" t="s">
        <v>82</v>
      </c>
      <c r="D19" s="151" t="s">
        <v>82</v>
      </c>
      <c r="E19" s="131" t="s">
        <v>71</v>
      </c>
    </row>
    <row r="20" spans="2:5" x14ac:dyDescent="0.25">
      <c r="B20" s="150" t="str">
        <f t="shared" si="0"/>
        <v xml:space="preserve">Argument Injection </v>
      </c>
      <c r="C20" s="131" t="s">
        <v>83</v>
      </c>
      <c r="D20" s="151" t="s">
        <v>83</v>
      </c>
      <c r="E20" s="131" t="s">
        <v>71</v>
      </c>
    </row>
    <row r="21" spans="2:5" x14ac:dyDescent="0.25">
      <c r="B21" s="150" t="str">
        <f t="shared" si="0"/>
        <v xml:space="preserve">Attack through Shared Data </v>
      </c>
      <c r="C21" s="131" t="s">
        <v>84</v>
      </c>
      <c r="D21" s="151" t="s">
        <v>84</v>
      </c>
      <c r="E21" s="131" t="s">
        <v>71</v>
      </c>
    </row>
    <row r="22" spans="2:5" x14ac:dyDescent="0.25">
      <c r="B22" s="150" t="str">
        <f t="shared" si="0"/>
        <v xml:space="preserve">Audit Log Manipulation </v>
      </c>
      <c r="C22" s="131" t="s">
        <v>85</v>
      </c>
      <c r="D22" s="151" t="s">
        <v>85</v>
      </c>
      <c r="E22" s="131" t="s">
        <v>71</v>
      </c>
    </row>
    <row r="23" spans="2:5" x14ac:dyDescent="0.25">
      <c r="B23" s="150" t="str">
        <f t="shared" si="0"/>
        <v xml:space="preserve">Authentication Abuse </v>
      </c>
      <c r="C23" s="131" t="s">
        <v>86</v>
      </c>
      <c r="D23" s="151" t="s">
        <v>86</v>
      </c>
      <c r="E23" s="131" t="s">
        <v>71</v>
      </c>
    </row>
    <row r="24" spans="2:5" x14ac:dyDescent="0.25">
      <c r="B24" s="150" t="str">
        <f t="shared" si="0"/>
        <v xml:space="preserve">Authentication Bypass </v>
      </c>
      <c r="C24" s="131" t="s">
        <v>87</v>
      </c>
      <c r="D24" s="151" t="s">
        <v>87</v>
      </c>
      <c r="E24" s="131" t="s">
        <v>71</v>
      </c>
    </row>
    <row r="25" spans="2:5" x14ac:dyDescent="0.25">
      <c r="B25" s="150" t="str">
        <f t="shared" si="0"/>
        <v xml:space="preserve">Blind SQL Injection </v>
      </c>
      <c r="C25" s="131" t="s">
        <v>88</v>
      </c>
      <c r="D25" s="151" t="s">
        <v>88</v>
      </c>
      <c r="E25" s="131" t="s">
        <v>71</v>
      </c>
    </row>
    <row r="26" spans="2:5" x14ac:dyDescent="0.25">
      <c r="B26" s="150" t="str">
        <f t="shared" si="0"/>
        <v xml:space="preserve">Block Access to Libraries </v>
      </c>
      <c r="C26" s="131" t="s">
        <v>89</v>
      </c>
      <c r="D26" s="151" t="s">
        <v>89</v>
      </c>
      <c r="E26" s="131" t="s">
        <v>71</v>
      </c>
    </row>
    <row r="27" spans="2:5" x14ac:dyDescent="0.25">
      <c r="B27" s="150" t="str">
        <f t="shared" si="0"/>
        <v xml:space="preserve">Browser Fingerprinting </v>
      </c>
      <c r="C27" s="131" t="s">
        <v>90</v>
      </c>
      <c r="D27" s="151" t="s">
        <v>90</v>
      </c>
      <c r="E27" s="131" t="s">
        <v>71</v>
      </c>
    </row>
    <row r="28" spans="2:5" x14ac:dyDescent="0.25">
      <c r="B28" s="150" t="str">
        <f t="shared" si="0"/>
        <v xml:space="preserve">Brute Force </v>
      </c>
      <c r="C28" s="131" t="s">
        <v>91</v>
      </c>
      <c r="D28" s="151" t="s">
        <v>91</v>
      </c>
      <c r="E28" s="131" t="s">
        <v>71</v>
      </c>
    </row>
    <row r="29" spans="2:5" x14ac:dyDescent="0.25">
      <c r="B29" s="150" t="str">
        <f t="shared" si="0"/>
        <v xml:space="preserve">Buffer Attacks </v>
      </c>
      <c r="C29" s="131" t="s">
        <v>92</v>
      </c>
      <c r="D29" s="151" t="s">
        <v>92</v>
      </c>
      <c r="E29" s="131" t="s">
        <v>71</v>
      </c>
    </row>
    <row r="30" spans="2:5" x14ac:dyDescent="0.25">
      <c r="B30" s="150" t="str">
        <f t="shared" si="0"/>
        <v xml:space="preserve">Buffer Overflow in an API Call </v>
      </c>
      <c r="C30" s="131" t="s">
        <v>93</v>
      </c>
      <c r="D30" s="151" t="s">
        <v>93</v>
      </c>
      <c r="E30" s="131" t="s">
        <v>71</v>
      </c>
    </row>
    <row r="31" spans="2:5" x14ac:dyDescent="0.25">
      <c r="B31" s="150" t="str">
        <f t="shared" si="0"/>
        <v xml:space="preserve">Buffer Overflow in Local Command-Line Utilities </v>
      </c>
      <c r="C31" s="131" t="s">
        <v>94</v>
      </c>
      <c r="D31" s="151" t="s">
        <v>94</v>
      </c>
      <c r="E31" s="131" t="s">
        <v>71</v>
      </c>
    </row>
    <row r="32" spans="2:5" x14ac:dyDescent="0.25">
      <c r="B32" s="150" t="str">
        <f t="shared" si="0"/>
        <v xml:space="preserve">Buffer Overflow via Environment Variables </v>
      </c>
      <c r="C32" s="131" t="s">
        <v>95</v>
      </c>
      <c r="D32" s="151" t="s">
        <v>95</v>
      </c>
      <c r="E32" s="131" t="s">
        <v>71</v>
      </c>
    </row>
    <row r="33" spans="2:5" x14ac:dyDescent="0.25">
      <c r="B33" s="150" t="str">
        <f t="shared" si="0"/>
        <v xml:space="preserve">Buffer Overflow via Parameter Expansion </v>
      </c>
      <c r="C33" s="131" t="s">
        <v>96</v>
      </c>
      <c r="D33" s="151" t="s">
        <v>96</v>
      </c>
      <c r="E33" s="131" t="s">
        <v>71</v>
      </c>
    </row>
    <row r="34" spans="2:5" x14ac:dyDescent="0.25">
      <c r="B34" s="150" t="str">
        <f t="shared" si="0"/>
        <v xml:space="preserve">Buffer Overflow via Symbolic Links </v>
      </c>
      <c r="C34" s="131" t="s">
        <v>97</v>
      </c>
      <c r="D34" s="151" t="s">
        <v>97</v>
      </c>
      <c r="E34" s="131" t="s">
        <v>71</v>
      </c>
    </row>
    <row r="35" spans="2:5" x14ac:dyDescent="0.25">
      <c r="B35" s="150" t="str">
        <f t="shared" si="0"/>
        <v xml:space="preserve">Bypassing ATA Password Security </v>
      </c>
      <c r="C35" s="131" t="s">
        <v>98</v>
      </c>
      <c r="D35" s="151" t="s">
        <v>98</v>
      </c>
      <c r="E35" s="131" t="s">
        <v>71</v>
      </c>
    </row>
    <row r="36" spans="2:5" x14ac:dyDescent="0.25">
      <c r="B36" s="150" t="str">
        <f t="shared" si="0"/>
        <v xml:space="preserve">Bypassing Card or Badge-Based Systems </v>
      </c>
      <c r="C36" s="131" t="s">
        <v>99</v>
      </c>
      <c r="D36" s="151" t="s">
        <v>99</v>
      </c>
      <c r="E36" s="131" t="s">
        <v>71</v>
      </c>
    </row>
    <row r="37" spans="2:5" x14ac:dyDescent="0.25">
      <c r="B37" s="150" t="str">
        <f t="shared" si="0"/>
        <v xml:space="preserve">Bypassing Electronic Locks and Access Controls </v>
      </c>
      <c r="C37" s="131" t="s">
        <v>100</v>
      </c>
      <c r="D37" s="151" t="s">
        <v>100</v>
      </c>
      <c r="E37" s="131" t="s">
        <v>71</v>
      </c>
    </row>
    <row r="38" spans="2:5" x14ac:dyDescent="0.25">
      <c r="B38" s="150" t="str">
        <f t="shared" si="0"/>
        <v xml:space="preserve">Bypassing of Intermediate Forms in Multiple-Form Sets </v>
      </c>
      <c r="C38" s="131" t="s">
        <v>101</v>
      </c>
      <c r="D38" s="151" t="s">
        <v>101</v>
      </c>
      <c r="E38" s="131" t="s">
        <v>71</v>
      </c>
    </row>
    <row r="39" spans="2:5" x14ac:dyDescent="0.25">
      <c r="B39" s="150" t="str">
        <f t="shared" si="0"/>
        <v xml:space="preserve">Bypassing Physical Locks </v>
      </c>
      <c r="C39" s="131" t="s">
        <v>102</v>
      </c>
      <c r="D39" s="151" t="s">
        <v>102</v>
      </c>
      <c r="E39" s="131" t="s">
        <v>71</v>
      </c>
    </row>
    <row r="40" spans="2:5" x14ac:dyDescent="0.25">
      <c r="B40" s="150" t="str">
        <f t="shared" si="0"/>
        <v xml:space="preserve">Bypassing Physical Security of Systems or Facilities </v>
      </c>
      <c r="C40" s="131" t="s">
        <v>103</v>
      </c>
      <c r="D40" s="151" t="s">
        <v>103</v>
      </c>
      <c r="E40" s="131" t="s">
        <v>71</v>
      </c>
    </row>
    <row r="41" spans="2:5" x14ac:dyDescent="0.25">
      <c r="B41" s="150" t="str">
        <f t="shared" si="0"/>
        <v xml:space="preserve">Cache Poisoning </v>
      </c>
      <c r="C41" s="131" t="s">
        <v>104</v>
      </c>
      <c r="D41" s="151" t="s">
        <v>104</v>
      </c>
      <c r="E41" s="131" t="s">
        <v>71</v>
      </c>
    </row>
    <row r="42" spans="2:5" ht="30" x14ac:dyDescent="0.25">
      <c r="B42" s="150" t="str">
        <f t="shared" si="0"/>
        <v xml:space="preserve">Calling Signed Code From Another Language Within A Sandbox Allow This </v>
      </c>
      <c r="C42" s="131" t="s">
        <v>105</v>
      </c>
      <c r="D42" s="151" t="s">
        <v>105</v>
      </c>
      <c r="E42" s="131" t="s">
        <v>71</v>
      </c>
    </row>
    <row r="43" spans="2:5" x14ac:dyDescent="0.25">
      <c r="B43" s="150" t="str">
        <f t="shared" si="0"/>
        <v xml:space="preserve">Catching exception throw/signal from privileged block </v>
      </c>
      <c r="C43" s="131" t="s">
        <v>106</v>
      </c>
      <c r="D43" s="151" t="s">
        <v>106</v>
      </c>
      <c r="E43" s="131" t="s">
        <v>71</v>
      </c>
    </row>
    <row r="44" spans="2:5" x14ac:dyDescent="0.25">
      <c r="B44" s="150" t="str">
        <f t="shared" si="0"/>
        <v xml:space="preserve">Cause Web Server Misclassification </v>
      </c>
      <c r="C44" s="131" t="s">
        <v>107</v>
      </c>
      <c r="D44" s="151" t="s">
        <v>107</v>
      </c>
      <c r="E44" s="131" t="s">
        <v>71</v>
      </c>
    </row>
    <row r="45" spans="2:5" x14ac:dyDescent="0.25">
      <c r="B45" s="150" t="str">
        <f t="shared" si="0"/>
        <v xml:space="preserve">Character Injection </v>
      </c>
      <c r="C45" s="131" t="s">
        <v>108</v>
      </c>
      <c r="D45" s="151" t="s">
        <v>108</v>
      </c>
      <c r="E45" s="131" t="s">
        <v>71</v>
      </c>
    </row>
    <row r="46" spans="2:5" x14ac:dyDescent="0.25">
      <c r="B46" s="150" t="str">
        <f t="shared" si="0"/>
        <v xml:space="preserve">Checksum Spoofing </v>
      </c>
      <c r="C46" s="131" t="s">
        <v>109</v>
      </c>
      <c r="D46" s="151" t="s">
        <v>109</v>
      </c>
      <c r="E46" s="131" t="s">
        <v>71</v>
      </c>
    </row>
    <row r="47" spans="2:5" ht="30" x14ac:dyDescent="0.25">
      <c r="B47" s="150" t="str">
        <f t="shared" si="0"/>
        <v xml:space="preserve">Choosing a Message/Channel Identifier on a Public/Multicast Channel </v>
      </c>
      <c r="C47" s="131" t="s">
        <v>110</v>
      </c>
      <c r="D47" s="151" t="s">
        <v>110</v>
      </c>
      <c r="E47" s="131" t="s">
        <v>71</v>
      </c>
    </row>
    <row r="48" spans="2:5" x14ac:dyDescent="0.25">
      <c r="B48" s="150" t="str">
        <f t="shared" si="0"/>
        <v xml:space="preserve">Clickjacking </v>
      </c>
      <c r="C48" s="131" t="s">
        <v>111</v>
      </c>
      <c r="D48" s="151" t="s">
        <v>111</v>
      </c>
      <c r="E48" s="131" t="s">
        <v>71</v>
      </c>
    </row>
    <row r="49" spans="2:5" x14ac:dyDescent="0.25">
      <c r="B49" s="150" t="str">
        <f t="shared" si="0"/>
        <v xml:space="preserve">Client Network Footprinting (using AJAX/XSS) </v>
      </c>
      <c r="C49" s="131" t="s">
        <v>112</v>
      </c>
      <c r="D49" s="151" t="s">
        <v>112</v>
      </c>
      <c r="E49" s="131" t="s">
        <v>71</v>
      </c>
    </row>
    <row r="50" spans="2:5" x14ac:dyDescent="0.25">
      <c r="B50" s="150" t="str">
        <f t="shared" si="0"/>
        <v xml:space="preserve">Client-Server Protocol Manipulation </v>
      </c>
      <c r="C50" s="131" t="s">
        <v>113</v>
      </c>
      <c r="D50" s="151" t="s">
        <v>113</v>
      </c>
      <c r="E50" s="131" t="s">
        <v>71</v>
      </c>
    </row>
    <row r="51" spans="2:5" x14ac:dyDescent="0.25">
      <c r="B51" s="150" t="str">
        <f t="shared" si="0"/>
        <v xml:space="preserve">Client-side Injection-induced Buffer Overflow </v>
      </c>
      <c r="C51" s="131" t="s">
        <v>114</v>
      </c>
      <c r="D51" s="151" t="s">
        <v>114</v>
      </c>
      <c r="E51" s="131" t="s">
        <v>71</v>
      </c>
    </row>
    <row r="52" spans="2:5" x14ac:dyDescent="0.25">
      <c r="B52" s="150" t="str">
        <f t="shared" si="0"/>
        <v xml:space="preserve">Cloning Magnetic Strip Cards </v>
      </c>
      <c r="C52" s="131" t="s">
        <v>115</v>
      </c>
      <c r="D52" s="151" t="s">
        <v>115</v>
      </c>
      <c r="E52" s="131" t="s">
        <v>71</v>
      </c>
    </row>
    <row r="53" spans="2:5" x14ac:dyDescent="0.25">
      <c r="B53" s="150" t="str">
        <f t="shared" si="0"/>
        <v xml:space="preserve">Cloning RFID Cards or Chips </v>
      </c>
      <c r="C53" s="131" t="s">
        <v>116</v>
      </c>
      <c r="D53" s="151" t="s">
        <v>116</v>
      </c>
      <c r="E53" s="131" t="s">
        <v>71</v>
      </c>
    </row>
    <row r="54" spans="2:5" x14ac:dyDescent="0.25">
      <c r="B54" s="150" t="str">
        <f t="shared" si="0"/>
        <v xml:space="preserve">Code Inclusion </v>
      </c>
      <c r="C54" s="131" t="s">
        <v>117</v>
      </c>
      <c r="D54" s="151" t="s">
        <v>117</v>
      </c>
      <c r="E54" s="131" t="s">
        <v>71</v>
      </c>
    </row>
    <row r="55" spans="2:5" x14ac:dyDescent="0.25">
      <c r="B55" s="150" t="str">
        <f t="shared" si="0"/>
        <v xml:space="preserve">Code Injection </v>
      </c>
      <c r="C55" s="131" t="s">
        <v>118</v>
      </c>
      <c r="D55" s="151" t="s">
        <v>118</v>
      </c>
      <c r="E55" s="131" t="s">
        <v>71</v>
      </c>
    </row>
    <row r="56" spans="2:5" x14ac:dyDescent="0.25">
      <c r="B56" s="150" t="str">
        <f t="shared" si="0"/>
        <v xml:space="preserve">Command Delimiters </v>
      </c>
      <c r="C56" s="131" t="s">
        <v>119</v>
      </c>
      <c r="D56" s="151" t="s">
        <v>119</v>
      </c>
      <c r="E56" s="131" t="s">
        <v>71</v>
      </c>
    </row>
    <row r="57" spans="2:5" x14ac:dyDescent="0.25">
      <c r="B57" s="150" t="str">
        <f t="shared" si="0"/>
        <v xml:space="preserve">Command Injection </v>
      </c>
      <c r="C57" s="131" t="s">
        <v>120</v>
      </c>
      <c r="D57" s="151" t="s">
        <v>120</v>
      </c>
      <c r="E57" s="131" t="s">
        <v>71</v>
      </c>
    </row>
    <row r="58" spans="2:5" x14ac:dyDescent="0.25">
      <c r="B58" s="150" t="str">
        <f t="shared" si="0"/>
        <v xml:space="preserve">Command Line Execution through SQL Injection </v>
      </c>
      <c r="C58" s="131" t="s">
        <v>121</v>
      </c>
      <c r="D58" s="151" t="s">
        <v>121</v>
      </c>
      <c r="E58" s="131" t="s">
        <v>71</v>
      </c>
    </row>
    <row r="59" spans="2:5" x14ac:dyDescent="0.25">
      <c r="B59" s="150" t="str">
        <f t="shared" si="0"/>
        <v xml:space="preserve">Common resource location exploration </v>
      </c>
      <c r="C59" s="131" t="s">
        <v>122</v>
      </c>
      <c r="D59" s="151" t="s">
        <v>122</v>
      </c>
      <c r="E59" s="131" t="s">
        <v>71</v>
      </c>
    </row>
    <row r="60" spans="2:5" x14ac:dyDescent="0.25">
      <c r="B60" s="150" t="str">
        <f t="shared" si="0"/>
        <v xml:space="preserve">Comprehensive CAPEC Dictionary </v>
      </c>
      <c r="C60" s="131" t="s">
        <v>123</v>
      </c>
      <c r="D60" s="151" t="s">
        <v>123</v>
      </c>
      <c r="E60" s="131" t="s">
        <v>124</v>
      </c>
    </row>
    <row r="61" spans="2:5" x14ac:dyDescent="0.25">
      <c r="B61" s="150" t="str">
        <f t="shared" si="0"/>
        <v xml:space="preserve">Configuration/Environment manipulation </v>
      </c>
      <c r="C61" s="131" t="s">
        <v>125</v>
      </c>
      <c r="D61" s="151" t="s">
        <v>125</v>
      </c>
      <c r="E61" s="131" t="s">
        <v>71</v>
      </c>
    </row>
    <row r="62" spans="2:5" x14ac:dyDescent="0.25">
      <c r="B62" s="150" t="str">
        <f t="shared" si="0"/>
        <v xml:space="preserve">Content Spoofing </v>
      </c>
      <c r="C62" s="131" t="s">
        <v>126</v>
      </c>
      <c r="D62" s="151" t="s">
        <v>126</v>
      </c>
      <c r="E62" s="131" t="s">
        <v>71</v>
      </c>
    </row>
    <row r="63" spans="2:5" x14ac:dyDescent="0.25">
      <c r="B63" s="150" t="str">
        <f t="shared" si="0"/>
        <v xml:space="preserve">Content Spoofing Via Application API Manipulation </v>
      </c>
      <c r="C63" s="131" t="s">
        <v>127</v>
      </c>
      <c r="D63" s="151" t="s">
        <v>127</v>
      </c>
      <c r="E63" s="131" t="s">
        <v>71</v>
      </c>
    </row>
    <row r="64" spans="2:5" x14ac:dyDescent="0.25">
      <c r="B64" s="150" t="str">
        <f t="shared" si="0"/>
        <v xml:space="preserve">Craft a Maliciously Misconfigured Registry </v>
      </c>
      <c r="C64" s="131" t="s">
        <v>128</v>
      </c>
      <c r="D64" s="151" t="s">
        <v>128</v>
      </c>
      <c r="E64" s="131" t="s">
        <v>71</v>
      </c>
    </row>
    <row r="65" spans="2:5" ht="30" x14ac:dyDescent="0.25">
      <c r="B65" s="150" t="str">
        <f t="shared" si="0"/>
        <v xml:space="preserve">Create files with the same name as files protected with a higher classification </v>
      </c>
      <c r="C65" s="131" t="s">
        <v>129</v>
      </c>
      <c r="D65" s="151" t="s">
        <v>129</v>
      </c>
      <c r="E65" s="131" t="s">
        <v>71</v>
      </c>
    </row>
    <row r="66" spans="2:5" x14ac:dyDescent="0.25">
      <c r="B66" s="150" t="str">
        <f t="shared" si="0"/>
        <v xml:space="preserve">Create Malicious Client </v>
      </c>
      <c r="C66" s="131" t="s">
        <v>130</v>
      </c>
      <c r="D66" s="151" t="s">
        <v>130</v>
      </c>
      <c r="E66" s="131" t="s">
        <v>71</v>
      </c>
    </row>
    <row r="67" spans="2:5" x14ac:dyDescent="0.25">
      <c r="B67" s="150" t="str">
        <f t="shared" si="0"/>
        <v xml:space="preserve">Creating a Rogue Certificate Authority Certificate </v>
      </c>
      <c r="C67" s="131" t="s">
        <v>131</v>
      </c>
      <c r="D67" s="151" t="s">
        <v>131</v>
      </c>
      <c r="E67" s="131" t="s">
        <v>71</v>
      </c>
    </row>
    <row r="68" spans="2:5" x14ac:dyDescent="0.25">
      <c r="B68" s="150" t="str">
        <f t="shared" si="0"/>
        <v xml:space="preserve">Cross Site Identification </v>
      </c>
      <c r="C68" s="131" t="s">
        <v>132</v>
      </c>
      <c r="D68" s="151" t="s">
        <v>132</v>
      </c>
      <c r="E68" s="131" t="s">
        <v>71</v>
      </c>
    </row>
    <row r="69" spans="2:5" x14ac:dyDescent="0.25">
      <c r="B69" s="150" t="str">
        <f t="shared" si="0"/>
        <v xml:space="preserve">Cross Site Request Forgery (aka Session Riding) </v>
      </c>
      <c r="C69" s="131" t="s">
        <v>133</v>
      </c>
      <c r="D69" s="151" t="s">
        <v>133</v>
      </c>
      <c r="E69" s="131" t="s">
        <v>71</v>
      </c>
    </row>
    <row r="70" spans="2:5" x14ac:dyDescent="0.25">
      <c r="B70" s="150" t="str">
        <f t="shared" ref="B70:B133" si="1">LEFT($C70,FIND(" - ",$C70))</f>
        <v xml:space="preserve">Cross Site Scripting through Log Files </v>
      </c>
      <c r="C70" s="131" t="s">
        <v>134</v>
      </c>
      <c r="D70" s="151" t="s">
        <v>134</v>
      </c>
      <c r="E70" s="131" t="s">
        <v>71</v>
      </c>
    </row>
    <row r="71" spans="2:5" x14ac:dyDescent="0.25">
      <c r="B71" s="150" t="str">
        <f t="shared" si="1"/>
        <v xml:space="preserve">Cross Site Tracing </v>
      </c>
      <c r="C71" s="131" t="s">
        <v>135</v>
      </c>
      <c r="D71" s="151" t="s">
        <v>135</v>
      </c>
      <c r="E71" s="131" t="s">
        <v>71</v>
      </c>
    </row>
    <row r="72" spans="2:5" x14ac:dyDescent="0.25">
      <c r="B72" s="150" t="str">
        <f t="shared" si="1"/>
        <v xml:space="preserve">Cross Zone Scripting </v>
      </c>
      <c r="C72" s="131" t="s">
        <v>136</v>
      </c>
      <c r="D72" s="151" t="s">
        <v>136</v>
      </c>
      <c r="E72" s="131" t="s">
        <v>71</v>
      </c>
    </row>
    <row r="73" spans="2:5" x14ac:dyDescent="0.25">
      <c r="B73" s="150" t="str">
        <f t="shared" si="1"/>
        <v xml:space="preserve">Cross-Domain Search Timing </v>
      </c>
      <c r="C73" s="131" t="s">
        <v>137</v>
      </c>
      <c r="D73" s="151" t="s">
        <v>137</v>
      </c>
      <c r="E73" s="131" t="s">
        <v>71</v>
      </c>
    </row>
    <row r="74" spans="2:5" x14ac:dyDescent="0.25">
      <c r="B74" s="150" t="str">
        <f t="shared" si="1"/>
        <v xml:space="preserve">Cross-Site Flashing </v>
      </c>
      <c r="C74" s="131" t="s">
        <v>138</v>
      </c>
      <c r="D74" s="151" t="s">
        <v>138</v>
      </c>
      <c r="E74" s="131" t="s">
        <v>71</v>
      </c>
    </row>
    <row r="75" spans="2:5" x14ac:dyDescent="0.25">
      <c r="B75" s="150" t="str">
        <f t="shared" si="1"/>
        <v xml:space="preserve">Cross-Site Scripting in Attributes </v>
      </c>
      <c r="C75" s="131" t="s">
        <v>139</v>
      </c>
      <c r="D75" s="151" t="s">
        <v>139</v>
      </c>
      <c r="E75" s="131" t="s">
        <v>71</v>
      </c>
    </row>
    <row r="76" spans="2:5" x14ac:dyDescent="0.25">
      <c r="B76" s="150" t="str">
        <f t="shared" si="1"/>
        <v xml:space="preserve">Cross-Site Scripting in Error Pages </v>
      </c>
      <c r="C76" s="131" t="s">
        <v>140</v>
      </c>
      <c r="D76" s="151" t="s">
        <v>140</v>
      </c>
      <c r="E76" s="131" t="s">
        <v>71</v>
      </c>
    </row>
    <row r="77" spans="2:5" x14ac:dyDescent="0.25">
      <c r="B77" s="150" t="str">
        <f t="shared" si="1"/>
        <v xml:space="preserve">Cross-Site Scripting Using Alternate Syntax </v>
      </c>
      <c r="C77" s="131" t="s">
        <v>141</v>
      </c>
      <c r="D77" s="151" t="s">
        <v>141</v>
      </c>
      <c r="E77" s="131" t="s">
        <v>71</v>
      </c>
    </row>
    <row r="78" spans="2:5" ht="30" x14ac:dyDescent="0.25">
      <c r="B78" s="150" t="str">
        <f t="shared" si="1"/>
        <v xml:space="preserve">Cross-Site Scripting Using Doubled Characters, e.g. %3C%3Cscript </v>
      </c>
      <c r="C78" s="131" t="s">
        <v>142</v>
      </c>
      <c r="D78" s="151" t="s">
        <v>142</v>
      </c>
      <c r="E78" s="131" t="s">
        <v>71</v>
      </c>
    </row>
    <row r="79" spans="2:5" x14ac:dyDescent="0.25">
      <c r="B79" s="150" t="str">
        <f t="shared" si="1"/>
        <v xml:space="preserve">Cross-Site Scripting Using Flash </v>
      </c>
      <c r="C79" s="131" t="s">
        <v>143</v>
      </c>
      <c r="D79" s="151" t="s">
        <v>143</v>
      </c>
      <c r="E79" s="131" t="s">
        <v>71</v>
      </c>
    </row>
    <row r="80" spans="2:5" x14ac:dyDescent="0.25">
      <c r="B80" s="150" t="str">
        <f t="shared" si="1"/>
        <v xml:space="preserve">Cross-Site Scripting Using MIME Type Mismatch </v>
      </c>
      <c r="C80" s="131" t="s">
        <v>144</v>
      </c>
      <c r="D80" s="151" t="s">
        <v>144</v>
      </c>
      <c r="E80" s="131" t="s">
        <v>71</v>
      </c>
    </row>
    <row r="81" spans="2:5" x14ac:dyDescent="0.25">
      <c r="B81" s="150" t="str">
        <f t="shared" si="1"/>
        <v xml:space="preserve">Cross-Site Scripting via Encoded URI Schemes </v>
      </c>
      <c r="C81" s="131" t="s">
        <v>145</v>
      </c>
      <c r="D81" s="151" t="s">
        <v>145</v>
      </c>
      <c r="E81" s="131" t="s">
        <v>71</v>
      </c>
    </row>
    <row r="82" spans="2:5" ht="30" x14ac:dyDescent="0.25">
      <c r="B82" s="150" t="str">
        <f t="shared" si="1"/>
        <v xml:space="preserve">Cross-Site Scripting with Masking through Invalid Characters in Identifiers </v>
      </c>
      <c r="C82" s="131" t="s">
        <v>146</v>
      </c>
      <c r="D82" s="151" t="s">
        <v>146</v>
      </c>
      <c r="E82" s="131" t="s">
        <v>71</v>
      </c>
    </row>
    <row r="83" spans="2:5" x14ac:dyDescent="0.25">
      <c r="B83" s="150" t="str">
        <f t="shared" si="1"/>
        <v xml:space="preserve">Cryptanalysis </v>
      </c>
      <c r="C83" s="131" t="s">
        <v>147</v>
      </c>
      <c r="D83" s="151" t="s">
        <v>147</v>
      </c>
      <c r="E83" s="131" t="s">
        <v>71</v>
      </c>
    </row>
    <row r="84" spans="2:5" x14ac:dyDescent="0.25">
      <c r="B84" s="150" t="str">
        <f t="shared" si="1"/>
        <v xml:space="preserve">Data Excavation Attacks </v>
      </c>
      <c r="C84" s="131" t="s">
        <v>148</v>
      </c>
      <c r="D84" s="151" t="s">
        <v>148</v>
      </c>
      <c r="E84" s="131" t="s">
        <v>71</v>
      </c>
    </row>
    <row r="85" spans="2:5" x14ac:dyDescent="0.25">
      <c r="B85" s="150" t="str">
        <f t="shared" si="1"/>
        <v xml:space="preserve">Data Interception Attacks </v>
      </c>
      <c r="C85" s="131" t="s">
        <v>149</v>
      </c>
      <c r="D85" s="151" t="s">
        <v>149</v>
      </c>
      <c r="E85" s="131" t="s">
        <v>71</v>
      </c>
    </row>
    <row r="86" spans="2:5" x14ac:dyDescent="0.25">
      <c r="B86" s="150" t="str">
        <f t="shared" si="1"/>
        <v xml:space="preserve">Data Interchange Protocol Manipulation </v>
      </c>
      <c r="C86" s="131" t="s">
        <v>150</v>
      </c>
      <c r="D86" s="151" t="s">
        <v>150</v>
      </c>
      <c r="E86" s="131" t="s">
        <v>71</v>
      </c>
    </row>
    <row r="87" spans="2:5" x14ac:dyDescent="0.25">
      <c r="B87" s="150" t="str">
        <f t="shared" si="1"/>
        <v xml:space="preserve">Data Leakage Attacks </v>
      </c>
      <c r="C87" s="131" t="s">
        <v>151</v>
      </c>
      <c r="D87" s="151" t="s">
        <v>151</v>
      </c>
      <c r="E87" s="131" t="s">
        <v>68</v>
      </c>
    </row>
    <row r="88" spans="2:5" x14ac:dyDescent="0.25">
      <c r="B88" s="150" t="str">
        <f t="shared" si="1"/>
        <v xml:space="preserve">Data Structure Attacks </v>
      </c>
      <c r="C88" s="131" t="s">
        <v>152</v>
      </c>
      <c r="D88" s="151" t="s">
        <v>152</v>
      </c>
      <c r="E88" s="131" t="s">
        <v>68</v>
      </c>
    </row>
    <row r="89" spans="2:5" x14ac:dyDescent="0.25">
      <c r="B89" s="150" t="str">
        <f t="shared" si="1"/>
        <v xml:space="preserve">Denial of Service through Resource Depletion </v>
      </c>
      <c r="C89" s="131" t="s">
        <v>153</v>
      </c>
      <c r="D89" s="151" t="s">
        <v>153</v>
      </c>
      <c r="E89" s="131" t="s">
        <v>71</v>
      </c>
    </row>
    <row r="90" spans="2:5" x14ac:dyDescent="0.25">
      <c r="B90" s="150" t="str">
        <f t="shared" si="1"/>
        <v xml:space="preserve">Detailed Abstractions </v>
      </c>
      <c r="C90" s="131" t="s">
        <v>154</v>
      </c>
      <c r="D90" s="151" t="s">
        <v>154</v>
      </c>
      <c r="E90" s="131" t="s">
        <v>124</v>
      </c>
    </row>
    <row r="91" spans="2:5" x14ac:dyDescent="0.25">
      <c r="B91" s="150" t="str">
        <f t="shared" si="1"/>
        <v xml:space="preserve">Detect Unpublicised Web Pages </v>
      </c>
      <c r="C91" s="131" t="s">
        <v>155</v>
      </c>
      <c r="D91" s="151" t="s">
        <v>155</v>
      </c>
      <c r="E91" s="131" t="s">
        <v>71</v>
      </c>
    </row>
    <row r="92" spans="2:5" x14ac:dyDescent="0.25">
      <c r="B92" s="150" t="str">
        <f t="shared" si="1"/>
        <v xml:space="preserve">Detect Unpublicised Web Services </v>
      </c>
      <c r="C92" s="131" t="s">
        <v>156</v>
      </c>
      <c r="D92" s="151" t="s">
        <v>156</v>
      </c>
      <c r="E92" s="131" t="s">
        <v>71</v>
      </c>
    </row>
    <row r="93" spans="2:5" x14ac:dyDescent="0.25">
      <c r="B93" s="150" t="str">
        <f t="shared" si="1"/>
        <v xml:space="preserve">Dictionary-based Password Attack </v>
      </c>
      <c r="C93" s="131" t="s">
        <v>157</v>
      </c>
      <c r="D93" s="151" t="s">
        <v>157</v>
      </c>
      <c r="E93" s="131" t="s">
        <v>71</v>
      </c>
    </row>
    <row r="94" spans="2:5" x14ac:dyDescent="0.25">
      <c r="B94" s="150" t="str">
        <f t="shared" si="1"/>
        <v xml:space="preserve">Directory Indexing </v>
      </c>
      <c r="C94" s="131" t="s">
        <v>158</v>
      </c>
      <c r="D94" s="151" t="s">
        <v>158</v>
      </c>
      <c r="E94" s="131" t="s">
        <v>71</v>
      </c>
    </row>
    <row r="95" spans="2:5" x14ac:dyDescent="0.25">
      <c r="B95" s="150" t="str">
        <f t="shared" si="1"/>
        <v xml:space="preserve">Directory Traversal </v>
      </c>
      <c r="C95" s="131" t="s">
        <v>159</v>
      </c>
      <c r="D95" s="151" t="s">
        <v>159</v>
      </c>
      <c r="E95" s="131" t="s">
        <v>71</v>
      </c>
    </row>
    <row r="96" spans="2:5" ht="30" x14ac:dyDescent="0.25">
      <c r="B96" s="150" t="str">
        <f t="shared" si="1"/>
        <v xml:space="preserve">Discovering, querying, and finally calling micro-services, such as w/ AJAX </v>
      </c>
      <c r="C96" s="131" t="s">
        <v>160</v>
      </c>
      <c r="D96" s="151" t="s">
        <v>160</v>
      </c>
      <c r="E96" s="131" t="s">
        <v>71</v>
      </c>
    </row>
    <row r="97" spans="2:5" x14ac:dyDescent="0.25">
      <c r="B97" s="150" t="str">
        <f t="shared" si="1"/>
        <v xml:space="preserve">DLL Search Order Hijacking </v>
      </c>
      <c r="C97" s="131" t="s">
        <v>161</v>
      </c>
      <c r="D97" s="151" t="s">
        <v>161</v>
      </c>
      <c r="E97" s="131" t="s">
        <v>71</v>
      </c>
    </row>
    <row r="98" spans="2:5" x14ac:dyDescent="0.25">
      <c r="B98" s="150" t="str">
        <f t="shared" si="1"/>
        <v xml:space="preserve">DNS Cache Poisoning </v>
      </c>
      <c r="C98" s="131" t="s">
        <v>162</v>
      </c>
      <c r="D98" s="151" t="s">
        <v>162</v>
      </c>
      <c r="E98" s="131" t="s">
        <v>71</v>
      </c>
    </row>
    <row r="99" spans="2:5" x14ac:dyDescent="0.25">
      <c r="B99" s="150" t="str">
        <f t="shared" si="1"/>
        <v xml:space="preserve">DNS Rebinding </v>
      </c>
      <c r="C99" s="131" t="s">
        <v>163</v>
      </c>
      <c r="D99" s="151" t="s">
        <v>163</v>
      </c>
      <c r="E99" s="131" t="s">
        <v>71</v>
      </c>
    </row>
    <row r="100" spans="2:5" x14ac:dyDescent="0.25">
      <c r="B100" s="150" t="str">
        <f t="shared" si="1"/>
        <v xml:space="preserve">DNS Zone Transfers </v>
      </c>
      <c r="C100" s="131" t="s">
        <v>164</v>
      </c>
      <c r="D100" s="151" t="s">
        <v>164</v>
      </c>
      <c r="E100" s="131" t="s">
        <v>71</v>
      </c>
    </row>
    <row r="101" spans="2:5" x14ac:dyDescent="0.25">
      <c r="B101" s="150" t="str">
        <f t="shared" si="1"/>
        <v xml:space="preserve">Double Encoding </v>
      </c>
      <c r="C101" s="131" t="s">
        <v>165</v>
      </c>
      <c r="D101" s="151" t="s">
        <v>165</v>
      </c>
      <c r="E101" s="131" t="s">
        <v>71</v>
      </c>
    </row>
    <row r="102" spans="2:5" x14ac:dyDescent="0.25">
      <c r="B102" s="150" t="str">
        <f t="shared" si="1"/>
        <v xml:space="preserve">DTD Injection in a SOAP Message </v>
      </c>
      <c r="C102" s="131" t="s">
        <v>166</v>
      </c>
      <c r="D102" s="151" t="s">
        <v>166</v>
      </c>
      <c r="E102" s="131" t="s">
        <v>71</v>
      </c>
    </row>
    <row r="103" spans="2:5" x14ac:dyDescent="0.25">
      <c r="B103" s="150" t="str">
        <f t="shared" si="1"/>
        <v xml:space="preserve">Email Injection </v>
      </c>
      <c r="C103" s="131" t="s">
        <v>167</v>
      </c>
      <c r="D103" s="151" t="s">
        <v>167</v>
      </c>
      <c r="E103" s="131" t="s">
        <v>71</v>
      </c>
    </row>
    <row r="104" spans="2:5" x14ac:dyDescent="0.25">
      <c r="B104" s="150" t="str">
        <f t="shared" si="1"/>
        <v xml:space="preserve">Embedding NULL Bytes </v>
      </c>
      <c r="C104" s="131" t="s">
        <v>168</v>
      </c>
      <c r="D104" s="151" t="s">
        <v>168</v>
      </c>
      <c r="E104" s="131" t="s">
        <v>71</v>
      </c>
    </row>
    <row r="105" spans="2:5" x14ac:dyDescent="0.25">
      <c r="B105" s="150" t="str">
        <f t="shared" si="1"/>
        <v xml:space="preserve">Embedding Script (XSS ) in HTTP Headers </v>
      </c>
      <c r="C105" s="131" t="s">
        <v>169</v>
      </c>
      <c r="D105" s="151" t="s">
        <v>169</v>
      </c>
      <c r="E105" s="131" t="s">
        <v>71</v>
      </c>
    </row>
    <row r="106" spans="2:5" x14ac:dyDescent="0.25">
      <c r="B106" s="150" t="str">
        <f t="shared" si="1"/>
        <v xml:space="preserve">Embedding Scripts in HTTP Query Strings </v>
      </c>
      <c r="C106" s="131" t="s">
        <v>170</v>
      </c>
      <c r="D106" s="151" t="s">
        <v>170</v>
      </c>
      <c r="E106" s="131" t="s">
        <v>71</v>
      </c>
    </row>
    <row r="107" spans="2:5" x14ac:dyDescent="0.25">
      <c r="B107" s="150" t="str">
        <f t="shared" si="1"/>
        <v xml:space="preserve">Embedding Scripts in Nonscript Elements </v>
      </c>
      <c r="C107" s="131" t="s">
        <v>171</v>
      </c>
      <c r="D107" s="151" t="s">
        <v>171</v>
      </c>
      <c r="E107" s="131" t="s">
        <v>71</v>
      </c>
    </row>
    <row r="108" spans="2:5" x14ac:dyDescent="0.25">
      <c r="B108" s="150" t="str">
        <f t="shared" si="1"/>
        <v xml:space="preserve">Embedding Scripts within Scripts </v>
      </c>
      <c r="C108" s="131" t="s">
        <v>172</v>
      </c>
      <c r="D108" s="151" t="s">
        <v>172</v>
      </c>
      <c r="E108" s="131" t="s">
        <v>71</v>
      </c>
    </row>
    <row r="109" spans="2:5" x14ac:dyDescent="0.25">
      <c r="B109" s="150" t="str">
        <f t="shared" si="1"/>
        <v xml:space="preserve">Encryption Brute Forcing </v>
      </c>
      <c r="C109" s="131" t="s">
        <v>173</v>
      </c>
      <c r="D109" s="151" t="s">
        <v>173</v>
      </c>
      <c r="E109" s="131" t="s">
        <v>71</v>
      </c>
    </row>
    <row r="110" spans="2:5" x14ac:dyDescent="0.25">
      <c r="B110" s="150" t="str">
        <f t="shared" si="1"/>
        <v xml:space="preserve">Enumerate Mail Exchange (MX) Records </v>
      </c>
      <c r="C110" s="131" t="s">
        <v>174</v>
      </c>
      <c r="D110" s="151" t="s">
        <v>174</v>
      </c>
      <c r="E110" s="131" t="s">
        <v>71</v>
      </c>
    </row>
    <row r="111" spans="2:5" x14ac:dyDescent="0.25">
      <c r="B111" s="150" t="str">
        <f t="shared" si="1"/>
        <v xml:space="preserve">Environment variable manipulation </v>
      </c>
      <c r="C111" s="131" t="s">
        <v>175</v>
      </c>
      <c r="D111" s="151" t="s">
        <v>175</v>
      </c>
      <c r="E111" s="131" t="s">
        <v>71</v>
      </c>
    </row>
    <row r="112" spans="2:5" x14ac:dyDescent="0.25">
      <c r="B112" s="150" t="str">
        <f t="shared" si="1"/>
        <v xml:space="preserve">Evercookie </v>
      </c>
      <c r="C112" s="131" t="s">
        <v>176</v>
      </c>
      <c r="D112" s="151" t="s">
        <v>176</v>
      </c>
      <c r="E112" s="131" t="s">
        <v>71</v>
      </c>
    </row>
    <row r="113" spans="2:5" ht="30" x14ac:dyDescent="0.25">
      <c r="B113" s="150" t="str">
        <f t="shared" si="1"/>
        <v xml:space="preserve">Expanding Control over the Operating System from the Database </v>
      </c>
      <c r="C113" s="131" t="s">
        <v>177</v>
      </c>
      <c r="D113" s="151" t="s">
        <v>177</v>
      </c>
      <c r="E113" s="131" t="s">
        <v>71</v>
      </c>
    </row>
    <row r="114" spans="2:5" x14ac:dyDescent="0.25">
      <c r="B114" s="150" t="str">
        <f t="shared" si="1"/>
        <v xml:space="preserve">Exploitation of Authentication </v>
      </c>
      <c r="C114" s="131" t="s">
        <v>178</v>
      </c>
      <c r="D114" s="151" t="s">
        <v>178</v>
      </c>
      <c r="E114" s="131" t="s">
        <v>68</v>
      </c>
    </row>
    <row r="115" spans="2:5" x14ac:dyDescent="0.25">
      <c r="B115" s="150" t="str">
        <f t="shared" si="1"/>
        <v xml:space="preserve">Exploitation of Authorization </v>
      </c>
      <c r="C115" s="131" t="s">
        <v>179</v>
      </c>
      <c r="D115" s="151" t="s">
        <v>179</v>
      </c>
      <c r="E115" s="131" t="s">
        <v>71</v>
      </c>
    </row>
    <row r="116" spans="2:5" x14ac:dyDescent="0.25">
      <c r="B116" s="150" t="str">
        <f t="shared" si="1"/>
        <v xml:space="preserve">Exploitation of Privilege/Trust </v>
      </c>
      <c r="C116" s="131" t="s">
        <v>180</v>
      </c>
      <c r="D116" s="151" t="s">
        <v>180</v>
      </c>
      <c r="E116" s="131" t="s">
        <v>68</v>
      </c>
    </row>
    <row r="117" spans="2:5" ht="30" x14ac:dyDescent="0.25">
      <c r="B117" s="150" t="str">
        <f t="shared" si="1"/>
        <v xml:space="preserve">Exploitation of Session Variables, Resource IDs and other Trusted Credentials </v>
      </c>
      <c r="C117" s="131" t="s">
        <v>181</v>
      </c>
      <c r="D117" s="151" t="s">
        <v>181</v>
      </c>
      <c r="E117" s="131" t="s">
        <v>71</v>
      </c>
    </row>
    <row r="118" spans="2:5" ht="30" x14ac:dyDescent="0.25">
      <c r="B118" s="150" t="str">
        <f t="shared" si="1"/>
        <v xml:space="preserve">Exploiting Incorrectly Configured Access Control Security Levels </v>
      </c>
      <c r="C118" s="131" t="s">
        <v>182</v>
      </c>
      <c r="D118" s="151" t="s">
        <v>182</v>
      </c>
      <c r="E118" s="131" t="s">
        <v>71</v>
      </c>
    </row>
    <row r="119" spans="2:5" x14ac:dyDescent="0.25">
      <c r="B119" s="150" t="str">
        <f t="shared" si="1"/>
        <v xml:space="preserve">Exploiting Incorrectly Configured SSL Security Levels </v>
      </c>
      <c r="C119" s="131" t="s">
        <v>183</v>
      </c>
      <c r="D119" s="151" t="s">
        <v>183</v>
      </c>
      <c r="E119" s="131" t="s">
        <v>71</v>
      </c>
    </row>
    <row r="120" spans="2:5" x14ac:dyDescent="0.25">
      <c r="B120" s="150" t="str">
        <f t="shared" si="1"/>
        <v xml:space="preserve">Exploiting Multiple Input Interpretation Layers </v>
      </c>
      <c r="C120" s="131" t="s">
        <v>184</v>
      </c>
      <c r="D120" s="151" t="s">
        <v>184</v>
      </c>
      <c r="E120" s="131" t="s">
        <v>71</v>
      </c>
    </row>
    <row r="121" spans="2:5" x14ac:dyDescent="0.25">
      <c r="B121" s="150" t="str">
        <f t="shared" si="1"/>
        <v xml:space="preserve">Exploiting Trust in Client (aka Make the Client Invisible) </v>
      </c>
      <c r="C121" s="131" t="s">
        <v>185</v>
      </c>
      <c r="D121" s="151" t="s">
        <v>185</v>
      </c>
      <c r="E121" s="131" t="s">
        <v>71</v>
      </c>
    </row>
    <row r="122" spans="2:5" x14ac:dyDescent="0.25">
      <c r="B122" s="150" t="str">
        <f t="shared" si="1"/>
        <v xml:space="preserve">Explore for predictable temporary file names </v>
      </c>
      <c r="C122" s="131" t="s">
        <v>186</v>
      </c>
      <c r="D122" s="151" t="s">
        <v>186</v>
      </c>
      <c r="E122" s="131" t="s">
        <v>71</v>
      </c>
    </row>
    <row r="123" spans="2:5" x14ac:dyDescent="0.25">
      <c r="B123" s="150" t="str">
        <f t="shared" si="1"/>
        <v xml:space="preserve">External Entity Attack </v>
      </c>
      <c r="C123" s="131" t="s">
        <v>187</v>
      </c>
      <c r="D123" s="151" t="s">
        <v>187</v>
      </c>
      <c r="E123" s="131" t="s">
        <v>71</v>
      </c>
    </row>
    <row r="124" spans="2:5" x14ac:dyDescent="0.25">
      <c r="B124" s="150" t="str">
        <f t="shared" si="1"/>
        <v xml:space="preserve">External Entity Attack </v>
      </c>
      <c r="C124" s="131" t="s">
        <v>188</v>
      </c>
      <c r="D124" s="151" t="s">
        <v>188</v>
      </c>
      <c r="E124" s="131" t="s">
        <v>71</v>
      </c>
    </row>
    <row r="125" spans="2:5" x14ac:dyDescent="0.25">
      <c r="B125" s="150" t="str">
        <f t="shared" si="1"/>
        <v xml:space="preserve">Fake the Source of Data </v>
      </c>
      <c r="C125" s="131" t="s">
        <v>189</v>
      </c>
      <c r="D125" s="151" t="s">
        <v>189</v>
      </c>
      <c r="E125" s="131" t="s">
        <v>71</v>
      </c>
    </row>
    <row r="126" spans="2:5" x14ac:dyDescent="0.25">
      <c r="B126" s="150" t="str">
        <f t="shared" si="1"/>
        <v xml:space="preserve">File Manipulation </v>
      </c>
      <c r="C126" s="131" t="s">
        <v>190</v>
      </c>
      <c r="D126" s="151" t="s">
        <v>190</v>
      </c>
      <c r="E126" s="131" t="s">
        <v>71</v>
      </c>
    </row>
    <row r="127" spans="2:5" x14ac:dyDescent="0.25">
      <c r="B127" s="150" t="str">
        <f t="shared" si="1"/>
        <v xml:space="preserve">File System Function Injection, Content Based </v>
      </c>
      <c r="C127" s="131" t="s">
        <v>191</v>
      </c>
      <c r="D127" s="151" t="s">
        <v>191</v>
      </c>
      <c r="E127" s="131" t="s">
        <v>71</v>
      </c>
    </row>
    <row r="128" spans="2:5" x14ac:dyDescent="0.25">
      <c r="B128" s="150" t="str">
        <f t="shared" si="1"/>
        <v xml:space="preserve">Filter Failure through Buffer Overflow </v>
      </c>
      <c r="C128" s="131" t="s">
        <v>192</v>
      </c>
      <c r="D128" s="151" t="s">
        <v>192</v>
      </c>
      <c r="E128" s="131" t="s">
        <v>71</v>
      </c>
    </row>
    <row r="129" spans="2:5" x14ac:dyDescent="0.25">
      <c r="B129" s="150" t="str">
        <f t="shared" si="1"/>
        <v xml:space="preserve">Fingerprinting </v>
      </c>
      <c r="C129" s="131" t="s">
        <v>193</v>
      </c>
      <c r="D129" s="151" t="s">
        <v>193</v>
      </c>
      <c r="E129" s="131" t="s">
        <v>68</v>
      </c>
    </row>
    <row r="130" spans="2:5" x14ac:dyDescent="0.25">
      <c r="B130" s="150" t="str">
        <f t="shared" si="1"/>
        <v xml:space="preserve">Fingerprinting Remote Operating Systems </v>
      </c>
      <c r="C130" s="131" t="s">
        <v>194</v>
      </c>
      <c r="D130" s="151" t="s">
        <v>194</v>
      </c>
      <c r="E130" s="131" t="s">
        <v>71</v>
      </c>
    </row>
    <row r="131" spans="2:5" x14ac:dyDescent="0.25">
      <c r="B131" s="150" t="str">
        <f t="shared" si="1"/>
        <v xml:space="preserve">Flash Injection </v>
      </c>
      <c r="C131" s="131" t="s">
        <v>195</v>
      </c>
      <c r="D131" s="151" t="s">
        <v>195</v>
      </c>
      <c r="E131" s="131" t="s">
        <v>71</v>
      </c>
    </row>
    <row r="132" spans="2:5" x14ac:dyDescent="0.25">
      <c r="B132" s="150" t="str">
        <f t="shared" si="1"/>
        <v xml:space="preserve">Flash File Overlay </v>
      </c>
      <c r="C132" s="131" t="s">
        <v>196</v>
      </c>
      <c r="D132" s="151" t="s">
        <v>196</v>
      </c>
      <c r="E132" s="131" t="s">
        <v>71</v>
      </c>
    </row>
    <row r="133" spans="2:5" x14ac:dyDescent="0.25">
      <c r="B133" s="150" t="str">
        <f t="shared" si="1"/>
        <v xml:space="preserve">Flash Memory Attacks </v>
      </c>
      <c r="C133" s="131" t="s">
        <v>197</v>
      </c>
      <c r="D133" s="151" t="s">
        <v>197</v>
      </c>
      <c r="E133" s="131" t="s">
        <v>71</v>
      </c>
    </row>
    <row r="134" spans="2:5" x14ac:dyDescent="0.25">
      <c r="B134" s="150" t="str">
        <f t="shared" ref="B134:B197" si="2">LEFT($C134,FIND(" - ",$C134))</f>
        <v xml:space="preserve">Flash Parameter Injection </v>
      </c>
      <c r="C134" s="131" t="s">
        <v>198</v>
      </c>
      <c r="D134" s="151" t="s">
        <v>198</v>
      </c>
      <c r="E134" s="131" t="s">
        <v>71</v>
      </c>
    </row>
    <row r="135" spans="2:5" x14ac:dyDescent="0.25">
      <c r="B135" s="150" t="str">
        <f t="shared" si="2"/>
        <v xml:space="preserve">Footprinting </v>
      </c>
      <c r="C135" s="131" t="s">
        <v>199</v>
      </c>
      <c r="D135" s="151" t="s">
        <v>199</v>
      </c>
      <c r="E135" s="131" t="s">
        <v>71</v>
      </c>
    </row>
    <row r="136" spans="2:5" x14ac:dyDescent="0.25">
      <c r="B136" s="150" t="str">
        <f t="shared" si="2"/>
        <v xml:space="preserve">Force the System to Reset Values </v>
      </c>
      <c r="C136" s="131" t="s">
        <v>200</v>
      </c>
      <c r="D136" s="151" t="s">
        <v>200</v>
      </c>
      <c r="E136" s="131" t="s">
        <v>71</v>
      </c>
    </row>
    <row r="137" spans="2:5" x14ac:dyDescent="0.25">
      <c r="B137" s="150" t="str">
        <f t="shared" si="2"/>
        <v xml:space="preserve">Force Use of Corrupted Files </v>
      </c>
      <c r="C137" s="131" t="s">
        <v>201</v>
      </c>
      <c r="D137" s="151" t="s">
        <v>201</v>
      </c>
      <c r="E137" s="131" t="s">
        <v>71</v>
      </c>
    </row>
    <row r="138" spans="2:5" x14ac:dyDescent="0.25">
      <c r="B138" s="150" t="str">
        <f t="shared" si="2"/>
        <v xml:space="preserve">Forced Deadlock </v>
      </c>
      <c r="C138" s="131" t="s">
        <v>202</v>
      </c>
      <c r="D138" s="151" t="s">
        <v>202</v>
      </c>
      <c r="E138" s="131" t="s">
        <v>71</v>
      </c>
    </row>
    <row r="139" spans="2:5" x14ac:dyDescent="0.25">
      <c r="B139" s="150" t="str">
        <f t="shared" si="2"/>
        <v xml:space="preserve">Forced Integer Overflow </v>
      </c>
      <c r="C139" s="131" t="s">
        <v>203</v>
      </c>
      <c r="D139" s="151" t="s">
        <v>203</v>
      </c>
      <c r="E139" s="131" t="s">
        <v>71</v>
      </c>
    </row>
    <row r="140" spans="2:5" x14ac:dyDescent="0.25">
      <c r="B140" s="150" t="str">
        <f t="shared" si="2"/>
        <v xml:space="preserve">Forceful Browsing </v>
      </c>
      <c r="C140" s="131" t="s">
        <v>204</v>
      </c>
      <c r="D140" s="151" t="s">
        <v>204</v>
      </c>
      <c r="E140" s="131" t="s">
        <v>71</v>
      </c>
    </row>
    <row r="141" spans="2:5" x14ac:dyDescent="0.25">
      <c r="B141" s="150" t="str">
        <f t="shared" si="2"/>
        <v xml:space="preserve">Format String Injection </v>
      </c>
      <c r="C141" s="131" t="s">
        <v>205</v>
      </c>
      <c r="D141" s="151" t="s">
        <v>205</v>
      </c>
      <c r="E141" s="131" t="s">
        <v>71</v>
      </c>
    </row>
    <row r="142" spans="2:5" x14ac:dyDescent="0.25">
      <c r="B142" s="150" t="str">
        <f t="shared" si="2"/>
        <v xml:space="preserve">Functionality Misuse </v>
      </c>
      <c r="C142" s="131" t="s">
        <v>206</v>
      </c>
      <c r="D142" s="151" t="s">
        <v>206</v>
      </c>
      <c r="E142" s="131" t="s">
        <v>68</v>
      </c>
    </row>
    <row r="143" spans="2:5" x14ac:dyDescent="0.25">
      <c r="B143" s="150" t="str">
        <f t="shared" si="2"/>
        <v xml:space="preserve">Fuzzing </v>
      </c>
      <c r="C143" s="131" t="s">
        <v>207</v>
      </c>
      <c r="D143" s="151" t="s">
        <v>207</v>
      </c>
      <c r="E143" s="131" t="s">
        <v>71</v>
      </c>
    </row>
    <row r="144" spans="2:5" ht="30" x14ac:dyDescent="0.25">
      <c r="B144" s="150" t="str">
        <f t="shared" si="2"/>
        <v xml:space="preserve">Fuzzing and observing application log data/errors for application mapping </v>
      </c>
      <c r="C144" s="131" t="s">
        <v>208</v>
      </c>
      <c r="D144" s="151" t="s">
        <v>208</v>
      </c>
      <c r="E144" s="131" t="s">
        <v>71</v>
      </c>
    </row>
    <row r="145" spans="2:5" ht="45" x14ac:dyDescent="0.25">
      <c r="B145" s="150" t="str">
        <f t="shared" si="2"/>
        <v xml:space="preserve">Fuzzing for garnering (through web or log) other adjacent user/sensitive data as an authorized system user (overly broad but valid SQL queries) </v>
      </c>
      <c r="C145" s="131" t="s">
        <v>209</v>
      </c>
      <c r="D145" s="151" t="s">
        <v>209</v>
      </c>
      <c r="E145" s="131" t="s">
        <v>71</v>
      </c>
    </row>
    <row r="146" spans="2:5" ht="30" x14ac:dyDescent="0.25">
      <c r="B146" s="150" t="str">
        <f t="shared" si="2"/>
        <v xml:space="preserve">Fuzzing for garnering J2EE/.NET-based stack traces, for application mapping </v>
      </c>
      <c r="C146" s="131" t="s">
        <v>210</v>
      </c>
      <c r="D146" s="151" t="s">
        <v>210</v>
      </c>
      <c r="E146" s="131" t="s">
        <v>71</v>
      </c>
    </row>
    <row r="147" spans="2:5" x14ac:dyDescent="0.25">
      <c r="B147" s="150" t="str">
        <f t="shared" si="2"/>
        <v xml:space="preserve">Generic Cross-Browser Cross-Domain Theft </v>
      </c>
      <c r="C147" s="131" t="s">
        <v>211</v>
      </c>
      <c r="D147" s="151" t="s">
        <v>211</v>
      </c>
      <c r="E147" s="131" t="s">
        <v>71</v>
      </c>
    </row>
    <row r="148" spans="2:5" x14ac:dyDescent="0.25">
      <c r="B148" s="150" t="str">
        <f t="shared" si="2"/>
        <v xml:space="preserve">Global variable manipulation </v>
      </c>
      <c r="C148" s="131" t="s">
        <v>212</v>
      </c>
      <c r="D148" s="151" t="s">
        <v>212</v>
      </c>
      <c r="E148" s="131" t="s">
        <v>71</v>
      </c>
    </row>
    <row r="149" spans="2:5" x14ac:dyDescent="0.25">
      <c r="B149" s="150" t="str">
        <f t="shared" si="2"/>
        <v xml:space="preserve">Hacking Hardware Devices or Components </v>
      </c>
      <c r="C149" s="131" t="s">
        <v>213</v>
      </c>
      <c r="D149" s="151" t="s">
        <v>213</v>
      </c>
      <c r="E149" s="131" t="s">
        <v>71</v>
      </c>
    </row>
    <row r="150" spans="2:5" ht="30" x14ac:dyDescent="0.25">
      <c r="B150" s="150" t="str">
        <f t="shared" si="2"/>
        <v xml:space="preserve">Harvesting Usernames or UserIDs via Application API Event Monitoring </v>
      </c>
      <c r="C150" s="131" t="s">
        <v>214</v>
      </c>
      <c r="D150" s="151" t="s">
        <v>214</v>
      </c>
      <c r="E150" s="131" t="s">
        <v>71</v>
      </c>
    </row>
    <row r="151" spans="2:5" x14ac:dyDescent="0.25">
      <c r="B151" s="150" t="str">
        <f t="shared" si="2"/>
        <v xml:space="preserve">Hijacking a privileged process </v>
      </c>
      <c r="C151" s="131" t="s">
        <v>215</v>
      </c>
      <c r="D151" s="151" t="s">
        <v>215</v>
      </c>
      <c r="E151" s="131" t="s">
        <v>71</v>
      </c>
    </row>
    <row r="152" spans="2:5" x14ac:dyDescent="0.25">
      <c r="B152" s="150" t="str">
        <f t="shared" si="2"/>
        <v xml:space="preserve">Hijacking a Privileged Thread of Execution </v>
      </c>
      <c r="C152" s="131" t="s">
        <v>216</v>
      </c>
      <c r="D152" s="151" t="s">
        <v>216</v>
      </c>
      <c r="E152" s="131" t="s">
        <v>71</v>
      </c>
    </row>
    <row r="153" spans="2:5" x14ac:dyDescent="0.25">
      <c r="B153" s="150" t="str">
        <f t="shared" si="2"/>
        <v xml:space="preserve">Host Discovery </v>
      </c>
      <c r="C153" s="131" t="s">
        <v>217</v>
      </c>
      <c r="D153" s="151" t="s">
        <v>217</v>
      </c>
      <c r="E153" s="131" t="s">
        <v>71</v>
      </c>
    </row>
    <row r="154" spans="2:5" x14ac:dyDescent="0.25">
      <c r="B154" s="150" t="str">
        <f t="shared" si="2"/>
        <v xml:space="preserve">HTTP DoS </v>
      </c>
      <c r="C154" s="131" t="s">
        <v>218</v>
      </c>
      <c r="D154" s="151" t="s">
        <v>218</v>
      </c>
      <c r="E154" s="131" t="s">
        <v>71</v>
      </c>
    </row>
    <row r="155" spans="2:5" x14ac:dyDescent="0.25">
      <c r="B155" s="150" t="str">
        <f t="shared" si="2"/>
        <v xml:space="preserve">HTTP Parameter Pollution (HPP) </v>
      </c>
      <c r="C155" s="131" t="s">
        <v>219</v>
      </c>
      <c r="D155" s="151" t="s">
        <v>219</v>
      </c>
      <c r="E155" s="131" t="s">
        <v>71</v>
      </c>
    </row>
    <row r="156" spans="2:5" x14ac:dyDescent="0.25">
      <c r="B156" s="150" t="str">
        <f t="shared" si="2"/>
        <v xml:space="preserve">HTTP Request Smuggling </v>
      </c>
      <c r="C156" s="131" t="s">
        <v>220</v>
      </c>
      <c r="D156" s="151" t="s">
        <v>220</v>
      </c>
      <c r="E156" s="131" t="s">
        <v>71</v>
      </c>
    </row>
    <row r="157" spans="2:5" x14ac:dyDescent="0.25">
      <c r="B157" s="150" t="str">
        <f t="shared" si="2"/>
        <v xml:space="preserve">HTTP Request Splitting </v>
      </c>
      <c r="C157" s="131" t="s">
        <v>221</v>
      </c>
      <c r="D157" s="151" t="s">
        <v>221</v>
      </c>
      <c r="E157" s="131" t="s">
        <v>71</v>
      </c>
    </row>
    <row r="158" spans="2:5" x14ac:dyDescent="0.25">
      <c r="B158" s="150" t="str">
        <f t="shared" si="2"/>
        <v xml:space="preserve">HTTP Response Smuggling </v>
      </c>
      <c r="C158" s="131" t="s">
        <v>222</v>
      </c>
      <c r="D158" s="151" t="s">
        <v>222</v>
      </c>
      <c r="E158" s="131" t="s">
        <v>71</v>
      </c>
    </row>
    <row r="159" spans="2:5" x14ac:dyDescent="0.25">
      <c r="B159" s="150" t="str">
        <f t="shared" si="2"/>
        <v xml:space="preserve">HTTP Response Splitting </v>
      </c>
      <c r="C159" s="131" t="s">
        <v>223</v>
      </c>
      <c r="D159" s="151" t="s">
        <v>223</v>
      </c>
      <c r="E159" s="131" t="s">
        <v>71</v>
      </c>
    </row>
    <row r="160" spans="2:5" x14ac:dyDescent="0.25">
      <c r="B160" s="150" t="str">
        <f t="shared" si="2"/>
        <v xml:space="preserve">HTTP Verb Tampering </v>
      </c>
      <c r="C160" s="131" t="s">
        <v>224</v>
      </c>
      <c r="D160" s="151" t="s">
        <v>224</v>
      </c>
      <c r="E160" s="131" t="s">
        <v>71</v>
      </c>
    </row>
    <row r="161" spans="2:5" x14ac:dyDescent="0.25">
      <c r="B161" s="150" t="str">
        <f t="shared" si="2"/>
        <v xml:space="preserve">ICMP Address Mask Request </v>
      </c>
      <c r="C161" s="131" t="s">
        <v>225</v>
      </c>
      <c r="D161" s="151" t="s">
        <v>225</v>
      </c>
      <c r="E161" s="131" t="s">
        <v>71</v>
      </c>
    </row>
    <row r="162" spans="2:5" x14ac:dyDescent="0.25">
      <c r="B162" s="150" t="str">
        <f t="shared" si="2"/>
        <v xml:space="preserve">ICMP Echo Request Ping </v>
      </c>
      <c r="C162" s="131" t="s">
        <v>226</v>
      </c>
      <c r="D162" s="151" t="s">
        <v>226</v>
      </c>
      <c r="E162" s="131" t="s">
        <v>71</v>
      </c>
    </row>
    <row r="163" spans="2:5" x14ac:dyDescent="0.25">
      <c r="B163" s="150" t="str">
        <f t="shared" si="2"/>
        <v xml:space="preserve">ICMP Echo Request Ping </v>
      </c>
      <c r="C163" s="131" t="s">
        <v>227</v>
      </c>
      <c r="D163" s="151" t="s">
        <v>227</v>
      </c>
      <c r="E163" s="131" t="s">
        <v>228</v>
      </c>
    </row>
    <row r="164" spans="2:5" x14ac:dyDescent="0.25">
      <c r="B164" s="150" t="str">
        <f t="shared" si="2"/>
        <v xml:space="preserve">ICMP Error Message Echoing Integrity Probe </v>
      </c>
      <c r="C164" s="131" t="s">
        <v>229</v>
      </c>
      <c r="D164" s="151" t="s">
        <v>229</v>
      </c>
      <c r="E164" s="131" t="s">
        <v>71</v>
      </c>
    </row>
    <row r="165" spans="2:5" x14ac:dyDescent="0.25">
      <c r="B165" s="150" t="str">
        <f t="shared" si="2"/>
        <v xml:space="preserve">ICMP Error Message Quoting Probe </v>
      </c>
      <c r="C165" s="131" t="s">
        <v>230</v>
      </c>
      <c r="D165" s="151" t="s">
        <v>230</v>
      </c>
      <c r="E165" s="131" t="s">
        <v>71</v>
      </c>
    </row>
    <row r="166" spans="2:5" x14ac:dyDescent="0.25">
      <c r="B166" s="150" t="str">
        <f t="shared" si="2"/>
        <v xml:space="preserve">ICMP Fingerprinting Probes </v>
      </c>
      <c r="C166" s="131" t="s">
        <v>231</v>
      </c>
      <c r="D166" s="151" t="s">
        <v>231</v>
      </c>
      <c r="E166" s="131" t="s">
        <v>71</v>
      </c>
    </row>
    <row r="167" spans="2:5" x14ac:dyDescent="0.25">
      <c r="B167" s="150" t="str">
        <f t="shared" si="2"/>
        <v xml:space="preserve">ICMP Information Request </v>
      </c>
      <c r="C167" s="131" t="s">
        <v>232</v>
      </c>
      <c r="D167" s="151" t="s">
        <v>232</v>
      </c>
      <c r="E167" s="131" t="s">
        <v>71</v>
      </c>
    </row>
    <row r="168" spans="2:5" x14ac:dyDescent="0.25">
      <c r="B168" s="150" t="str">
        <f t="shared" si="2"/>
        <v xml:space="preserve">ICMP IP 'ID' Field Error Message Probe </v>
      </c>
      <c r="C168" s="131" t="s">
        <v>233</v>
      </c>
      <c r="D168" s="151" t="s">
        <v>233</v>
      </c>
      <c r="E168" s="131" t="s">
        <v>71</v>
      </c>
    </row>
    <row r="169" spans="2:5" x14ac:dyDescent="0.25">
      <c r="B169" s="150" t="str">
        <f t="shared" si="2"/>
        <v xml:space="preserve">ICMP IP Total Length Field Probe </v>
      </c>
      <c r="C169" s="131" t="s">
        <v>234</v>
      </c>
      <c r="D169" s="151" t="s">
        <v>234</v>
      </c>
      <c r="E169" s="131" t="s">
        <v>71</v>
      </c>
    </row>
    <row r="170" spans="2:5" x14ac:dyDescent="0.25">
      <c r="B170" s="150" t="str">
        <f t="shared" si="2"/>
        <v xml:space="preserve">ICMP Timestamp Request </v>
      </c>
      <c r="C170" s="131" t="s">
        <v>235</v>
      </c>
      <c r="D170" s="151" t="s">
        <v>235</v>
      </c>
      <c r="E170" s="131" t="s">
        <v>71</v>
      </c>
    </row>
    <row r="171" spans="2:5" x14ac:dyDescent="0.25">
      <c r="B171" s="150" t="str">
        <f t="shared" si="2"/>
        <v xml:space="preserve">Identity Spoofing (Impersonation) </v>
      </c>
      <c r="C171" s="131" t="s">
        <v>236</v>
      </c>
      <c r="D171" s="151" t="s">
        <v>236</v>
      </c>
      <c r="E171" s="131" t="s">
        <v>71</v>
      </c>
    </row>
    <row r="172" spans="2:5" x14ac:dyDescent="0.25">
      <c r="B172" s="150" t="str">
        <f t="shared" si="2"/>
        <v xml:space="preserve">iFrame Overlay </v>
      </c>
      <c r="C172" s="131" t="s">
        <v>237</v>
      </c>
      <c r="D172" s="151" t="s">
        <v>237</v>
      </c>
      <c r="E172" s="131" t="s">
        <v>71</v>
      </c>
    </row>
    <row r="173" spans="2:5" x14ac:dyDescent="0.25">
      <c r="B173" s="150" t="str">
        <f t="shared" si="2"/>
        <v xml:space="preserve">IMAP/SMTP Command Injection </v>
      </c>
      <c r="C173" s="131" t="s">
        <v>238</v>
      </c>
      <c r="D173" s="151" t="s">
        <v>238</v>
      </c>
      <c r="E173" s="131" t="s">
        <v>71</v>
      </c>
    </row>
    <row r="174" spans="2:5" x14ac:dyDescent="0.25">
      <c r="B174" s="150" t="str">
        <f t="shared" si="2"/>
        <v xml:space="preserve">Implementing a callback to system routine (old AWT Queue) </v>
      </c>
      <c r="C174" s="131" t="s">
        <v>239</v>
      </c>
      <c r="D174" s="151" t="s">
        <v>239</v>
      </c>
      <c r="E174" s="131" t="s">
        <v>71</v>
      </c>
    </row>
    <row r="175" spans="2:5" x14ac:dyDescent="0.25">
      <c r="B175" s="150" t="str">
        <f t="shared" si="2"/>
        <v xml:space="preserve">Inducing Account Lockout </v>
      </c>
      <c r="C175" s="131" t="s">
        <v>240</v>
      </c>
      <c r="D175" s="151" t="s">
        <v>240</v>
      </c>
      <c r="E175" s="131" t="s">
        <v>71</v>
      </c>
    </row>
    <row r="176" spans="2:5" x14ac:dyDescent="0.25">
      <c r="B176" s="150" t="str">
        <f t="shared" si="2"/>
        <v xml:space="preserve">Information Elicitation via Social Engineering </v>
      </c>
      <c r="C176" s="131" t="s">
        <v>241</v>
      </c>
      <c r="D176" s="151" t="s">
        <v>241</v>
      </c>
      <c r="E176" s="131" t="s">
        <v>71</v>
      </c>
    </row>
    <row r="177" spans="2:5" x14ac:dyDescent="0.25">
      <c r="B177" s="150" t="str">
        <f t="shared" si="2"/>
        <v xml:space="preserve">Information Gathering from Non-Traditional Sources </v>
      </c>
      <c r="C177" s="131" t="s">
        <v>242</v>
      </c>
      <c r="D177" s="151" t="s">
        <v>242</v>
      </c>
      <c r="E177" s="131" t="s">
        <v>71</v>
      </c>
    </row>
    <row r="178" spans="2:5" x14ac:dyDescent="0.25">
      <c r="B178" s="150" t="str">
        <f t="shared" si="2"/>
        <v xml:space="preserve">Information Gathering from Traditional Sources </v>
      </c>
      <c r="C178" s="131" t="s">
        <v>243</v>
      </c>
      <c r="D178" s="151" t="s">
        <v>243</v>
      </c>
      <c r="E178" s="131" t="s">
        <v>71</v>
      </c>
    </row>
    <row r="179" spans="2:5" x14ac:dyDescent="0.25">
      <c r="B179" s="150" t="str">
        <f t="shared" si="2"/>
        <v xml:space="preserve">Infrastructure Manipulation </v>
      </c>
      <c r="C179" s="131" t="s">
        <v>244</v>
      </c>
      <c r="D179" s="151" t="s">
        <v>244</v>
      </c>
      <c r="E179" s="131" t="s">
        <v>71</v>
      </c>
    </row>
    <row r="180" spans="2:5" x14ac:dyDescent="0.25">
      <c r="B180" s="150" t="str">
        <f t="shared" si="2"/>
        <v xml:space="preserve">Infrastructure-based footprinting </v>
      </c>
      <c r="C180" s="131" t="s">
        <v>245</v>
      </c>
      <c r="D180" s="151" t="s">
        <v>245</v>
      </c>
      <c r="E180" s="131" t="s">
        <v>71</v>
      </c>
    </row>
    <row r="181" spans="2:5" ht="30" x14ac:dyDescent="0.25">
      <c r="B181" s="150" t="str">
        <f t="shared" si="2"/>
        <v xml:space="preserve">Injection (Injecting Control Plane content through the Data Plane) </v>
      </c>
      <c r="C181" s="131" t="s">
        <v>246</v>
      </c>
      <c r="D181" s="151" t="s">
        <v>246</v>
      </c>
      <c r="E181" s="131" t="s">
        <v>68</v>
      </c>
    </row>
    <row r="182" spans="2:5" x14ac:dyDescent="0.25">
      <c r="B182" s="150" t="str">
        <f t="shared" si="2"/>
        <v xml:space="preserve">Input Data Manipulation </v>
      </c>
      <c r="C182" s="131" t="s">
        <v>247</v>
      </c>
      <c r="D182" s="151" t="s">
        <v>247</v>
      </c>
      <c r="E182" s="131" t="s">
        <v>71</v>
      </c>
    </row>
    <row r="183" spans="2:5" x14ac:dyDescent="0.25">
      <c r="B183" s="150" t="str">
        <f t="shared" si="2"/>
        <v xml:space="preserve">Integer Attacks </v>
      </c>
      <c r="C183" s="131" t="s">
        <v>248</v>
      </c>
      <c r="D183" s="151" t="s">
        <v>248</v>
      </c>
      <c r="E183" s="131" t="s">
        <v>71</v>
      </c>
    </row>
    <row r="184" spans="2:5" x14ac:dyDescent="0.25">
      <c r="B184" s="150" t="str">
        <f t="shared" si="2"/>
        <v xml:space="preserve">Integrity Modification During Deployed Use </v>
      </c>
      <c r="C184" s="131" t="s">
        <v>249</v>
      </c>
      <c r="D184" s="151" t="s">
        <v>249</v>
      </c>
      <c r="E184" s="131" t="s">
        <v>71</v>
      </c>
    </row>
    <row r="185" spans="2:5" x14ac:dyDescent="0.25">
      <c r="B185" s="150" t="str">
        <f t="shared" si="2"/>
        <v xml:space="preserve">Integrity Modification during Distribution </v>
      </c>
      <c r="C185" s="131" t="s">
        <v>250</v>
      </c>
      <c r="D185" s="151" t="s">
        <v>250</v>
      </c>
      <c r="E185" s="131" t="s">
        <v>71</v>
      </c>
    </row>
    <row r="186" spans="2:5" x14ac:dyDescent="0.25">
      <c r="B186" s="150" t="str">
        <f t="shared" si="2"/>
        <v xml:space="preserve">Integrity Modification/Manipulation During Manufacture </v>
      </c>
      <c r="C186" s="131" t="s">
        <v>251</v>
      </c>
      <c r="D186" s="151" t="s">
        <v>251</v>
      </c>
      <c r="E186" s="131" t="s">
        <v>71</v>
      </c>
    </row>
    <row r="187" spans="2:5" x14ac:dyDescent="0.25">
      <c r="B187" s="150" t="str">
        <f t="shared" si="2"/>
        <v xml:space="preserve">Inter-component Protocol Manipulation </v>
      </c>
      <c r="C187" s="131" t="s">
        <v>252</v>
      </c>
      <c r="D187" s="151" t="s">
        <v>252</v>
      </c>
      <c r="E187" s="131" t="s">
        <v>71</v>
      </c>
    </row>
    <row r="188" spans="2:5" x14ac:dyDescent="0.25">
      <c r="B188" s="150" t="str">
        <f t="shared" si="2"/>
        <v xml:space="preserve">IP 'ID' Echoed Byte-Order Probe </v>
      </c>
      <c r="C188" s="131" t="s">
        <v>253</v>
      </c>
      <c r="D188" s="151" t="s">
        <v>253</v>
      </c>
      <c r="E188" s="131" t="s">
        <v>71</v>
      </c>
    </row>
    <row r="189" spans="2:5" x14ac:dyDescent="0.25">
      <c r="B189" s="150" t="str">
        <f t="shared" si="2"/>
        <v xml:space="preserve">IP (DF) 'Don't Fragment Bit' Echoing Probe </v>
      </c>
      <c r="C189" s="131" t="s">
        <v>254</v>
      </c>
      <c r="D189" s="151" t="s">
        <v>254</v>
      </c>
      <c r="E189" s="131" t="s">
        <v>71</v>
      </c>
    </row>
    <row r="190" spans="2:5" x14ac:dyDescent="0.25">
      <c r="B190" s="150" t="str">
        <f t="shared" si="2"/>
        <v xml:space="preserve">IP Fingerprinting Probes </v>
      </c>
      <c r="C190" s="131" t="s">
        <v>255</v>
      </c>
      <c r="D190" s="151" t="s">
        <v>255</v>
      </c>
      <c r="E190" s="131" t="s">
        <v>71</v>
      </c>
    </row>
    <row r="191" spans="2:5" x14ac:dyDescent="0.25">
      <c r="B191" s="150" t="str">
        <f t="shared" si="2"/>
        <v xml:space="preserve">IP ID Sequencing Probe </v>
      </c>
      <c r="C191" s="131" t="s">
        <v>256</v>
      </c>
      <c r="D191" s="151" t="s">
        <v>256</v>
      </c>
      <c r="E191" s="131" t="s">
        <v>71</v>
      </c>
    </row>
    <row r="192" spans="2:5" x14ac:dyDescent="0.25">
      <c r="B192" s="150" t="str">
        <f t="shared" si="2"/>
        <v xml:space="preserve">JSON Hijacking (aka JavaScript Hijacking) </v>
      </c>
      <c r="C192" s="131" t="s">
        <v>257</v>
      </c>
      <c r="D192" s="151" t="s">
        <v>257</v>
      </c>
      <c r="E192" s="131" t="s">
        <v>71</v>
      </c>
    </row>
    <row r="193" spans="2:5" x14ac:dyDescent="0.25">
      <c r="B193" s="150" t="str">
        <f t="shared" si="2"/>
        <v xml:space="preserve">LDAP Injection </v>
      </c>
      <c r="C193" s="131" t="s">
        <v>258</v>
      </c>
      <c r="D193" s="151" t="s">
        <v>258</v>
      </c>
      <c r="E193" s="131" t="s">
        <v>71</v>
      </c>
    </row>
    <row r="194" spans="2:5" x14ac:dyDescent="0.25">
      <c r="B194" s="150" t="str">
        <f t="shared" si="2"/>
        <v xml:space="preserve">Leverage Alternate Encoding </v>
      </c>
      <c r="C194" s="131" t="s">
        <v>259</v>
      </c>
      <c r="D194" s="151" t="s">
        <v>259</v>
      </c>
      <c r="E194" s="131" t="s">
        <v>71</v>
      </c>
    </row>
    <row r="195" spans="2:5" x14ac:dyDescent="0.25">
      <c r="B195" s="150" t="str">
        <f t="shared" si="2"/>
        <v xml:space="preserve">Leverage Executable Code in Nonexecutable Files </v>
      </c>
      <c r="C195" s="131" t="s">
        <v>260</v>
      </c>
      <c r="D195" s="151" t="s">
        <v>260</v>
      </c>
      <c r="E195" s="131" t="s">
        <v>71</v>
      </c>
    </row>
    <row r="196" spans="2:5" ht="30" x14ac:dyDescent="0.25">
      <c r="B196" s="150" t="str">
        <f t="shared" si="2"/>
        <v xml:space="preserve">Leveraging Active Man in the Middle Attacks to Bypass Single Origin Policy </v>
      </c>
      <c r="C196" s="131" t="s">
        <v>261</v>
      </c>
      <c r="D196" s="151" t="s">
        <v>261</v>
      </c>
      <c r="E196" s="131" t="s">
        <v>71</v>
      </c>
    </row>
    <row r="197" spans="2:5" x14ac:dyDescent="0.25">
      <c r="B197" s="150" t="str">
        <f t="shared" si="2"/>
        <v xml:space="preserve">Leveraging Race Conditions </v>
      </c>
      <c r="C197" s="131" t="s">
        <v>262</v>
      </c>
      <c r="D197" s="151" t="s">
        <v>262</v>
      </c>
      <c r="E197" s="131" t="s">
        <v>71</v>
      </c>
    </row>
    <row r="198" spans="2:5" x14ac:dyDescent="0.25">
      <c r="B198" s="150" t="str">
        <f t="shared" ref="B198:B261" si="3">LEFT($C198,FIND(" - ",$C198))</f>
        <v xml:space="preserve">Leveraging Race Conditions via Symbolic Links </v>
      </c>
      <c r="C198" s="131" t="s">
        <v>263</v>
      </c>
      <c r="D198" s="151" t="s">
        <v>263</v>
      </c>
      <c r="E198" s="131" t="s">
        <v>71</v>
      </c>
    </row>
    <row r="199" spans="2:5" ht="30" x14ac:dyDescent="0.25">
      <c r="B199" s="150" t="str">
        <f t="shared" si="3"/>
        <v xml:space="preserve">Leveraging Time-of-Check and Time-of-Use (TOCTOU) Race Conditions </v>
      </c>
      <c r="C199" s="131" t="s">
        <v>264</v>
      </c>
      <c r="D199" s="151" t="s">
        <v>264</v>
      </c>
      <c r="E199" s="131" t="s">
        <v>71</v>
      </c>
    </row>
    <row r="200" spans="2:5" ht="30" x14ac:dyDescent="0.25">
      <c r="B200" s="150" t="str">
        <f t="shared" si="3"/>
        <v xml:space="preserve">Leveraging web tools (e.g. Mozilla's GreaseMonkey, Firebug) to change application behavior </v>
      </c>
      <c r="C200" s="131" t="s">
        <v>265</v>
      </c>
      <c r="D200" s="151" t="s">
        <v>265</v>
      </c>
      <c r="E200" s="131" t="s">
        <v>71</v>
      </c>
    </row>
    <row r="201" spans="2:5" x14ac:dyDescent="0.25">
      <c r="B201" s="150" t="str">
        <f t="shared" si="3"/>
        <v xml:space="preserve">Leveraging/Manipulating Configuration File Search Paths </v>
      </c>
      <c r="C201" s="131" t="s">
        <v>266</v>
      </c>
      <c r="D201" s="151" t="s">
        <v>266</v>
      </c>
      <c r="E201" s="131" t="s">
        <v>71</v>
      </c>
    </row>
    <row r="202" spans="2:5" ht="30" x14ac:dyDescent="0.25">
      <c r="B202" s="150" t="str">
        <f t="shared" si="3"/>
        <v xml:space="preserve">Lifting cached, sensitive data embedded in client distributions (thick or thin) </v>
      </c>
      <c r="C202" s="131" t="s">
        <v>267</v>
      </c>
      <c r="D202" s="151" t="s">
        <v>267</v>
      </c>
      <c r="E202" s="131" t="s">
        <v>71</v>
      </c>
    </row>
    <row r="203" spans="2:5" ht="30" x14ac:dyDescent="0.25">
      <c r="B203" s="150" t="str">
        <f t="shared" si="3"/>
        <v xml:space="preserve">Lifting credential(s)/key material embedded in client distributions (thick or thin) </v>
      </c>
      <c r="C203" s="131" t="s">
        <v>268</v>
      </c>
      <c r="D203" s="151" t="s">
        <v>268</v>
      </c>
      <c r="E203" s="131" t="s">
        <v>71</v>
      </c>
    </row>
    <row r="204" spans="2:5" x14ac:dyDescent="0.25">
      <c r="B204" s="150" t="str">
        <f t="shared" si="3"/>
        <v xml:space="preserve">Lifting Data Embedded in Client Distributions </v>
      </c>
      <c r="C204" s="131" t="s">
        <v>269</v>
      </c>
      <c r="D204" s="151" t="s">
        <v>269</v>
      </c>
      <c r="E204" s="131" t="s">
        <v>71</v>
      </c>
    </row>
    <row r="205" spans="2:5" x14ac:dyDescent="0.25">
      <c r="B205" s="150" t="str">
        <f t="shared" si="3"/>
        <v xml:space="preserve">Lifting Sensitive Data from the Client </v>
      </c>
      <c r="C205" s="131" t="s">
        <v>270</v>
      </c>
      <c r="D205" s="151" t="s">
        <v>270</v>
      </c>
      <c r="E205" s="131" t="s">
        <v>71</v>
      </c>
    </row>
    <row r="206" spans="2:5" ht="30" x14ac:dyDescent="0.25">
      <c r="B206" s="150" t="str">
        <f t="shared" si="3"/>
        <v xml:space="preserve">Lifting signing key and signing malicious code from a production environment </v>
      </c>
      <c r="C206" s="131" t="s">
        <v>271</v>
      </c>
      <c r="D206" s="151" t="s">
        <v>271</v>
      </c>
      <c r="E206" s="131" t="s">
        <v>71</v>
      </c>
    </row>
    <row r="207" spans="2:5" x14ac:dyDescent="0.25">
      <c r="B207" s="150" t="str">
        <f t="shared" si="3"/>
        <v xml:space="preserve">Local Code Inclusion </v>
      </c>
      <c r="C207" s="131" t="s">
        <v>272</v>
      </c>
      <c r="D207" s="151" t="s">
        <v>272</v>
      </c>
      <c r="E207" s="131" t="s">
        <v>71</v>
      </c>
    </row>
    <row r="208" spans="2:5" x14ac:dyDescent="0.25">
      <c r="B208" s="150" t="str">
        <f t="shared" si="3"/>
        <v xml:space="preserve">Locate and Exploit Test APIs </v>
      </c>
      <c r="C208" s="131" t="s">
        <v>273</v>
      </c>
      <c r="D208" s="151" t="s">
        <v>273</v>
      </c>
      <c r="E208" s="131" t="s">
        <v>71</v>
      </c>
    </row>
    <row r="209" spans="2:5" x14ac:dyDescent="0.25">
      <c r="B209" s="150" t="str">
        <f t="shared" si="3"/>
        <v xml:space="preserve">Lock Bumping </v>
      </c>
      <c r="C209" s="131" t="s">
        <v>274</v>
      </c>
      <c r="D209" s="151" t="s">
        <v>274</v>
      </c>
      <c r="E209" s="131" t="s">
        <v>71</v>
      </c>
    </row>
    <row r="210" spans="2:5" x14ac:dyDescent="0.25">
      <c r="B210" s="150" t="str">
        <f t="shared" si="3"/>
        <v xml:space="preserve">Lock Picking </v>
      </c>
      <c r="C210" s="131" t="s">
        <v>275</v>
      </c>
      <c r="D210" s="151" t="s">
        <v>275</v>
      </c>
      <c r="E210" s="131" t="s">
        <v>71</v>
      </c>
    </row>
    <row r="211" spans="2:5" x14ac:dyDescent="0.25">
      <c r="B211" s="150" t="str">
        <f t="shared" si="3"/>
        <v xml:space="preserve">Log Injection-Tampering-Forging </v>
      </c>
      <c r="C211" s="131" t="s">
        <v>276</v>
      </c>
      <c r="D211" s="151" t="s">
        <v>276</v>
      </c>
      <c r="E211" s="131" t="s">
        <v>71</v>
      </c>
    </row>
    <row r="212" spans="2:5" x14ac:dyDescent="0.25">
      <c r="B212" s="150" t="str">
        <f t="shared" si="3"/>
        <v xml:space="preserve">Magnetic Strip Card Brute Force Attacks </v>
      </c>
      <c r="C212" s="131" t="s">
        <v>277</v>
      </c>
      <c r="D212" s="151" t="s">
        <v>277</v>
      </c>
      <c r="E212" s="131" t="s">
        <v>71</v>
      </c>
    </row>
    <row r="213" spans="2:5" x14ac:dyDescent="0.25">
      <c r="B213" s="150" t="str">
        <f t="shared" si="3"/>
        <v xml:space="preserve">Malicious Automated Software Update </v>
      </c>
      <c r="C213" s="131" t="s">
        <v>278</v>
      </c>
      <c r="D213" s="151" t="s">
        <v>278</v>
      </c>
      <c r="E213" s="131" t="s">
        <v>71</v>
      </c>
    </row>
    <row r="214" spans="2:5" x14ac:dyDescent="0.25">
      <c r="B214" s="150" t="str">
        <f t="shared" si="3"/>
        <v xml:space="preserve">Malicious Logic Inserted Into Product </v>
      </c>
      <c r="C214" s="131" t="s">
        <v>279</v>
      </c>
      <c r="D214" s="151" t="s">
        <v>279</v>
      </c>
      <c r="E214" s="131" t="s">
        <v>71</v>
      </c>
    </row>
    <row r="215" spans="2:5" x14ac:dyDescent="0.25">
      <c r="B215" s="150" t="str">
        <f t="shared" si="3"/>
        <v xml:space="preserve">Malicious Logic Inserted Into Product Software </v>
      </c>
      <c r="C215" s="131" t="s">
        <v>280</v>
      </c>
      <c r="D215" s="151" t="s">
        <v>280</v>
      </c>
      <c r="E215" s="131" t="s">
        <v>71</v>
      </c>
    </row>
    <row r="216" spans="2:5" ht="30" x14ac:dyDescent="0.25">
      <c r="B216" s="150" t="str">
        <f t="shared" si="3"/>
        <v xml:space="preserve">Malicious Logic Inserted Into Product Software by Authorized Developer </v>
      </c>
      <c r="C216" s="131" t="s">
        <v>281</v>
      </c>
      <c r="D216" s="151" t="s">
        <v>281</v>
      </c>
      <c r="E216" s="131" t="s">
        <v>71</v>
      </c>
    </row>
    <row r="217" spans="2:5" x14ac:dyDescent="0.25">
      <c r="B217" s="150" t="str">
        <f t="shared" si="3"/>
        <v xml:space="preserve">Malicious Logic Insertion into Product Hardware </v>
      </c>
      <c r="C217" s="131" t="s">
        <v>282</v>
      </c>
      <c r="D217" s="151" t="s">
        <v>282</v>
      </c>
      <c r="E217" s="131" t="s">
        <v>71</v>
      </c>
    </row>
    <row r="218" spans="2:5" x14ac:dyDescent="0.25">
      <c r="B218" s="150" t="str">
        <f t="shared" si="3"/>
        <v xml:space="preserve">Malicious Logic Insertion into Product Memory </v>
      </c>
      <c r="C218" s="131" t="s">
        <v>283</v>
      </c>
      <c r="D218" s="151" t="s">
        <v>283</v>
      </c>
      <c r="E218" s="131" t="s">
        <v>71</v>
      </c>
    </row>
    <row r="219" spans="2:5" x14ac:dyDescent="0.25">
      <c r="B219" s="150" t="str">
        <f t="shared" si="3"/>
        <v xml:space="preserve">Malicious Logic Insertion into Product Software during Update </v>
      </c>
      <c r="C219" s="131" t="s">
        <v>284</v>
      </c>
      <c r="D219" s="151" t="s">
        <v>284</v>
      </c>
      <c r="E219" s="131" t="s">
        <v>71</v>
      </c>
    </row>
    <row r="220" spans="2:5" ht="30" x14ac:dyDescent="0.25">
      <c r="B220" s="150" t="str">
        <f t="shared" si="3"/>
        <v xml:space="preserve">Malicious Logic Insertion into Product Software via Configuration Management Manipulation </v>
      </c>
      <c r="C220" s="131" t="s">
        <v>285</v>
      </c>
      <c r="D220" s="151" t="s">
        <v>285</v>
      </c>
      <c r="E220" s="131" t="s">
        <v>71</v>
      </c>
    </row>
    <row r="221" spans="2:5" ht="30" x14ac:dyDescent="0.25">
      <c r="B221" s="150" t="str">
        <f t="shared" si="3"/>
        <v xml:space="preserve">Malicious Logic Insertion into Product Software via Externally Manipulated Component </v>
      </c>
      <c r="C221" s="131" t="s">
        <v>286</v>
      </c>
      <c r="D221" s="151" t="s">
        <v>286</v>
      </c>
      <c r="E221" s="131" t="s">
        <v>71</v>
      </c>
    </row>
    <row r="222" spans="2:5" ht="30" x14ac:dyDescent="0.25">
      <c r="B222" s="150" t="str">
        <f t="shared" si="3"/>
        <v xml:space="preserve">Malicious Logic Insertion into Product Software via Inclusion of 3rd Party Component Dependency </v>
      </c>
      <c r="C222" s="131" t="s">
        <v>287</v>
      </c>
      <c r="D222" s="151" t="s">
        <v>287</v>
      </c>
      <c r="E222" s="131" t="s">
        <v>71</v>
      </c>
    </row>
    <row r="223" spans="2:5" x14ac:dyDescent="0.25">
      <c r="B223" s="150" t="str">
        <f t="shared" si="3"/>
        <v xml:space="preserve">Malicious Logic Insertion via Counterfeit Hardware </v>
      </c>
      <c r="C223" s="131" t="s">
        <v>288</v>
      </c>
      <c r="D223" s="151" t="s">
        <v>288</v>
      </c>
      <c r="E223" s="131" t="s">
        <v>71</v>
      </c>
    </row>
    <row r="224" spans="2:5" ht="30" x14ac:dyDescent="0.25">
      <c r="B224" s="150" t="str">
        <f t="shared" si="3"/>
        <v xml:space="preserve">Malicious Logic Insertion via Inclusion of Counterfeit Hardware Components </v>
      </c>
      <c r="C224" s="131" t="s">
        <v>289</v>
      </c>
      <c r="D224" s="151" t="s">
        <v>289</v>
      </c>
      <c r="E224" s="131" t="s">
        <v>71</v>
      </c>
    </row>
    <row r="225" spans="2:5" x14ac:dyDescent="0.25">
      <c r="B225" s="150" t="str">
        <f t="shared" si="3"/>
        <v xml:space="preserve">Malicious Software Download </v>
      </c>
      <c r="C225" s="131" t="s">
        <v>290</v>
      </c>
      <c r="D225" s="151" t="s">
        <v>290</v>
      </c>
      <c r="E225" s="131" t="s">
        <v>71</v>
      </c>
    </row>
    <row r="226" spans="2:5" x14ac:dyDescent="0.25">
      <c r="B226" s="150" t="str">
        <f t="shared" si="3"/>
        <v xml:space="preserve">Malicious Software Update </v>
      </c>
      <c r="C226" s="131" t="s">
        <v>291</v>
      </c>
      <c r="D226" s="151" t="s">
        <v>291</v>
      </c>
      <c r="E226" s="131" t="s">
        <v>71</v>
      </c>
    </row>
    <row r="227" spans="2:5" x14ac:dyDescent="0.25">
      <c r="B227" s="150" t="str">
        <f t="shared" si="3"/>
        <v xml:space="preserve">Malware Infection into Product Software </v>
      </c>
      <c r="C227" s="131" t="s">
        <v>292</v>
      </c>
      <c r="D227" s="151" t="s">
        <v>292</v>
      </c>
      <c r="E227" s="131" t="s">
        <v>71</v>
      </c>
    </row>
    <row r="228" spans="2:5" x14ac:dyDescent="0.25">
      <c r="B228" s="150" t="str">
        <f t="shared" si="3"/>
        <v xml:space="preserve">Malware Propagation via Infected Peripheral Device </v>
      </c>
      <c r="C228" s="131" t="s">
        <v>293</v>
      </c>
      <c r="D228" s="151" t="s">
        <v>293</v>
      </c>
      <c r="E228" s="131" t="s">
        <v>71</v>
      </c>
    </row>
    <row r="229" spans="2:5" x14ac:dyDescent="0.25">
      <c r="B229" s="150" t="str">
        <f t="shared" si="3"/>
        <v xml:space="preserve">Malware Propagation via USB Stick </v>
      </c>
      <c r="C229" s="131" t="s">
        <v>294</v>
      </c>
      <c r="D229" s="151" t="s">
        <v>294</v>
      </c>
      <c r="E229" s="131" t="s">
        <v>71</v>
      </c>
    </row>
    <row r="230" spans="2:5" x14ac:dyDescent="0.25">
      <c r="B230" s="150" t="str">
        <f t="shared" si="3"/>
        <v xml:space="preserve">Malware Propagation via USB U3 Autorun </v>
      </c>
      <c r="C230" s="131" t="s">
        <v>295</v>
      </c>
      <c r="D230" s="151" t="s">
        <v>295</v>
      </c>
      <c r="E230" s="131" t="s">
        <v>71</v>
      </c>
    </row>
    <row r="231" spans="2:5" x14ac:dyDescent="0.25">
      <c r="B231" s="150" t="str">
        <f t="shared" si="3"/>
        <v xml:space="preserve">Man in the Middle Attack </v>
      </c>
      <c r="C231" s="131" t="s">
        <v>296</v>
      </c>
      <c r="D231" s="151" t="s">
        <v>296</v>
      </c>
      <c r="E231" s="131" t="s">
        <v>71</v>
      </c>
    </row>
    <row r="232" spans="2:5" x14ac:dyDescent="0.25">
      <c r="B232" s="150" t="str">
        <f t="shared" si="3"/>
        <v xml:space="preserve">Manipulate Application Registry Values </v>
      </c>
      <c r="C232" s="131" t="s">
        <v>297</v>
      </c>
      <c r="D232" s="151" t="s">
        <v>297</v>
      </c>
      <c r="E232" s="131" t="s">
        <v>71</v>
      </c>
    </row>
    <row r="233" spans="2:5" x14ac:dyDescent="0.25">
      <c r="B233" s="150" t="str">
        <f t="shared" si="3"/>
        <v xml:space="preserve">Manipulate Canonicalization </v>
      </c>
      <c r="C233" s="131" t="s">
        <v>298</v>
      </c>
      <c r="D233" s="151" t="s">
        <v>298</v>
      </c>
      <c r="E233" s="131" t="s">
        <v>71</v>
      </c>
    </row>
    <row r="234" spans="2:5" ht="30" x14ac:dyDescent="0.25">
      <c r="B234" s="150" t="str">
        <f t="shared" si="3"/>
        <v xml:space="preserve">Manipulating hidden fields to change the normal flow of transactions (eShoplifting) </v>
      </c>
      <c r="C234" s="131" t="s">
        <v>299</v>
      </c>
      <c r="D234" s="151" t="s">
        <v>299</v>
      </c>
      <c r="E234" s="131" t="s">
        <v>71</v>
      </c>
    </row>
    <row r="235" spans="2:5" x14ac:dyDescent="0.25">
      <c r="B235" s="150" t="str">
        <f t="shared" si="3"/>
        <v xml:space="preserve">Manipulating Input to File System Calls </v>
      </c>
      <c r="C235" s="131" t="s">
        <v>300</v>
      </c>
      <c r="D235" s="151" t="s">
        <v>300</v>
      </c>
      <c r="E235" s="131" t="s">
        <v>71</v>
      </c>
    </row>
    <row r="236" spans="2:5" x14ac:dyDescent="0.25">
      <c r="B236" s="150" t="str">
        <f t="shared" si="3"/>
        <v xml:space="preserve">Manipulating Opaque Client-based Data Tokens </v>
      </c>
      <c r="C236" s="131" t="s">
        <v>301</v>
      </c>
      <c r="D236" s="151" t="s">
        <v>301</v>
      </c>
      <c r="E236" s="131" t="s">
        <v>71</v>
      </c>
    </row>
    <row r="237" spans="2:5" x14ac:dyDescent="0.25">
      <c r="B237" s="150" t="str">
        <f t="shared" si="3"/>
        <v xml:space="preserve">Manipulating User State </v>
      </c>
      <c r="C237" s="131" t="s">
        <v>302</v>
      </c>
      <c r="D237" s="151" t="s">
        <v>302</v>
      </c>
      <c r="E237" s="131" t="s">
        <v>71</v>
      </c>
    </row>
    <row r="238" spans="2:5" x14ac:dyDescent="0.25">
      <c r="B238" s="150" t="str">
        <f t="shared" si="3"/>
        <v xml:space="preserve">Manipulating User-Controlled Variables </v>
      </c>
      <c r="C238" s="131" t="s">
        <v>303</v>
      </c>
      <c r="D238" s="151" t="s">
        <v>303</v>
      </c>
      <c r="E238" s="131" t="s">
        <v>71</v>
      </c>
    </row>
    <row r="239" spans="2:5" x14ac:dyDescent="0.25">
      <c r="B239" s="150" t="str">
        <f t="shared" si="3"/>
        <v xml:space="preserve">Manipulating Writeable Configuration Files </v>
      </c>
      <c r="C239" s="131" t="s">
        <v>304</v>
      </c>
      <c r="D239" s="151" t="s">
        <v>304</v>
      </c>
      <c r="E239" s="131" t="s">
        <v>71</v>
      </c>
    </row>
    <row r="240" spans="2:5" x14ac:dyDescent="0.25">
      <c r="B240" s="150" t="str">
        <f t="shared" si="3"/>
        <v xml:space="preserve">Manipulating Writeable Terminal Devices </v>
      </c>
      <c r="C240" s="131" t="s">
        <v>305</v>
      </c>
      <c r="D240" s="151" t="s">
        <v>305</v>
      </c>
      <c r="E240" s="131" t="s">
        <v>71</v>
      </c>
    </row>
    <row r="241" spans="2:5" x14ac:dyDescent="0.25">
      <c r="B241" s="150" t="str">
        <f t="shared" si="3"/>
        <v xml:space="preserve">Mechanism of Attack </v>
      </c>
      <c r="C241" s="131" t="s">
        <v>306</v>
      </c>
      <c r="D241" s="151" t="s">
        <v>306</v>
      </c>
      <c r="E241" s="131" t="s">
        <v>124</v>
      </c>
    </row>
    <row r="242" spans="2:5" x14ac:dyDescent="0.25">
      <c r="B242" s="150" t="str">
        <f t="shared" si="3"/>
        <v xml:space="preserve">Meta Abstractions </v>
      </c>
      <c r="C242" s="131" t="s">
        <v>307</v>
      </c>
      <c r="D242" s="151" t="s">
        <v>307</v>
      </c>
      <c r="E242" s="131" t="s">
        <v>124</v>
      </c>
    </row>
    <row r="243" spans="2:5" x14ac:dyDescent="0.25">
      <c r="B243" s="150" t="str">
        <f t="shared" si="3"/>
        <v xml:space="preserve">MIME Conversion </v>
      </c>
      <c r="C243" s="131" t="s">
        <v>308</v>
      </c>
      <c r="D243" s="151" t="s">
        <v>308</v>
      </c>
      <c r="E243" s="131" t="s">
        <v>71</v>
      </c>
    </row>
    <row r="244" spans="2:5" x14ac:dyDescent="0.25">
      <c r="B244" s="150" t="str">
        <f t="shared" si="3"/>
        <v xml:space="preserve">Mobile Phishing (aka MobPhishing) </v>
      </c>
      <c r="C244" s="131" t="s">
        <v>309</v>
      </c>
      <c r="D244" s="151" t="s">
        <v>309</v>
      </c>
      <c r="E244" s="131" t="s">
        <v>71</v>
      </c>
    </row>
    <row r="245" spans="2:5" ht="30" x14ac:dyDescent="0.25">
      <c r="B245" s="150" t="str">
        <f t="shared" si="3"/>
        <v xml:space="preserve">Modification of Existing Components with Counterfeit Hardware </v>
      </c>
      <c r="C245" s="131" t="s">
        <v>310</v>
      </c>
      <c r="D245" s="151" t="s">
        <v>310</v>
      </c>
      <c r="E245" s="131" t="s">
        <v>71</v>
      </c>
    </row>
    <row r="246" spans="2:5" x14ac:dyDescent="0.25">
      <c r="B246" s="150" t="str">
        <f t="shared" si="3"/>
        <v xml:space="preserve">Navigation Remapping To Propagate Malicoius Content </v>
      </c>
      <c r="C246" s="131" t="s">
        <v>311</v>
      </c>
      <c r="D246" s="151" t="s">
        <v>311</v>
      </c>
      <c r="E246" s="131" t="s">
        <v>71</v>
      </c>
    </row>
    <row r="247" spans="2:5" x14ac:dyDescent="0.25">
      <c r="B247" s="150" t="str">
        <f t="shared" si="3"/>
        <v xml:space="preserve">Network Reconnaissance </v>
      </c>
      <c r="C247" s="131" t="s">
        <v>312</v>
      </c>
      <c r="D247" s="151" t="s">
        <v>312</v>
      </c>
      <c r="E247" s="131" t="s">
        <v>71</v>
      </c>
    </row>
    <row r="248" spans="2:5" x14ac:dyDescent="0.25">
      <c r="B248" s="150" t="str">
        <f t="shared" si="3"/>
        <v xml:space="preserve">Object Relational Mapping Injection </v>
      </c>
      <c r="C248" s="131" t="s">
        <v>313</v>
      </c>
      <c r="D248" s="151" t="s">
        <v>313</v>
      </c>
      <c r="E248" s="131" t="s">
        <v>71</v>
      </c>
    </row>
    <row r="249" spans="2:5" x14ac:dyDescent="0.25">
      <c r="B249" s="150" t="str">
        <f t="shared" si="3"/>
        <v xml:space="preserve">OS Command Injection </v>
      </c>
      <c r="C249" s="131" t="s">
        <v>314</v>
      </c>
      <c r="D249" s="151" t="s">
        <v>314</v>
      </c>
      <c r="E249" s="131" t="s">
        <v>71</v>
      </c>
    </row>
    <row r="250" spans="2:5" x14ac:dyDescent="0.25">
      <c r="B250" s="150" t="str">
        <f t="shared" si="3"/>
        <v xml:space="preserve">Overflow Binary Resource File </v>
      </c>
      <c r="C250" s="131" t="s">
        <v>315</v>
      </c>
      <c r="D250" s="151" t="s">
        <v>315</v>
      </c>
      <c r="E250" s="131" t="s">
        <v>71</v>
      </c>
    </row>
    <row r="251" spans="2:5" x14ac:dyDescent="0.25">
      <c r="B251" s="150" t="str">
        <f t="shared" si="3"/>
        <v xml:space="preserve">Overflow Buffers </v>
      </c>
      <c r="C251" s="131" t="s">
        <v>316</v>
      </c>
      <c r="D251" s="151" t="s">
        <v>316</v>
      </c>
      <c r="E251" s="131" t="s">
        <v>71</v>
      </c>
    </row>
    <row r="252" spans="2:5" x14ac:dyDescent="0.25">
      <c r="B252" s="150" t="str">
        <f t="shared" si="3"/>
        <v xml:space="preserve">Overflow Variables and Tags </v>
      </c>
      <c r="C252" s="131" t="s">
        <v>317</v>
      </c>
      <c r="D252" s="151" t="s">
        <v>317</v>
      </c>
      <c r="E252" s="131" t="s">
        <v>71</v>
      </c>
    </row>
    <row r="253" spans="2:5" x14ac:dyDescent="0.25">
      <c r="B253" s="150" t="str">
        <f t="shared" si="3"/>
        <v xml:space="preserve">Oversized Payloads Sent to XML Parsers </v>
      </c>
      <c r="C253" s="131" t="s">
        <v>318</v>
      </c>
      <c r="D253" s="151" t="s">
        <v>318</v>
      </c>
      <c r="E253" s="131" t="s">
        <v>71</v>
      </c>
    </row>
    <row r="254" spans="2:5" x14ac:dyDescent="0.25">
      <c r="B254" s="150" t="str">
        <f t="shared" si="3"/>
        <v xml:space="preserve">Padding Oracle Crypto Attack </v>
      </c>
      <c r="C254" s="131" t="s">
        <v>319</v>
      </c>
      <c r="D254" s="151" t="s">
        <v>319</v>
      </c>
      <c r="E254" s="131" t="s">
        <v>71</v>
      </c>
    </row>
    <row r="255" spans="2:5" x14ac:dyDescent="0.25">
      <c r="B255" s="150" t="str">
        <f t="shared" si="3"/>
        <v xml:space="preserve">Parameter Injection </v>
      </c>
      <c r="C255" s="131" t="s">
        <v>320</v>
      </c>
      <c r="D255" s="151" t="s">
        <v>320</v>
      </c>
      <c r="E255" s="131" t="s">
        <v>71</v>
      </c>
    </row>
    <row r="256" spans="2:5" x14ac:dyDescent="0.25">
      <c r="B256" s="150" t="str">
        <f t="shared" si="3"/>
        <v xml:space="preserve">Passing Local Filenames to Functions That Expect a URL </v>
      </c>
      <c r="C256" s="131" t="s">
        <v>321</v>
      </c>
      <c r="D256" s="151" t="s">
        <v>321</v>
      </c>
      <c r="E256" s="131" t="s">
        <v>71</v>
      </c>
    </row>
    <row r="257" spans="2:5" x14ac:dyDescent="0.25">
      <c r="B257" s="150" t="str">
        <f t="shared" si="3"/>
        <v xml:space="preserve">Passive OS Fingerprinting </v>
      </c>
      <c r="C257" s="131" t="s">
        <v>322</v>
      </c>
      <c r="D257" s="151" t="s">
        <v>322</v>
      </c>
      <c r="E257" s="131" t="s">
        <v>71</v>
      </c>
    </row>
    <row r="258" spans="2:5" ht="30" x14ac:dyDescent="0.25">
      <c r="B258" s="150" t="str">
        <f t="shared" si="3"/>
        <v xml:space="preserve">Passively Sniff and Capture Application Code Bound for Authorized Client </v>
      </c>
      <c r="C258" s="131" t="s">
        <v>323</v>
      </c>
      <c r="D258" s="151" t="s">
        <v>323</v>
      </c>
      <c r="E258" s="131" t="s">
        <v>71</v>
      </c>
    </row>
    <row r="259" spans="2:5" ht="30" x14ac:dyDescent="0.25">
      <c r="B259" s="150" t="str">
        <f t="shared" si="3"/>
        <v xml:space="preserve">Passively Sniffing and Capturing Application Code Bound for an Authorized Client During Dynamic Update </v>
      </c>
      <c r="C259" s="131" t="s">
        <v>324</v>
      </c>
      <c r="D259" s="151" t="s">
        <v>324</v>
      </c>
      <c r="E259" s="131" t="s">
        <v>71</v>
      </c>
    </row>
    <row r="260" spans="2:5" ht="30" x14ac:dyDescent="0.25">
      <c r="B260" s="150" t="str">
        <f t="shared" si="3"/>
        <v xml:space="preserve">Passively Sniffing and Capturing Application Code Bound for an Authorized Client During Initial Distribution </v>
      </c>
      <c r="C260" s="131" t="s">
        <v>325</v>
      </c>
      <c r="D260" s="151" t="s">
        <v>325</v>
      </c>
      <c r="E260" s="131" t="s">
        <v>71</v>
      </c>
    </row>
    <row r="261" spans="2:5" ht="30" x14ac:dyDescent="0.25">
      <c r="B261" s="150" t="str">
        <f t="shared" si="3"/>
        <v xml:space="preserve">Passively Sniffing and Capturing Application Code Bound for an Authorized Client During Patching </v>
      </c>
      <c r="C261" s="131" t="s">
        <v>326</v>
      </c>
      <c r="D261" s="151" t="s">
        <v>326</v>
      </c>
      <c r="E261" s="131" t="s">
        <v>71</v>
      </c>
    </row>
    <row r="262" spans="2:5" x14ac:dyDescent="0.25">
      <c r="B262" s="150" t="str">
        <f t="shared" ref="B262:B325" si="4">LEFT($C262,FIND(" - ",$C262))</f>
        <v xml:space="preserve">Password Brute Forcing </v>
      </c>
      <c r="C262" s="131" t="s">
        <v>327</v>
      </c>
      <c r="D262" s="151" t="s">
        <v>327</v>
      </c>
      <c r="E262" s="131" t="s">
        <v>71</v>
      </c>
    </row>
    <row r="263" spans="2:5" x14ac:dyDescent="0.25">
      <c r="B263" s="150" t="str">
        <f t="shared" si="4"/>
        <v xml:space="preserve">Password Recovery Exploitation </v>
      </c>
      <c r="C263" s="131" t="s">
        <v>328</v>
      </c>
      <c r="D263" s="151" t="s">
        <v>328</v>
      </c>
      <c r="E263" s="131" t="s">
        <v>71</v>
      </c>
    </row>
    <row r="264" spans="2:5" x14ac:dyDescent="0.25">
      <c r="B264" s="150" t="str">
        <f t="shared" si="4"/>
        <v xml:space="preserve">Path Traversal </v>
      </c>
      <c r="C264" s="131" t="s">
        <v>329</v>
      </c>
      <c r="D264" s="151" t="s">
        <v>329</v>
      </c>
      <c r="E264" s="131" t="s">
        <v>68</v>
      </c>
    </row>
    <row r="265" spans="2:5" x14ac:dyDescent="0.25">
      <c r="B265" s="150" t="str">
        <f t="shared" si="4"/>
        <v xml:space="preserve">Pharming </v>
      </c>
      <c r="C265" s="131" t="s">
        <v>330</v>
      </c>
      <c r="D265" s="151" t="s">
        <v>330</v>
      </c>
      <c r="E265" s="131" t="s">
        <v>71</v>
      </c>
    </row>
    <row r="266" spans="2:5" x14ac:dyDescent="0.25">
      <c r="B266" s="150" t="str">
        <f t="shared" si="4"/>
        <v xml:space="preserve">Phishing </v>
      </c>
      <c r="C266" s="131" t="s">
        <v>331</v>
      </c>
      <c r="D266" s="151" t="s">
        <v>331</v>
      </c>
      <c r="E266" s="131" t="s">
        <v>71</v>
      </c>
    </row>
    <row r="267" spans="2:5" x14ac:dyDescent="0.25">
      <c r="B267" s="150" t="str">
        <f t="shared" si="4"/>
        <v xml:space="preserve">PHP Local File Inclusion </v>
      </c>
      <c r="C267" s="131" t="s">
        <v>332</v>
      </c>
      <c r="D267" s="151" t="s">
        <v>332</v>
      </c>
      <c r="E267" s="131" t="s">
        <v>71</v>
      </c>
    </row>
    <row r="268" spans="2:5" x14ac:dyDescent="0.25">
      <c r="B268" s="150" t="str">
        <f t="shared" si="4"/>
        <v xml:space="preserve">PHP Remote File Inclusion </v>
      </c>
      <c r="C268" s="131" t="s">
        <v>333</v>
      </c>
      <c r="D268" s="151" t="s">
        <v>333</v>
      </c>
      <c r="E268" s="131" t="s">
        <v>71</v>
      </c>
    </row>
    <row r="269" spans="2:5" x14ac:dyDescent="0.25">
      <c r="B269" s="150" t="str">
        <f t="shared" si="4"/>
        <v xml:space="preserve">Physical Security Attacks </v>
      </c>
      <c r="C269" s="131" t="s">
        <v>334</v>
      </c>
      <c r="D269" s="151" t="s">
        <v>334</v>
      </c>
      <c r="E269" s="131" t="s">
        <v>68</v>
      </c>
    </row>
    <row r="270" spans="2:5" x14ac:dyDescent="0.25">
      <c r="B270" s="150" t="str">
        <f t="shared" si="4"/>
        <v xml:space="preserve">Pointer Attack </v>
      </c>
      <c r="C270" s="131" t="s">
        <v>335</v>
      </c>
      <c r="D270" s="151" t="s">
        <v>335</v>
      </c>
      <c r="E270" s="131" t="s">
        <v>71</v>
      </c>
    </row>
    <row r="271" spans="2:5" x14ac:dyDescent="0.25">
      <c r="B271" s="150" t="str">
        <f t="shared" si="4"/>
        <v xml:space="preserve">Poison Web Service Registry </v>
      </c>
      <c r="C271" s="131" t="s">
        <v>336</v>
      </c>
      <c r="D271" s="151" t="s">
        <v>336</v>
      </c>
      <c r="E271" s="131" t="s">
        <v>71</v>
      </c>
    </row>
    <row r="272" spans="2:5" x14ac:dyDescent="0.25">
      <c r="B272" s="150" t="str">
        <f t="shared" si="4"/>
        <v xml:space="preserve">Port Scanning </v>
      </c>
      <c r="C272" s="131" t="s">
        <v>337</v>
      </c>
      <c r="D272" s="151" t="s">
        <v>337</v>
      </c>
      <c r="E272" s="131" t="s">
        <v>71</v>
      </c>
    </row>
    <row r="273" spans="2:5" x14ac:dyDescent="0.25">
      <c r="B273" s="150" t="str">
        <f t="shared" si="4"/>
        <v xml:space="preserve">Postfix, Null Terminate, and Backslash </v>
      </c>
      <c r="C273" s="131" t="s">
        <v>338</v>
      </c>
      <c r="D273" s="151" t="s">
        <v>338</v>
      </c>
      <c r="E273" s="131" t="s">
        <v>71</v>
      </c>
    </row>
    <row r="274" spans="2:5" x14ac:dyDescent="0.25">
      <c r="B274" s="150" t="str">
        <f t="shared" si="4"/>
        <v xml:space="preserve">Pretexting </v>
      </c>
      <c r="C274" s="131" t="s">
        <v>339</v>
      </c>
      <c r="D274" s="151" t="s">
        <v>339</v>
      </c>
      <c r="E274" s="131" t="s">
        <v>228</v>
      </c>
    </row>
    <row r="275" spans="2:5" x14ac:dyDescent="0.25">
      <c r="B275" s="150" t="str">
        <f t="shared" si="4"/>
        <v xml:space="preserve">Pretexting via Customer Service </v>
      </c>
      <c r="C275" s="131" t="s">
        <v>340</v>
      </c>
      <c r="D275" s="151" t="s">
        <v>340</v>
      </c>
      <c r="E275" s="131" t="s">
        <v>71</v>
      </c>
    </row>
    <row r="276" spans="2:5" x14ac:dyDescent="0.25">
      <c r="B276" s="150" t="str">
        <f t="shared" si="4"/>
        <v xml:space="preserve">Pretexting via Delivery Person </v>
      </c>
      <c r="C276" s="131" t="s">
        <v>341</v>
      </c>
      <c r="D276" s="151" t="s">
        <v>341</v>
      </c>
      <c r="E276" s="131" t="s">
        <v>71</v>
      </c>
    </row>
    <row r="277" spans="2:5" x14ac:dyDescent="0.25">
      <c r="B277" s="150" t="str">
        <f t="shared" si="4"/>
        <v xml:space="preserve">Pretexting via Phone </v>
      </c>
      <c r="C277" s="131" t="s">
        <v>342</v>
      </c>
      <c r="D277" s="151" t="s">
        <v>342</v>
      </c>
      <c r="E277" s="131" t="s">
        <v>71</v>
      </c>
    </row>
    <row r="278" spans="2:5" x14ac:dyDescent="0.25">
      <c r="B278" s="150" t="str">
        <f t="shared" si="4"/>
        <v xml:space="preserve">Pretexting via Tech Support </v>
      </c>
      <c r="C278" s="131" t="s">
        <v>343</v>
      </c>
      <c r="D278" s="151" t="s">
        <v>343</v>
      </c>
      <c r="E278" s="131" t="s">
        <v>71</v>
      </c>
    </row>
    <row r="279" spans="2:5" x14ac:dyDescent="0.25">
      <c r="B279" s="150" t="str">
        <f t="shared" si="4"/>
        <v xml:space="preserve">Principal Spoofing </v>
      </c>
      <c r="C279" s="131" t="s">
        <v>344</v>
      </c>
      <c r="D279" s="151" t="s">
        <v>344</v>
      </c>
      <c r="E279" s="131" t="s">
        <v>71</v>
      </c>
    </row>
    <row r="280" spans="2:5" x14ac:dyDescent="0.25">
      <c r="B280" s="150" t="str">
        <f t="shared" si="4"/>
        <v xml:space="preserve">Privilege Escalation </v>
      </c>
      <c r="C280" s="131" t="s">
        <v>345</v>
      </c>
      <c r="D280" s="151" t="s">
        <v>345</v>
      </c>
      <c r="E280" s="131" t="s">
        <v>68</v>
      </c>
    </row>
    <row r="281" spans="2:5" x14ac:dyDescent="0.25">
      <c r="B281" s="150" t="str">
        <f t="shared" si="4"/>
        <v xml:space="preserve">Probabilistic Techniques </v>
      </c>
      <c r="C281" s="131" t="s">
        <v>346</v>
      </c>
      <c r="D281" s="151" t="s">
        <v>346</v>
      </c>
      <c r="E281" s="131" t="s">
        <v>68</v>
      </c>
    </row>
    <row r="282" spans="2:5" x14ac:dyDescent="0.25">
      <c r="B282" s="150" t="str">
        <f t="shared" si="4"/>
        <v xml:space="preserve">Probing an Application Through Targeting its Error Reporting </v>
      </c>
      <c r="C282" s="131" t="s">
        <v>347</v>
      </c>
      <c r="D282" s="151" t="s">
        <v>347</v>
      </c>
      <c r="E282" s="131" t="s">
        <v>71</v>
      </c>
    </row>
    <row r="283" spans="2:5" x14ac:dyDescent="0.25">
      <c r="B283" s="150" t="str">
        <f t="shared" si="4"/>
        <v xml:space="preserve">Programming to included script-based APIs </v>
      </c>
      <c r="C283" s="131" t="s">
        <v>348</v>
      </c>
      <c r="D283" s="151" t="s">
        <v>348</v>
      </c>
      <c r="E283" s="131" t="s">
        <v>71</v>
      </c>
    </row>
    <row r="284" spans="2:5" x14ac:dyDescent="0.25">
      <c r="B284" s="150" t="str">
        <f t="shared" si="4"/>
        <v xml:space="preserve">Protocol Manipulation </v>
      </c>
      <c r="C284" s="131" t="s">
        <v>349</v>
      </c>
      <c r="D284" s="151" t="s">
        <v>349</v>
      </c>
      <c r="E284" s="131" t="s">
        <v>71</v>
      </c>
    </row>
    <row r="285" spans="2:5" x14ac:dyDescent="0.25">
      <c r="B285" s="150" t="str">
        <f t="shared" si="4"/>
        <v xml:space="preserve">Protocol Reverse Engineering </v>
      </c>
      <c r="C285" s="131" t="s">
        <v>350</v>
      </c>
      <c r="D285" s="151" t="s">
        <v>350</v>
      </c>
      <c r="E285" s="131" t="s">
        <v>71</v>
      </c>
    </row>
    <row r="286" spans="2:5" x14ac:dyDescent="0.25">
      <c r="B286" s="150" t="str">
        <f t="shared" si="4"/>
        <v xml:space="preserve">Rainbow Table Password Cracking </v>
      </c>
      <c r="C286" s="131" t="s">
        <v>351</v>
      </c>
      <c r="D286" s="151" t="s">
        <v>351</v>
      </c>
      <c r="E286" s="131" t="s">
        <v>71</v>
      </c>
    </row>
    <row r="287" spans="2:5" x14ac:dyDescent="0.25">
      <c r="B287" s="150" t="str">
        <f t="shared" si="4"/>
        <v xml:space="preserve">Read Sensitive Strings Within an Executable </v>
      </c>
      <c r="C287" s="131" t="s">
        <v>352</v>
      </c>
      <c r="D287" s="151" t="s">
        <v>352</v>
      </c>
      <c r="E287" s="131" t="s">
        <v>71</v>
      </c>
    </row>
    <row r="288" spans="2:5" x14ac:dyDescent="0.25">
      <c r="B288" s="150" t="str">
        <f t="shared" si="4"/>
        <v xml:space="preserve">Recursive Payloads Sent to XML Parsers </v>
      </c>
      <c r="C288" s="131" t="s">
        <v>353</v>
      </c>
      <c r="D288" s="151" t="s">
        <v>353</v>
      </c>
      <c r="E288" s="131" t="s">
        <v>71</v>
      </c>
    </row>
    <row r="289" spans="2:5" x14ac:dyDescent="0.25">
      <c r="B289" s="150" t="str">
        <f t="shared" si="4"/>
        <v xml:space="preserve">Redirect Access to Libraries </v>
      </c>
      <c r="C289" s="131" t="s">
        <v>354</v>
      </c>
      <c r="D289" s="151" t="s">
        <v>354</v>
      </c>
      <c r="E289" s="131" t="s">
        <v>71</v>
      </c>
    </row>
    <row r="290" spans="2:5" x14ac:dyDescent="0.25">
      <c r="B290" s="150" t="str">
        <f t="shared" si="4"/>
        <v xml:space="preserve">Reflection Attack in Authentication Protocol </v>
      </c>
      <c r="C290" s="131" t="s">
        <v>355</v>
      </c>
      <c r="D290" s="151" t="s">
        <v>355</v>
      </c>
      <c r="E290" s="131" t="s">
        <v>71</v>
      </c>
    </row>
    <row r="291" spans="2:5" x14ac:dyDescent="0.25">
      <c r="B291" s="150" t="str">
        <f t="shared" si="4"/>
        <v xml:space="preserve">Reflection Injection </v>
      </c>
      <c r="C291" s="131" t="s">
        <v>356</v>
      </c>
      <c r="D291" s="151" t="s">
        <v>356</v>
      </c>
      <c r="E291" s="131" t="s">
        <v>71</v>
      </c>
    </row>
    <row r="292" spans="2:5" x14ac:dyDescent="0.25">
      <c r="B292" s="150" t="str">
        <f t="shared" si="4"/>
        <v xml:space="preserve">Registry Manipulation </v>
      </c>
      <c r="C292" s="131" t="s">
        <v>357</v>
      </c>
      <c r="D292" s="151" t="s">
        <v>357</v>
      </c>
      <c r="E292" s="131" t="s">
        <v>71</v>
      </c>
    </row>
    <row r="293" spans="2:5" x14ac:dyDescent="0.25">
      <c r="B293" s="150" t="str">
        <f t="shared" si="4"/>
        <v xml:space="preserve">Relative Path Traversal </v>
      </c>
      <c r="C293" s="131" t="s">
        <v>358</v>
      </c>
      <c r="D293" s="151" t="s">
        <v>358</v>
      </c>
      <c r="E293" s="131" t="s">
        <v>71</v>
      </c>
    </row>
    <row r="294" spans="2:5" x14ac:dyDescent="0.25">
      <c r="B294" s="150" t="str">
        <f t="shared" si="4"/>
        <v xml:space="preserve">Remote Code Inclusion </v>
      </c>
      <c r="C294" s="131" t="s">
        <v>359</v>
      </c>
      <c r="D294" s="151" t="s">
        <v>359</v>
      </c>
      <c r="E294" s="131" t="s">
        <v>68</v>
      </c>
    </row>
    <row r="295" spans="2:5" x14ac:dyDescent="0.25">
      <c r="B295" s="150" t="str">
        <f t="shared" si="4"/>
        <v xml:space="preserve">Removal of filters: Input filters, output filters, data masking </v>
      </c>
      <c r="C295" s="131" t="s">
        <v>360</v>
      </c>
      <c r="D295" s="151" t="s">
        <v>360</v>
      </c>
      <c r="E295" s="131" t="s">
        <v>71</v>
      </c>
    </row>
    <row r="296" spans="2:5" x14ac:dyDescent="0.25">
      <c r="B296" s="150" t="str">
        <f t="shared" si="4"/>
        <v xml:space="preserve">Removing Important Functionality from the Client </v>
      </c>
      <c r="C296" s="131" t="s">
        <v>361</v>
      </c>
      <c r="D296" s="151" t="s">
        <v>361</v>
      </c>
      <c r="E296" s="131" t="s">
        <v>71</v>
      </c>
    </row>
    <row r="297" spans="2:5" x14ac:dyDescent="0.25">
      <c r="B297" s="150" t="str">
        <f t="shared" si="4"/>
        <v xml:space="preserve">Removing/short-circuiting 'guard logic' </v>
      </c>
      <c r="C297" s="131" t="s">
        <v>362</v>
      </c>
      <c r="D297" s="151" t="s">
        <v>362</v>
      </c>
      <c r="E297" s="131" t="s">
        <v>71</v>
      </c>
    </row>
    <row r="298" spans="2:5" ht="30" x14ac:dyDescent="0.25">
      <c r="B298" s="150" t="str">
        <f t="shared" si="4"/>
        <v xml:space="preserve">Removing/short-circuiting 'Purse' logic: removing/mutating 'cash' decrements </v>
      </c>
      <c r="C298" s="131" t="s">
        <v>363</v>
      </c>
      <c r="D298" s="151" t="s">
        <v>363</v>
      </c>
      <c r="E298" s="131" t="s">
        <v>71</v>
      </c>
    </row>
    <row r="299" spans="2:5" x14ac:dyDescent="0.25">
      <c r="B299" s="150" t="str">
        <f t="shared" si="4"/>
        <v xml:space="preserve">Resource Depletion </v>
      </c>
      <c r="C299" s="131" t="s">
        <v>364</v>
      </c>
      <c r="D299" s="151" t="s">
        <v>364</v>
      </c>
      <c r="E299" s="131" t="s">
        <v>68</v>
      </c>
    </row>
    <row r="300" spans="2:5" x14ac:dyDescent="0.25">
      <c r="B300" s="150" t="str">
        <f t="shared" si="4"/>
        <v xml:space="preserve">Resource Depletion through Allocation </v>
      </c>
      <c r="C300" s="131" t="s">
        <v>365</v>
      </c>
      <c r="D300" s="151" t="s">
        <v>365</v>
      </c>
      <c r="E300" s="131" t="s">
        <v>71</v>
      </c>
    </row>
    <row r="301" spans="2:5" x14ac:dyDescent="0.25">
      <c r="B301" s="150" t="str">
        <f t="shared" si="4"/>
        <v xml:space="preserve">Resource Depletion through DTD Injection in a SOAP Message </v>
      </c>
      <c r="C301" s="131" t="s">
        <v>366</v>
      </c>
      <c r="D301" s="151" t="s">
        <v>366</v>
      </c>
      <c r="E301" s="131" t="s">
        <v>71</v>
      </c>
    </row>
    <row r="302" spans="2:5" x14ac:dyDescent="0.25">
      <c r="B302" s="150" t="str">
        <f t="shared" si="4"/>
        <v xml:space="preserve">Resource Depletion through Flooding </v>
      </c>
      <c r="C302" s="131" t="s">
        <v>367</v>
      </c>
      <c r="D302" s="151" t="s">
        <v>367</v>
      </c>
      <c r="E302" s="131" t="s">
        <v>71</v>
      </c>
    </row>
    <row r="303" spans="2:5" x14ac:dyDescent="0.25">
      <c r="B303" s="150" t="str">
        <f t="shared" si="4"/>
        <v xml:space="preserve">Resource Depletion through Leak </v>
      </c>
      <c r="C303" s="131" t="s">
        <v>368</v>
      </c>
      <c r="D303" s="151" t="s">
        <v>368</v>
      </c>
      <c r="E303" s="131" t="s">
        <v>71</v>
      </c>
    </row>
    <row r="304" spans="2:5" x14ac:dyDescent="0.25">
      <c r="B304" s="150" t="str">
        <f t="shared" si="4"/>
        <v xml:space="preserve">Resource Injection </v>
      </c>
      <c r="C304" s="131" t="s">
        <v>369</v>
      </c>
      <c r="D304" s="151" t="s">
        <v>369</v>
      </c>
      <c r="E304" s="131" t="s">
        <v>71</v>
      </c>
    </row>
    <row r="305" spans="2:5" x14ac:dyDescent="0.25">
      <c r="B305" s="150" t="str">
        <f t="shared" si="4"/>
        <v xml:space="preserve">Resource Location Attacks </v>
      </c>
      <c r="C305" s="131" t="s">
        <v>370</v>
      </c>
      <c r="D305" s="151" t="s">
        <v>370</v>
      </c>
      <c r="E305" s="131" t="s">
        <v>71</v>
      </c>
    </row>
    <row r="306" spans="2:5" x14ac:dyDescent="0.25">
      <c r="B306" s="150" t="str">
        <f t="shared" si="4"/>
        <v xml:space="preserve">Resource Manipulation </v>
      </c>
      <c r="C306" s="131" t="s">
        <v>371</v>
      </c>
      <c r="D306" s="151" t="s">
        <v>371</v>
      </c>
      <c r="E306" s="131" t="s">
        <v>68</v>
      </c>
    </row>
    <row r="307" spans="2:5" x14ac:dyDescent="0.25">
      <c r="B307" s="150" t="str">
        <f t="shared" si="4"/>
        <v xml:space="preserve">Restful Privilege Elevation </v>
      </c>
      <c r="C307" s="131" t="s">
        <v>372</v>
      </c>
      <c r="D307" s="151" t="s">
        <v>372</v>
      </c>
      <c r="E307" s="131" t="s">
        <v>71</v>
      </c>
    </row>
    <row r="308" spans="2:5" x14ac:dyDescent="0.25">
      <c r="B308" s="150" t="str">
        <f t="shared" si="4"/>
        <v xml:space="preserve">Reusing Session IDs (aka Session Replay) </v>
      </c>
      <c r="C308" s="131" t="s">
        <v>373</v>
      </c>
      <c r="D308" s="151" t="s">
        <v>373</v>
      </c>
      <c r="E308" s="131" t="s">
        <v>71</v>
      </c>
    </row>
    <row r="309" spans="2:5" ht="30" x14ac:dyDescent="0.25">
      <c r="B309" s="150" t="str">
        <f t="shared" si="4"/>
        <v xml:space="preserve">Reverse Engineer an Executable to Expose Assumed Hidden Functionality or Content </v>
      </c>
      <c r="C309" s="131" t="s">
        <v>374</v>
      </c>
      <c r="D309" s="151" t="s">
        <v>374</v>
      </c>
      <c r="E309" s="131" t="s">
        <v>71</v>
      </c>
    </row>
    <row r="310" spans="2:5" x14ac:dyDescent="0.25">
      <c r="B310" s="150" t="str">
        <f t="shared" si="4"/>
        <v xml:space="preserve">Reverse Engineering </v>
      </c>
      <c r="C310" s="131" t="s">
        <v>375</v>
      </c>
      <c r="D310" s="151" t="s">
        <v>375</v>
      </c>
      <c r="E310" s="131" t="s">
        <v>71</v>
      </c>
    </row>
    <row r="311" spans="2:5" x14ac:dyDescent="0.25">
      <c r="B311" s="150" t="str">
        <f t="shared" si="4"/>
        <v xml:space="preserve">RFID Chip Deactivation or Destruction </v>
      </c>
      <c r="C311" s="131" t="s">
        <v>376</v>
      </c>
      <c r="D311" s="151" t="s">
        <v>376</v>
      </c>
      <c r="E311" s="131" t="s">
        <v>71</v>
      </c>
    </row>
    <row r="312" spans="2:5" x14ac:dyDescent="0.25">
      <c r="B312" s="150" t="str">
        <f t="shared" si="4"/>
        <v xml:space="preserve">Scanning for Devices, Systems, or Routes </v>
      </c>
      <c r="C312" s="131" t="s">
        <v>377</v>
      </c>
      <c r="D312" s="151" t="s">
        <v>377</v>
      </c>
      <c r="E312" s="131" t="s">
        <v>71</v>
      </c>
    </row>
    <row r="313" spans="2:5" x14ac:dyDescent="0.25">
      <c r="B313" s="150" t="str">
        <f t="shared" si="4"/>
        <v xml:space="preserve">Scanning for Vulnerable Software </v>
      </c>
      <c r="C313" s="131" t="s">
        <v>378</v>
      </c>
      <c r="D313" s="151" t="s">
        <v>378</v>
      </c>
      <c r="E313" s="131" t="s">
        <v>71</v>
      </c>
    </row>
    <row r="314" spans="2:5" x14ac:dyDescent="0.25">
      <c r="B314" s="150" t="str">
        <f t="shared" si="4"/>
        <v xml:space="preserve">Schema Poisoning </v>
      </c>
      <c r="C314" s="131" t="s">
        <v>379</v>
      </c>
      <c r="D314" s="151" t="s">
        <v>379</v>
      </c>
      <c r="E314" s="131" t="s">
        <v>71</v>
      </c>
    </row>
    <row r="315" spans="2:5" x14ac:dyDescent="0.25">
      <c r="B315" s="150" t="str">
        <f t="shared" si="4"/>
        <v xml:space="preserve">Screen Temporary Files for Sensitive Information </v>
      </c>
      <c r="C315" s="131" t="s">
        <v>380</v>
      </c>
      <c r="D315" s="151" t="s">
        <v>380</v>
      </c>
      <c r="E315" s="131" t="s">
        <v>71</v>
      </c>
    </row>
    <row r="316" spans="2:5" x14ac:dyDescent="0.25">
      <c r="B316" s="150" t="str">
        <f t="shared" si="4"/>
        <v xml:space="preserve">Script Injection </v>
      </c>
      <c r="C316" s="131" t="s">
        <v>381</v>
      </c>
      <c r="D316" s="151" t="s">
        <v>381</v>
      </c>
      <c r="E316" s="131" t="s">
        <v>71</v>
      </c>
    </row>
    <row r="317" spans="2:5" x14ac:dyDescent="0.25">
      <c r="B317" s="150" t="str">
        <f t="shared" si="4"/>
        <v xml:space="preserve">Server Side Include (SSI) Injection </v>
      </c>
      <c r="C317" s="131" t="s">
        <v>382</v>
      </c>
      <c r="D317" s="151" t="s">
        <v>382</v>
      </c>
      <c r="E317" s="131" t="s">
        <v>71</v>
      </c>
    </row>
    <row r="318" spans="2:5" x14ac:dyDescent="0.25">
      <c r="B318" s="150" t="str">
        <f t="shared" si="4"/>
        <v xml:space="preserve">Session Credential Falsification through Forging </v>
      </c>
      <c r="C318" s="131" t="s">
        <v>383</v>
      </c>
      <c r="D318" s="151" t="s">
        <v>383</v>
      </c>
      <c r="E318" s="131" t="s">
        <v>71</v>
      </c>
    </row>
    <row r="319" spans="2:5" x14ac:dyDescent="0.25">
      <c r="B319" s="150" t="str">
        <f t="shared" si="4"/>
        <v xml:space="preserve">Session Credential Falsification through Manipulation </v>
      </c>
      <c r="C319" s="131" t="s">
        <v>384</v>
      </c>
      <c r="D319" s="151" t="s">
        <v>384</v>
      </c>
      <c r="E319" s="131" t="s">
        <v>71</v>
      </c>
    </row>
    <row r="320" spans="2:5" x14ac:dyDescent="0.25">
      <c r="B320" s="150" t="str">
        <f t="shared" si="4"/>
        <v xml:space="preserve">Session Credential Falsification through Prediction </v>
      </c>
      <c r="C320" s="131" t="s">
        <v>385</v>
      </c>
      <c r="D320" s="151" t="s">
        <v>385</v>
      </c>
      <c r="E320" s="131" t="s">
        <v>71</v>
      </c>
    </row>
    <row r="321" spans="2:5" x14ac:dyDescent="0.25">
      <c r="B321" s="150" t="str">
        <f t="shared" si="4"/>
        <v xml:space="preserve">Session Fixation </v>
      </c>
      <c r="C321" s="131" t="s">
        <v>386</v>
      </c>
      <c r="D321" s="151" t="s">
        <v>386</v>
      </c>
      <c r="E321" s="131" t="s">
        <v>71</v>
      </c>
    </row>
    <row r="322" spans="2:5" x14ac:dyDescent="0.25">
      <c r="B322" s="150" t="str">
        <f t="shared" si="4"/>
        <v xml:space="preserve">Session Sidejacking </v>
      </c>
      <c r="C322" s="131" t="s">
        <v>387</v>
      </c>
      <c r="D322" s="151" t="s">
        <v>387</v>
      </c>
      <c r="E322" s="131" t="s">
        <v>71</v>
      </c>
    </row>
    <row r="323" spans="2:5" x14ac:dyDescent="0.25">
      <c r="B323" s="150" t="str">
        <f t="shared" si="4"/>
        <v xml:space="preserve">Simple Script Injection </v>
      </c>
      <c r="C323" s="131" t="s">
        <v>388</v>
      </c>
      <c r="D323" s="151" t="s">
        <v>388</v>
      </c>
      <c r="E323" s="131" t="s">
        <v>71</v>
      </c>
    </row>
    <row r="324" spans="2:5" x14ac:dyDescent="0.25">
      <c r="B324" s="150" t="str">
        <f t="shared" si="4"/>
        <v xml:space="preserve">Sniffing Attacks </v>
      </c>
      <c r="C324" s="131" t="s">
        <v>389</v>
      </c>
      <c r="D324" s="151" t="s">
        <v>389</v>
      </c>
      <c r="E324" s="131" t="s">
        <v>71</v>
      </c>
    </row>
    <row r="325" spans="2:5" x14ac:dyDescent="0.25">
      <c r="B325" s="150" t="str">
        <f t="shared" si="4"/>
        <v xml:space="preserve">Sniffing Information Sent Over Public/multicast Networks </v>
      </c>
      <c r="C325" s="131" t="s">
        <v>390</v>
      </c>
      <c r="D325" s="151" t="s">
        <v>390</v>
      </c>
      <c r="E325" s="131" t="s">
        <v>71</v>
      </c>
    </row>
    <row r="326" spans="2:5" x14ac:dyDescent="0.25">
      <c r="B326" s="150" t="str">
        <f t="shared" ref="B326:B389" si="5">LEFT($C326,FIND(" - ",$C326))</f>
        <v xml:space="preserve">SOAP Array Overflow </v>
      </c>
      <c r="C326" s="131" t="s">
        <v>391</v>
      </c>
      <c r="D326" s="151" t="s">
        <v>391</v>
      </c>
      <c r="E326" s="131" t="s">
        <v>71</v>
      </c>
    </row>
    <row r="327" spans="2:5" x14ac:dyDescent="0.25">
      <c r="B327" s="150" t="str">
        <f t="shared" si="5"/>
        <v xml:space="preserve">Soap Manipulation </v>
      </c>
      <c r="C327" s="131" t="s">
        <v>392</v>
      </c>
      <c r="D327" s="151" t="s">
        <v>392</v>
      </c>
      <c r="E327" s="131" t="s">
        <v>71</v>
      </c>
    </row>
    <row r="328" spans="2:5" x14ac:dyDescent="0.25">
      <c r="B328" s="150" t="str">
        <f t="shared" si="5"/>
        <v xml:space="preserve">SOAP Parameter Tampering </v>
      </c>
      <c r="C328" s="131" t="s">
        <v>393</v>
      </c>
      <c r="D328" s="151" t="s">
        <v>393</v>
      </c>
      <c r="E328" s="131" t="s">
        <v>71</v>
      </c>
    </row>
    <row r="329" spans="2:5" x14ac:dyDescent="0.25">
      <c r="B329" s="150" t="str">
        <f t="shared" si="5"/>
        <v xml:space="preserve">Social Engineering Attacks </v>
      </c>
      <c r="C329" s="131" t="s">
        <v>394</v>
      </c>
      <c r="D329" s="151" t="s">
        <v>394</v>
      </c>
      <c r="E329" s="131" t="s">
        <v>71</v>
      </c>
    </row>
    <row r="330" spans="2:5" x14ac:dyDescent="0.25">
      <c r="B330" s="150" t="str">
        <f t="shared" si="5"/>
        <v xml:space="preserve">Social Information Gathering Attacks </v>
      </c>
      <c r="C330" s="131" t="s">
        <v>395</v>
      </c>
      <c r="D330" s="151" t="s">
        <v>395</v>
      </c>
      <c r="E330" s="131" t="s">
        <v>71</v>
      </c>
    </row>
    <row r="331" spans="2:5" x14ac:dyDescent="0.25">
      <c r="B331" s="150" t="str">
        <f t="shared" si="5"/>
        <v xml:space="preserve">Social Information Gathering via Dumpster Diving </v>
      </c>
      <c r="C331" s="131" t="s">
        <v>396</v>
      </c>
      <c r="D331" s="151" t="s">
        <v>396</v>
      </c>
      <c r="E331" s="131" t="s">
        <v>71</v>
      </c>
    </row>
    <row r="332" spans="2:5" x14ac:dyDescent="0.25">
      <c r="B332" s="150" t="str">
        <f t="shared" si="5"/>
        <v xml:space="preserve">Social Information Gathering via Pretexting </v>
      </c>
      <c r="C332" s="131" t="s">
        <v>397</v>
      </c>
      <c r="D332" s="151" t="s">
        <v>397</v>
      </c>
      <c r="E332" s="131" t="s">
        <v>71</v>
      </c>
    </row>
    <row r="333" spans="2:5" x14ac:dyDescent="0.25">
      <c r="B333" s="150" t="str">
        <f t="shared" si="5"/>
        <v xml:space="preserve">Social Information Gathering via Research </v>
      </c>
      <c r="C333" s="131" t="s">
        <v>398</v>
      </c>
      <c r="D333" s="151" t="s">
        <v>398</v>
      </c>
      <c r="E333" s="131" t="s">
        <v>71</v>
      </c>
    </row>
    <row r="334" spans="2:5" ht="30" x14ac:dyDescent="0.25">
      <c r="B334" s="150" t="str">
        <f t="shared" si="5"/>
        <v xml:space="preserve">Socket Capable Browser Plugins Result In Transparent Proxy Abuse </v>
      </c>
      <c r="C334" s="131" t="s">
        <v>399</v>
      </c>
      <c r="D334" s="151" t="s">
        <v>399</v>
      </c>
      <c r="E334" s="131" t="s">
        <v>71</v>
      </c>
    </row>
    <row r="335" spans="2:5" x14ac:dyDescent="0.25">
      <c r="B335" s="150" t="str">
        <f t="shared" si="5"/>
        <v xml:space="preserve">Software Integrity Attacks </v>
      </c>
      <c r="C335" s="131" t="s">
        <v>400</v>
      </c>
      <c r="D335" s="151" t="s">
        <v>400</v>
      </c>
      <c r="E335" s="131" t="s">
        <v>71</v>
      </c>
    </row>
    <row r="336" spans="2:5" x14ac:dyDescent="0.25">
      <c r="B336" s="150" t="str">
        <f t="shared" si="5"/>
        <v xml:space="preserve">Software Reverse Engineering </v>
      </c>
      <c r="C336" s="131" t="s">
        <v>401</v>
      </c>
      <c r="D336" s="151" t="s">
        <v>401</v>
      </c>
      <c r="E336" s="131" t="s">
        <v>71</v>
      </c>
    </row>
    <row r="337" spans="2:5" x14ac:dyDescent="0.25">
      <c r="B337" s="150" t="str">
        <f t="shared" si="5"/>
        <v xml:space="preserve">Spear Phishing </v>
      </c>
      <c r="C337" s="131" t="s">
        <v>402</v>
      </c>
      <c r="D337" s="151" t="s">
        <v>402</v>
      </c>
      <c r="E337" s="131" t="s">
        <v>71</v>
      </c>
    </row>
    <row r="338" spans="2:5" x14ac:dyDescent="0.25">
      <c r="B338" s="150" t="str">
        <f t="shared" si="5"/>
        <v xml:space="preserve">Spoofing </v>
      </c>
      <c r="C338" s="131" t="s">
        <v>403</v>
      </c>
      <c r="D338" s="151" t="s">
        <v>403</v>
      </c>
      <c r="E338" s="131" t="s">
        <v>68</v>
      </c>
    </row>
    <row r="339" spans="2:5" x14ac:dyDescent="0.25">
      <c r="B339" s="150" t="str">
        <f t="shared" si="5"/>
        <v xml:space="preserve">Spoofing of UDDI/ebXML Messages </v>
      </c>
      <c r="C339" s="131" t="s">
        <v>404</v>
      </c>
      <c r="D339" s="151" t="s">
        <v>404</v>
      </c>
      <c r="E339" s="131" t="s">
        <v>71</v>
      </c>
    </row>
    <row r="340" spans="2:5" x14ac:dyDescent="0.25">
      <c r="B340" s="150" t="str">
        <f t="shared" si="5"/>
        <v xml:space="preserve">SQL Injection </v>
      </c>
      <c r="C340" s="131" t="s">
        <v>405</v>
      </c>
      <c r="D340" s="151" t="s">
        <v>405</v>
      </c>
      <c r="E340" s="131" t="s">
        <v>71</v>
      </c>
    </row>
    <row r="341" spans="2:5" x14ac:dyDescent="0.25">
      <c r="B341" s="150" t="str">
        <f t="shared" si="5"/>
        <v xml:space="preserve">SQL Injection through SOAP Parameter Tampering </v>
      </c>
      <c r="C341" s="131" t="s">
        <v>406</v>
      </c>
      <c r="D341" s="151" t="s">
        <v>406</v>
      </c>
      <c r="E341" s="131" t="s">
        <v>71</v>
      </c>
    </row>
    <row r="342" spans="2:5" x14ac:dyDescent="0.25">
      <c r="B342" s="150" t="str">
        <f t="shared" si="5"/>
        <v xml:space="preserve">Standard Abstractions </v>
      </c>
      <c r="C342" s="131" t="s">
        <v>407</v>
      </c>
      <c r="D342" s="151" t="s">
        <v>407</v>
      </c>
      <c r="E342" s="131" t="s">
        <v>71</v>
      </c>
    </row>
    <row r="343" spans="2:5" x14ac:dyDescent="0.25">
      <c r="B343" s="150" t="str">
        <f t="shared" si="5"/>
        <v xml:space="preserve">String Format Overflow in syslog() </v>
      </c>
      <c r="C343" s="131" t="s">
        <v>408</v>
      </c>
      <c r="D343" s="151" t="s">
        <v>408</v>
      </c>
      <c r="E343" s="131" t="s">
        <v>71</v>
      </c>
    </row>
    <row r="344" spans="2:5" ht="30" x14ac:dyDescent="0.25">
      <c r="B344" s="150" t="str">
        <f t="shared" si="5"/>
        <v xml:space="preserve">Subversion of authorization checks: cache filtering, programmatic security, etc. </v>
      </c>
      <c r="C344" s="131" t="s">
        <v>409</v>
      </c>
      <c r="D344" s="151" t="s">
        <v>409</v>
      </c>
      <c r="E344" s="131" t="s">
        <v>71</v>
      </c>
    </row>
    <row r="345" spans="2:5" x14ac:dyDescent="0.25">
      <c r="B345" s="150" t="str">
        <f t="shared" si="5"/>
        <v xml:space="preserve">Subvert Code-signing Facilities </v>
      </c>
      <c r="C345" s="131" t="s">
        <v>410</v>
      </c>
      <c r="D345" s="151" t="s">
        <v>410</v>
      </c>
      <c r="E345" s="131" t="s">
        <v>71</v>
      </c>
    </row>
    <row r="346" spans="2:5" x14ac:dyDescent="0.25">
      <c r="B346" s="150" t="str">
        <f t="shared" si="5"/>
        <v xml:space="preserve">Subverting Environment Variable Values </v>
      </c>
      <c r="C346" s="131" t="s">
        <v>411</v>
      </c>
      <c r="D346" s="151" t="s">
        <v>411</v>
      </c>
      <c r="E346" s="131" t="s">
        <v>71</v>
      </c>
    </row>
    <row r="347" spans="2:5" x14ac:dyDescent="0.25">
      <c r="B347" s="150" t="str">
        <f t="shared" si="5"/>
        <v xml:space="preserve">Supply Chain Attacks </v>
      </c>
      <c r="C347" s="131" t="s">
        <v>412</v>
      </c>
      <c r="D347" s="151" t="s">
        <v>412</v>
      </c>
      <c r="E347" s="131" t="s">
        <v>71</v>
      </c>
    </row>
    <row r="348" spans="2:5" x14ac:dyDescent="0.25">
      <c r="B348" s="150" t="str">
        <f t="shared" si="5"/>
        <v xml:space="preserve">Symlink Attack </v>
      </c>
      <c r="C348" s="131" t="s">
        <v>413</v>
      </c>
      <c r="D348" s="151" t="s">
        <v>413</v>
      </c>
      <c r="E348" s="131" t="s">
        <v>71</v>
      </c>
    </row>
    <row r="349" spans="2:5" x14ac:dyDescent="0.25">
      <c r="B349" s="150" t="str">
        <f t="shared" si="5"/>
        <v xml:space="preserve">Target Influence via Eye Cues </v>
      </c>
      <c r="C349" s="131" t="s">
        <v>414</v>
      </c>
      <c r="D349" s="151" t="s">
        <v>414</v>
      </c>
      <c r="E349" s="131" t="s">
        <v>71</v>
      </c>
    </row>
    <row r="350" spans="2:5" x14ac:dyDescent="0.25">
      <c r="B350" s="150" t="str">
        <f t="shared" si="5"/>
        <v xml:space="preserve">Target Influence via Framing </v>
      </c>
      <c r="C350" s="131" t="s">
        <v>415</v>
      </c>
      <c r="D350" s="151" t="s">
        <v>415</v>
      </c>
      <c r="E350" s="131" t="s">
        <v>71</v>
      </c>
    </row>
    <row r="351" spans="2:5" x14ac:dyDescent="0.25">
      <c r="B351" s="150" t="str">
        <f t="shared" si="5"/>
        <v xml:space="preserve">Target Influence via Instant Rapport </v>
      </c>
      <c r="C351" s="131" t="s">
        <v>416</v>
      </c>
      <c r="D351" s="151" t="s">
        <v>416</v>
      </c>
      <c r="E351" s="131" t="s">
        <v>71</v>
      </c>
    </row>
    <row r="352" spans="2:5" x14ac:dyDescent="0.25">
      <c r="B352" s="150" t="str">
        <f t="shared" si="5"/>
        <v xml:space="preserve">Target Influence via Interview and Interrogation </v>
      </c>
      <c r="C352" s="131" t="s">
        <v>417</v>
      </c>
      <c r="D352" s="151" t="s">
        <v>417</v>
      </c>
      <c r="E352" s="131" t="s">
        <v>71</v>
      </c>
    </row>
    <row r="353" spans="2:5" x14ac:dyDescent="0.25">
      <c r="B353" s="150" t="str">
        <f t="shared" si="5"/>
        <v xml:space="preserve">Target Influence via Manipulation of Incentives </v>
      </c>
      <c r="C353" s="131" t="s">
        <v>418</v>
      </c>
      <c r="D353" s="151" t="s">
        <v>418</v>
      </c>
      <c r="E353" s="131" t="s">
        <v>71</v>
      </c>
    </row>
    <row r="354" spans="2:5" x14ac:dyDescent="0.25">
      <c r="B354" s="150" t="str">
        <f t="shared" si="5"/>
        <v xml:space="preserve">Target Influence via Micro-Expressions </v>
      </c>
      <c r="C354" s="131" t="s">
        <v>419</v>
      </c>
      <c r="D354" s="151" t="s">
        <v>419</v>
      </c>
      <c r="E354" s="131" t="s">
        <v>71</v>
      </c>
    </row>
    <row r="355" spans="2:5" x14ac:dyDescent="0.25">
      <c r="B355" s="150" t="str">
        <f t="shared" si="5"/>
        <v xml:space="preserve">Target Influence via Modes of Thinking </v>
      </c>
      <c r="C355" s="131" t="s">
        <v>420</v>
      </c>
      <c r="D355" s="151" t="s">
        <v>420</v>
      </c>
      <c r="E355" s="131" t="s">
        <v>71</v>
      </c>
    </row>
    <row r="356" spans="2:5" x14ac:dyDescent="0.25">
      <c r="B356" s="150" t="str">
        <f t="shared" si="5"/>
        <v xml:space="preserve">Target Influence via Neuro-Linguistic Programming (NLP) </v>
      </c>
      <c r="C356" s="131" t="s">
        <v>421</v>
      </c>
      <c r="D356" s="151" t="s">
        <v>421</v>
      </c>
      <c r="E356" s="131" t="s">
        <v>71</v>
      </c>
    </row>
    <row r="357" spans="2:5" x14ac:dyDescent="0.25">
      <c r="B357" s="150" t="str">
        <f t="shared" si="5"/>
        <v xml:space="preserve">Target Influence via Perception of Authority </v>
      </c>
      <c r="C357" s="131" t="s">
        <v>422</v>
      </c>
      <c r="D357" s="151" t="s">
        <v>422</v>
      </c>
      <c r="E357" s="131" t="s">
        <v>71</v>
      </c>
    </row>
    <row r="358" spans="2:5" ht="30" x14ac:dyDescent="0.25">
      <c r="B358" s="150" t="str">
        <f t="shared" si="5"/>
        <v xml:space="preserve">Target Influence via Perception of Commitment and Consistency </v>
      </c>
      <c r="C358" s="131" t="s">
        <v>423</v>
      </c>
      <c r="D358" s="151" t="s">
        <v>423</v>
      </c>
      <c r="E358" s="131" t="s">
        <v>71</v>
      </c>
    </row>
    <row r="359" spans="2:5" x14ac:dyDescent="0.25">
      <c r="B359" s="150" t="str">
        <f t="shared" si="5"/>
        <v xml:space="preserve">Target Influence via Perception of Concession </v>
      </c>
      <c r="C359" s="131" t="s">
        <v>424</v>
      </c>
      <c r="D359" s="151" t="s">
        <v>424</v>
      </c>
      <c r="E359" s="131" t="s">
        <v>71</v>
      </c>
    </row>
    <row r="360" spans="2:5" x14ac:dyDescent="0.25">
      <c r="B360" s="150" t="str">
        <f t="shared" si="5"/>
        <v xml:space="preserve">Target Influence via Perception of Consensus or Social Proof </v>
      </c>
      <c r="C360" s="131" t="s">
        <v>425</v>
      </c>
      <c r="D360" s="151" t="s">
        <v>425</v>
      </c>
      <c r="E360" s="131" t="s">
        <v>71</v>
      </c>
    </row>
    <row r="361" spans="2:5" x14ac:dyDescent="0.25">
      <c r="B361" s="150" t="str">
        <f t="shared" si="5"/>
        <v xml:space="preserve">Target Influence via Perception of Liking </v>
      </c>
      <c r="C361" s="131" t="s">
        <v>426</v>
      </c>
      <c r="D361" s="151" t="s">
        <v>426</v>
      </c>
      <c r="E361" s="131" t="s">
        <v>71</v>
      </c>
    </row>
    <row r="362" spans="2:5" x14ac:dyDescent="0.25">
      <c r="B362" s="150" t="str">
        <f t="shared" si="5"/>
        <v xml:space="preserve">Target Influence via Perception of Obligation </v>
      </c>
      <c r="C362" s="131" t="s">
        <v>427</v>
      </c>
      <c r="D362" s="151" t="s">
        <v>427</v>
      </c>
      <c r="E362" s="131" t="s">
        <v>71</v>
      </c>
    </row>
    <row r="363" spans="2:5" x14ac:dyDescent="0.25">
      <c r="B363" s="150" t="str">
        <f t="shared" si="5"/>
        <v xml:space="preserve">Target Influence via Perception of Reciprocation </v>
      </c>
      <c r="C363" s="131" t="s">
        <v>428</v>
      </c>
      <c r="D363" s="151" t="s">
        <v>428</v>
      </c>
      <c r="E363" s="131" t="s">
        <v>71</v>
      </c>
    </row>
    <row r="364" spans="2:5" x14ac:dyDescent="0.25">
      <c r="B364" s="150" t="str">
        <f t="shared" si="5"/>
        <v xml:space="preserve">Target Influence via Perception of Scarcity </v>
      </c>
      <c r="C364" s="131" t="s">
        <v>429</v>
      </c>
      <c r="D364" s="151" t="s">
        <v>429</v>
      </c>
      <c r="E364" s="131" t="s">
        <v>71</v>
      </c>
    </row>
    <row r="365" spans="2:5" x14ac:dyDescent="0.25">
      <c r="B365" s="150" t="str">
        <f t="shared" si="5"/>
        <v xml:space="preserve">Target Influence via Psychological Principles </v>
      </c>
      <c r="C365" s="131" t="s">
        <v>430</v>
      </c>
      <c r="D365" s="151" t="s">
        <v>430</v>
      </c>
      <c r="E365" s="131" t="s">
        <v>71</v>
      </c>
    </row>
    <row r="366" spans="2:5" x14ac:dyDescent="0.25">
      <c r="B366" s="150" t="str">
        <f t="shared" si="5"/>
        <v xml:space="preserve">Target Influence via Social Engineering </v>
      </c>
      <c r="C366" s="131" t="s">
        <v>431</v>
      </c>
      <c r="D366" s="151" t="s">
        <v>431</v>
      </c>
      <c r="E366" s="131" t="s">
        <v>71</v>
      </c>
    </row>
    <row r="367" spans="2:5" x14ac:dyDescent="0.25">
      <c r="B367" s="150" t="str">
        <f t="shared" si="5"/>
        <v xml:space="preserve">Target Influence via The Human Buffer Overflow </v>
      </c>
      <c r="C367" s="131" t="s">
        <v>432</v>
      </c>
      <c r="D367" s="151" t="s">
        <v>432</v>
      </c>
      <c r="E367" s="131" t="s">
        <v>71</v>
      </c>
    </row>
    <row r="368" spans="2:5" x14ac:dyDescent="0.25">
      <c r="B368" s="150" t="str">
        <f t="shared" si="5"/>
        <v xml:space="preserve">Target Influence via Voice in NLP </v>
      </c>
      <c r="C368" s="131" t="s">
        <v>433</v>
      </c>
      <c r="D368" s="151" t="s">
        <v>433</v>
      </c>
      <c r="E368" s="131" t="s">
        <v>71</v>
      </c>
    </row>
    <row r="369" spans="2:5" x14ac:dyDescent="0.25">
      <c r="B369" s="150" t="str">
        <f t="shared" si="5"/>
        <v xml:space="preserve">Target Programs with Elevated Privileges </v>
      </c>
      <c r="C369" s="131" t="s">
        <v>434</v>
      </c>
      <c r="D369" s="151" t="s">
        <v>434</v>
      </c>
      <c r="E369" s="131" t="s">
        <v>71</v>
      </c>
    </row>
    <row r="370" spans="2:5" x14ac:dyDescent="0.25">
      <c r="B370" s="150" t="str">
        <f t="shared" si="5"/>
        <v xml:space="preserve">TCP 'RST' Flag Checksum Probe </v>
      </c>
      <c r="C370" s="131" t="s">
        <v>435</v>
      </c>
      <c r="D370" s="151" t="s">
        <v>435</v>
      </c>
      <c r="E370" s="131" t="s">
        <v>71</v>
      </c>
    </row>
    <row r="371" spans="2:5" x14ac:dyDescent="0.25">
      <c r="B371" s="150" t="str">
        <f t="shared" si="5"/>
        <v xml:space="preserve">TCP (ISN) Counter Rate Probe </v>
      </c>
      <c r="C371" s="131" t="s">
        <v>436</v>
      </c>
      <c r="D371" s="151" t="s">
        <v>436</v>
      </c>
      <c r="E371" s="131" t="s">
        <v>71</v>
      </c>
    </row>
    <row r="372" spans="2:5" x14ac:dyDescent="0.25">
      <c r="B372" s="150" t="str">
        <f t="shared" si="5"/>
        <v xml:space="preserve">TCP (ISN) Greatest Common Divisor Probe </v>
      </c>
      <c r="C372" s="131" t="s">
        <v>437</v>
      </c>
      <c r="D372" s="151" t="s">
        <v>437</v>
      </c>
      <c r="E372" s="131" t="s">
        <v>71</v>
      </c>
    </row>
    <row r="373" spans="2:5" x14ac:dyDescent="0.25">
      <c r="B373" s="150" t="str">
        <f t="shared" si="5"/>
        <v xml:space="preserve">TCP (ISN) Sequence Predictability Probe </v>
      </c>
      <c r="C373" s="131" t="s">
        <v>438</v>
      </c>
      <c r="D373" s="151" t="s">
        <v>438</v>
      </c>
      <c r="E373" s="131" t="s">
        <v>71</v>
      </c>
    </row>
    <row r="374" spans="2:5" x14ac:dyDescent="0.25">
      <c r="B374" s="150" t="str">
        <f t="shared" si="5"/>
        <v xml:space="preserve">TCP ACK Ping </v>
      </c>
      <c r="C374" s="131" t="s">
        <v>439</v>
      </c>
      <c r="D374" s="151" t="s">
        <v>439</v>
      </c>
      <c r="E374" s="131" t="s">
        <v>71</v>
      </c>
    </row>
    <row r="375" spans="2:5" x14ac:dyDescent="0.25">
      <c r="B375" s="150" t="str">
        <f t="shared" si="5"/>
        <v xml:space="preserve">TCP ACK Scan </v>
      </c>
      <c r="C375" s="131" t="s">
        <v>440</v>
      </c>
      <c r="D375" s="151" t="s">
        <v>440</v>
      </c>
      <c r="E375" s="131" t="s">
        <v>71</v>
      </c>
    </row>
    <row r="376" spans="2:5" x14ac:dyDescent="0.25">
      <c r="B376" s="150" t="str">
        <f t="shared" si="5"/>
        <v xml:space="preserve">TCP Congestion Control Flag (ECN) Probe </v>
      </c>
      <c r="C376" s="131" t="s">
        <v>441</v>
      </c>
      <c r="D376" s="151" t="s">
        <v>441</v>
      </c>
      <c r="E376" s="131" t="s">
        <v>71</v>
      </c>
    </row>
    <row r="377" spans="2:5" x14ac:dyDescent="0.25">
      <c r="B377" s="150" t="str">
        <f t="shared" si="5"/>
        <v xml:space="preserve">TCP Connect Scan </v>
      </c>
      <c r="C377" s="131" t="s">
        <v>442</v>
      </c>
      <c r="D377" s="151" t="s">
        <v>442</v>
      </c>
      <c r="E377" s="131" t="s">
        <v>71</v>
      </c>
    </row>
    <row r="378" spans="2:5" x14ac:dyDescent="0.25">
      <c r="B378" s="150" t="str">
        <f t="shared" si="5"/>
        <v xml:space="preserve">TCP FIN scan </v>
      </c>
      <c r="C378" s="131" t="s">
        <v>443</v>
      </c>
      <c r="D378" s="151" t="s">
        <v>443</v>
      </c>
      <c r="E378" s="131" t="s">
        <v>71</v>
      </c>
    </row>
    <row r="379" spans="2:5" x14ac:dyDescent="0.25">
      <c r="B379" s="150" t="str">
        <f t="shared" si="5"/>
        <v xml:space="preserve">TCP Initial Window Size Probe </v>
      </c>
      <c r="C379" s="131" t="s">
        <v>444</v>
      </c>
      <c r="D379" s="151" t="s">
        <v>444</v>
      </c>
      <c r="E379" s="131" t="s">
        <v>71</v>
      </c>
    </row>
    <row r="380" spans="2:5" x14ac:dyDescent="0.25">
      <c r="B380" s="150" t="str">
        <f t="shared" si="5"/>
        <v xml:space="preserve">TCP Null Scan </v>
      </c>
      <c r="C380" s="131" t="s">
        <v>445</v>
      </c>
      <c r="D380" s="151" t="s">
        <v>445</v>
      </c>
      <c r="E380" s="131" t="s">
        <v>71</v>
      </c>
    </row>
    <row r="381" spans="2:5" x14ac:dyDescent="0.25">
      <c r="B381" s="150" t="str">
        <f t="shared" si="5"/>
        <v xml:space="preserve">TCP Options Probe </v>
      </c>
      <c r="C381" s="131" t="s">
        <v>446</v>
      </c>
      <c r="D381" s="151" t="s">
        <v>446</v>
      </c>
      <c r="E381" s="131" t="s">
        <v>71</v>
      </c>
    </row>
    <row r="382" spans="2:5" x14ac:dyDescent="0.25">
      <c r="B382" s="150" t="str">
        <f t="shared" si="5"/>
        <v xml:space="preserve">TCP RPC Scan </v>
      </c>
      <c r="C382" s="131" t="s">
        <v>447</v>
      </c>
      <c r="D382" s="151" t="s">
        <v>447</v>
      </c>
      <c r="E382" s="131" t="s">
        <v>71</v>
      </c>
    </row>
    <row r="383" spans="2:5" x14ac:dyDescent="0.25">
      <c r="B383" s="150" t="str">
        <f t="shared" si="5"/>
        <v xml:space="preserve">TCP Sequence Number Probe </v>
      </c>
      <c r="C383" s="131" t="s">
        <v>448</v>
      </c>
      <c r="D383" s="151" t="s">
        <v>448</v>
      </c>
      <c r="E383" s="131" t="s">
        <v>71</v>
      </c>
    </row>
    <row r="384" spans="2:5" x14ac:dyDescent="0.25">
      <c r="B384" s="150" t="str">
        <f t="shared" si="5"/>
        <v xml:space="preserve">TCP SYN Ping </v>
      </c>
      <c r="C384" s="131" t="s">
        <v>449</v>
      </c>
      <c r="D384" s="151" t="s">
        <v>449</v>
      </c>
      <c r="E384" s="131" t="s">
        <v>71</v>
      </c>
    </row>
    <row r="385" spans="2:5" x14ac:dyDescent="0.25">
      <c r="B385" s="150" t="str">
        <f t="shared" si="5"/>
        <v xml:space="preserve">TCP SYN Scan </v>
      </c>
      <c r="C385" s="131" t="s">
        <v>450</v>
      </c>
      <c r="D385" s="151" t="s">
        <v>450</v>
      </c>
      <c r="E385" s="131" t="s">
        <v>71</v>
      </c>
    </row>
    <row r="386" spans="2:5" x14ac:dyDescent="0.25">
      <c r="B386" s="150" t="str">
        <f t="shared" si="5"/>
        <v xml:space="preserve">TCP Timestamp Probe </v>
      </c>
      <c r="C386" s="131" t="s">
        <v>451</v>
      </c>
      <c r="D386" s="151" t="s">
        <v>451</v>
      </c>
      <c r="E386" s="131" t="s">
        <v>71</v>
      </c>
    </row>
    <row r="387" spans="2:5" x14ac:dyDescent="0.25">
      <c r="B387" s="150" t="str">
        <f t="shared" si="5"/>
        <v xml:space="preserve">TCP Window Scan </v>
      </c>
      <c r="C387" s="131" t="s">
        <v>452</v>
      </c>
      <c r="D387" s="151" t="s">
        <v>452</v>
      </c>
      <c r="E387" s="131" t="s">
        <v>71</v>
      </c>
    </row>
    <row r="388" spans="2:5" x14ac:dyDescent="0.25">
      <c r="B388" s="150" t="str">
        <f t="shared" si="5"/>
        <v xml:space="preserve">TCP Xmas Scan </v>
      </c>
      <c r="C388" s="131" t="s">
        <v>453</v>
      </c>
      <c r="D388" s="151" t="s">
        <v>453</v>
      </c>
      <c r="E388" s="131" t="s">
        <v>71</v>
      </c>
    </row>
    <row r="389" spans="2:5" x14ac:dyDescent="0.25">
      <c r="B389" s="150" t="str">
        <f t="shared" si="5"/>
        <v xml:space="preserve">TCP/IP Fingerprinting Probes </v>
      </c>
      <c r="C389" s="131" t="s">
        <v>454</v>
      </c>
      <c r="D389" s="151" t="s">
        <v>454</v>
      </c>
      <c r="E389" s="131" t="s">
        <v>71</v>
      </c>
    </row>
    <row r="390" spans="2:5" x14ac:dyDescent="0.25">
      <c r="B390" s="150" t="str">
        <f t="shared" ref="B390:B453" si="6">LEFT($C390,FIND(" - ",$C390))</f>
        <v xml:space="preserve">Time and State Attacks </v>
      </c>
      <c r="C390" s="131" t="s">
        <v>455</v>
      </c>
      <c r="D390" s="151" t="s">
        <v>455</v>
      </c>
      <c r="E390" s="131" t="s">
        <v>68</v>
      </c>
    </row>
    <row r="391" spans="2:5" x14ac:dyDescent="0.25">
      <c r="B391" s="150" t="str">
        <f t="shared" si="6"/>
        <v xml:space="preserve">Traceroute Route Enumeration </v>
      </c>
      <c r="C391" s="131" t="s">
        <v>456</v>
      </c>
      <c r="D391" s="151" t="s">
        <v>456</v>
      </c>
      <c r="E391" s="131" t="s">
        <v>71</v>
      </c>
    </row>
    <row r="392" spans="2:5" ht="30" x14ac:dyDescent="0.25">
      <c r="B392" s="150" t="str">
        <f t="shared" si="6"/>
        <v xml:space="preserve">Transaction or Event Tampering via Application API Manipulation </v>
      </c>
      <c r="C392" s="131" t="s">
        <v>457</v>
      </c>
      <c r="D392" s="151" t="s">
        <v>457</v>
      </c>
      <c r="E392" s="131" t="s">
        <v>71</v>
      </c>
    </row>
    <row r="393" spans="2:5" x14ac:dyDescent="0.25">
      <c r="B393" s="150" t="str">
        <f t="shared" si="6"/>
        <v xml:space="preserve">Try All Common Application Switches and Options </v>
      </c>
      <c r="C393" s="131" t="s">
        <v>458</v>
      </c>
      <c r="D393" s="151" t="s">
        <v>458</v>
      </c>
      <c r="E393" s="131" t="s">
        <v>71</v>
      </c>
    </row>
    <row r="394" spans="2:5" x14ac:dyDescent="0.25">
      <c r="B394" s="150" t="str">
        <f t="shared" si="6"/>
        <v xml:space="preserve">Try Common(default) Usernames and Passwords </v>
      </c>
      <c r="C394" s="131" t="s">
        <v>459</v>
      </c>
      <c r="D394" s="151" t="s">
        <v>459</v>
      </c>
      <c r="E394" s="131" t="s">
        <v>71</v>
      </c>
    </row>
    <row r="395" spans="2:5" x14ac:dyDescent="0.25">
      <c r="B395" s="150" t="str">
        <f t="shared" si="6"/>
        <v xml:space="preserve">UDP Ping </v>
      </c>
      <c r="C395" s="131" t="s">
        <v>460</v>
      </c>
      <c r="D395" s="151" t="s">
        <v>460</v>
      </c>
      <c r="E395" s="131" t="s">
        <v>71</v>
      </c>
    </row>
    <row r="396" spans="2:5" x14ac:dyDescent="0.25">
      <c r="B396" s="150" t="str">
        <f t="shared" si="6"/>
        <v xml:space="preserve">UDP Scan </v>
      </c>
      <c r="C396" s="131" t="s">
        <v>461</v>
      </c>
      <c r="D396" s="151" t="s">
        <v>461</v>
      </c>
      <c r="E396" s="131" t="s">
        <v>71</v>
      </c>
    </row>
    <row r="397" spans="2:5" x14ac:dyDescent="0.25">
      <c r="B397" s="150" t="str">
        <f t="shared" si="6"/>
        <v xml:space="preserve">URL Encoding </v>
      </c>
      <c r="C397" s="131" t="s">
        <v>462</v>
      </c>
      <c r="D397" s="151" t="s">
        <v>462</v>
      </c>
      <c r="E397" s="131" t="s">
        <v>71</v>
      </c>
    </row>
    <row r="398" spans="2:5" x14ac:dyDescent="0.25">
      <c r="B398" s="150" t="str">
        <f t="shared" si="6"/>
        <v xml:space="preserve">USB Memory Attacks </v>
      </c>
      <c r="C398" s="131" t="s">
        <v>463</v>
      </c>
      <c r="D398" s="151" t="s">
        <v>463</v>
      </c>
      <c r="E398" s="131" t="s">
        <v>71</v>
      </c>
    </row>
    <row r="399" spans="2:5" x14ac:dyDescent="0.25">
      <c r="B399" s="150" t="str">
        <f t="shared" si="6"/>
        <v xml:space="preserve">User-Controlled Filename </v>
      </c>
      <c r="C399" s="131" t="s">
        <v>464</v>
      </c>
      <c r="D399" s="151" t="s">
        <v>464</v>
      </c>
      <c r="E399" s="131" t="s">
        <v>71</v>
      </c>
    </row>
    <row r="400" spans="2:5" x14ac:dyDescent="0.25">
      <c r="B400" s="150" t="str">
        <f t="shared" si="6"/>
        <v xml:space="preserve">Using a Snap Gun Lock to Force a Lock </v>
      </c>
      <c r="C400" s="131" t="s">
        <v>465</v>
      </c>
      <c r="D400" s="151" t="s">
        <v>465</v>
      </c>
      <c r="E400" s="131" t="s">
        <v>71</v>
      </c>
    </row>
    <row r="401" spans="2:5" x14ac:dyDescent="0.25">
      <c r="B401" s="150" t="str">
        <f t="shared" si="6"/>
        <v xml:space="preserve">Using Alternative IP Address Encodings </v>
      </c>
      <c r="C401" s="131" t="s">
        <v>466</v>
      </c>
      <c r="D401" s="151" t="s">
        <v>466</v>
      </c>
      <c r="E401" s="131" t="s">
        <v>71</v>
      </c>
    </row>
    <row r="402" spans="2:5" x14ac:dyDescent="0.25">
      <c r="B402" s="150" t="str">
        <f t="shared" si="6"/>
        <v xml:space="preserve">Using Escaped Slashes in Alternate Encoding </v>
      </c>
      <c r="C402" s="131" t="s">
        <v>467</v>
      </c>
      <c r="D402" s="151" t="s">
        <v>467</v>
      </c>
      <c r="E402" s="131" t="s">
        <v>71</v>
      </c>
    </row>
    <row r="403" spans="2:5" ht="30" x14ac:dyDescent="0.25">
      <c r="B403" s="150" t="str">
        <f t="shared" si="6"/>
        <v xml:space="preserve">Using Leading 'Ghost' Character Sequences to Bypass Input Filters </v>
      </c>
      <c r="C403" s="131" t="s">
        <v>468</v>
      </c>
      <c r="D403" s="151" t="s">
        <v>468</v>
      </c>
      <c r="E403" s="131" t="s">
        <v>71</v>
      </c>
    </row>
    <row r="404" spans="2:5" ht="30" x14ac:dyDescent="0.25">
      <c r="B404" s="150" t="str">
        <f t="shared" si="6"/>
        <v xml:space="preserve">Using Meta-characters in E-mail Headers to Inject Malicious Payloads </v>
      </c>
      <c r="C404" s="131" t="s">
        <v>469</v>
      </c>
      <c r="D404" s="151" t="s">
        <v>469</v>
      </c>
      <c r="E404" s="131" t="s">
        <v>71</v>
      </c>
    </row>
    <row r="405" spans="2:5" ht="30" x14ac:dyDescent="0.25">
      <c r="B405" s="150" t="str">
        <f t="shared" si="6"/>
        <v xml:space="preserve">Using Slashes and URL Encoding Combined to Bypass Validation Logic </v>
      </c>
      <c r="C405" s="131" t="s">
        <v>470</v>
      </c>
      <c r="D405" s="151" t="s">
        <v>470</v>
      </c>
      <c r="E405" s="131" t="s">
        <v>71</v>
      </c>
    </row>
    <row r="406" spans="2:5" x14ac:dyDescent="0.25">
      <c r="B406" s="150" t="str">
        <f t="shared" si="6"/>
        <v xml:space="preserve">Using Slashes in Alternate Encoding </v>
      </c>
      <c r="C406" s="131" t="s">
        <v>471</v>
      </c>
      <c r="D406" s="151" t="s">
        <v>471</v>
      </c>
      <c r="E406" s="131" t="s">
        <v>71</v>
      </c>
    </row>
    <row r="407" spans="2:5" x14ac:dyDescent="0.25">
      <c r="B407" s="150" t="str">
        <f t="shared" si="6"/>
        <v xml:space="preserve">Using Unicode Encoding to Bypass Validation Logic </v>
      </c>
      <c r="C407" s="131" t="s">
        <v>472</v>
      </c>
      <c r="D407" s="151" t="s">
        <v>472</v>
      </c>
      <c r="E407" s="131" t="s">
        <v>71</v>
      </c>
    </row>
    <row r="408" spans="2:5" x14ac:dyDescent="0.25">
      <c r="B408" s="150" t="str">
        <f t="shared" si="6"/>
        <v xml:space="preserve">Using Unpublished Web Service APIs </v>
      </c>
      <c r="C408" s="131" t="s">
        <v>473</v>
      </c>
      <c r="D408" s="151" t="s">
        <v>473</v>
      </c>
      <c r="E408" s="131" t="s">
        <v>71</v>
      </c>
    </row>
    <row r="409" spans="2:5" ht="30" x14ac:dyDescent="0.25">
      <c r="B409" s="150" t="str">
        <f t="shared" si="6"/>
        <v xml:space="preserve">Using URL/codebase / G.A.C. (code source) to convince sandbox of privilege </v>
      </c>
      <c r="C409" s="131" t="s">
        <v>474</v>
      </c>
      <c r="D409" s="151" t="s">
        <v>474</v>
      </c>
      <c r="E409" s="131" t="s">
        <v>71</v>
      </c>
    </row>
    <row r="410" spans="2:5" x14ac:dyDescent="0.25">
      <c r="B410" s="150" t="str">
        <f t="shared" si="6"/>
        <v xml:space="preserve">Using UTF-8 Encoding to Bypass Validation Logic </v>
      </c>
      <c r="C410" s="131" t="s">
        <v>475</v>
      </c>
      <c r="D410" s="151" t="s">
        <v>475</v>
      </c>
      <c r="E410" s="131" t="s">
        <v>71</v>
      </c>
    </row>
    <row r="411" spans="2:5" ht="30" x14ac:dyDescent="0.25">
      <c r="B411" s="150" t="str">
        <f t="shared" si="6"/>
        <v xml:space="preserve">Utilizing REST's Trust in the System Resource to Register Man in the Middle </v>
      </c>
      <c r="C411" s="131" t="s">
        <v>476</v>
      </c>
      <c r="D411" s="151" t="s">
        <v>476</v>
      </c>
      <c r="E411" s="131" t="s">
        <v>71</v>
      </c>
    </row>
    <row r="412" spans="2:5" x14ac:dyDescent="0.25">
      <c r="B412" s="150" t="str">
        <f t="shared" si="6"/>
        <v xml:space="preserve">Variable Manipulation </v>
      </c>
      <c r="C412" s="131" t="s">
        <v>477</v>
      </c>
      <c r="D412" s="151" t="s">
        <v>477</v>
      </c>
      <c r="E412" s="131" t="s">
        <v>71</v>
      </c>
    </row>
    <row r="413" spans="2:5" ht="30" x14ac:dyDescent="0.25">
      <c r="B413" s="150" t="str">
        <f t="shared" si="6"/>
        <v xml:space="preserve">Violating Implicit Assumptions Regarding XML Content (aka XML Denial of Service (XDoS)) </v>
      </c>
      <c r="C413" s="131" t="s">
        <v>478</v>
      </c>
      <c r="D413" s="151" t="s">
        <v>478</v>
      </c>
      <c r="E413" s="131" t="s">
        <v>71</v>
      </c>
    </row>
    <row r="414" spans="2:5" x14ac:dyDescent="0.25">
      <c r="B414" s="150" t="str">
        <f t="shared" si="6"/>
        <v xml:space="preserve">WASC Threat Classification 2.0 </v>
      </c>
      <c r="C414" s="131" t="s">
        <v>479</v>
      </c>
      <c r="D414" s="151" t="s">
        <v>479</v>
      </c>
      <c r="E414" s="131" t="s">
        <v>124</v>
      </c>
    </row>
    <row r="415" spans="2:5" ht="30" x14ac:dyDescent="0.25">
      <c r="B415" s="150" t="str">
        <f t="shared" si="6"/>
        <v xml:space="preserve">WASC Threat Classification 2.0 </v>
      </c>
      <c r="C415" s="131" t="s">
        <v>480</v>
      </c>
      <c r="D415" s="151" t="s">
        <v>480</v>
      </c>
      <c r="E415" s="131" t="s">
        <v>68</v>
      </c>
    </row>
    <row r="416" spans="2:5" ht="30" x14ac:dyDescent="0.25">
      <c r="B416" s="150" t="str">
        <f t="shared" si="6"/>
        <v xml:space="preserve">WASC Threat Classification 2.0 </v>
      </c>
      <c r="C416" s="131" t="s">
        <v>481</v>
      </c>
      <c r="D416" s="151" t="s">
        <v>481</v>
      </c>
      <c r="E416" s="131" t="s">
        <v>68</v>
      </c>
    </row>
    <row r="417" spans="2:5" x14ac:dyDescent="0.25">
      <c r="B417" s="150" t="str">
        <f t="shared" si="6"/>
        <v xml:space="preserve">WASC Threat Classification 2.0 </v>
      </c>
      <c r="C417" s="131" t="s">
        <v>482</v>
      </c>
      <c r="D417" s="151" t="s">
        <v>482</v>
      </c>
      <c r="E417" s="131" t="s">
        <v>68</v>
      </c>
    </row>
    <row r="418" spans="2:5" ht="30" x14ac:dyDescent="0.25">
      <c r="B418" s="150" t="str">
        <f t="shared" si="6"/>
        <v xml:space="preserve">WASC Threat Classification 2.0 </v>
      </c>
      <c r="C418" s="131" t="s">
        <v>483</v>
      </c>
      <c r="D418" s="151" t="s">
        <v>483</v>
      </c>
      <c r="E418" s="131" t="s">
        <v>68</v>
      </c>
    </row>
    <row r="419" spans="2:5" ht="30" x14ac:dyDescent="0.25">
      <c r="B419" s="150" t="str">
        <f t="shared" si="6"/>
        <v xml:space="preserve">WASC Threat Classification 2.0 </v>
      </c>
      <c r="C419" s="131" t="s">
        <v>484</v>
      </c>
      <c r="D419" s="151" t="s">
        <v>484</v>
      </c>
      <c r="E419" s="131" t="s">
        <v>68</v>
      </c>
    </row>
    <row r="420" spans="2:5" x14ac:dyDescent="0.25">
      <c r="B420" s="150" t="str">
        <f t="shared" si="6"/>
        <v xml:space="preserve">WASC Threat Classification 2.0 </v>
      </c>
      <c r="C420" s="131" t="s">
        <v>485</v>
      </c>
      <c r="D420" s="151" t="s">
        <v>485</v>
      </c>
      <c r="E420" s="131" t="s">
        <v>68</v>
      </c>
    </row>
    <row r="421" spans="2:5" x14ac:dyDescent="0.25">
      <c r="B421" s="150" t="str">
        <f t="shared" si="6"/>
        <v xml:space="preserve">WASC Threat Classification 2.0 </v>
      </c>
      <c r="C421" s="131" t="s">
        <v>486</v>
      </c>
      <c r="D421" s="151" t="s">
        <v>486</v>
      </c>
      <c r="E421" s="131" t="s">
        <v>68</v>
      </c>
    </row>
    <row r="422" spans="2:5" x14ac:dyDescent="0.25">
      <c r="B422" s="150" t="str">
        <f t="shared" si="6"/>
        <v xml:space="preserve">WASC Threat Classification 2.0 </v>
      </c>
      <c r="C422" s="131" t="s">
        <v>487</v>
      </c>
      <c r="D422" s="151" t="s">
        <v>487</v>
      </c>
      <c r="E422" s="131" t="s">
        <v>68</v>
      </c>
    </row>
    <row r="423" spans="2:5" ht="30" x14ac:dyDescent="0.25">
      <c r="B423" s="150" t="str">
        <f t="shared" si="6"/>
        <v xml:space="preserve">WASC Threat Classification 2.0 </v>
      </c>
      <c r="C423" s="131" t="s">
        <v>488</v>
      </c>
      <c r="D423" s="151" t="s">
        <v>488</v>
      </c>
      <c r="E423" s="131" t="s">
        <v>68</v>
      </c>
    </row>
    <row r="424" spans="2:5" x14ac:dyDescent="0.25">
      <c r="B424" s="150" t="str">
        <f t="shared" si="6"/>
        <v xml:space="preserve">WASC Threat Classification 2.0 </v>
      </c>
      <c r="C424" s="131" t="s">
        <v>489</v>
      </c>
      <c r="D424" s="151" t="s">
        <v>489</v>
      </c>
      <c r="E424" s="131" t="s">
        <v>68</v>
      </c>
    </row>
    <row r="425" spans="2:5" x14ac:dyDescent="0.25">
      <c r="B425" s="150" t="str">
        <f t="shared" si="6"/>
        <v xml:space="preserve">WASC Threat Classification 2.0 </v>
      </c>
      <c r="C425" s="131" t="s">
        <v>490</v>
      </c>
      <c r="D425" s="151" t="s">
        <v>490</v>
      </c>
      <c r="E425" s="131" t="s">
        <v>68</v>
      </c>
    </row>
    <row r="426" spans="2:5" x14ac:dyDescent="0.25">
      <c r="B426" s="150" t="str">
        <f t="shared" si="6"/>
        <v xml:space="preserve">WASC Threat Classification 2.0 </v>
      </c>
      <c r="C426" s="131" t="s">
        <v>491</v>
      </c>
      <c r="D426" s="151" t="s">
        <v>491</v>
      </c>
      <c r="E426" s="131" t="s">
        <v>68</v>
      </c>
    </row>
    <row r="427" spans="2:5" ht="30" x14ac:dyDescent="0.25">
      <c r="B427" s="150" t="str">
        <f t="shared" si="6"/>
        <v xml:space="preserve">WASC Threat Classification 2.0 </v>
      </c>
      <c r="C427" s="131" t="s">
        <v>492</v>
      </c>
      <c r="D427" s="151" t="s">
        <v>492</v>
      </c>
      <c r="E427" s="131" t="s">
        <v>68</v>
      </c>
    </row>
    <row r="428" spans="2:5" ht="30" x14ac:dyDescent="0.25">
      <c r="B428" s="150" t="str">
        <f t="shared" si="6"/>
        <v xml:space="preserve">WASC Threat Classification 2.0 </v>
      </c>
      <c r="C428" s="131" t="s">
        <v>493</v>
      </c>
      <c r="D428" s="151" t="s">
        <v>493</v>
      </c>
      <c r="E428" s="131" t="s">
        <v>68</v>
      </c>
    </row>
    <row r="429" spans="2:5" ht="30" x14ac:dyDescent="0.25">
      <c r="B429" s="150" t="str">
        <f t="shared" si="6"/>
        <v xml:space="preserve">WASC Threat Classification 2.0 </v>
      </c>
      <c r="C429" s="131" t="s">
        <v>494</v>
      </c>
      <c r="D429" s="151" t="s">
        <v>494</v>
      </c>
      <c r="E429" s="131" t="s">
        <v>68</v>
      </c>
    </row>
    <row r="430" spans="2:5" x14ac:dyDescent="0.25">
      <c r="B430" s="150" t="str">
        <f t="shared" si="6"/>
        <v xml:space="preserve">WASC Threat Classification 2.0 </v>
      </c>
      <c r="C430" s="131" t="s">
        <v>495</v>
      </c>
      <c r="D430" s="151" t="s">
        <v>495</v>
      </c>
      <c r="E430" s="131" t="s">
        <v>68</v>
      </c>
    </row>
    <row r="431" spans="2:5" ht="30" x14ac:dyDescent="0.25">
      <c r="B431" s="150" t="str">
        <f t="shared" si="6"/>
        <v xml:space="preserve">WASC Threat Classification 2.0 </v>
      </c>
      <c r="C431" s="131" t="s">
        <v>496</v>
      </c>
      <c r="D431" s="151" t="s">
        <v>496</v>
      </c>
      <c r="E431" s="131" t="s">
        <v>68</v>
      </c>
    </row>
    <row r="432" spans="2:5" ht="30" x14ac:dyDescent="0.25">
      <c r="B432" s="150" t="str">
        <f t="shared" si="6"/>
        <v xml:space="preserve">WASC Threat Classification 2.0 </v>
      </c>
      <c r="C432" s="131" t="s">
        <v>497</v>
      </c>
      <c r="D432" s="151" t="s">
        <v>497</v>
      </c>
      <c r="E432" s="131" t="s">
        <v>68</v>
      </c>
    </row>
    <row r="433" spans="2:5" x14ac:dyDescent="0.25">
      <c r="B433" s="150" t="str">
        <f t="shared" si="6"/>
        <v xml:space="preserve">WASC Threat Classification 2.0 </v>
      </c>
      <c r="C433" s="131" t="s">
        <v>498</v>
      </c>
      <c r="D433" s="151" t="s">
        <v>498</v>
      </c>
      <c r="E433" s="131" t="s">
        <v>68</v>
      </c>
    </row>
    <row r="434" spans="2:5" ht="30" x14ac:dyDescent="0.25">
      <c r="B434" s="150" t="str">
        <f t="shared" si="6"/>
        <v xml:space="preserve">WASC Threat Classification 2.0 </v>
      </c>
      <c r="C434" s="131" t="s">
        <v>499</v>
      </c>
      <c r="D434" s="151" t="s">
        <v>499</v>
      </c>
      <c r="E434" s="131" t="s">
        <v>68</v>
      </c>
    </row>
    <row r="435" spans="2:5" ht="30" x14ac:dyDescent="0.25">
      <c r="B435" s="150" t="str">
        <f t="shared" si="6"/>
        <v xml:space="preserve">WASC Threat Classification 2.0 </v>
      </c>
      <c r="C435" s="131" t="s">
        <v>500</v>
      </c>
      <c r="D435" s="151" t="s">
        <v>500</v>
      </c>
      <c r="E435" s="131" t="s">
        <v>68</v>
      </c>
    </row>
    <row r="436" spans="2:5" ht="30" x14ac:dyDescent="0.25">
      <c r="B436" s="150" t="str">
        <f t="shared" si="6"/>
        <v xml:space="preserve">WASC Threat Classification 2.0 </v>
      </c>
      <c r="C436" s="131" t="s">
        <v>501</v>
      </c>
      <c r="D436" s="151" t="s">
        <v>501</v>
      </c>
      <c r="E436" s="131" t="s">
        <v>68</v>
      </c>
    </row>
    <row r="437" spans="2:5" x14ac:dyDescent="0.25">
      <c r="B437" s="150" t="str">
        <f t="shared" si="6"/>
        <v xml:space="preserve">WASC Threat Classification 2.0 </v>
      </c>
      <c r="C437" s="131" t="s">
        <v>502</v>
      </c>
      <c r="D437" s="151" t="s">
        <v>502</v>
      </c>
      <c r="E437" s="131" t="s">
        <v>68</v>
      </c>
    </row>
    <row r="438" spans="2:5" ht="30" x14ac:dyDescent="0.25">
      <c r="B438" s="150" t="str">
        <f t="shared" si="6"/>
        <v xml:space="preserve">WASC Threat Classification 2.0 </v>
      </c>
      <c r="C438" s="131" t="s">
        <v>503</v>
      </c>
      <c r="D438" s="151" t="s">
        <v>503</v>
      </c>
      <c r="E438" s="131" t="s">
        <v>68</v>
      </c>
    </row>
    <row r="439" spans="2:5" ht="30" x14ac:dyDescent="0.25">
      <c r="B439" s="150" t="str">
        <f t="shared" si="6"/>
        <v xml:space="preserve">WASC Threat Classification 2.0 </v>
      </c>
      <c r="C439" s="131" t="s">
        <v>504</v>
      </c>
      <c r="D439" s="151" t="s">
        <v>504</v>
      </c>
      <c r="E439" s="131" t="s">
        <v>68</v>
      </c>
    </row>
    <row r="440" spans="2:5" ht="30" x14ac:dyDescent="0.25">
      <c r="B440" s="150" t="str">
        <f t="shared" si="6"/>
        <v xml:space="preserve">WASC Threat Classification 2.0 </v>
      </c>
      <c r="C440" s="131" t="s">
        <v>505</v>
      </c>
      <c r="D440" s="151" t="s">
        <v>505</v>
      </c>
      <c r="E440" s="131" t="s">
        <v>68</v>
      </c>
    </row>
    <row r="441" spans="2:5" ht="30" x14ac:dyDescent="0.25">
      <c r="B441" s="150" t="str">
        <f t="shared" si="6"/>
        <v xml:space="preserve">WASC Threat Classification 2.0 </v>
      </c>
      <c r="C441" s="131" t="s">
        <v>506</v>
      </c>
      <c r="D441" s="151" t="s">
        <v>506</v>
      </c>
      <c r="E441" s="131" t="s">
        <v>68</v>
      </c>
    </row>
    <row r="442" spans="2:5" x14ac:dyDescent="0.25">
      <c r="B442" s="150" t="str">
        <f t="shared" si="6"/>
        <v xml:space="preserve">WASC Threat Classification 2.0 </v>
      </c>
      <c r="C442" s="131" t="s">
        <v>507</v>
      </c>
      <c r="D442" s="151" t="s">
        <v>507</v>
      </c>
      <c r="E442" s="131" t="s">
        <v>68</v>
      </c>
    </row>
    <row r="443" spans="2:5" x14ac:dyDescent="0.25">
      <c r="B443" s="150" t="str">
        <f t="shared" si="6"/>
        <v xml:space="preserve">WASC Threat Classification 2.0 </v>
      </c>
      <c r="C443" s="131" t="s">
        <v>508</v>
      </c>
      <c r="D443" s="151" t="s">
        <v>508</v>
      </c>
      <c r="E443" s="131" t="s">
        <v>68</v>
      </c>
    </row>
    <row r="444" spans="2:5" ht="30" x14ac:dyDescent="0.25">
      <c r="B444" s="150" t="str">
        <f t="shared" si="6"/>
        <v xml:space="preserve">WASC Threat Classification 2.0 </v>
      </c>
      <c r="C444" s="131" t="s">
        <v>509</v>
      </c>
      <c r="D444" s="151" t="s">
        <v>509</v>
      </c>
      <c r="E444" s="131" t="s">
        <v>68</v>
      </c>
    </row>
    <row r="445" spans="2:5" x14ac:dyDescent="0.25">
      <c r="B445" s="150" t="str">
        <f t="shared" si="6"/>
        <v xml:space="preserve">WASC Threat Classification 2.0 </v>
      </c>
      <c r="C445" s="131" t="s">
        <v>510</v>
      </c>
      <c r="D445" s="151" t="s">
        <v>510</v>
      </c>
      <c r="E445" s="131" t="s">
        <v>68</v>
      </c>
    </row>
    <row r="446" spans="2:5" x14ac:dyDescent="0.25">
      <c r="B446" s="150" t="str">
        <f t="shared" si="6"/>
        <v xml:space="preserve">WASC Threat Classification 2.0 </v>
      </c>
      <c r="C446" s="131" t="s">
        <v>511</v>
      </c>
      <c r="D446" s="151" t="s">
        <v>511</v>
      </c>
      <c r="E446" s="131" t="s">
        <v>68</v>
      </c>
    </row>
    <row r="447" spans="2:5" x14ac:dyDescent="0.25">
      <c r="B447" s="150" t="str">
        <f t="shared" si="6"/>
        <v xml:space="preserve">WASC Threat Classification 2.0 </v>
      </c>
      <c r="C447" s="131" t="s">
        <v>512</v>
      </c>
      <c r="D447" s="151" t="s">
        <v>512</v>
      </c>
      <c r="E447" s="131" t="s">
        <v>68</v>
      </c>
    </row>
    <row r="448" spans="2:5" ht="30" x14ac:dyDescent="0.25">
      <c r="B448" s="150" t="str">
        <f t="shared" si="6"/>
        <v xml:space="preserve">WASC Threat Classification 2.0 </v>
      </c>
      <c r="C448" s="131" t="s">
        <v>513</v>
      </c>
      <c r="D448" s="151" t="s">
        <v>513</v>
      </c>
      <c r="E448" s="131" t="s">
        <v>68</v>
      </c>
    </row>
    <row r="449" spans="2:5" x14ac:dyDescent="0.25">
      <c r="B449" s="150" t="str">
        <f t="shared" si="6"/>
        <v xml:space="preserve">WASC Threat Classification 2.0 </v>
      </c>
      <c r="C449" s="131" t="s">
        <v>514</v>
      </c>
      <c r="D449" s="151" t="s">
        <v>514</v>
      </c>
      <c r="E449" s="131" t="s">
        <v>68</v>
      </c>
    </row>
    <row r="450" spans="2:5" x14ac:dyDescent="0.25">
      <c r="B450" s="150" t="str">
        <f t="shared" si="6"/>
        <v xml:space="preserve">WASC Threat Classification 2.0 </v>
      </c>
      <c r="C450" s="131" t="s">
        <v>515</v>
      </c>
      <c r="D450" s="151" t="s">
        <v>515</v>
      </c>
      <c r="E450" s="131" t="s">
        <v>68</v>
      </c>
    </row>
    <row r="451" spans="2:5" x14ac:dyDescent="0.25">
      <c r="B451" s="150" t="str">
        <f t="shared" si="6"/>
        <v xml:space="preserve">WASC Threat Classification 2.0 </v>
      </c>
      <c r="C451" s="131" t="s">
        <v>516</v>
      </c>
      <c r="D451" s="151" t="s">
        <v>516</v>
      </c>
      <c r="E451" s="131" t="s">
        <v>68</v>
      </c>
    </row>
    <row r="452" spans="2:5" ht="30" x14ac:dyDescent="0.25">
      <c r="B452" s="150" t="str">
        <f t="shared" si="6"/>
        <v xml:space="preserve">WASC Threat Classification 2.0 </v>
      </c>
      <c r="C452" s="131" t="s">
        <v>517</v>
      </c>
      <c r="D452" s="151" t="s">
        <v>517</v>
      </c>
      <c r="E452" s="131" t="s">
        <v>68</v>
      </c>
    </row>
    <row r="453" spans="2:5" x14ac:dyDescent="0.25">
      <c r="B453" s="150" t="str">
        <f t="shared" si="6"/>
        <v xml:space="preserve">WASC Threat Classification 2.0 </v>
      </c>
      <c r="C453" s="131" t="s">
        <v>518</v>
      </c>
      <c r="D453" s="151" t="s">
        <v>518</v>
      </c>
      <c r="E453" s="131" t="s">
        <v>68</v>
      </c>
    </row>
    <row r="454" spans="2:5" ht="30" x14ac:dyDescent="0.25">
      <c r="B454" s="150" t="str">
        <f t="shared" ref="B454:B479" si="7">LEFT($C454,FIND(" - ",$C454))</f>
        <v xml:space="preserve">WASC Threat Classification 2.0 </v>
      </c>
      <c r="C454" s="131" t="s">
        <v>519</v>
      </c>
      <c r="D454" s="151" t="s">
        <v>519</v>
      </c>
      <c r="E454" s="131" t="s">
        <v>68</v>
      </c>
    </row>
    <row r="455" spans="2:5" ht="30" x14ac:dyDescent="0.25">
      <c r="B455" s="150" t="str">
        <f t="shared" si="7"/>
        <v xml:space="preserve">WASC Threat Classification 2.0 </v>
      </c>
      <c r="C455" s="131" t="s">
        <v>520</v>
      </c>
      <c r="D455" s="151" t="s">
        <v>520</v>
      </c>
      <c r="E455" s="131" t="s">
        <v>68</v>
      </c>
    </row>
    <row r="456" spans="2:5" ht="30" x14ac:dyDescent="0.25">
      <c r="B456" s="150" t="str">
        <f t="shared" si="7"/>
        <v xml:space="preserve">WASC Threat Classification 2.0 </v>
      </c>
      <c r="C456" s="131" t="s">
        <v>521</v>
      </c>
      <c r="D456" s="151" t="s">
        <v>521</v>
      </c>
      <c r="E456" s="131" t="s">
        <v>68</v>
      </c>
    </row>
    <row r="457" spans="2:5" ht="30" x14ac:dyDescent="0.25">
      <c r="B457" s="150" t="str">
        <f t="shared" si="7"/>
        <v xml:space="preserve">WASC Threat Classification 2.0 </v>
      </c>
      <c r="C457" s="131" t="s">
        <v>522</v>
      </c>
      <c r="D457" s="151" t="s">
        <v>522</v>
      </c>
      <c r="E457" s="131" t="s">
        <v>68</v>
      </c>
    </row>
    <row r="458" spans="2:5" ht="30" x14ac:dyDescent="0.25">
      <c r="B458" s="150" t="str">
        <f t="shared" si="7"/>
        <v xml:space="preserve">WASC Threat Classification 2.0 </v>
      </c>
      <c r="C458" s="131" t="s">
        <v>523</v>
      </c>
      <c r="D458" s="151" t="s">
        <v>523</v>
      </c>
      <c r="E458" s="131" t="s">
        <v>68</v>
      </c>
    </row>
    <row r="459" spans="2:5" x14ac:dyDescent="0.25">
      <c r="B459" s="150" t="str">
        <f t="shared" si="7"/>
        <v xml:space="preserve">WASC Threat Classification 2.0 </v>
      </c>
      <c r="C459" s="131" t="s">
        <v>524</v>
      </c>
      <c r="D459" s="151" t="s">
        <v>524</v>
      </c>
      <c r="E459" s="131" t="s">
        <v>68</v>
      </c>
    </row>
    <row r="460" spans="2:5" x14ac:dyDescent="0.25">
      <c r="B460" s="150" t="str">
        <f t="shared" si="7"/>
        <v xml:space="preserve">WASC Threat Classification 2.0 </v>
      </c>
      <c r="C460" s="131" t="s">
        <v>525</v>
      </c>
      <c r="D460" s="151" t="s">
        <v>525</v>
      </c>
      <c r="E460" s="131" t="s">
        <v>68</v>
      </c>
    </row>
    <row r="461" spans="2:5" ht="30" x14ac:dyDescent="0.25">
      <c r="B461" s="150" t="str">
        <f t="shared" si="7"/>
        <v xml:space="preserve">WASC Threat Classification 2.0 </v>
      </c>
      <c r="C461" s="131" t="s">
        <v>526</v>
      </c>
      <c r="D461" s="151" t="s">
        <v>526</v>
      </c>
      <c r="E461" s="131" t="s">
        <v>68</v>
      </c>
    </row>
    <row r="462" spans="2:5" x14ac:dyDescent="0.25">
      <c r="B462" s="150" t="str">
        <f t="shared" si="7"/>
        <v xml:space="preserve">WASC Threat Classification 2.0 </v>
      </c>
      <c r="C462" s="131" t="s">
        <v>527</v>
      </c>
      <c r="D462" s="151" t="s">
        <v>527</v>
      </c>
      <c r="E462" s="131" t="s">
        <v>68</v>
      </c>
    </row>
    <row r="463" spans="2:5" ht="30" x14ac:dyDescent="0.25">
      <c r="B463" s="150" t="str">
        <f t="shared" si="7"/>
        <v xml:space="preserve">WASC Threat Classification 2.0 </v>
      </c>
      <c r="C463" s="131" t="s">
        <v>528</v>
      </c>
      <c r="D463" s="151" t="s">
        <v>528</v>
      </c>
      <c r="E463" s="131" t="s">
        <v>68</v>
      </c>
    </row>
    <row r="464" spans="2:5" x14ac:dyDescent="0.25">
      <c r="B464" s="150" t="str">
        <f t="shared" si="7"/>
        <v xml:space="preserve">Web Logs Tampering </v>
      </c>
      <c r="C464" s="131" t="s">
        <v>529</v>
      </c>
      <c r="D464" s="151" t="s">
        <v>529</v>
      </c>
      <c r="E464" s="131" t="s">
        <v>71</v>
      </c>
    </row>
    <row r="465" spans="2:5" x14ac:dyDescent="0.25">
      <c r="B465" s="150" t="str">
        <f t="shared" si="7"/>
        <v xml:space="preserve">Web Server/Application Fingerprinting </v>
      </c>
      <c r="C465" s="131" t="s">
        <v>530</v>
      </c>
      <c r="D465" s="151" t="s">
        <v>530</v>
      </c>
      <c r="E465" s="131" t="s">
        <v>71</v>
      </c>
    </row>
    <row r="466" spans="2:5" ht="30" x14ac:dyDescent="0.25">
      <c r="B466" s="150" t="str">
        <f t="shared" si="7"/>
        <v xml:space="preserve">Web Services API Signature Forgery Leveraging Hash Function Extension Weakness </v>
      </c>
      <c r="C466" s="131" t="s">
        <v>531</v>
      </c>
      <c r="D466" s="151" t="s">
        <v>531</v>
      </c>
      <c r="E466" s="131" t="s">
        <v>71</v>
      </c>
    </row>
    <row r="467" spans="2:5" x14ac:dyDescent="0.25">
      <c r="B467" s="150" t="str">
        <f t="shared" si="7"/>
        <v xml:space="preserve">Web Services Protocol Manipulation </v>
      </c>
      <c r="C467" s="131" t="s">
        <v>532</v>
      </c>
      <c r="D467" s="151" t="s">
        <v>532</v>
      </c>
      <c r="E467" s="131" t="s">
        <v>68</v>
      </c>
    </row>
    <row r="468" spans="2:5" x14ac:dyDescent="0.25">
      <c r="B468" s="150" t="str">
        <f t="shared" si="7"/>
        <v xml:space="preserve">Windows ::DATA Alternate Data Stream </v>
      </c>
      <c r="C468" s="131" t="s">
        <v>533</v>
      </c>
      <c r="D468" s="151" t="s">
        <v>533</v>
      </c>
      <c r="E468" s="131" t="s">
        <v>71</v>
      </c>
    </row>
    <row r="469" spans="2:5" x14ac:dyDescent="0.25">
      <c r="B469" s="150" t="str">
        <f t="shared" si="7"/>
        <v xml:space="preserve">WSDL Scanning </v>
      </c>
      <c r="C469" s="131" t="s">
        <v>534</v>
      </c>
      <c r="D469" s="151" t="s">
        <v>534</v>
      </c>
      <c r="E469" s="131" t="s">
        <v>71</v>
      </c>
    </row>
    <row r="470" spans="2:5" x14ac:dyDescent="0.25">
      <c r="B470" s="150" t="str">
        <f t="shared" si="7"/>
        <v xml:space="preserve">XEE (XML Entity Expansion) </v>
      </c>
      <c r="C470" s="131" t="s">
        <v>535</v>
      </c>
      <c r="D470" s="151" t="s">
        <v>535</v>
      </c>
      <c r="E470" s="131" t="s">
        <v>71</v>
      </c>
    </row>
    <row r="471" spans="2:5" x14ac:dyDescent="0.25">
      <c r="B471" s="150" t="str">
        <f t="shared" si="7"/>
        <v xml:space="preserve">XML Routing Detour Attacks </v>
      </c>
      <c r="C471" s="131" t="s">
        <v>536</v>
      </c>
      <c r="D471" s="151" t="s">
        <v>536</v>
      </c>
      <c r="E471" s="131" t="s">
        <v>71</v>
      </c>
    </row>
    <row r="472" spans="2:5" x14ac:dyDescent="0.25">
      <c r="B472" s="150" t="str">
        <f t="shared" si="7"/>
        <v xml:space="preserve">XML Attribute Blowup </v>
      </c>
      <c r="C472" s="131" t="s">
        <v>537</v>
      </c>
      <c r="D472" s="151" t="s">
        <v>537</v>
      </c>
      <c r="E472" s="131" t="s">
        <v>71</v>
      </c>
    </row>
    <row r="473" spans="2:5" x14ac:dyDescent="0.25">
      <c r="B473" s="150" t="str">
        <f t="shared" si="7"/>
        <v xml:space="preserve">XML Injection </v>
      </c>
      <c r="C473" s="131" t="s">
        <v>538</v>
      </c>
      <c r="D473" s="151" t="s">
        <v>538</v>
      </c>
      <c r="E473" s="131" t="s">
        <v>71</v>
      </c>
    </row>
    <row r="474" spans="2:5" x14ac:dyDescent="0.25">
      <c r="B474" s="150" t="str">
        <f t="shared" si="7"/>
        <v xml:space="preserve">XML Parser Attack </v>
      </c>
      <c r="C474" s="131" t="s">
        <v>539</v>
      </c>
      <c r="D474" s="151" t="s">
        <v>539</v>
      </c>
      <c r="E474" s="131" t="s">
        <v>71</v>
      </c>
    </row>
    <row r="475" spans="2:5" x14ac:dyDescent="0.25">
      <c r="B475" s="150" t="str">
        <f t="shared" si="7"/>
        <v xml:space="preserve">XML Ping of the Death </v>
      </c>
      <c r="C475" s="131" t="s">
        <v>540</v>
      </c>
      <c r="D475" s="151" t="s">
        <v>540</v>
      </c>
      <c r="E475" s="131" t="s">
        <v>71</v>
      </c>
    </row>
    <row r="476" spans="2:5" x14ac:dyDescent="0.25">
      <c r="B476" s="150" t="str">
        <f t="shared" si="7"/>
        <v xml:space="preserve">XML Schema Poisoning </v>
      </c>
      <c r="C476" s="131" t="s">
        <v>541</v>
      </c>
      <c r="D476" s="151" t="s">
        <v>541</v>
      </c>
      <c r="E476" s="131" t="s">
        <v>71</v>
      </c>
    </row>
    <row r="477" spans="2:5" x14ac:dyDescent="0.25">
      <c r="B477" s="150" t="str">
        <f t="shared" si="7"/>
        <v xml:space="preserve">XPath Injection </v>
      </c>
      <c r="C477" s="131" t="s">
        <v>542</v>
      </c>
      <c r="D477" s="151" t="s">
        <v>542</v>
      </c>
      <c r="E477" s="131" t="s">
        <v>71</v>
      </c>
    </row>
    <row r="478" spans="2:5" x14ac:dyDescent="0.25">
      <c r="B478" s="150" t="str">
        <f t="shared" si="7"/>
        <v xml:space="preserve">XQuery Injection </v>
      </c>
      <c r="C478" s="131" t="s">
        <v>543</v>
      </c>
      <c r="D478" s="151" t="s">
        <v>543</v>
      </c>
      <c r="E478" s="131" t="s">
        <v>71</v>
      </c>
    </row>
    <row r="479" spans="2:5" x14ac:dyDescent="0.25">
      <c r="B479" s="150" t="str">
        <f t="shared" si="7"/>
        <v xml:space="preserve">XSS in IMG Tags </v>
      </c>
      <c r="C479" s="131" t="s">
        <v>544</v>
      </c>
      <c r="D479" s="151" t="s">
        <v>544</v>
      </c>
      <c r="E479" s="131" t="s">
        <v>71</v>
      </c>
    </row>
    <row r="480" spans="2:5" x14ac:dyDescent="0.25">
      <c r="B480" s="150"/>
      <c r="C480" s="131"/>
      <c r="D480" s="131"/>
      <c r="E480" s="131"/>
    </row>
  </sheetData>
  <hyperlinks>
    <hyperlink ref="D6" r:id="rId1" display="http://capec.mitre.org/data/definitions/216.html" xr:uid="{00000000-0004-0000-0500-000000000000}"/>
    <hyperlink ref="D7" r:id="rId2" display="http://capec.mitre.org/data/definitions/210.html" xr:uid="{00000000-0004-0000-0500-000001000000}"/>
    <hyperlink ref="D8" r:id="rId3" display="http://capec.mitre.org/data/definitions/257.html" xr:uid="{00000000-0004-0000-0500-000002000000}"/>
    <hyperlink ref="D9" r:id="rId4" display="http://capec.mitre.org/data/definitions/1.html" xr:uid="{00000000-0004-0000-0500-000003000000}"/>
    <hyperlink ref="D10" r:id="rId5" display="http://capec.mitre.org/data/definitions/17.html" xr:uid="{00000000-0004-0000-0500-000004000000}"/>
    <hyperlink ref="D11" r:id="rId6" display="http://capec.mitre.org/data/definitions/31.html" xr:uid="{00000000-0004-0000-0500-000005000000}"/>
    <hyperlink ref="D12" r:id="rId7" display="http://capec.mitre.org/data/definitions/173.html" xr:uid="{00000000-0004-0000-0500-000006000000}"/>
    <hyperlink ref="D13" r:id="rId8" display="http://capec.mitre.org/data/definitions/312.html" xr:uid="{00000000-0004-0000-0500-000007000000}"/>
    <hyperlink ref="D14" r:id="rId9" display="http://capec.mitre.org/data/definitions/5.html" xr:uid="{00000000-0004-0000-0500-000008000000}"/>
    <hyperlink ref="D15" r:id="rId10" display="http://capec.mitre.org/data/definitions/281.html" xr:uid="{00000000-0004-0000-0500-000009000000}"/>
    <hyperlink ref="D16" r:id="rId11" display="http://capec.mitre.org/data/definitions/113.html" xr:uid="{00000000-0004-0000-0500-00000A000000}"/>
    <hyperlink ref="D17" r:id="rId12" display="http://capec.mitre.org/data/definitions/388.html" xr:uid="{00000000-0004-0000-0500-00000B000000}"/>
    <hyperlink ref="D18" r:id="rId13" display="http://capec.mitre.org/data/definitions/384.html" xr:uid="{00000000-0004-0000-0500-00000C000000}"/>
    <hyperlink ref="D19" r:id="rId14" display="http://capec.mitre.org/data/definitions/386.html" xr:uid="{00000000-0004-0000-0500-00000D000000}"/>
    <hyperlink ref="D20" r:id="rId15" display="http://capec.mitre.org/data/definitions/6.html" xr:uid="{00000000-0004-0000-0500-00000E000000}"/>
    <hyperlink ref="D21" r:id="rId16" display="http://capec.mitre.org/data/definitions/124.html" xr:uid="{00000000-0004-0000-0500-00000F000000}"/>
    <hyperlink ref="D22" r:id="rId17" display="http://capec.mitre.org/data/definitions/268.html" xr:uid="{00000000-0004-0000-0500-000010000000}"/>
    <hyperlink ref="D23" r:id="rId18" display="http://capec.mitre.org/data/definitions/114.html" xr:uid="{00000000-0004-0000-0500-000011000000}"/>
    <hyperlink ref="D24" r:id="rId19" display="http://capec.mitre.org/data/definitions/115.html" xr:uid="{00000000-0004-0000-0500-000012000000}"/>
    <hyperlink ref="D25" r:id="rId20" display="http://capec.mitre.org/data/definitions/7.html" xr:uid="{00000000-0004-0000-0500-000013000000}"/>
    <hyperlink ref="D26" r:id="rId21" display="http://capec.mitre.org/data/definitions/96.html" xr:uid="{00000000-0004-0000-0500-000014000000}"/>
    <hyperlink ref="D27" r:id="rId22" display="http://capec.mitre.org/data/definitions/472.html" xr:uid="{00000000-0004-0000-0500-000015000000}"/>
    <hyperlink ref="D28" r:id="rId23" display="http://capec.mitre.org/data/definitions/112.html" xr:uid="{00000000-0004-0000-0500-000016000000}"/>
    <hyperlink ref="D29" r:id="rId24" display="http://capec.mitre.org/data/definitions/123.html" xr:uid="{00000000-0004-0000-0500-000017000000}"/>
    <hyperlink ref="D30" r:id="rId25" display="http://capec.mitre.org/data/definitions/8.html" xr:uid="{00000000-0004-0000-0500-000018000000}"/>
    <hyperlink ref="D31" r:id="rId26" display="http://capec.mitre.org/data/definitions/9.html" xr:uid="{00000000-0004-0000-0500-000019000000}"/>
    <hyperlink ref="D32" r:id="rId27" display="http://capec.mitre.org/data/definitions/10.html" xr:uid="{00000000-0004-0000-0500-00001A000000}"/>
    <hyperlink ref="D33" r:id="rId28" display="http://capec.mitre.org/data/definitions/47.html" xr:uid="{00000000-0004-0000-0500-00001B000000}"/>
    <hyperlink ref="D34" r:id="rId29" display="http://capec.mitre.org/data/definitions/45.html" xr:uid="{00000000-0004-0000-0500-00001C000000}"/>
    <hyperlink ref="D35" r:id="rId30" display="http://capec.mitre.org/data/definitions/402.html" xr:uid="{00000000-0004-0000-0500-00001D000000}"/>
    <hyperlink ref="D36" r:id="rId31" display="http://capec.mitre.org/data/definitions/396.html" xr:uid="{00000000-0004-0000-0500-00001E000000}"/>
    <hyperlink ref="D37" r:id="rId32" display="http://capec.mitre.org/data/definitions/395.html" xr:uid="{00000000-0004-0000-0500-00001F000000}"/>
    <hyperlink ref="D38" r:id="rId33" display="http://capec.mitre.org/data/definitions/140.html" xr:uid="{00000000-0004-0000-0500-000020000000}"/>
    <hyperlink ref="D39" r:id="rId34" display="http://capec.mitre.org/data/definitions/391.html" xr:uid="{00000000-0004-0000-0500-000021000000}"/>
    <hyperlink ref="D40" r:id="rId35" display="http://capec.mitre.org/data/definitions/390.html" xr:uid="{00000000-0004-0000-0500-000022000000}"/>
    <hyperlink ref="D41" r:id="rId36" display="http://capec.mitre.org/data/definitions/141.html" xr:uid="{00000000-0004-0000-0500-000023000000}"/>
    <hyperlink ref="D42" r:id="rId37" display="http://capec.mitre.org/data/definitions/237.html" xr:uid="{00000000-0004-0000-0500-000024000000}"/>
    <hyperlink ref="D43" r:id="rId38" display="http://capec.mitre.org/data/definitions/236.html" xr:uid="{00000000-0004-0000-0500-000025000000}"/>
    <hyperlink ref="D44" r:id="rId39" display="http://capec.mitre.org/data/definitions/11.html" xr:uid="{00000000-0004-0000-0500-000026000000}"/>
    <hyperlink ref="D45" r:id="rId40" display="http://capec.mitre.org/data/definitions/249.html" xr:uid="{00000000-0004-0000-0500-000027000000}"/>
    <hyperlink ref="D46" r:id="rId41" display="http://capec.mitre.org/data/definitions/145.html" xr:uid="{00000000-0004-0000-0500-000028000000}"/>
    <hyperlink ref="D47" r:id="rId42" display="http://capec.mitre.org/data/definitions/12.html" xr:uid="{00000000-0004-0000-0500-000029000000}"/>
    <hyperlink ref="D48" r:id="rId43" display="http://capec.mitre.org/data/definitions/103.html" xr:uid="{00000000-0004-0000-0500-00002A000000}"/>
    <hyperlink ref="D49" r:id="rId44" display="http://capec.mitre.org/data/definitions/85.html" xr:uid="{00000000-0004-0000-0500-00002B000000}"/>
    <hyperlink ref="D50" r:id="rId45" display="http://capec.mitre.org/data/definitions/220.html" xr:uid="{00000000-0004-0000-0500-00002C000000}"/>
    <hyperlink ref="D51" r:id="rId46" display="http://capec.mitre.org/data/definitions/14.html" xr:uid="{00000000-0004-0000-0500-00002D000000}"/>
    <hyperlink ref="D52" r:id="rId47" display="http://capec.mitre.org/data/definitions/397.html" xr:uid="{00000000-0004-0000-0500-00002E000000}"/>
    <hyperlink ref="D53" r:id="rId48" display="http://capec.mitre.org/data/definitions/399.html" xr:uid="{00000000-0004-0000-0500-00002F000000}"/>
    <hyperlink ref="D54" r:id="rId49" display="http://capec.mitre.org/data/definitions/175.html" xr:uid="{00000000-0004-0000-0500-000030000000}"/>
    <hyperlink ref="D55" r:id="rId50" display="http://capec.mitre.org/data/definitions/241.html" xr:uid="{00000000-0004-0000-0500-000031000000}"/>
    <hyperlink ref="D56" r:id="rId51" display="http://capec.mitre.org/data/definitions/15.html" xr:uid="{00000000-0004-0000-0500-000032000000}"/>
    <hyperlink ref="D57" r:id="rId52" display="http://capec.mitre.org/data/definitions/248.html" xr:uid="{00000000-0004-0000-0500-000033000000}"/>
    <hyperlink ref="D58" r:id="rId53" display="http://capec.mitre.org/data/definitions/108.html" xr:uid="{00000000-0004-0000-0500-000034000000}"/>
    <hyperlink ref="D59" r:id="rId54" display="http://capec.mitre.org/data/definitions/150.html" xr:uid="{00000000-0004-0000-0500-000035000000}"/>
    <hyperlink ref="B3" r:id="rId55" xr:uid="{00000000-0004-0000-0500-000036000000}"/>
  </hyperlinks>
  <pageMargins left="0.7" right="0.7" top="0.75" bottom="0.75" header="0.3" footer="0.3"/>
  <customProperties>
    <customPr name="Guid" r:id="rId56"/>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1039"/>
  <sheetViews>
    <sheetView workbookViewId="0"/>
  </sheetViews>
  <sheetFormatPr defaultColWidth="8.7109375" defaultRowHeight="15" x14ac:dyDescent="0.25"/>
  <cols>
    <col min="2" max="2" width="75.28515625" customWidth="1"/>
    <col min="3" max="3" width="72.7109375" customWidth="1"/>
    <col min="4" max="4" width="4.42578125" customWidth="1"/>
    <col min="5" max="5" width="11.7109375" bestFit="1" customWidth="1"/>
    <col min="6" max="6" width="12" bestFit="1" customWidth="1"/>
  </cols>
  <sheetData>
    <row r="1" spans="2:6" ht="21" x14ac:dyDescent="0.35">
      <c r="B1" s="2" t="s">
        <v>3366</v>
      </c>
    </row>
    <row r="2" spans="2:6" x14ac:dyDescent="0.25">
      <c r="B2" s="142" t="s">
        <v>1498</v>
      </c>
    </row>
    <row r="3" spans="2:6" x14ac:dyDescent="0.25">
      <c r="B3" s="33" t="s">
        <v>3365</v>
      </c>
    </row>
    <row r="5" spans="2:6" s="25" customFormat="1" x14ac:dyDescent="0.25">
      <c r="B5" s="25" t="s">
        <v>3364</v>
      </c>
      <c r="C5" s="25" t="s">
        <v>3363</v>
      </c>
      <c r="E5" s="141" t="s">
        <v>3362</v>
      </c>
      <c r="F5" s="25" t="s">
        <v>1494</v>
      </c>
    </row>
    <row r="6" spans="2:6" ht="15.75" thickBot="1" x14ac:dyDescent="0.3">
      <c r="B6" t="s">
        <v>3361</v>
      </c>
      <c r="C6" s="139" t="s">
        <v>3360</v>
      </c>
      <c r="D6" s="139"/>
      <c r="E6" t="s">
        <v>3359</v>
      </c>
      <c r="F6" t="s">
        <v>68</v>
      </c>
    </row>
    <row r="7" spans="2:6" ht="15.75" thickBot="1" x14ac:dyDescent="0.3">
      <c r="B7" t="s">
        <v>3358</v>
      </c>
      <c r="C7" s="139" t="s">
        <v>3357</v>
      </c>
      <c r="D7" s="139"/>
      <c r="E7" t="s">
        <v>3356</v>
      </c>
      <c r="F7" t="s">
        <v>3355</v>
      </c>
    </row>
    <row r="8" spans="2:6" ht="15.75" thickBot="1" x14ac:dyDescent="0.3">
      <c r="B8" t="s">
        <v>3354</v>
      </c>
      <c r="C8" s="139" t="s">
        <v>3353</v>
      </c>
      <c r="D8" s="139"/>
      <c r="E8" t="s">
        <v>3352</v>
      </c>
      <c r="F8" t="s">
        <v>3351</v>
      </c>
    </row>
    <row r="9" spans="2:6" ht="15.75" thickBot="1" x14ac:dyDescent="0.3">
      <c r="B9" t="s">
        <v>3350</v>
      </c>
      <c r="C9" s="139" t="s">
        <v>3349</v>
      </c>
      <c r="D9" s="139"/>
      <c r="E9" t="s">
        <v>3348</v>
      </c>
      <c r="F9" t="s">
        <v>3347</v>
      </c>
    </row>
    <row r="10" spans="2:6" ht="15.75" thickBot="1" x14ac:dyDescent="0.3">
      <c r="B10" t="s">
        <v>3346</v>
      </c>
      <c r="C10" s="139" t="s">
        <v>3345</v>
      </c>
      <c r="D10" s="139"/>
      <c r="E10" t="s">
        <v>3344</v>
      </c>
      <c r="F10" t="s">
        <v>124</v>
      </c>
    </row>
    <row r="11" spans="2:6" ht="15.75" thickBot="1" x14ac:dyDescent="0.3">
      <c r="B11" t="s">
        <v>3343</v>
      </c>
      <c r="C11" s="139" t="s">
        <v>3342</v>
      </c>
      <c r="D11" s="139"/>
      <c r="E11" t="s">
        <v>3341</v>
      </c>
      <c r="F11" t="s">
        <v>3340</v>
      </c>
    </row>
    <row r="12" spans="2:6" ht="15.75" thickBot="1" x14ac:dyDescent="0.3">
      <c r="B12" t="s">
        <v>3339</v>
      </c>
      <c r="C12" s="139" t="s">
        <v>3338</v>
      </c>
      <c r="D12" s="139"/>
      <c r="E12" t="s">
        <v>3337</v>
      </c>
      <c r="F12" t="s">
        <v>3336</v>
      </c>
    </row>
    <row r="13" spans="2:6" ht="15.75" thickBot="1" x14ac:dyDescent="0.3">
      <c r="B13" t="s">
        <v>3335</v>
      </c>
      <c r="C13" s="139" t="s">
        <v>3334</v>
      </c>
      <c r="D13" s="139"/>
      <c r="E13" t="s">
        <v>3333</v>
      </c>
      <c r="F13" t="s">
        <v>3333</v>
      </c>
    </row>
    <row r="14" spans="2:6" ht="15.75" thickBot="1" x14ac:dyDescent="0.3">
      <c r="B14" t="s">
        <v>3332</v>
      </c>
      <c r="C14" s="139" t="s">
        <v>3331</v>
      </c>
      <c r="D14" s="139"/>
    </row>
    <row r="15" spans="2:6" ht="15.75" thickBot="1" x14ac:dyDescent="0.3">
      <c r="B15" t="s">
        <v>3330</v>
      </c>
      <c r="C15" s="139" t="s">
        <v>3329</v>
      </c>
      <c r="D15" s="139"/>
    </row>
    <row r="16" spans="2:6" ht="15.75" thickBot="1" x14ac:dyDescent="0.3">
      <c r="B16" t="s">
        <v>3328</v>
      </c>
      <c r="C16" s="139" t="s">
        <v>3327</v>
      </c>
      <c r="D16" s="139"/>
    </row>
    <row r="17" spans="2:4" ht="15.75" thickBot="1" x14ac:dyDescent="0.3">
      <c r="B17" t="s">
        <v>3326</v>
      </c>
      <c r="C17" s="139" t="s">
        <v>3325</v>
      </c>
      <c r="D17" s="139"/>
    </row>
    <row r="18" spans="2:4" ht="15.75" thickBot="1" x14ac:dyDescent="0.3">
      <c r="B18" t="s">
        <v>3324</v>
      </c>
      <c r="C18" s="139" t="s">
        <v>3323</v>
      </c>
      <c r="D18" s="139"/>
    </row>
    <row r="19" spans="2:4" ht="15.75" thickBot="1" x14ac:dyDescent="0.3">
      <c r="B19" t="s">
        <v>3322</v>
      </c>
      <c r="C19" s="139" t="s">
        <v>3321</v>
      </c>
      <c r="D19" s="139"/>
    </row>
    <row r="20" spans="2:4" ht="15.75" thickBot="1" x14ac:dyDescent="0.3">
      <c r="B20" t="s">
        <v>3320</v>
      </c>
      <c r="C20" s="139" t="s">
        <v>3319</v>
      </c>
      <c r="D20" s="139"/>
    </row>
    <row r="21" spans="2:4" ht="15.75" thickBot="1" x14ac:dyDescent="0.3">
      <c r="B21" t="s">
        <v>3318</v>
      </c>
      <c r="C21" s="139" t="s">
        <v>3317</v>
      </c>
      <c r="D21" s="139"/>
    </row>
    <row r="22" spans="2:4" ht="15.75" thickBot="1" x14ac:dyDescent="0.3">
      <c r="B22" t="s">
        <v>3316</v>
      </c>
      <c r="C22" s="139" t="s">
        <v>3315</v>
      </c>
      <c r="D22" s="139"/>
    </row>
    <row r="23" spans="2:4" ht="15.75" thickBot="1" x14ac:dyDescent="0.3">
      <c r="B23" t="s">
        <v>3314</v>
      </c>
      <c r="C23" s="139" t="s">
        <v>3313</v>
      </c>
      <c r="D23" s="139"/>
    </row>
    <row r="24" spans="2:4" ht="15.75" thickBot="1" x14ac:dyDescent="0.3">
      <c r="B24" t="s">
        <v>3312</v>
      </c>
      <c r="C24" s="139" t="s">
        <v>3311</v>
      </c>
      <c r="D24" s="139"/>
    </row>
    <row r="25" spans="2:4" ht="15.75" thickBot="1" x14ac:dyDescent="0.3">
      <c r="B25" t="s">
        <v>3310</v>
      </c>
      <c r="C25" s="139" t="s">
        <v>3309</v>
      </c>
      <c r="D25" s="139"/>
    </row>
    <row r="26" spans="2:4" ht="15.75" thickBot="1" x14ac:dyDescent="0.3">
      <c r="B26" t="s">
        <v>3308</v>
      </c>
      <c r="C26" s="139" t="s">
        <v>3307</v>
      </c>
      <c r="D26" s="139"/>
    </row>
    <row r="27" spans="2:4" ht="15.75" thickBot="1" x14ac:dyDescent="0.3">
      <c r="B27" t="s">
        <v>3306</v>
      </c>
      <c r="C27" s="139" t="s">
        <v>3305</v>
      </c>
      <c r="D27" s="139"/>
    </row>
    <row r="28" spans="2:4" ht="15.75" thickBot="1" x14ac:dyDescent="0.3">
      <c r="B28" t="s">
        <v>3304</v>
      </c>
      <c r="C28" s="139" t="s">
        <v>3303</v>
      </c>
      <c r="D28" s="139"/>
    </row>
    <row r="29" spans="2:4" ht="15.75" thickBot="1" x14ac:dyDescent="0.3">
      <c r="B29" t="s">
        <v>3302</v>
      </c>
      <c r="C29" s="139" t="s">
        <v>3301</v>
      </c>
      <c r="D29" s="139"/>
    </row>
    <row r="30" spans="2:4" ht="15.75" thickBot="1" x14ac:dyDescent="0.3">
      <c r="B30" t="s">
        <v>3300</v>
      </c>
      <c r="C30" s="139" t="s">
        <v>3299</v>
      </c>
      <c r="D30" s="139"/>
    </row>
    <row r="31" spans="2:4" ht="15.75" thickBot="1" x14ac:dyDescent="0.3">
      <c r="B31" t="s">
        <v>3298</v>
      </c>
      <c r="C31" s="139" t="s">
        <v>3297</v>
      </c>
      <c r="D31" s="139"/>
    </row>
    <row r="32" spans="2:4" ht="15.75" thickBot="1" x14ac:dyDescent="0.3">
      <c r="B32" t="s">
        <v>3296</v>
      </c>
      <c r="C32" s="139" t="s">
        <v>3295</v>
      </c>
      <c r="D32" s="139"/>
    </row>
    <row r="33" spans="2:4" ht="15.75" thickBot="1" x14ac:dyDescent="0.3">
      <c r="B33" t="s">
        <v>3294</v>
      </c>
      <c r="C33" s="139" t="s">
        <v>3293</v>
      </c>
      <c r="D33" s="139"/>
    </row>
    <row r="34" spans="2:4" ht="15.75" thickBot="1" x14ac:dyDescent="0.3">
      <c r="B34" t="s">
        <v>3292</v>
      </c>
      <c r="C34" s="139" t="s">
        <v>3291</v>
      </c>
      <c r="D34" s="139"/>
    </row>
    <row r="35" spans="2:4" ht="15.75" thickBot="1" x14ac:dyDescent="0.3">
      <c r="B35" t="s">
        <v>3290</v>
      </c>
      <c r="C35" s="139" t="s">
        <v>3289</v>
      </c>
      <c r="D35" s="139"/>
    </row>
    <row r="36" spans="2:4" ht="15.75" thickBot="1" x14ac:dyDescent="0.3">
      <c r="B36" t="s">
        <v>3288</v>
      </c>
      <c r="C36" s="139" t="s">
        <v>3287</v>
      </c>
      <c r="D36" s="139"/>
    </row>
    <row r="37" spans="2:4" ht="15.75" thickBot="1" x14ac:dyDescent="0.3">
      <c r="B37" t="s">
        <v>3286</v>
      </c>
      <c r="C37" s="139" t="s">
        <v>3285</v>
      </c>
      <c r="D37" s="139"/>
    </row>
    <row r="38" spans="2:4" ht="15.75" thickBot="1" x14ac:dyDescent="0.3">
      <c r="B38" t="s">
        <v>3284</v>
      </c>
      <c r="C38" s="139" t="s">
        <v>3283</v>
      </c>
      <c r="D38" s="139"/>
    </row>
    <row r="39" spans="2:4" ht="15.75" thickBot="1" x14ac:dyDescent="0.3">
      <c r="B39" t="s">
        <v>3282</v>
      </c>
      <c r="C39" s="139" t="s">
        <v>3281</v>
      </c>
      <c r="D39" s="139"/>
    </row>
    <row r="40" spans="2:4" ht="15.75" thickBot="1" x14ac:dyDescent="0.3">
      <c r="B40" t="s">
        <v>3280</v>
      </c>
      <c r="C40" s="139" t="s">
        <v>3279</v>
      </c>
      <c r="D40" s="139"/>
    </row>
    <row r="41" spans="2:4" ht="15.75" thickBot="1" x14ac:dyDescent="0.3">
      <c r="B41" t="s">
        <v>3278</v>
      </c>
      <c r="C41" s="139" t="s">
        <v>3277</v>
      </c>
      <c r="D41" s="139"/>
    </row>
    <row r="42" spans="2:4" ht="15.75" thickBot="1" x14ac:dyDescent="0.3">
      <c r="B42" t="s">
        <v>3276</v>
      </c>
      <c r="C42" s="139" t="s">
        <v>3275</v>
      </c>
      <c r="D42" s="139"/>
    </row>
    <row r="43" spans="2:4" ht="15.75" thickBot="1" x14ac:dyDescent="0.3">
      <c r="B43" t="s">
        <v>3274</v>
      </c>
      <c r="C43" s="139" t="s">
        <v>3273</v>
      </c>
      <c r="D43" s="139"/>
    </row>
    <row r="44" spans="2:4" ht="15.75" thickBot="1" x14ac:dyDescent="0.3">
      <c r="B44" t="s">
        <v>3272</v>
      </c>
      <c r="C44" s="139" t="s">
        <v>3271</v>
      </c>
      <c r="D44" s="139"/>
    </row>
    <row r="45" spans="2:4" ht="15.75" thickBot="1" x14ac:dyDescent="0.3">
      <c r="B45" t="s">
        <v>3270</v>
      </c>
      <c r="C45" s="139" t="s">
        <v>3269</v>
      </c>
      <c r="D45" s="139"/>
    </row>
    <row r="46" spans="2:4" ht="15.75" thickBot="1" x14ac:dyDescent="0.3">
      <c r="B46" t="s">
        <v>3268</v>
      </c>
      <c r="C46" s="139" t="s">
        <v>3267</v>
      </c>
      <c r="D46" s="139"/>
    </row>
    <row r="47" spans="2:4" ht="15.75" thickBot="1" x14ac:dyDescent="0.3">
      <c r="B47" t="s">
        <v>3266</v>
      </c>
      <c r="C47" s="139" t="s">
        <v>3265</v>
      </c>
      <c r="D47" s="139"/>
    </row>
    <row r="48" spans="2:4" ht="15.75" thickBot="1" x14ac:dyDescent="0.3">
      <c r="B48" t="s">
        <v>3264</v>
      </c>
      <c r="C48" s="139" t="s">
        <v>3263</v>
      </c>
      <c r="D48" s="139"/>
    </row>
    <row r="49" spans="2:4" ht="30.75" thickBot="1" x14ac:dyDescent="0.3">
      <c r="B49" t="s">
        <v>3262</v>
      </c>
      <c r="C49" s="139" t="s">
        <v>3261</v>
      </c>
      <c r="D49" s="139"/>
    </row>
    <row r="50" spans="2:4" ht="15.75" thickBot="1" x14ac:dyDescent="0.3">
      <c r="B50" t="s">
        <v>3260</v>
      </c>
      <c r="C50" s="139" t="s">
        <v>3259</v>
      </c>
      <c r="D50" s="139"/>
    </row>
    <row r="51" spans="2:4" ht="15.75" thickBot="1" x14ac:dyDescent="0.3">
      <c r="B51" t="s">
        <v>3258</v>
      </c>
      <c r="C51" s="139" t="s">
        <v>3257</v>
      </c>
      <c r="D51" s="139"/>
    </row>
    <row r="52" spans="2:4" ht="15.75" thickBot="1" x14ac:dyDescent="0.3">
      <c r="B52" t="s">
        <v>3256</v>
      </c>
      <c r="C52" s="139" t="s">
        <v>3255</v>
      </c>
      <c r="D52" s="139"/>
    </row>
    <row r="53" spans="2:4" ht="15.75" thickBot="1" x14ac:dyDescent="0.3">
      <c r="B53" t="s">
        <v>3254</v>
      </c>
      <c r="C53" s="139" t="s">
        <v>3253</v>
      </c>
      <c r="D53" s="139"/>
    </row>
    <row r="54" spans="2:4" ht="15.75" thickBot="1" x14ac:dyDescent="0.3">
      <c r="B54" t="s">
        <v>3252</v>
      </c>
      <c r="C54" s="139" t="s">
        <v>3251</v>
      </c>
      <c r="D54" s="139"/>
    </row>
    <row r="55" spans="2:4" ht="15.75" thickBot="1" x14ac:dyDescent="0.3">
      <c r="B55" t="s">
        <v>3250</v>
      </c>
      <c r="C55" s="139" t="s">
        <v>3249</v>
      </c>
      <c r="D55" s="139"/>
    </row>
    <row r="56" spans="2:4" ht="15.75" thickBot="1" x14ac:dyDescent="0.3">
      <c r="B56" t="s">
        <v>3248</v>
      </c>
      <c r="C56" s="139" t="s">
        <v>3247</v>
      </c>
      <c r="D56" s="139"/>
    </row>
    <row r="57" spans="2:4" ht="15.75" thickBot="1" x14ac:dyDescent="0.3">
      <c r="B57" t="s">
        <v>3246</v>
      </c>
      <c r="C57" s="139" t="s">
        <v>3245</v>
      </c>
      <c r="D57" s="139"/>
    </row>
    <row r="58" spans="2:4" ht="15.75" thickBot="1" x14ac:dyDescent="0.3">
      <c r="B58" t="s">
        <v>3244</v>
      </c>
      <c r="C58" s="139" t="s">
        <v>3243</v>
      </c>
      <c r="D58" s="139"/>
    </row>
    <row r="59" spans="2:4" ht="15.75" thickBot="1" x14ac:dyDescent="0.3">
      <c r="B59" t="s">
        <v>3242</v>
      </c>
      <c r="C59" s="139" t="s">
        <v>3241</v>
      </c>
      <c r="D59" s="139"/>
    </row>
    <row r="60" spans="2:4" ht="15.75" thickBot="1" x14ac:dyDescent="0.3">
      <c r="B60" t="s">
        <v>3240</v>
      </c>
      <c r="C60" s="139" t="s">
        <v>3239</v>
      </c>
      <c r="D60" s="139"/>
    </row>
    <row r="61" spans="2:4" ht="15.75" thickBot="1" x14ac:dyDescent="0.3">
      <c r="B61" t="s">
        <v>3238</v>
      </c>
      <c r="C61" s="139" t="s">
        <v>3237</v>
      </c>
      <c r="D61" s="139"/>
    </row>
    <row r="62" spans="2:4" ht="15.75" thickBot="1" x14ac:dyDescent="0.3">
      <c r="B62" t="s">
        <v>3236</v>
      </c>
      <c r="C62" s="139" t="s">
        <v>3235</v>
      </c>
      <c r="D62" s="139"/>
    </row>
    <row r="63" spans="2:4" ht="15.75" thickBot="1" x14ac:dyDescent="0.3">
      <c r="B63" t="s">
        <v>3234</v>
      </c>
      <c r="C63" s="139" t="s">
        <v>3233</v>
      </c>
      <c r="D63" s="139"/>
    </row>
    <row r="64" spans="2:4" ht="15.75" thickBot="1" x14ac:dyDescent="0.3">
      <c r="B64" t="s">
        <v>3232</v>
      </c>
      <c r="C64" s="139" t="s">
        <v>3231</v>
      </c>
      <c r="D64" s="139"/>
    </row>
    <row r="65" spans="2:4" ht="15.75" thickBot="1" x14ac:dyDescent="0.3">
      <c r="B65" t="s">
        <v>3230</v>
      </c>
      <c r="C65" s="139" t="s">
        <v>3229</v>
      </c>
      <c r="D65" s="139"/>
    </row>
    <row r="66" spans="2:4" ht="15.75" thickBot="1" x14ac:dyDescent="0.3">
      <c r="B66" t="s">
        <v>3228</v>
      </c>
      <c r="C66" s="139" t="s">
        <v>3227</v>
      </c>
      <c r="D66" s="139"/>
    </row>
    <row r="67" spans="2:4" ht="15.75" thickBot="1" x14ac:dyDescent="0.3">
      <c r="B67" t="s">
        <v>3226</v>
      </c>
      <c r="C67" s="139" t="s">
        <v>3225</v>
      </c>
      <c r="D67" s="139"/>
    </row>
    <row r="68" spans="2:4" ht="15.75" thickBot="1" x14ac:dyDescent="0.3">
      <c r="B68" t="s">
        <v>3224</v>
      </c>
      <c r="C68" s="139" t="s">
        <v>3223</v>
      </c>
      <c r="D68" s="139"/>
    </row>
    <row r="69" spans="2:4" ht="15.75" thickBot="1" x14ac:dyDescent="0.3">
      <c r="B69" t="s">
        <v>3222</v>
      </c>
      <c r="C69" s="139" t="s">
        <v>3221</v>
      </c>
      <c r="D69" s="139"/>
    </row>
    <row r="70" spans="2:4" ht="15.75" thickBot="1" x14ac:dyDescent="0.3">
      <c r="B70" t="s">
        <v>3220</v>
      </c>
      <c r="C70" s="139" t="s">
        <v>3219</v>
      </c>
      <c r="D70" s="139"/>
    </row>
    <row r="71" spans="2:4" ht="15.75" thickBot="1" x14ac:dyDescent="0.3">
      <c r="B71" t="s">
        <v>3218</v>
      </c>
      <c r="C71" s="139" t="s">
        <v>3217</v>
      </c>
      <c r="D71" s="139"/>
    </row>
    <row r="72" spans="2:4" ht="15.75" thickBot="1" x14ac:dyDescent="0.3">
      <c r="B72" t="s">
        <v>3216</v>
      </c>
      <c r="C72" s="139" t="s">
        <v>3215</v>
      </c>
      <c r="D72" s="139"/>
    </row>
    <row r="73" spans="2:4" ht="15.75" thickBot="1" x14ac:dyDescent="0.3">
      <c r="B73" t="s">
        <v>3214</v>
      </c>
      <c r="C73" s="139" t="s">
        <v>3213</v>
      </c>
      <c r="D73" s="139"/>
    </row>
    <row r="74" spans="2:4" ht="15.75" thickBot="1" x14ac:dyDescent="0.3">
      <c r="B74" t="s">
        <v>3212</v>
      </c>
      <c r="C74" s="139" t="s">
        <v>3211</v>
      </c>
      <c r="D74" s="139"/>
    </row>
    <row r="75" spans="2:4" ht="15.75" thickBot="1" x14ac:dyDescent="0.3">
      <c r="B75" t="s">
        <v>3210</v>
      </c>
      <c r="C75" s="139" t="s">
        <v>3209</v>
      </c>
      <c r="D75" s="139"/>
    </row>
    <row r="76" spans="2:4" ht="15.75" thickBot="1" x14ac:dyDescent="0.3">
      <c r="B76" t="s">
        <v>3208</v>
      </c>
      <c r="C76" s="139" t="s">
        <v>3207</v>
      </c>
      <c r="D76" s="139"/>
    </row>
    <row r="77" spans="2:4" ht="15.75" thickBot="1" x14ac:dyDescent="0.3">
      <c r="B77" t="s">
        <v>3206</v>
      </c>
      <c r="C77" s="139" t="s">
        <v>3205</v>
      </c>
      <c r="D77" s="139"/>
    </row>
    <row r="78" spans="2:4" ht="15.75" thickBot="1" x14ac:dyDescent="0.3">
      <c r="B78" t="s">
        <v>3204</v>
      </c>
      <c r="C78" s="139" t="s">
        <v>3203</v>
      </c>
      <c r="D78" s="139"/>
    </row>
    <row r="79" spans="2:4" ht="30.75" thickBot="1" x14ac:dyDescent="0.3">
      <c r="B79" t="s">
        <v>3202</v>
      </c>
      <c r="C79" s="139" t="s">
        <v>3201</v>
      </c>
      <c r="D79" s="139"/>
    </row>
    <row r="80" spans="2:4" ht="15.75" thickBot="1" x14ac:dyDescent="0.3">
      <c r="B80" t="s">
        <v>3200</v>
      </c>
      <c r="C80" s="139" t="s">
        <v>3199</v>
      </c>
      <c r="D80" s="139"/>
    </row>
    <row r="81" spans="2:4" ht="15.75" thickBot="1" x14ac:dyDescent="0.3">
      <c r="B81" t="s">
        <v>3198</v>
      </c>
      <c r="C81" s="139" t="s">
        <v>3197</v>
      </c>
      <c r="D81" s="139"/>
    </row>
    <row r="82" spans="2:4" ht="15.75" thickBot="1" x14ac:dyDescent="0.3">
      <c r="B82" t="s">
        <v>3196</v>
      </c>
      <c r="C82" s="139" t="s">
        <v>3195</v>
      </c>
      <c r="D82" s="139"/>
    </row>
    <row r="83" spans="2:4" ht="15.75" thickBot="1" x14ac:dyDescent="0.3">
      <c r="B83" t="s">
        <v>3194</v>
      </c>
      <c r="C83" s="139" t="s">
        <v>3193</v>
      </c>
      <c r="D83" s="139"/>
    </row>
    <row r="84" spans="2:4" ht="15.75" thickBot="1" x14ac:dyDescent="0.3">
      <c r="B84" t="s">
        <v>3192</v>
      </c>
      <c r="C84" s="139" t="s">
        <v>3191</v>
      </c>
      <c r="D84" s="139"/>
    </row>
    <row r="85" spans="2:4" ht="15.75" thickBot="1" x14ac:dyDescent="0.3">
      <c r="B85" t="s">
        <v>3190</v>
      </c>
      <c r="C85" s="139" t="s">
        <v>3189</v>
      </c>
      <c r="D85" s="139"/>
    </row>
    <row r="86" spans="2:4" ht="15.75" thickBot="1" x14ac:dyDescent="0.3">
      <c r="B86" t="s">
        <v>3188</v>
      </c>
      <c r="C86" s="139" t="s">
        <v>3187</v>
      </c>
      <c r="D86" s="139"/>
    </row>
    <row r="87" spans="2:4" ht="15.75" thickBot="1" x14ac:dyDescent="0.3">
      <c r="B87" t="s">
        <v>3186</v>
      </c>
      <c r="C87" s="139" t="s">
        <v>3185</v>
      </c>
      <c r="D87" s="139"/>
    </row>
    <row r="88" spans="2:4" ht="15.75" thickBot="1" x14ac:dyDescent="0.3">
      <c r="B88" t="s">
        <v>3184</v>
      </c>
      <c r="C88" s="139" t="s">
        <v>3183</v>
      </c>
      <c r="D88" s="139"/>
    </row>
    <row r="89" spans="2:4" ht="30.75" thickBot="1" x14ac:dyDescent="0.3">
      <c r="B89" t="s">
        <v>3182</v>
      </c>
      <c r="C89" s="139" t="s">
        <v>3181</v>
      </c>
      <c r="D89" s="139"/>
    </row>
    <row r="90" spans="2:4" ht="30.75" thickBot="1" x14ac:dyDescent="0.3">
      <c r="B90" t="s">
        <v>3180</v>
      </c>
      <c r="C90" s="139" t="s">
        <v>3179</v>
      </c>
      <c r="D90" s="139"/>
    </row>
    <row r="91" spans="2:4" ht="15.75" thickBot="1" x14ac:dyDescent="0.3">
      <c r="B91" t="s">
        <v>3178</v>
      </c>
      <c r="C91" s="139" t="s">
        <v>3177</v>
      </c>
      <c r="D91" s="139"/>
    </row>
    <row r="92" spans="2:4" ht="15.75" thickBot="1" x14ac:dyDescent="0.3">
      <c r="B92" t="s">
        <v>3176</v>
      </c>
      <c r="C92" s="139" t="s">
        <v>3175</v>
      </c>
      <c r="D92" s="139"/>
    </row>
    <row r="93" spans="2:4" ht="30.75" thickBot="1" x14ac:dyDescent="0.3">
      <c r="B93" t="s">
        <v>3174</v>
      </c>
      <c r="C93" s="139" t="s">
        <v>3173</v>
      </c>
      <c r="D93" s="139"/>
    </row>
    <row r="94" spans="2:4" ht="30.75" thickBot="1" x14ac:dyDescent="0.3">
      <c r="B94" t="s">
        <v>3172</v>
      </c>
      <c r="C94" s="139" t="s">
        <v>3171</v>
      </c>
      <c r="D94" s="139"/>
    </row>
    <row r="95" spans="2:4" ht="15.75" thickBot="1" x14ac:dyDescent="0.3">
      <c r="B95" t="s">
        <v>3170</v>
      </c>
      <c r="C95" s="139" t="s">
        <v>3169</v>
      </c>
      <c r="D95" s="139"/>
    </row>
    <row r="96" spans="2:4" ht="30.75" thickBot="1" x14ac:dyDescent="0.3">
      <c r="B96" t="s">
        <v>3168</v>
      </c>
      <c r="C96" s="139" t="s">
        <v>3167</v>
      </c>
      <c r="D96" s="139"/>
    </row>
    <row r="97" spans="2:4" ht="15.75" thickBot="1" x14ac:dyDescent="0.3">
      <c r="B97" t="s">
        <v>3166</v>
      </c>
      <c r="C97" s="139" t="s">
        <v>3165</v>
      </c>
      <c r="D97" s="139"/>
    </row>
    <row r="98" spans="2:4" ht="15.75" thickBot="1" x14ac:dyDescent="0.3">
      <c r="B98" t="s">
        <v>3164</v>
      </c>
      <c r="C98" s="139" t="s">
        <v>3163</v>
      </c>
      <c r="D98" s="139"/>
    </row>
    <row r="99" spans="2:4" ht="15.75" thickBot="1" x14ac:dyDescent="0.3">
      <c r="B99" t="s">
        <v>3162</v>
      </c>
      <c r="C99" s="139" t="s">
        <v>3161</v>
      </c>
      <c r="D99" s="139"/>
    </row>
    <row r="100" spans="2:4" ht="15.75" thickBot="1" x14ac:dyDescent="0.3">
      <c r="B100" t="s">
        <v>3160</v>
      </c>
      <c r="C100" s="139" t="s">
        <v>3159</v>
      </c>
      <c r="D100" s="139"/>
    </row>
    <row r="101" spans="2:4" ht="15.75" thickBot="1" x14ac:dyDescent="0.3">
      <c r="B101" t="s">
        <v>3158</v>
      </c>
      <c r="C101" s="139" t="s">
        <v>3157</v>
      </c>
      <c r="D101" s="139"/>
    </row>
    <row r="102" spans="2:4" ht="15.75" thickBot="1" x14ac:dyDescent="0.3">
      <c r="B102" t="s">
        <v>3156</v>
      </c>
      <c r="C102" s="139" t="s">
        <v>3155</v>
      </c>
      <c r="D102" s="139"/>
    </row>
    <row r="103" spans="2:4" ht="15.75" thickBot="1" x14ac:dyDescent="0.3">
      <c r="B103" t="s">
        <v>3154</v>
      </c>
      <c r="C103" s="139" t="s">
        <v>3153</v>
      </c>
      <c r="D103" s="139"/>
    </row>
    <row r="104" spans="2:4" ht="30.75" thickBot="1" x14ac:dyDescent="0.3">
      <c r="B104" t="s">
        <v>3152</v>
      </c>
      <c r="C104" s="139" t="s">
        <v>3151</v>
      </c>
      <c r="D104" s="139"/>
    </row>
    <row r="105" spans="2:4" ht="15.75" thickBot="1" x14ac:dyDescent="0.3">
      <c r="B105" t="s">
        <v>3150</v>
      </c>
      <c r="C105" s="139" t="s">
        <v>3149</v>
      </c>
      <c r="D105" s="139"/>
    </row>
    <row r="106" spans="2:4" ht="15.75" thickBot="1" x14ac:dyDescent="0.3">
      <c r="B106" t="s">
        <v>3148</v>
      </c>
      <c r="C106" s="139" t="s">
        <v>3147</v>
      </c>
      <c r="D106" s="139"/>
    </row>
    <row r="107" spans="2:4" ht="15.75" thickBot="1" x14ac:dyDescent="0.3">
      <c r="B107" t="s">
        <v>3146</v>
      </c>
      <c r="C107" s="139" t="s">
        <v>3145</v>
      </c>
      <c r="D107" s="139"/>
    </row>
    <row r="108" spans="2:4" ht="15.75" thickBot="1" x14ac:dyDescent="0.3">
      <c r="B108" t="s">
        <v>3144</v>
      </c>
      <c r="C108" s="139" t="s">
        <v>3143</v>
      </c>
      <c r="D108" s="139"/>
    </row>
    <row r="109" spans="2:4" ht="15.75" thickBot="1" x14ac:dyDescent="0.3">
      <c r="B109" t="s">
        <v>3142</v>
      </c>
      <c r="C109" s="139" t="s">
        <v>3141</v>
      </c>
      <c r="D109" s="139"/>
    </row>
    <row r="110" spans="2:4" ht="15.75" thickBot="1" x14ac:dyDescent="0.3">
      <c r="B110" t="s">
        <v>3140</v>
      </c>
      <c r="C110" s="139" t="s">
        <v>3139</v>
      </c>
      <c r="D110" s="139"/>
    </row>
    <row r="111" spans="2:4" ht="15.75" thickBot="1" x14ac:dyDescent="0.3">
      <c r="B111" t="s">
        <v>3138</v>
      </c>
      <c r="C111" s="139" t="s">
        <v>3137</v>
      </c>
      <c r="D111" s="139"/>
    </row>
    <row r="112" spans="2:4" ht="15.75" thickBot="1" x14ac:dyDescent="0.3">
      <c r="B112" t="s">
        <v>3136</v>
      </c>
      <c r="C112" s="139" t="s">
        <v>3135</v>
      </c>
      <c r="D112" s="139"/>
    </row>
    <row r="113" spans="2:4" ht="15.75" thickBot="1" x14ac:dyDescent="0.3">
      <c r="B113" t="s">
        <v>3134</v>
      </c>
      <c r="C113" s="139" t="s">
        <v>3133</v>
      </c>
      <c r="D113" s="139"/>
    </row>
    <row r="114" spans="2:4" ht="15.75" thickBot="1" x14ac:dyDescent="0.3">
      <c r="B114" t="s">
        <v>3132</v>
      </c>
      <c r="C114" s="139" t="s">
        <v>3131</v>
      </c>
      <c r="D114" s="139"/>
    </row>
    <row r="115" spans="2:4" ht="15.75" thickBot="1" x14ac:dyDescent="0.3">
      <c r="B115" t="s">
        <v>3130</v>
      </c>
      <c r="C115" s="139" t="s">
        <v>3129</v>
      </c>
      <c r="D115" s="139"/>
    </row>
    <row r="116" spans="2:4" ht="15.75" thickBot="1" x14ac:dyDescent="0.3">
      <c r="B116" t="s">
        <v>3128</v>
      </c>
      <c r="C116" s="139" t="s">
        <v>3127</v>
      </c>
      <c r="D116" s="139"/>
    </row>
    <row r="117" spans="2:4" ht="15.75" thickBot="1" x14ac:dyDescent="0.3">
      <c r="B117" t="s">
        <v>3126</v>
      </c>
      <c r="C117" s="139" t="s">
        <v>3125</v>
      </c>
      <c r="D117" s="139"/>
    </row>
    <row r="118" spans="2:4" ht="15.75" thickBot="1" x14ac:dyDescent="0.3">
      <c r="B118" t="s">
        <v>3124</v>
      </c>
      <c r="C118" s="139" t="s">
        <v>3123</v>
      </c>
      <c r="D118" s="139"/>
    </row>
    <row r="119" spans="2:4" ht="15.75" thickBot="1" x14ac:dyDescent="0.3">
      <c r="B119" t="s">
        <v>3122</v>
      </c>
      <c r="C119" s="139" t="s">
        <v>3121</v>
      </c>
      <c r="D119" s="139"/>
    </row>
    <row r="120" spans="2:4" ht="15.75" thickBot="1" x14ac:dyDescent="0.3">
      <c r="B120" t="s">
        <v>3120</v>
      </c>
      <c r="C120" s="139" t="s">
        <v>3119</v>
      </c>
      <c r="D120" s="139"/>
    </row>
    <row r="121" spans="2:4" ht="15.75" thickBot="1" x14ac:dyDescent="0.3">
      <c r="B121" t="s">
        <v>3118</v>
      </c>
      <c r="C121" s="139" t="s">
        <v>3117</v>
      </c>
      <c r="D121" s="139"/>
    </row>
    <row r="122" spans="2:4" ht="15.75" thickBot="1" x14ac:dyDescent="0.3">
      <c r="B122" t="s">
        <v>3116</v>
      </c>
      <c r="C122" s="139" t="s">
        <v>3115</v>
      </c>
      <c r="D122" s="139"/>
    </row>
    <row r="123" spans="2:4" ht="15.75" thickBot="1" x14ac:dyDescent="0.3">
      <c r="B123" t="s">
        <v>3114</v>
      </c>
      <c r="C123" s="139" t="s">
        <v>3113</v>
      </c>
      <c r="D123" s="139"/>
    </row>
    <row r="124" spans="2:4" ht="15.75" thickBot="1" x14ac:dyDescent="0.3">
      <c r="B124" t="s">
        <v>3112</v>
      </c>
      <c r="C124" s="139" t="s">
        <v>3111</v>
      </c>
      <c r="D124" s="139"/>
    </row>
    <row r="125" spans="2:4" ht="15.75" thickBot="1" x14ac:dyDescent="0.3">
      <c r="B125" t="s">
        <v>3110</v>
      </c>
      <c r="C125" s="139" t="s">
        <v>3109</v>
      </c>
      <c r="D125" s="139"/>
    </row>
    <row r="126" spans="2:4" ht="15.75" thickBot="1" x14ac:dyDescent="0.3">
      <c r="B126" t="s">
        <v>3108</v>
      </c>
      <c r="C126" s="139" t="s">
        <v>3107</v>
      </c>
      <c r="D126" s="139"/>
    </row>
    <row r="127" spans="2:4" ht="15.75" thickBot="1" x14ac:dyDescent="0.3">
      <c r="B127" t="s">
        <v>3106</v>
      </c>
      <c r="C127" s="139" t="s">
        <v>3105</v>
      </c>
      <c r="D127" s="139"/>
    </row>
    <row r="128" spans="2:4" ht="15.75" thickBot="1" x14ac:dyDescent="0.3">
      <c r="B128" t="s">
        <v>3104</v>
      </c>
      <c r="C128" s="139" t="s">
        <v>3103</v>
      </c>
      <c r="D128" s="139"/>
    </row>
    <row r="129" spans="2:4" ht="15.75" thickBot="1" x14ac:dyDescent="0.3">
      <c r="B129" t="s">
        <v>3102</v>
      </c>
      <c r="C129" s="139" t="s">
        <v>3101</v>
      </c>
      <c r="D129" s="139"/>
    </row>
    <row r="130" spans="2:4" ht="15.75" thickBot="1" x14ac:dyDescent="0.3">
      <c r="B130" t="s">
        <v>3100</v>
      </c>
      <c r="C130" s="139" t="s">
        <v>3099</v>
      </c>
      <c r="D130" s="139"/>
    </row>
    <row r="131" spans="2:4" ht="15.75" thickBot="1" x14ac:dyDescent="0.3">
      <c r="B131" t="s">
        <v>3098</v>
      </c>
      <c r="C131" s="139" t="s">
        <v>3097</v>
      </c>
      <c r="D131" s="139"/>
    </row>
    <row r="132" spans="2:4" ht="15.75" thickBot="1" x14ac:dyDescent="0.3">
      <c r="B132" t="s">
        <v>3096</v>
      </c>
      <c r="C132" s="139" t="s">
        <v>3095</v>
      </c>
      <c r="D132" s="139"/>
    </row>
    <row r="133" spans="2:4" ht="30.75" thickBot="1" x14ac:dyDescent="0.3">
      <c r="B133" t="s">
        <v>3094</v>
      </c>
      <c r="C133" s="139" t="s">
        <v>3093</v>
      </c>
      <c r="D133" s="139"/>
    </row>
    <row r="134" spans="2:4" ht="15.75" thickBot="1" x14ac:dyDescent="0.3">
      <c r="B134" t="s">
        <v>3092</v>
      </c>
      <c r="C134" s="139" t="s">
        <v>3091</v>
      </c>
      <c r="D134" s="139"/>
    </row>
    <row r="135" spans="2:4" ht="15.75" thickBot="1" x14ac:dyDescent="0.3">
      <c r="B135" t="s">
        <v>3090</v>
      </c>
      <c r="C135" s="139" t="s">
        <v>3089</v>
      </c>
      <c r="D135" s="139"/>
    </row>
    <row r="136" spans="2:4" ht="15.75" thickBot="1" x14ac:dyDescent="0.3">
      <c r="B136" t="s">
        <v>3088</v>
      </c>
      <c r="C136" s="139" t="s">
        <v>3087</v>
      </c>
      <c r="D136" s="139"/>
    </row>
    <row r="137" spans="2:4" ht="15.75" thickBot="1" x14ac:dyDescent="0.3">
      <c r="B137" t="s">
        <v>3086</v>
      </c>
      <c r="C137" s="139" t="s">
        <v>3085</v>
      </c>
      <c r="D137" s="139"/>
    </row>
    <row r="138" spans="2:4" ht="30.75" thickBot="1" x14ac:dyDescent="0.3">
      <c r="B138" t="s">
        <v>3084</v>
      </c>
      <c r="C138" s="139" t="s">
        <v>3083</v>
      </c>
      <c r="D138" s="139"/>
    </row>
    <row r="139" spans="2:4" ht="15.75" thickBot="1" x14ac:dyDescent="0.3">
      <c r="B139" t="s">
        <v>3082</v>
      </c>
      <c r="C139" s="139" t="s">
        <v>3081</v>
      </c>
      <c r="D139" s="139"/>
    </row>
    <row r="140" spans="2:4" ht="15.75" thickBot="1" x14ac:dyDescent="0.3">
      <c r="B140" t="s">
        <v>3080</v>
      </c>
      <c r="C140" s="139" t="s">
        <v>3079</v>
      </c>
      <c r="D140" s="139"/>
    </row>
    <row r="141" spans="2:4" ht="15.75" thickBot="1" x14ac:dyDescent="0.3">
      <c r="B141" t="s">
        <v>3078</v>
      </c>
      <c r="C141" s="139" t="s">
        <v>3077</v>
      </c>
      <c r="D141" s="139"/>
    </row>
    <row r="142" spans="2:4" ht="15.75" thickBot="1" x14ac:dyDescent="0.3">
      <c r="B142" t="s">
        <v>3076</v>
      </c>
      <c r="C142" s="139" t="s">
        <v>3075</v>
      </c>
      <c r="D142" s="139"/>
    </row>
    <row r="143" spans="2:4" ht="15.75" thickBot="1" x14ac:dyDescent="0.3">
      <c r="B143" t="s">
        <v>3074</v>
      </c>
      <c r="C143" s="139" t="s">
        <v>3073</v>
      </c>
      <c r="D143" s="139"/>
    </row>
    <row r="144" spans="2:4" ht="15.75" thickBot="1" x14ac:dyDescent="0.3">
      <c r="B144" t="s">
        <v>3072</v>
      </c>
      <c r="C144" s="139" t="s">
        <v>3071</v>
      </c>
      <c r="D144" s="139"/>
    </row>
    <row r="145" spans="2:4" ht="15.75" thickBot="1" x14ac:dyDescent="0.3">
      <c r="B145" t="s">
        <v>3070</v>
      </c>
      <c r="C145" s="139" t="s">
        <v>3069</v>
      </c>
      <c r="D145" s="139"/>
    </row>
    <row r="146" spans="2:4" ht="15.75" thickBot="1" x14ac:dyDescent="0.3">
      <c r="B146" t="s">
        <v>3068</v>
      </c>
      <c r="C146" s="139" t="s">
        <v>3067</v>
      </c>
      <c r="D146" s="139"/>
    </row>
    <row r="147" spans="2:4" ht="15.75" thickBot="1" x14ac:dyDescent="0.3">
      <c r="B147" t="s">
        <v>3066</v>
      </c>
      <c r="C147" s="139" t="s">
        <v>3065</v>
      </c>
      <c r="D147" s="139"/>
    </row>
    <row r="148" spans="2:4" ht="15.75" thickBot="1" x14ac:dyDescent="0.3">
      <c r="B148" t="s">
        <v>3064</v>
      </c>
      <c r="C148" s="139" t="s">
        <v>3063</v>
      </c>
      <c r="D148" s="139"/>
    </row>
    <row r="149" spans="2:4" ht="15.75" thickBot="1" x14ac:dyDescent="0.3">
      <c r="B149" t="s">
        <v>3062</v>
      </c>
      <c r="C149" s="139" t="s">
        <v>3061</v>
      </c>
      <c r="D149" s="139"/>
    </row>
    <row r="150" spans="2:4" ht="15.75" thickBot="1" x14ac:dyDescent="0.3">
      <c r="B150" t="s">
        <v>3060</v>
      </c>
      <c r="C150" s="139" t="s">
        <v>3059</v>
      </c>
      <c r="D150" s="139"/>
    </row>
    <row r="151" spans="2:4" ht="15.75" thickBot="1" x14ac:dyDescent="0.3">
      <c r="B151" t="s">
        <v>3058</v>
      </c>
      <c r="C151" s="139" t="s">
        <v>3057</v>
      </c>
      <c r="D151" s="139"/>
    </row>
    <row r="152" spans="2:4" ht="15.75" thickBot="1" x14ac:dyDescent="0.3">
      <c r="B152" t="s">
        <v>3056</v>
      </c>
      <c r="C152" s="139" t="s">
        <v>3055</v>
      </c>
      <c r="D152" s="139"/>
    </row>
    <row r="153" spans="2:4" ht="15.75" thickBot="1" x14ac:dyDescent="0.3">
      <c r="B153" t="s">
        <v>3054</v>
      </c>
      <c r="C153" s="139" t="s">
        <v>3053</v>
      </c>
      <c r="D153" s="139"/>
    </row>
    <row r="154" spans="2:4" ht="15.75" thickBot="1" x14ac:dyDescent="0.3">
      <c r="B154" t="s">
        <v>3052</v>
      </c>
      <c r="C154" s="139" t="s">
        <v>3051</v>
      </c>
      <c r="D154" s="139"/>
    </row>
    <row r="155" spans="2:4" ht="15.75" thickBot="1" x14ac:dyDescent="0.3">
      <c r="B155" t="s">
        <v>3050</v>
      </c>
      <c r="C155" s="139" t="s">
        <v>3049</v>
      </c>
      <c r="D155" s="139"/>
    </row>
    <row r="156" spans="2:4" ht="15.75" thickBot="1" x14ac:dyDescent="0.3">
      <c r="B156" t="s">
        <v>3048</v>
      </c>
      <c r="C156" s="139" t="s">
        <v>3047</v>
      </c>
      <c r="D156" s="139"/>
    </row>
    <row r="157" spans="2:4" ht="15.75" thickBot="1" x14ac:dyDescent="0.3">
      <c r="B157" t="s">
        <v>3046</v>
      </c>
      <c r="C157" s="139" t="s">
        <v>3045</v>
      </c>
      <c r="D157" s="139"/>
    </row>
    <row r="158" spans="2:4" ht="15.75" thickBot="1" x14ac:dyDescent="0.3">
      <c r="B158" t="s">
        <v>3044</v>
      </c>
      <c r="C158" s="139" t="s">
        <v>3043</v>
      </c>
      <c r="D158" s="139"/>
    </row>
    <row r="159" spans="2:4" ht="15.75" thickBot="1" x14ac:dyDescent="0.3">
      <c r="B159" t="s">
        <v>3042</v>
      </c>
      <c r="C159" s="139" t="s">
        <v>3041</v>
      </c>
      <c r="D159" s="139"/>
    </row>
    <row r="160" spans="2:4" ht="15.75" thickBot="1" x14ac:dyDescent="0.3">
      <c r="B160" t="s">
        <v>3040</v>
      </c>
      <c r="C160" s="139" t="s">
        <v>3039</v>
      </c>
      <c r="D160" s="139"/>
    </row>
    <row r="161" spans="2:4" ht="15.75" thickBot="1" x14ac:dyDescent="0.3">
      <c r="B161" t="s">
        <v>3038</v>
      </c>
      <c r="C161" s="139" t="s">
        <v>3037</v>
      </c>
      <c r="D161" s="139"/>
    </row>
    <row r="162" spans="2:4" ht="15.75" thickBot="1" x14ac:dyDescent="0.3">
      <c r="B162" t="s">
        <v>3036</v>
      </c>
      <c r="C162" s="139" t="s">
        <v>3035</v>
      </c>
      <c r="D162" s="139"/>
    </row>
    <row r="163" spans="2:4" ht="15.75" thickBot="1" x14ac:dyDescent="0.3">
      <c r="B163" t="s">
        <v>3034</v>
      </c>
      <c r="C163" s="139" t="s">
        <v>3033</v>
      </c>
      <c r="D163" s="139"/>
    </row>
    <row r="164" spans="2:4" ht="15.75" thickBot="1" x14ac:dyDescent="0.3">
      <c r="B164" t="s">
        <v>3032</v>
      </c>
      <c r="C164" s="139" t="s">
        <v>3031</v>
      </c>
      <c r="D164" s="139"/>
    </row>
    <row r="165" spans="2:4" ht="30.75" thickBot="1" x14ac:dyDescent="0.3">
      <c r="B165" t="s">
        <v>3030</v>
      </c>
      <c r="C165" s="139" t="s">
        <v>3029</v>
      </c>
      <c r="D165" s="139"/>
    </row>
    <row r="166" spans="2:4" ht="15.75" thickBot="1" x14ac:dyDescent="0.3">
      <c r="B166" t="s">
        <v>3028</v>
      </c>
      <c r="C166" s="139" t="s">
        <v>3027</v>
      </c>
      <c r="D166" s="139"/>
    </row>
    <row r="167" spans="2:4" ht="15.75" thickBot="1" x14ac:dyDescent="0.3">
      <c r="B167" t="s">
        <v>3026</v>
      </c>
      <c r="C167" s="139" t="s">
        <v>3025</v>
      </c>
      <c r="D167" s="139"/>
    </row>
    <row r="168" spans="2:4" ht="15.75" thickBot="1" x14ac:dyDescent="0.3">
      <c r="B168" t="s">
        <v>3024</v>
      </c>
      <c r="C168" s="139" t="s">
        <v>3023</v>
      </c>
      <c r="D168" s="139"/>
    </row>
    <row r="169" spans="2:4" ht="15.75" thickBot="1" x14ac:dyDescent="0.3">
      <c r="B169" t="s">
        <v>3022</v>
      </c>
      <c r="C169" s="139" t="s">
        <v>3021</v>
      </c>
      <c r="D169" s="139"/>
    </row>
    <row r="170" spans="2:4" ht="30.75" thickBot="1" x14ac:dyDescent="0.3">
      <c r="B170" t="s">
        <v>3020</v>
      </c>
      <c r="C170" s="139" t="s">
        <v>3019</v>
      </c>
      <c r="D170" s="139"/>
    </row>
    <row r="171" spans="2:4" ht="15.75" thickBot="1" x14ac:dyDescent="0.3">
      <c r="B171" t="s">
        <v>3018</v>
      </c>
      <c r="C171" s="139" t="s">
        <v>3017</v>
      </c>
      <c r="D171" s="139"/>
    </row>
    <row r="172" spans="2:4" ht="15.75" thickBot="1" x14ac:dyDescent="0.3">
      <c r="B172" t="s">
        <v>3016</v>
      </c>
      <c r="C172" s="139" t="s">
        <v>3015</v>
      </c>
      <c r="D172" s="139"/>
    </row>
    <row r="173" spans="2:4" ht="15.75" thickBot="1" x14ac:dyDescent="0.3">
      <c r="B173" t="s">
        <v>3014</v>
      </c>
      <c r="C173" s="139" t="s">
        <v>3013</v>
      </c>
      <c r="D173" s="139"/>
    </row>
    <row r="174" spans="2:4" ht="15.75" thickBot="1" x14ac:dyDescent="0.3">
      <c r="B174" t="s">
        <v>3012</v>
      </c>
      <c r="C174" s="139" t="s">
        <v>3011</v>
      </c>
      <c r="D174" s="139"/>
    </row>
    <row r="175" spans="2:4" ht="15.75" thickBot="1" x14ac:dyDescent="0.3">
      <c r="B175" t="s">
        <v>3010</v>
      </c>
      <c r="C175" s="139" t="s">
        <v>3009</v>
      </c>
      <c r="D175" s="139"/>
    </row>
    <row r="176" spans="2:4" ht="15.75" thickBot="1" x14ac:dyDescent="0.3">
      <c r="B176" t="s">
        <v>3008</v>
      </c>
      <c r="C176" s="139" t="s">
        <v>3007</v>
      </c>
      <c r="D176" s="139"/>
    </row>
    <row r="177" spans="2:4" ht="15.75" thickBot="1" x14ac:dyDescent="0.3">
      <c r="B177" t="s">
        <v>3006</v>
      </c>
      <c r="C177" s="139" t="s">
        <v>3005</v>
      </c>
      <c r="D177" s="139"/>
    </row>
    <row r="178" spans="2:4" ht="15.75" thickBot="1" x14ac:dyDescent="0.3">
      <c r="B178" t="s">
        <v>3004</v>
      </c>
      <c r="C178" s="139" t="s">
        <v>3003</v>
      </c>
      <c r="D178" s="139"/>
    </row>
    <row r="179" spans="2:4" ht="15.75" thickBot="1" x14ac:dyDescent="0.3">
      <c r="B179" t="s">
        <v>3002</v>
      </c>
      <c r="C179" s="139" t="s">
        <v>3001</v>
      </c>
      <c r="D179" s="139"/>
    </row>
    <row r="180" spans="2:4" ht="15.75" thickBot="1" x14ac:dyDescent="0.3">
      <c r="B180" t="s">
        <v>3000</v>
      </c>
      <c r="C180" s="139" t="s">
        <v>2999</v>
      </c>
      <c r="D180" s="139"/>
    </row>
    <row r="181" spans="2:4" ht="15.75" thickBot="1" x14ac:dyDescent="0.3">
      <c r="B181" t="s">
        <v>2998</v>
      </c>
      <c r="C181" s="139" t="s">
        <v>2997</v>
      </c>
      <c r="D181" s="139"/>
    </row>
    <row r="182" spans="2:4" ht="15.75" thickBot="1" x14ac:dyDescent="0.3">
      <c r="B182" t="s">
        <v>2996</v>
      </c>
      <c r="C182" s="139" t="s">
        <v>2995</v>
      </c>
      <c r="D182" s="139"/>
    </row>
    <row r="183" spans="2:4" ht="15.75" thickBot="1" x14ac:dyDescent="0.3">
      <c r="B183" t="s">
        <v>2994</v>
      </c>
      <c r="C183" s="139" t="s">
        <v>2993</v>
      </c>
      <c r="D183" s="139"/>
    </row>
    <row r="184" spans="2:4" ht="15.75" thickBot="1" x14ac:dyDescent="0.3">
      <c r="B184" t="s">
        <v>2992</v>
      </c>
      <c r="C184" s="139" t="s">
        <v>2991</v>
      </c>
      <c r="D184" s="139"/>
    </row>
    <row r="185" spans="2:4" ht="15.75" thickBot="1" x14ac:dyDescent="0.3">
      <c r="B185" t="s">
        <v>2990</v>
      </c>
      <c r="C185" s="139" t="s">
        <v>2989</v>
      </c>
      <c r="D185" s="139"/>
    </row>
    <row r="186" spans="2:4" ht="15.75" thickBot="1" x14ac:dyDescent="0.3">
      <c r="B186" t="s">
        <v>2988</v>
      </c>
      <c r="C186" s="139" t="s">
        <v>2987</v>
      </c>
      <c r="D186" s="139"/>
    </row>
    <row r="187" spans="2:4" ht="15.75" thickBot="1" x14ac:dyDescent="0.3">
      <c r="B187" t="s">
        <v>2986</v>
      </c>
      <c r="C187" s="139" t="s">
        <v>2985</v>
      </c>
      <c r="D187" s="139"/>
    </row>
    <row r="188" spans="2:4" ht="15.75" thickBot="1" x14ac:dyDescent="0.3">
      <c r="B188" t="s">
        <v>2984</v>
      </c>
      <c r="C188" s="139" t="s">
        <v>2983</v>
      </c>
      <c r="D188" s="139"/>
    </row>
    <row r="189" spans="2:4" ht="15.75" thickBot="1" x14ac:dyDescent="0.3">
      <c r="B189" t="s">
        <v>2982</v>
      </c>
      <c r="C189" s="139" t="s">
        <v>2981</v>
      </c>
      <c r="D189" s="139"/>
    </row>
    <row r="190" spans="2:4" ht="15.75" thickBot="1" x14ac:dyDescent="0.3">
      <c r="B190" t="s">
        <v>2980</v>
      </c>
      <c r="C190" s="139" t="s">
        <v>2979</v>
      </c>
      <c r="D190" s="139"/>
    </row>
    <row r="191" spans="2:4" ht="15.75" thickBot="1" x14ac:dyDescent="0.3">
      <c r="B191" t="s">
        <v>2978</v>
      </c>
      <c r="C191" s="139" t="s">
        <v>2977</v>
      </c>
      <c r="D191" s="139"/>
    </row>
    <row r="192" spans="2:4" ht="15.75" thickBot="1" x14ac:dyDescent="0.3">
      <c r="B192" t="s">
        <v>2976</v>
      </c>
      <c r="C192" s="139" t="s">
        <v>2975</v>
      </c>
      <c r="D192" s="139"/>
    </row>
    <row r="193" spans="2:4" ht="15.75" thickBot="1" x14ac:dyDescent="0.3">
      <c r="B193" t="s">
        <v>2974</v>
      </c>
      <c r="C193" s="139" t="s">
        <v>2973</v>
      </c>
      <c r="D193" s="139"/>
    </row>
    <row r="194" spans="2:4" ht="15.75" thickBot="1" x14ac:dyDescent="0.3">
      <c r="B194" t="s">
        <v>2972</v>
      </c>
      <c r="C194" s="139" t="s">
        <v>2971</v>
      </c>
      <c r="D194" s="139"/>
    </row>
    <row r="195" spans="2:4" ht="15.75" thickBot="1" x14ac:dyDescent="0.3">
      <c r="B195" t="s">
        <v>2970</v>
      </c>
      <c r="C195" s="139" t="s">
        <v>2969</v>
      </c>
      <c r="D195" s="139"/>
    </row>
    <row r="196" spans="2:4" ht="15.75" thickBot="1" x14ac:dyDescent="0.3">
      <c r="B196" t="s">
        <v>2968</v>
      </c>
      <c r="C196" s="139" t="s">
        <v>2967</v>
      </c>
      <c r="D196" s="139"/>
    </row>
    <row r="197" spans="2:4" ht="15.75" thickBot="1" x14ac:dyDescent="0.3">
      <c r="B197" t="s">
        <v>2966</v>
      </c>
      <c r="C197" s="139" t="s">
        <v>2965</v>
      </c>
      <c r="D197" s="139"/>
    </row>
    <row r="198" spans="2:4" ht="15.75" thickBot="1" x14ac:dyDescent="0.3">
      <c r="B198" t="s">
        <v>2964</v>
      </c>
      <c r="C198" s="139" t="s">
        <v>2963</v>
      </c>
      <c r="D198" s="139"/>
    </row>
    <row r="199" spans="2:4" ht="15.75" thickBot="1" x14ac:dyDescent="0.3">
      <c r="B199" t="s">
        <v>2962</v>
      </c>
      <c r="C199" s="139" t="s">
        <v>2961</v>
      </c>
      <c r="D199" s="139"/>
    </row>
    <row r="200" spans="2:4" ht="15.75" thickBot="1" x14ac:dyDescent="0.3">
      <c r="B200" t="s">
        <v>2960</v>
      </c>
      <c r="C200" s="139" t="s">
        <v>2959</v>
      </c>
      <c r="D200" s="139"/>
    </row>
    <row r="201" spans="2:4" ht="15.75" thickBot="1" x14ac:dyDescent="0.3">
      <c r="B201" t="s">
        <v>2958</v>
      </c>
      <c r="C201" s="139" t="s">
        <v>2957</v>
      </c>
      <c r="D201" s="139"/>
    </row>
    <row r="202" spans="2:4" ht="15.75" thickBot="1" x14ac:dyDescent="0.3">
      <c r="B202" t="s">
        <v>2956</v>
      </c>
      <c r="C202" s="139" t="s">
        <v>2955</v>
      </c>
      <c r="D202" s="139"/>
    </row>
    <row r="203" spans="2:4" ht="15.75" thickBot="1" x14ac:dyDescent="0.3">
      <c r="B203" t="s">
        <v>2954</v>
      </c>
      <c r="C203" s="139" t="s">
        <v>2953</v>
      </c>
      <c r="D203" s="139"/>
    </row>
    <row r="204" spans="2:4" ht="15.75" thickBot="1" x14ac:dyDescent="0.3">
      <c r="B204" t="s">
        <v>2952</v>
      </c>
      <c r="C204" s="139" t="s">
        <v>2951</v>
      </c>
      <c r="D204" s="139"/>
    </row>
    <row r="205" spans="2:4" ht="15.75" thickBot="1" x14ac:dyDescent="0.3">
      <c r="B205" t="s">
        <v>2950</v>
      </c>
      <c r="C205" s="139" t="s">
        <v>2949</v>
      </c>
      <c r="D205" s="139"/>
    </row>
    <row r="206" spans="2:4" ht="15.75" thickBot="1" x14ac:dyDescent="0.3">
      <c r="B206" t="s">
        <v>2948</v>
      </c>
      <c r="C206" s="139" t="s">
        <v>2947</v>
      </c>
      <c r="D206" s="139"/>
    </row>
    <row r="207" spans="2:4" ht="15.75" thickBot="1" x14ac:dyDescent="0.3">
      <c r="B207" t="s">
        <v>2946</v>
      </c>
      <c r="C207" s="139" t="s">
        <v>2945</v>
      </c>
      <c r="D207" s="139"/>
    </row>
    <row r="208" spans="2:4" ht="15.75" thickBot="1" x14ac:dyDescent="0.3">
      <c r="B208" t="s">
        <v>2944</v>
      </c>
      <c r="C208" s="139" t="s">
        <v>2943</v>
      </c>
      <c r="D208" s="139"/>
    </row>
    <row r="209" spans="2:4" ht="15.75" thickBot="1" x14ac:dyDescent="0.3">
      <c r="B209" t="s">
        <v>2942</v>
      </c>
      <c r="C209" s="139" t="s">
        <v>2941</v>
      </c>
      <c r="D209" s="139"/>
    </row>
    <row r="210" spans="2:4" ht="15.75" thickBot="1" x14ac:dyDescent="0.3">
      <c r="B210" t="s">
        <v>2940</v>
      </c>
      <c r="C210" s="139" t="s">
        <v>2939</v>
      </c>
      <c r="D210" s="139"/>
    </row>
    <row r="211" spans="2:4" ht="15.75" thickBot="1" x14ac:dyDescent="0.3">
      <c r="B211" t="s">
        <v>2938</v>
      </c>
      <c r="C211" s="139" t="s">
        <v>2937</v>
      </c>
      <c r="D211" s="139"/>
    </row>
    <row r="212" spans="2:4" ht="15.75" thickBot="1" x14ac:dyDescent="0.3">
      <c r="B212" t="s">
        <v>2936</v>
      </c>
      <c r="C212" s="139" t="s">
        <v>2935</v>
      </c>
      <c r="D212" s="139"/>
    </row>
    <row r="213" spans="2:4" ht="15.75" thickBot="1" x14ac:dyDescent="0.3">
      <c r="B213" t="s">
        <v>2934</v>
      </c>
      <c r="C213" s="139" t="s">
        <v>2933</v>
      </c>
      <c r="D213" s="139"/>
    </row>
    <row r="214" spans="2:4" ht="15.75" thickBot="1" x14ac:dyDescent="0.3">
      <c r="B214" t="s">
        <v>2932</v>
      </c>
      <c r="C214" s="139" t="s">
        <v>2931</v>
      </c>
      <c r="D214" s="139"/>
    </row>
    <row r="215" spans="2:4" ht="15.75" thickBot="1" x14ac:dyDescent="0.3">
      <c r="B215" t="s">
        <v>2930</v>
      </c>
      <c r="C215" s="139" t="s">
        <v>2929</v>
      </c>
      <c r="D215" s="139"/>
    </row>
    <row r="216" spans="2:4" ht="15.75" thickBot="1" x14ac:dyDescent="0.3">
      <c r="B216" t="s">
        <v>2928</v>
      </c>
      <c r="C216" s="139" t="s">
        <v>2927</v>
      </c>
      <c r="D216" s="139"/>
    </row>
    <row r="217" spans="2:4" ht="15.75" thickBot="1" x14ac:dyDescent="0.3">
      <c r="B217" t="s">
        <v>2926</v>
      </c>
      <c r="C217" s="139" t="s">
        <v>2925</v>
      </c>
      <c r="D217" s="139"/>
    </row>
    <row r="218" spans="2:4" ht="15.75" thickBot="1" x14ac:dyDescent="0.3">
      <c r="B218" t="s">
        <v>2924</v>
      </c>
      <c r="C218" s="139" t="s">
        <v>2923</v>
      </c>
      <c r="D218" s="139"/>
    </row>
    <row r="219" spans="2:4" ht="15.75" thickBot="1" x14ac:dyDescent="0.3">
      <c r="B219" t="s">
        <v>2922</v>
      </c>
      <c r="C219" s="139" t="s">
        <v>2921</v>
      </c>
      <c r="D219" s="139"/>
    </row>
    <row r="220" spans="2:4" ht="30.75" thickBot="1" x14ac:dyDescent="0.3">
      <c r="B220" t="s">
        <v>2920</v>
      </c>
      <c r="C220" s="139" t="s">
        <v>2919</v>
      </c>
      <c r="D220" s="139"/>
    </row>
    <row r="221" spans="2:4" ht="15.75" thickBot="1" x14ac:dyDescent="0.3">
      <c r="B221" t="s">
        <v>2918</v>
      </c>
      <c r="C221" s="139" t="s">
        <v>2917</v>
      </c>
      <c r="D221" s="139"/>
    </row>
    <row r="222" spans="2:4" ht="15.75" thickBot="1" x14ac:dyDescent="0.3">
      <c r="B222" t="s">
        <v>2916</v>
      </c>
      <c r="C222" s="139" t="s">
        <v>2915</v>
      </c>
      <c r="D222" s="139"/>
    </row>
    <row r="223" spans="2:4" ht="15.75" thickBot="1" x14ac:dyDescent="0.3">
      <c r="B223" t="s">
        <v>2914</v>
      </c>
      <c r="C223" s="139" t="s">
        <v>2913</v>
      </c>
      <c r="D223" s="139"/>
    </row>
    <row r="224" spans="2:4" ht="15.75" thickBot="1" x14ac:dyDescent="0.3">
      <c r="B224" t="s">
        <v>2912</v>
      </c>
      <c r="C224" s="139" t="s">
        <v>2911</v>
      </c>
      <c r="D224" s="139"/>
    </row>
    <row r="225" spans="2:4" ht="15.75" thickBot="1" x14ac:dyDescent="0.3">
      <c r="B225" t="s">
        <v>2910</v>
      </c>
      <c r="C225" s="139" t="s">
        <v>2909</v>
      </c>
      <c r="D225" s="139"/>
    </row>
    <row r="226" spans="2:4" ht="15.75" thickBot="1" x14ac:dyDescent="0.3">
      <c r="B226" t="s">
        <v>2908</v>
      </c>
      <c r="C226" s="139" t="s">
        <v>2907</v>
      </c>
      <c r="D226" s="139"/>
    </row>
    <row r="227" spans="2:4" ht="15.75" thickBot="1" x14ac:dyDescent="0.3">
      <c r="B227" t="s">
        <v>2906</v>
      </c>
      <c r="C227" s="139" t="s">
        <v>2905</v>
      </c>
      <c r="D227" s="139"/>
    </row>
    <row r="228" spans="2:4" ht="15.75" thickBot="1" x14ac:dyDescent="0.3">
      <c r="B228" t="s">
        <v>2904</v>
      </c>
      <c r="C228" s="139" t="s">
        <v>2903</v>
      </c>
      <c r="D228" s="139"/>
    </row>
    <row r="229" spans="2:4" ht="15.75" thickBot="1" x14ac:dyDescent="0.3">
      <c r="B229" t="s">
        <v>2902</v>
      </c>
      <c r="C229" s="139" t="s">
        <v>2901</v>
      </c>
      <c r="D229" s="139"/>
    </row>
    <row r="230" spans="2:4" ht="15.75" thickBot="1" x14ac:dyDescent="0.3">
      <c r="B230" t="s">
        <v>2900</v>
      </c>
      <c r="C230" s="139" t="s">
        <v>2899</v>
      </c>
      <c r="D230" s="139"/>
    </row>
    <row r="231" spans="2:4" ht="15.75" thickBot="1" x14ac:dyDescent="0.3">
      <c r="B231" t="s">
        <v>2898</v>
      </c>
      <c r="C231" s="139" t="s">
        <v>2897</v>
      </c>
      <c r="D231" s="139"/>
    </row>
    <row r="232" spans="2:4" ht="15.75" thickBot="1" x14ac:dyDescent="0.3">
      <c r="B232" t="s">
        <v>2896</v>
      </c>
      <c r="C232" s="139" t="s">
        <v>2895</v>
      </c>
      <c r="D232" s="139"/>
    </row>
    <row r="233" spans="2:4" ht="15.75" thickBot="1" x14ac:dyDescent="0.3">
      <c r="B233" t="s">
        <v>2894</v>
      </c>
      <c r="C233" s="139" t="s">
        <v>2893</v>
      </c>
      <c r="D233" s="139"/>
    </row>
    <row r="234" spans="2:4" ht="15.75" thickBot="1" x14ac:dyDescent="0.3">
      <c r="B234" t="s">
        <v>2892</v>
      </c>
      <c r="C234" s="139" t="s">
        <v>2891</v>
      </c>
      <c r="D234" s="139"/>
    </row>
    <row r="235" spans="2:4" ht="15.75" thickBot="1" x14ac:dyDescent="0.3">
      <c r="B235" t="s">
        <v>2890</v>
      </c>
      <c r="C235" s="139" t="s">
        <v>2889</v>
      </c>
      <c r="D235" s="139"/>
    </row>
    <row r="236" spans="2:4" ht="15.75" thickBot="1" x14ac:dyDescent="0.3">
      <c r="B236" t="s">
        <v>2888</v>
      </c>
      <c r="C236" s="139" t="s">
        <v>2887</v>
      </c>
      <c r="D236" s="139"/>
    </row>
    <row r="237" spans="2:4" ht="15.75" thickBot="1" x14ac:dyDescent="0.3">
      <c r="B237" t="s">
        <v>2886</v>
      </c>
      <c r="C237" s="139" t="s">
        <v>2885</v>
      </c>
      <c r="D237" s="139"/>
    </row>
    <row r="238" spans="2:4" ht="30.75" thickBot="1" x14ac:dyDescent="0.3">
      <c r="B238" t="s">
        <v>2884</v>
      </c>
      <c r="C238" s="139" t="s">
        <v>2883</v>
      </c>
      <c r="D238" s="139"/>
    </row>
    <row r="239" spans="2:4" ht="15.75" thickBot="1" x14ac:dyDescent="0.3">
      <c r="B239" t="s">
        <v>2882</v>
      </c>
      <c r="C239" s="139" t="s">
        <v>2881</v>
      </c>
      <c r="D239" s="139"/>
    </row>
    <row r="240" spans="2:4" ht="15.75" thickBot="1" x14ac:dyDescent="0.3">
      <c r="B240" t="s">
        <v>2880</v>
      </c>
      <c r="C240" s="139" t="s">
        <v>2879</v>
      </c>
      <c r="D240" s="139"/>
    </row>
    <row r="241" spans="2:4" ht="15.75" thickBot="1" x14ac:dyDescent="0.3">
      <c r="B241" t="s">
        <v>2878</v>
      </c>
      <c r="C241" s="139" t="s">
        <v>2877</v>
      </c>
      <c r="D241" s="139"/>
    </row>
    <row r="242" spans="2:4" ht="15.75" thickBot="1" x14ac:dyDescent="0.3">
      <c r="B242" t="s">
        <v>2876</v>
      </c>
      <c r="C242" s="139" t="s">
        <v>2875</v>
      </c>
      <c r="D242" s="139"/>
    </row>
    <row r="243" spans="2:4" ht="15.75" thickBot="1" x14ac:dyDescent="0.3">
      <c r="B243" t="s">
        <v>2874</v>
      </c>
      <c r="C243" s="139" t="s">
        <v>2873</v>
      </c>
      <c r="D243" s="139"/>
    </row>
    <row r="244" spans="2:4" ht="15.75" thickBot="1" x14ac:dyDescent="0.3">
      <c r="B244" t="s">
        <v>2872</v>
      </c>
      <c r="C244" s="139" t="s">
        <v>2871</v>
      </c>
      <c r="D244" s="139"/>
    </row>
    <row r="245" spans="2:4" ht="15.75" thickBot="1" x14ac:dyDescent="0.3">
      <c r="B245" t="s">
        <v>2870</v>
      </c>
      <c r="C245" s="139" t="s">
        <v>2869</v>
      </c>
      <c r="D245" s="139"/>
    </row>
    <row r="246" spans="2:4" ht="15.75" thickBot="1" x14ac:dyDescent="0.3">
      <c r="B246" t="s">
        <v>2868</v>
      </c>
      <c r="C246" s="139" t="s">
        <v>2867</v>
      </c>
      <c r="D246" s="139"/>
    </row>
    <row r="247" spans="2:4" ht="15.75" thickBot="1" x14ac:dyDescent="0.3">
      <c r="B247" t="s">
        <v>2866</v>
      </c>
      <c r="C247" s="139" t="s">
        <v>2865</v>
      </c>
      <c r="D247" s="139"/>
    </row>
    <row r="248" spans="2:4" ht="15.75" thickBot="1" x14ac:dyDescent="0.3">
      <c r="B248" t="s">
        <v>2864</v>
      </c>
      <c r="C248" s="139" t="s">
        <v>2863</v>
      </c>
      <c r="D248" s="139"/>
    </row>
    <row r="249" spans="2:4" ht="15.75" thickBot="1" x14ac:dyDescent="0.3">
      <c r="B249" t="s">
        <v>2862</v>
      </c>
      <c r="C249" s="139" t="s">
        <v>2861</v>
      </c>
      <c r="D249" s="139"/>
    </row>
    <row r="250" spans="2:4" ht="15.75" thickBot="1" x14ac:dyDescent="0.3">
      <c r="B250" t="s">
        <v>2860</v>
      </c>
      <c r="C250" s="139" t="s">
        <v>2859</v>
      </c>
      <c r="D250" s="139"/>
    </row>
    <row r="251" spans="2:4" ht="15.75" thickBot="1" x14ac:dyDescent="0.3">
      <c r="B251" t="s">
        <v>2858</v>
      </c>
      <c r="C251" s="139" t="s">
        <v>2857</v>
      </c>
      <c r="D251" s="139"/>
    </row>
    <row r="252" spans="2:4" ht="15.75" thickBot="1" x14ac:dyDescent="0.3">
      <c r="B252" t="s">
        <v>2856</v>
      </c>
      <c r="C252" s="139" t="s">
        <v>2855</v>
      </c>
      <c r="D252" s="139"/>
    </row>
    <row r="253" spans="2:4" ht="15.75" thickBot="1" x14ac:dyDescent="0.3">
      <c r="B253" t="s">
        <v>2854</v>
      </c>
      <c r="C253" s="139" t="s">
        <v>2853</v>
      </c>
      <c r="D253" s="139"/>
    </row>
    <row r="254" spans="2:4" ht="15.75" thickBot="1" x14ac:dyDescent="0.3">
      <c r="B254" t="s">
        <v>2852</v>
      </c>
      <c r="C254" s="139" t="s">
        <v>2851</v>
      </c>
      <c r="D254" s="139"/>
    </row>
    <row r="255" spans="2:4" ht="15.75" thickBot="1" x14ac:dyDescent="0.3">
      <c r="B255" t="s">
        <v>2850</v>
      </c>
      <c r="C255" s="139" t="s">
        <v>2849</v>
      </c>
      <c r="D255" s="139"/>
    </row>
    <row r="256" spans="2:4" ht="15.75" thickBot="1" x14ac:dyDescent="0.3">
      <c r="B256" t="s">
        <v>2848</v>
      </c>
      <c r="C256" s="139" t="s">
        <v>2847</v>
      </c>
      <c r="D256" s="139"/>
    </row>
    <row r="257" spans="2:4" ht="15.75" thickBot="1" x14ac:dyDescent="0.3">
      <c r="B257" t="s">
        <v>2846</v>
      </c>
      <c r="C257" s="139" t="s">
        <v>2845</v>
      </c>
      <c r="D257" s="139"/>
    </row>
    <row r="258" spans="2:4" ht="30.75" thickBot="1" x14ac:dyDescent="0.3">
      <c r="B258" t="s">
        <v>2844</v>
      </c>
      <c r="C258" s="139" t="s">
        <v>2843</v>
      </c>
      <c r="D258" s="139"/>
    </row>
    <row r="259" spans="2:4" ht="15.75" thickBot="1" x14ac:dyDescent="0.3">
      <c r="B259" t="s">
        <v>2842</v>
      </c>
      <c r="C259" s="139" t="s">
        <v>2841</v>
      </c>
      <c r="D259" s="139"/>
    </row>
    <row r="260" spans="2:4" ht="15.75" thickBot="1" x14ac:dyDescent="0.3">
      <c r="B260" t="s">
        <v>2840</v>
      </c>
      <c r="C260" s="139" t="s">
        <v>2839</v>
      </c>
      <c r="D260" s="139"/>
    </row>
    <row r="261" spans="2:4" ht="15.75" thickBot="1" x14ac:dyDescent="0.3">
      <c r="B261" t="s">
        <v>2838</v>
      </c>
      <c r="C261" s="139" t="s">
        <v>2837</v>
      </c>
      <c r="D261" s="139"/>
    </row>
    <row r="262" spans="2:4" ht="15.75" thickBot="1" x14ac:dyDescent="0.3">
      <c r="B262" t="s">
        <v>2836</v>
      </c>
      <c r="C262" s="139" t="s">
        <v>2835</v>
      </c>
      <c r="D262" s="139"/>
    </row>
    <row r="263" spans="2:4" ht="15.75" thickBot="1" x14ac:dyDescent="0.3">
      <c r="B263" t="s">
        <v>2834</v>
      </c>
      <c r="C263" s="139" t="s">
        <v>2833</v>
      </c>
      <c r="D263" s="139"/>
    </row>
    <row r="264" spans="2:4" ht="15.75" thickBot="1" x14ac:dyDescent="0.3">
      <c r="B264" t="s">
        <v>2832</v>
      </c>
      <c r="C264" s="139" t="s">
        <v>2831</v>
      </c>
      <c r="D264" s="139"/>
    </row>
    <row r="265" spans="2:4" ht="15.75" thickBot="1" x14ac:dyDescent="0.3">
      <c r="B265" t="s">
        <v>2830</v>
      </c>
      <c r="C265" s="139" t="s">
        <v>2829</v>
      </c>
      <c r="D265" s="139"/>
    </row>
    <row r="266" spans="2:4" ht="15.75" thickBot="1" x14ac:dyDescent="0.3">
      <c r="B266" t="s">
        <v>2828</v>
      </c>
      <c r="C266" s="139" t="s">
        <v>2827</v>
      </c>
      <c r="D266" s="139"/>
    </row>
    <row r="267" spans="2:4" ht="15.75" thickBot="1" x14ac:dyDescent="0.3">
      <c r="B267" t="s">
        <v>2826</v>
      </c>
      <c r="C267" s="139" t="s">
        <v>2825</v>
      </c>
      <c r="D267" s="139"/>
    </row>
    <row r="268" spans="2:4" ht="15.75" thickBot="1" x14ac:dyDescent="0.3">
      <c r="B268" t="s">
        <v>2824</v>
      </c>
      <c r="C268" s="139" t="s">
        <v>2823</v>
      </c>
      <c r="D268" s="139"/>
    </row>
    <row r="269" spans="2:4" ht="15.75" thickBot="1" x14ac:dyDescent="0.3">
      <c r="B269" t="s">
        <v>2822</v>
      </c>
      <c r="C269" s="139" t="s">
        <v>2821</v>
      </c>
      <c r="D269" s="139"/>
    </row>
    <row r="270" spans="2:4" ht="15.75" thickBot="1" x14ac:dyDescent="0.3">
      <c r="B270" t="s">
        <v>2820</v>
      </c>
      <c r="C270" s="139" t="s">
        <v>2819</v>
      </c>
      <c r="D270" s="139"/>
    </row>
    <row r="271" spans="2:4" ht="15.75" thickBot="1" x14ac:dyDescent="0.3">
      <c r="B271" t="s">
        <v>2818</v>
      </c>
      <c r="C271" s="139" t="s">
        <v>2817</v>
      </c>
      <c r="D271" s="139"/>
    </row>
    <row r="272" spans="2:4" ht="15.75" thickBot="1" x14ac:dyDescent="0.3">
      <c r="B272" t="s">
        <v>2816</v>
      </c>
      <c r="C272" s="139" t="s">
        <v>2815</v>
      </c>
      <c r="D272" s="139"/>
    </row>
    <row r="273" spans="2:4" ht="30.75" thickBot="1" x14ac:dyDescent="0.3">
      <c r="B273" t="s">
        <v>2814</v>
      </c>
      <c r="C273" s="139" t="s">
        <v>2813</v>
      </c>
      <c r="D273" s="139"/>
    </row>
    <row r="274" spans="2:4" ht="15.75" thickBot="1" x14ac:dyDescent="0.3">
      <c r="B274" t="s">
        <v>2812</v>
      </c>
      <c r="C274" s="139" t="s">
        <v>2811</v>
      </c>
      <c r="D274" s="139"/>
    </row>
    <row r="275" spans="2:4" ht="15.75" thickBot="1" x14ac:dyDescent="0.3">
      <c r="B275" t="s">
        <v>2810</v>
      </c>
      <c r="C275" s="139" t="s">
        <v>2809</v>
      </c>
      <c r="D275" s="139"/>
    </row>
    <row r="276" spans="2:4" ht="15.75" thickBot="1" x14ac:dyDescent="0.3">
      <c r="B276" t="s">
        <v>2808</v>
      </c>
      <c r="C276" s="139" t="s">
        <v>2807</v>
      </c>
      <c r="D276" s="139"/>
    </row>
    <row r="277" spans="2:4" ht="15.75" thickBot="1" x14ac:dyDescent="0.3">
      <c r="B277" t="s">
        <v>2806</v>
      </c>
      <c r="C277" s="139" t="s">
        <v>2805</v>
      </c>
      <c r="D277" s="139"/>
    </row>
    <row r="278" spans="2:4" ht="15.75" thickBot="1" x14ac:dyDescent="0.3">
      <c r="B278" t="s">
        <v>2804</v>
      </c>
      <c r="C278" s="139" t="s">
        <v>2803</v>
      </c>
      <c r="D278" s="139"/>
    </row>
    <row r="279" spans="2:4" ht="15.75" thickBot="1" x14ac:dyDescent="0.3">
      <c r="B279" t="s">
        <v>2802</v>
      </c>
      <c r="C279" s="139" t="s">
        <v>2801</v>
      </c>
      <c r="D279" s="139"/>
    </row>
    <row r="280" spans="2:4" ht="15.75" thickBot="1" x14ac:dyDescent="0.3">
      <c r="B280" t="s">
        <v>2800</v>
      </c>
      <c r="C280" s="139" t="s">
        <v>2799</v>
      </c>
      <c r="D280" s="139"/>
    </row>
    <row r="281" spans="2:4" ht="30.75" thickBot="1" x14ac:dyDescent="0.3">
      <c r="B281" t="s">
        <v>2798</v>
      </c>
      <c r="C281" s="139" t="s">
        <v>2797</v>
      </c>
      <c r="D281" s="139"/>
    </row>
    <row r="282" spans="2:4" ht="15.75" thickBot="1" x14ac:dyDescent="0.3">
      <c r="B282" t="s">
        <v>2796</v>
      </c>
      <c r="C282" s="139" t="s">
        <v>2795</v>
      </c>
      <c r="D282" s="139"/>
    </row>
    <row r="283" spans="2:4" ht="15.75" thickBot="1" x14ac:dyDescent="0.3">
      <c r="B283" t="s">
        <v>2794</v>
      </c>
      <c r="C283" s="139" t="s">
        <v>2793</v>
      </c>
      <c r="D283" s="139"/>
    </row>
    <row r="284" spans="2:4" ht="15.75" thickBot="1" x14ac:dyDescent="0.3">
      <c r="B284" t="s">
        <v>2792</v>
      </c>
      <c r="C284" s="139" t="s">
        <v>2791</v>
      </c>
      <c r="D284" s="139"/>
    </row>
    <row r="285" spans="2:4" ht="15.75" thickBot="1" x14ac:dyDescent="0.3">
      <c r="B285" t="s">
        <v>2790</v>
      </c>
      <c r="C285" s="139" t="s">
        <v>2789</v>
      </c>
      <c r="D285" s="139"/>
    </row>
    <row r="286" spans="2:4" ht="15.75" thickBot="1" x14ac:dyDescent="0.3">
      <c r="B286" t="s">
        <v>2788</v>
      </c>
      <c r="C286" s="139" t="s">
        <v>2787</v>
      </c>
      <c r="D286" s="139"/>
    </row>
    <row r="287" spans="2:4" ht="15.75" thickBot="1" x14ac:dyDescent="0.3">
      <c r="B287" t="s">
        <v>2786</v>
      </c>
      <c r="C287" s="139" t="s">
        <v>2785</v>
      </c>
      <c r="D287" s="139"/>
    </row>
    <row r="288" spans="2:4" ht="15.75" thickBot="1" x14ac:dyDescent="0.3">
      <c r="B288" t="s">
        <v>2784</v>
      </c>
      <c r="C288" s="139" t="s">
        <v>2783</v>
      </c>
      <c r="D288" s="139"/>
    </row>
    <row r="289" spans="2:4" ht="15.75" thickBot="1" x14ac:dyDescent="0.3">
      <c r="B289" t="s">
        <v>2782</v>
      </c>
      <c r="C289" s="139" t="s">
        <v>2781</v>
      </c>
      <c r="D289" s="139"/>
    </row>
    <row r="290" spans="2:4" ht="15.75" thickBot="1" x14ac:dyDescent="0.3">
      <c r="B290" t="s">
        <v>2780</v>
      </c>
      <c r="C290" s="139" t="s">
        <v>2779</v>
      </c>
      <c r="D290" s="139"/>
    </row>
    <row r="291" spans="2:4" ht="15.75" thickBot="1" x14ac:dyDescent="0.3">
      <c r="B291" t="s">
        <v>2778</v>
      </c>
      <c r="C291" s="139" t="s">
        <v>2777</v>
      </c>
      <c r="D291" s="139"/>
    </row>
    <row r="292" spans="2:4" ht="15.75" thickBot="1" x14ac:dyDescent="0.3">
      <c r="B292" t="s">
        <v>2776</v>
      </c>
      <c r="C292" s="139" t="s">
        <v>2775</v>
      </c>
      <c r="D292" s="139"/>
    </row>
    <row r="293" spans="2:4" ht="15.75" thickBot="1" x14ac:dyDescent="0.3">
      <c r="B293" t="s">
        <v>2774</v>
      </c>
      <c r="C293" s="139" t="s">
        <v>2773</v>
      </c>
      <c r="D293" s="139"/>
    </row>
    <row r="294" spans="2:4" ht="15.75" thickBot="1" x14ac:dyDescent="0.3">
      <c r="B294" t="s">
        <v>2772</v>
      </c>
      <c r="C294" s="139" t="s">
        <v>2771</v>
      </c>
      <c r="D294" s="139"/>
    </row>
    <row r="295" spans="2:4" ht="15.75" thickBot="1" x14ac:dyDescent="0.3">
      <c r="B295" t="s">
        <v>2770</v>
      </c>
      <c r="C295" s="139" t="s">
        <v>2769</v>
      </c>
      <c r="D295" s="139"/>
    </row>
    <row r="296" spans="2:4" ht="15.75" thickBot="1" x14ac:dyDescent="0.3">
      <c r="B296" t="s">
        <v>2768</v>
      </c>
      <c r="C296" s="139" t="s">
        <v>2767</v>
      </c>
      <c r="D296" s="139"/>
    </row>
    <row r="297" spans="2:4" ht="15.75" thickBot="1" x14ac:dyDescent="0.3">
      <c r="B297" t="s">
        <v>2766</v>
      </c>
      <c r="C297" s="139" t="s">
        <v>2765</v>
      </c>
      <c r="D297" s="139"/>
    </row>
    <row r="298" spans="2:4" ht="15.75" thickBot="1" x14ac:dyDescent="0.3">
      <c r="B298" t="s">
        <v>2764</v>
      </c>
      <c r="C298" s="139" t="s">
        <v>2763</v>
      </c>
      <c r="D298" s="139"/>
    </row>
    <row r="299" spans="2:4" ht="15.75" thickBot="1" x14ac:dyDescent="0.3">
      <c r="B299" t="s">
        <v>2762</v>
      </c>
      <c r="C299" s="139" t="s">
        <v>2761</v>
      </c>
      <c r="D299" s="139"/>
    </row>
    <row r="300" spans="2:4" ht="15.75" thickBot="1" x14ac:dyDescent="0.3">
      <c r="B300" t="s">
        <v>2760</v>
      </c>
      <c r="C300" s="139" t="s">
        <v>2759</v>
      </c>
      <c r="D300" s="139"/>
    </row>
    <row r="301" spans="2:4" ht="15.75" thickBot="1" x14ac:dyDescent="0.3">
      <c r="B301" t="s">
        <v>2758</v>
      </c>
      <c r="C301" s="139" t="s">
        <v>2757</v>
      </c>
      <c r="D301" s="139"/>
    </row>
    <row r="302" spans="2:4" ht="15.75" thickBot="1" x14ac:dyDescent="0.3">
      <c r="B302" t="s">
        <v>2756</v>
      </c>
      <c r="C302" s="139" t="s">
        <v>2755</v>
      </c>
      <c r="D302" s="139"/>
    </row>
    <row r="303" spans="2:4" ht="15.75" thickBot="1" x14ac:dyDescent="0.3">
      <c r="B303" t="s">
        <v>2754</v>
      </c>
      <c r="C303" s="139" t="s">
        <v>2753</v>
      </c>
      <c r="D303" s="139"/>
    </row>
    <row r="304" spans="2:4" ht="15.75" thickBot="1" x14ac:dyDescent="0.3">
      <c r="B304" t="s">
        <v>2752</v>
      </c>
      <c r="C304" s="139" t="s">
        <v>2751</v>
      </c>
      <c r="D304" s="139"/>
    </row>
    <row r="305" spans="2:4" ht="15.75" thickBot="1" x14ac:dyDescent="0.3">
      <c r="B305" t="s">
        <v>2750</v>
      </c>
      <c r="C305" s="139" t="s">
        <v>2749</v>
      </c>
      <c r="D305" s="139"/>
    </row>
    <row r="306" spans="2:4" ht="15.75" thickBot="1" x14ac:dyDescent="0.3">
      <c r="B306" t="s">
        <v>2748</v>
      </c>
      <c r="C306" s="139" t="s">
        <v>2747</v>
      </c>
      <c r="D306" s="139"/>
    </row>
    <row r="307" spans="2:4" ht="15.75" thickBot="1" x14ac:dyDescent="0.3">
      <c r="B307" t="s">
        <v>2746</v>
      </c>
      <c r="C307" s="139" t="s">
        <v>2745</v>
      </c>
      <c r="D307" s="139"/>
    </row>
    <row r="308" spans="2:4" ht="15.75" thickBot="1" x14ac:dyDescent="0.3">
      <c r="B308" t="s">
        <v>2744</v>
      </c>
      <c r="C308" s="139" t="s">
        <v>2743</v>
      </c>
      <c r="D308" s="139"/>
    </row>
    <row r="309" spans="2:4" ht="15.75" thickBot="1" x14ac:dyDescent="0.3">
      <c r="B309" t="s">
        <v>2742</v>
      </c>
      <c r="C309" s="139" t="s">
        <v>2741</v>
      </c>
      <c r="D309" s="139"/>
    </row>
    <row r="310" spans="2:4" ht="15.75" thickBot="1" x14ac:dyDescent="0.3">
      <c r="B310" t="s">
        <v>2740</v>
      </c>
      <c r="C310" s="139" t="s">
        <v>2739</v>
      </c>
      <c r="D310" s="139"/>
    </row>
    <row r="311" spans="2:4" ht="15.75" thickBot="1" x14ac:dyDescent="0.3">
      <c r="B311" t="s">
        <v>2738</v>
      </c>
      <c r="C311" s="139" t="s">
        <v>2737</v>
      </c>
      <c r="D311" s="139"/>
    </row>
    <row r="312" spans="2:4" ht="15.75" thickBot="1" x14ac:dyDescent="0.3">
      <c r="B312" t="s">
        <v>2736</v>
      </c>
      <c r="C312" s="139" t="s">
        <v>2735</v>
      </c>
      <c r="D312" s="139"/>
    </row>
    <row r="313" spans="2:4" ht="15.75" thickBot="1" x14ac:dyDescent="0.3">
      <c r="B313" t="s">
        <v>2734</v>
      </c>
      <c r="C313" s="139" t="s">
        <v>2733</v>
      </c>
      <c r="D313" s="139"/>
    </row>
    <row r="314" spans="2:4" ht="15.75" thickBot="1" x14ac:dyDescent="0.3">
      <c r="B314" t="s">
        <v>2732</v>
      </c>
      <c r="C314" s="139" t="s">
        <v>2731</v>
      </c>
      <c r="D314" s="139"/>
    </row>
    <row r="315" spans="2:4" ht="15.75" thickBot="1" x14ac:dyDescent="0.3">
      <c r="B315" t="s">
        <v>2730</v>
      </c>
      <c r="C315" s="139" t="s">
        <v>2729</v>
      </c>
      <c r="D315" s="139"/>
    </row>
    <row r="316" spans="2:4" ht="15.75" thickBot="1" x14ac:dyDescent="0.3">
      <c r="B316" t="s">
        <v>2728</v>
      </c>
      <c r="C316" s="139" t="s">
        <v>2727</v>
      </c>
      <c r="D316" s="139"/>
    </row>
    <row r="317" spans="2:4" ht="15.75" thickBot="1" x14ac:dyDescent="0.3">
      <c r="B317" t="s">
        <v>2726</v>
      </c>
      <c r="C317" s="139" t="s">
        <v>2725</v>
      </c>
      <c r="D317" s="139"/>
    </row>
    <row r="318" spans="2:4" ht="15.75" thickBot="1" x14ac:dyDescent="0.3">
      <c r="B318" t="s">
        <v>2724</v>
      </c>
      <c r="C318" s="139" t="s">
        <v>2723</v>
      </c>
      <c r="D318" s="139"/>
    </row>
    <row r="319" spans="2:4" ht="30.75" thickBot="1" x14ac:dyDescent="0.3">
      <c r="B319" t="s">
        <v>2722</v>
      </c>
      <c r="C319" s="139" t="s">
        <v>2721</v>
      </c>
      <c r="D319" s="139"/>
    </row>
    <row r="320" spans="2:4" ht="15.75" thickBot="1" x14ac:dyDescent="0.3">
      <c r="B320" t="s">
        <v>2720</v>
      </c>
      <c r="C320" s="139" t="s">
        <v>2719</v>
      </c>
      <c r="D320" s="139"/>
    </row>
    <row r="321" spans="2:4" ht="15.75" thickBot="1" x14ac:dyDescent="0.3">
      <c r="B321" t="s">
        <v>2718</v>
      </c>
      <c r="C321" s="139" t="s">
        <v>2717</v>
      </c>
      <c r="D321" s="139"/>
    </row>
    <row r="322" spans="2:4" ht="15.75" thickBot="1" x14ac:dyDescent="0.3">
      <c r="B322" t="s">
        <v>2716</v>
      </c>
      <c r="C322" s="139" t="s">
        <v>2715</v>
      </c>
      <c r="D322" s="139"/>
    </row>
    <row r="323" spans="2:4" ht="15.75" thickBot="1" x14ac:dyDescent="0.3">
      <c r="B323" t="s">
        <v>2714</v>
      </c>
      <c r="C323" s="139" t="s">
        <v>2713</v>
      </c>
      <c r="D323" s="139"/>
    </row>
    <row r="324" spans="2:4" ht="15.75" thickBot="1" x14ac:dyDescent="0.3">
      <c r="B324" t="s">
        <v>2712</v>
      </c>
      <c r="C324" s="139" t="s">
        <v>2711</v>
      </c>
      <c r="D324" s="139"/>
    </row>
    <row r="325" spans="2:4" ht="30.75" thickBot="1" x14ac:dyDescent="0.3">
      <c r="B325" t="s">
        <v>2710</v>
      </c>
      <c r="C325" s="139" t="s">
        <v>2709</v>
      </c>
      <c r="D325" s="139"/>
    </row>
    <row r="326" spans="2:4" ht="30.75" thickBot="1" x14ac:dyDescent="0.3">
      <c r="B326" t="s">
        <v>2708</v>
      </c>
      <c r="C326" s="139" t="s">
        <v>2707</v>
      </c>
      <c r="D326" s="139"/>
    </row>
    <row r="327" spans="2:4" ht="30.75" thickBot="1" x14ac:dyDescent="0.3">
      <c r="B327" t="s">
        <v>2706</v>
      </c>
      <c r="C327" s="139" t="s">
        <v>2705</v>
      </c>
      <c r="D327" s="139"/>
    </row>
    <row r="328" spans="2:4" ht="15.75" thickBot="1" x14ac:dyDescent="0.3">
      <c r="B328" t="s">
        <v>2704</v>
      </c>
      <c r="C328" s="139" t="s">
        <v>2703</v>
      </c>
      <c r="D328" s="139"/>
    </row>
    <row r="329" spans="2:4" ht="30.75" thickBot="1" x14ac:dyDescent="0.3">
      <c r="B329" t="s">
        <v>2702</v>
      </c>
      <c r="C329" s="139" t="s">
        <v>2701</v>
      </c>
      <c r="D329" s="139"/>
    </row>
    <row r="330" spans="2:4" ht="30.75" thickBot="1" x14ac:dyDescent="0.3">
      <c r="B330" t="s">
        <v>2700</v>
      </c>
      <c r="C330" s="139" t="s">
        <v>2699</v>
      </c>
      <c r="D330" s="139"/>
    </row>
    <row r="331" spans="2:4" ht="15.75" thickBot="1" x14ac:dyDescent="0.3">
      <c r="B331" t="s">
        <v>2698</v>
      </c>
      <c r="C331" s="139" t="s">
        <v>2697</v>
      </c>
      <c r="D331" s="139"/>
    </row>
    <row r="332" spans="2:4" ht="15.75" thickBot="1" x14ac:dyDescent="0.3">
      <c r="B332" t="s">
        <v>2696</v>
      </c>
      <c r="C332" s="139" t="s">
        <v>2695</v>
      </c>
      <c r="D332" s="139"/>
    </row>
    <row r="333" spans="2:4" ht="15.75" thickBot="1" x14ac:dyDescent="0.3">
      <c r="B333" t="s">
        <v>2694</v>
      </c>
      <c r="C333" s="139" t="s">
        <v>2693</v>
      </c>
      <c r="D333" s="139"/>
    </row>
    <row r="334" spans="2:4" ht="15.75" thickBot="1" x14ac:dyDescent="0.3">
      <c r="B334" t="s">
        <v>2692</v>
      </c>
      <c r="C334" s="139" t="s">
        <v>2691</v>
      </c>
      <c r="D334" s="139"/>
    </row>
    <row r="335" spans="2:4" ht="15.75" thickBot="1" x14ac:dyDescent="0.3">
      <c r="B335" t="s">
        <v>2690</v>
      </c>
      <c r="C335" s="139" t="s">
        <v>2689</v>
      </c>
      <c r="D335" s="139"/>
    </row>
    <row r="336" spans="2:4" ht="30.75" thickBot="1" x14ac:dyDescent="0.3">
      <c r="B336" t="s">
        <v>2688</v>
      </c>
      <c r="C336" s="139" t="s">
        <v>2687</v>
      </c>
      <c r="D336" s="139"/>
    </row>
    <row r="337" spans="2:4" ht="15.75" thickBot="1" x14ac:dyDescent="0.3">
      <c r="B337" t="s">
        <v>2686</v>
      </c>
      <c r="C337" s="139" t="s">
        <v>2685</v>
      </c>
      <c r="D337" s="139"/>
    </row>
    <row r="338" spans="2:4" ht="15.75" thickBot="1" x14ac:dyDescent="0.3">
      <c r="B338" t="s">
        <v>2684</v>
      </c>
      <c r="C338" s="139" t="s">
        <v>2683</v>
      </c>
      <c r="D338" s="139"/>
    </row>
    <row r="339" spans="2:4" ht="15.75" thickBot="1" x14ac:dyDescent="0.3">
      <c r="B339" t="s">
        <v>2682</v>
      </c>
      <c r="C339" s="139" t="s">
        <v>2681</v>
      </c>
      <c r="D339" s="139"/>
    </row>
    <row r="340" spans="2:4" ht="15.75" thickBot="1" x14ac:dyDescent="0.3">
      <c r="B340" t="s">
        <v>2680</v>
      </c>
      <c r="C340" s="139" t="s">
        <v>2679</v>
      </c>
      <c r="D340" s="139"/>
    </row>
    <row r="341" spans="2:4" ht="15.75" thickBot="1" x14ac:dyDescent="0.3">
      <c r="B341" t="s">
        <v>2678</v>
      </c>
      <c r="C341" s="139" t="s">
        <v>2677</v>
      </c>
      <c r="D341" s="139"/>
    </row>
    <row r="342" spans="2:4" ht="15.75" thickBot="1" x14ac:dyDescent="0.3">
      <c r="B342" t="s">
        <v>2676</v>
      </c>
      <c r="C342" s="139" t="s">
        <v>2675</v>
      </c>
      <c r="D342" s="139"/>
    </row>
    <row r="343" spans="2:4" ht="15.75" thickBot="1" x14ac:dyDescent="0.3">
      <c r="B343" t="s">
        <v>2674</v>
      </c>
      <c r="C343" s="139" t="s">
        <v>2673</v>
      </c>
      <c r="D343" s="139"/>
    </row>
    <row r="344" spans="2:4" ht="15.75" thickBot="1" x14ac:dyDescent="0.3">
      <c r="B344" t="s">
        <v>2672</v>
      </c>
      <c r="C344" s="139" t="s">
        <v>2671</v>
      </c>
      <c r="D344" s="139"/>
    </row>
    <row r="345" spans="2:4" ht="15.75" thickBot="1" x14ac:dyDescent="0.3">
      <c r="B345" t="s">
        <v>2670</v>
      </c>
      <c r="C345" s="139" t="s">
        <v>2669</v>
      </c>
      <c r="D345" s="139"/>
    </row>
    <row r="346" spans="2:4" ht="15.75" thickBot="1" x14ac:dyDescent="0.3">
      <c r="B346" t="s">
        <v>2668</v>
      </c>
      <c r="C346" s="139" t="s">
        <v>2667</v>
      </c>
      <c r="D346" s="139"/>
    </row>
    <row r="347" spans="2:4" ht="15.75" thickBot="1" x14ac:dyDescent="0.3">
      <c r="B347" t="s">
        <v>2666</v>
      </c>
      <c r="C347" s="139" t="s">
        <v>2665</v>
      </c>
      <c r="D347" s="139"/>
    </row>
    <row r="348" spans="2:4" ht="15.75" thickBot="1" x14ac:dyDescent="0.3">
      <c r="B348" t="s">
        <v>2664</v>
      </c>
      <c r="C348" s="139" t="s">
        <v>2663</v>
      </c>
      <c r="D348" s="139"/>
    </row>
    <row r="349" spans="2:4" ht="15.75" thickBot="1" x14ac:dyDescent="0.3">
      <c r="B349" t="s">
        <v>2662</v>
      </c>
      <c r="C349" s="139" t="s">
        <v>2661</v>
      </c>
      <c r="D349" s="139"/>
    </row>
    <row r="350" spans="2:4" ht="15.75" thickBot="1" x14ac:dyDescent="0.3">
      <c r="B350" t="s">
        <v>2660</v>
      </c>
      <c r="C350" s="139" t="s">
        <v>2659</v>
      </c>
      <c r="D350" s="139"/>
    </row>
    <row r="351" spans="2:4" ht="15.75" thickBot="1" x14ac:dyDescent="0.3">
      <c r="B351" t="s">
        <v>2658</v>
      </c>
      <c r="C351" s="139" t="s">
        <v>2657</v>
      </c>
      <c r="D351" s="139"/>
    </row>
    <row r="352" spans="2:4" ht="15.75" thickBot="1" x14ac:dyDescent="0.3">
      <c r="B352" t="s">
        <v>2656</v>
      </c>
      <c r="C352" s="139" t="s">
        <v>2655</v>
      </c>
      <c r="D352" s="139"/>
    </row>
    <row r="353" spans="2:4" ht="15.75" thickBot="1" x14ac:dyDescent="0.3">
      <c r="B353" t="s">
        <v>2654</v>
      </c>
      <c r="C353" s="139" t="s">
        <v>2653</v>
      </c>
      <c r="D353" s="139"/>
    </row>
    <row r="354" spans="2:4" ht="30.75" thickBot="1" x14ac:dyDescent="0.3">
      <c r="B354" t="s">
        <v>2652</v>
      </c>
      <c r="C354" s="139" t="s">
        <v>2651</v>
      </c>
      <c r="D354" s="139"/>
    </row>
    <row r="355" spans="2:4" ht="15.75" thickBot="1" x14ac:dyDescent="0.3">
      <c r="B355" t="s">
        <v>2650</v>
      </c>
      <c r="C355" s="139" t="s">
        <v>2649</v>
      </c>
      <c r="D355" s="139"/>
    </row>
    <row r="356" spans="2:4" ht="15.75" thickBot="1" x14ac:dyDescent="0.3">
      <c r="B356" t="s">
        <v>2648</v>
      </c>
      <c r="C356" s="139" t="s">
        <v>2647</v>
      </c>
      <c r="D356" s="139"/>
    </row>
    <row r="357" spans="2:4" ht="15.75" thickBot="1" x14ac:dyDescent="0.3">
      <c r="B357" t="s">
        <v>2646</v>
      </c>
      <c r="C357" s="139" t="s">
        <v>2645</v>
      </c>
      <c r="D357" s="139"/>
    </row>
    <row r="358" spans="2:4" ht="30.75" thickBot="1" x14ac:dyDescent="0.3">
      <c r="B358" t="s">
        <v>2644</v>
      </c>
      <c r="C358" s="139" t="s">
        <v>2643</v>
      </c>
      <c r="D358" s="139"/>
    </row>
    <row r="359" spans="2:4" ht="30.75" thickBot="1" x14ac:dyDescent="0.3">
      <c r="B359" t="s">
        <v>2642</v>
      </c>
      <c r="C359" s="139" t="s">
        <v>2641</v>
      </c>
      <c r="D359" s="139"/>
    </row>
    <row r="360" spans="2:4" ht="30.75" thickBot="1" x14ac:dyDescent="0.3">
      <c r="B360" t="s">
        <v>2640</v>
      </c>
      <c r="C360" s="139" t="s">
        <v>2639</v>
      </c>
      <c r="D360" s="139"/>
    </row>
    <row r="361" spans="2:4" ht="30.75" thickBot="1" x14ac:dyDescent="0.3">
      <c r="B361" t="s">
        <v>2638</v>
      </c>
      <c r="C361" s="139" t="s">
        <v>2637</v>
      </c>
      <c r="D361" s="139"/>
    </row>
    <row r="362" spans="2:4" ht="30.75" thickBot="1" x14ac:dyDescent="0.3">
      <c r="B362" t="s">
        <v>2636</v>
      </c>
      <c r="C362" s="139" t="s">
        <v>2635</v>
      </c>
      <c r="D362" s="139"/>
    </row>
    <row r="363" spans="2:4" ht="30.75" thickBot="1" x14ac:dyDescent="0.3">
      <c r="B363" t="s">
        <v>2634</v>
      </c>
      <c r="C363" s="139" t="s">
        <v>2633</v>
      </c>
      <c r="D363" s="139"/>
    </row>
    <row r="364" spans="2:4" ht="15.75" thickBot="1" x14ac:dyDescent="0.3">
      <c r="B364" t="s">
        <v>2632</v>
      </c>
      <c r="C364" s="139" t="s">
        <v>2631</v>
      </c>
      <c r="D364" s="139"/>
    </row>
    <row r="365" spans="2:4" ht="15.75" thickBot="1" x14ac:dyDescent="0.3">
      <c r="B365" t="s">
        <v>2630</v>
      </c>
      <c r="C365" s="139" t="s">
        <v>2629</v>
      </c>
      <c r="D365" s="139"/>
    </row>
    <row r="366" spans="2:4" ht="15.75" thickBot="1" x14ac:dyDescent="0.3">
      <c r="B366" t="s">
        <v>2628</v>
      </c>
      <c r="C366" s="139" t="s">
        <v>2627</v>
      </c>
      <c r="D366" s="139"/>
    </row>
    <row r="367" spans="2:4" ht="15.75" thickBot="1" x14ac:dyDescent="0.3">
      <c r="B367" t="s">
        <v>2626</v>
      </c>
      <c r="C367" s="139" t="s">
        <v>2625</v>
      </c>
      <c r="D367" s="139"/>
    </row>
    <row r="368" spans="2:4" ht="15.75" thickBot="1" x14ac:dyDescent="0.3">
      <c r="B368" t="s">
        <v>2624</v>
      </c>
      <c r="C368" s="139" t="s">
        <v>2623</v>
      </c>
      <c r="D368" s="139"/>
    </row>
    <row r="369" spans="2:4" ht="15.75" thickBot="1" x14ac:dyDescent="0.3">
      <c r="B369" t="s">
        <v>2622</v>
      </c>
      <c r="C369" s="139" t="s">
        <v>2621</v>
      </c>
      <c r="D369" s="139"/>
    </row>
    <row r="370" spans="2:4" ht="15.75" thickBot="1" x14ac:dyDescent="0.3">
      <c r="B370" t="s">
        <v>2620</v>
      </c>
      <c r="C370" s="139" t="s">
        <v>2619</v>
      </c>
      <c r="D370" s="139"/>
    </row>
    <row r="371" spans="2:4" ht="15.75" thickBot="1" x14ac:dyDescent="0.3">
      <c r="B371" t="s">
        <v>2618</v>
      </c>
      <c r="C371" s="139" t="s">
        <v>2617</v>
      </c>
      <c r="D371" s="139"/>
    </row>
    <row r="372" spans="2:4" ht="15.75" thickBot="1" x14ac:dyDescent="0.3">
      <c r="B372" t="s">
        <v>2616</v>
      </c>
      <c r="C372" s="139" t="s">
        <v>2615</v>
      </c>
      <c r="D372" s="139"/>
    </row>
    <row r="373" spans="2:4" ht="15.75" thickBot="1" x14ac:dyDescent="0.3">
      <c r="B373" t="s">
        <v>2614</v>
      </c>
      <c r="C373" s="139" t="s">
        <v>2613</v>
      </c>
      <c r="D373" s="139"/>
    </row>
    <row r="374" spans="2:4" ht="15.75" thickBot="1" x14ac:dyDescent="0.3">
      <c r="B374" t="s">
        <v>2612</v>
      </c>
      <c r="C374" s="139" t="s">
        <v>2611</v>
      </c>
      <c r="D374" s="139"/>
    </row>
    <row r="375" spans="2:4" ht="15.75" thickBot="1" x14ac:dyDescent="0.3">
      <c r="B375" t="s">
        <v>2610</v>
      </c>
      <c r="C375" s="139" t="s">
        <v>2609</v>
      </c>
      <c r="D375" s="139"/>
    </row>
    <row r="376" spans="2:4" ht="30.75" thickBot="1" x14ac:dyDescent="0.3">
      <c r="B376" t="s">
        <v>2608</v>
      </c>
      <c r="C376" s="139" t="s">
        <v>2607</v>
      </c>
      <c r="D376" s="139"/>
    </row>
    <row r="377" spans="2:4" ht="15.75" thickBot="1" x14ac:dyDescent="0.3">
      <c r="B377" t="s">
        <v>2606</v>
      </c>
      <c r="C377" s="139" t="s">
        <v>2605</v>
      </c>
      <c r="D377" s="139"/>
    </row>
    <row r="378" spans="2:4" ht="15.75" thickBot="1" x14ac:dyDescent="0.3">
      <c r="B378" t="s">
        <v>2604</v>
      </c>
      <c r="C378" s="139" t="s">
        <v>2603</v>
      </c>
      <c r="D378" s="139"/>
    </row>
    <row r="379" spans="2:4" ht="15.75" thickBot="1" x14ac:dyDescent="0.3">
      <c r="B379" t="s">
        <v>2602</v>
      </c>
      <c r="C379" s="139" t="s">
        <v>2601</v>
      </c>
      <c r="D379" s="139"/>
    </row>
    <row r="380" spans="2:4" ht="15.75" thickBot="1" x14ac:dyDescent="0.3">
      <c r="B380" t="s">
        <v>2600</v>
      </c>
      <c r="C380" s="139" t="s">
        <v>2599</v>
      </c>
      <c r="D380" s="139"/>
    </row>
    <row r="381" spans="2:4" ht="15.75" thickBot="1" x14ac:dyDescent="0.3">
      <c r="B381" t="s">
        <v>2598</v>
      </c>
      <c r="C381" s="139" t="s">
        <v>2597</v>
      </c>
      <c r="D381" s="139"/>
    </row>
    <row r="382" spans="2:4" ht="15.75" thickBot="1" x14ac:dyDescent="0.3">
      <c r="B382" t="s">
        <v>2596</v>
      </c>
      <c r="C382" s="139" t="s">
        <v>2595</v>
      </c>
      <c r="D382" s="139"/>
    </row>
    <row r="383" spans="2:4" ht="30.75" thickBot="1" x14ac:dyDescent="0.3">
      <c r="B383" t="s">
        <v>2594</v>
      </c>
      <c r="C383" s="139" t="s">
        <v>2593</v>
      </c>
      <c r="D383" s="139"/>
    </row>
    <row r="384" spans="2:4" ht="15.75" thickBot="1" x14ac:dyDescent="0.3">
      <c r="B384" t="s">
        <v>2592</v>
      </c>
      <c r="C384" s="139" t="s">
        <v>2591</v>
      </c>
      <c r="D384" s="139"/>
    </row>
    <row r="385" spans="2:4" ht="30.75" thickBot="1" x14ac:dyDescent="0.3">
      <c r="B385" t="s">
        <v>2590</v>
      </c>
      <c r="C385" s="139" t="s">
        <v>2589</v>
      </c>
      <c r="D385" s="139"/>
    </row>
    <row r="386" spans="2:4" ht="15.75" thickBot="1" x14ac:dyDescent="0.3">
      <c r="B386" t="s">
        <v>2588</v>
      </c>
      <c r="C386" s="139" t="s">
        <v>2587</v>
      </c>
      <c r="D386" s="139"/>
    </row>
    <row r="387" spans="2:4" ht="15.75" thickBot="1" x14ac:dyDescent="0.3">
      <c r="B387" t="s">
        <v>2586</v>
      </c>
      <c r="C387" s="139" t="s">
        <v>2585</v>
      </c>
      <c r="D387" s="139"/>
    </row>
    <row r="388" spans="2:4" ht="15.75" thickBot="1" x14ac:dyDescent="0.3">
      <c r="B388" t="s">
        <v>2584</v>
      </c>
      <c r="C388" s="139" t="s">
        <v>2583</v>
      </c>
      <c r="D388" s="139"/>
    </row>
    <row r="389" spans="2:4" ht="15.75" thickBot="1" x14ac:dyDescent="0.3">
      <c r="B389" t="s">
        <v>2582</v>
      </c>
      <c r="C389" s="139" t="s">
        <v>2581</v>
      </c>
      <c r="D389" s="139"/>
    </row>
    <row r="390" spans="2:4" ht="15.75" thickBot="1" x14ac:dyDescent="0.3">
      <c r="B390" t="s">
        <v>2580</v>
      </c>
      <c r="C390" s="139" t="s">
        <v>2579</v>
      </c>
      <c r="D390" s="139"/>
    </row>
    <row r="391" spans="2:4" ht="15.75" thickBot="1" x14ac:dyDescent="0.3">
      <c r="B391" t="s">
        <v>2578</v>
      </c>
      <c r="C391" s="139" t="s">
        <v>2577</v>
      </c>
      <c r="D391" s="139"/>
    </row>
    <row r="392" spans="2:4" ht="15.75" thickBot="1" x14ac:dyDescent="0.3">
      <c r="B392" t="s">
        <v>2576</v>
      </c>
      <c r="C392" s="139" t="s">
        <v>2575</v>
      </c>
      <c r="D392" s="139"/>
    </row>
    <row r="393" spans="2:4" ht="15.75" thickBot="1" x14ac:dyDescent="0.3">
      <c r="B393" t="s">
        <v>2574</v>
      </c>
      <c r="C393" s="139" t="s">
        <v>2573</v>
      </c>
      <c r="D393" s="139"/>
    </row>
    <row r="394" spans="2:4" ht="15.75" thickBot="1" x14ac:dyDescent="0.3">
      <c r="B394" t="s">
        <v>2572</v>
      </c>
      <c r="C394" s="139" t="s">
        <v>2571</v>
      </c>
      <c r="D394" s="139"/>
    </row>
    <row r="395" spans="2:4" ht="15.75" thickBot="1" x14ac:dyDescent="0.3">
      <c r="B395" t="s">
        <v>2570</v>
      </c>
      <c r="C395" s="139" t="s">
        <v>2569</v>
      </c>
      <c r="D395" s="139"/>
    </row>
    <row r="396" spans="2:4" ht="30.75" thickBot="1" x14ac:dyDescent="0.3">
      <c r="B396" t="s">
        <v>2568</v>
      </c>
      <c r="C396" s="139" t="s">
        <v>2567</v>
      </c>
      <c r="D396" s="139"/>
    </row>
    <row r="397" spans="2:4" ht="15.75" thickBot="1" x14ac:dyDescent="0.3">
      <c r="B397" t="s">
        <v>2566</v>
      </c>
      <c r="C397" s="139" t="s">
        <v>2565</v>
      </c>
      <c r="D397" s="139"/>
    </row>
    <row r="398" spans="2:4" ht="15.75" thickBot="1" x14ac:dyDescent="0.3">
      <c r="B398" t="s">
        <v>2564</v>
      </c>
      <c r="C398" s="139" t="s">
        <v>2563</v>
      </c>
      <c r="D398" s="139"/>
    </row>
    <row r="399" spans="2:4" ht="15.75" thickBot="1" x14ac:dyDescent="0.3">
      <c r="B399" t="s">
        <v>2562</v>
      </c>
      <c r="C399" s="139" t="s">
        <v>2561</v>
      </c>
      <c r="D399" s="139"/>
    </row>
    <row r="400" spans="2:4" ht="15.75" thickBot="1" x14ac:dyDescent="0.3">
      <c r="B400" t="s">
        <v>2560</v>
      </c>
      <c r="C400" s="139" t="s">
        <v>2559</v>
      </c>
      <c r="D400" s="139"/>
    </row>
    <row r="401" spans="2:4" ht="15.75" thickBot="1" x14ac:dyDescent="0.3">
      <c r="B401" t="s">
        <v>2558</v>
      </c>
      <c r="C401" s="139" t="s">
        <v>2557</v>
      </c>
      <c r="D401" s="139"/>
    </row>
    <row r="402" spans="2:4" ht="15.75" thickBot="1" x14ac:dyDescent="0.3">
      <c r="B402" t="s">
        <v>2556</v>
      </c>
      <c r="C402" s="139" t="s">
        <v>2555</v>
      </c>
      <c r="D402" s="139"/>
    </row>
    <row r="403" spans="2:4" ht="15.75" thickBot="1" x14ac:dyDescent="0.3">
      <c r="B403" t="s">
        <v>2554</v>
      </c>
      <c r="C403" s="139" t="s">
        <v>2553</v>
      </c>
      <c r="D403" s="139"/>
    </row>
    <row r="404" spans="2:4" ht="15.75" thickBot="1" x14ac:dyDescent="0.3">
      <c r="B404" t="s">
        <v>2552</v>
      </c>
      <c r="C404" s="139" t="s">
        <v>2551</v>
      </c>
      <c r="D404" s="139"/>
    </row>
    <row r="405" spans="2:4" ht="15.75" thickBot="1" x14ac:dyDescent="0.3">
      <c r="B405" t="s">
        <v>2550</v>
      </c>
      <c r="C405" s="139" t="s">
        <v>2549</v>
      </c>
      <c r="D405" s="139"/>
    </row>
    <row r="406" spans="2:4" ht="15.75" thickBot="1" x14ac:dyDescent="0.3">
      <c r="B406" t="s">
        <v>2548</v>
      </c>
      <c r="C406" s="139" t="s">
        <v>2547</v>
      </c>
      <c r="D406" s="139"/>
    </row>
    <row r="407" spans="2:4" ht="15.75" thickBot="1" x14ac:dyDescent="0.3">
      <c r="B407" t="s">
        <v>2546</v>
      </c>
      <c r="C407" s="139" t="s">
        <v>2545</v>
      </c>
      <c r="D407" s="139"/>
    </row>
    <row r="408" spans="2:4" ht="15.75" thickBot="1" x14ac:dyDescent="0.3">
      <c r="B408" t="s">
        <v>2544</v>
      </c>
      <c r="C408" s="139" t="s">
        <v>2543</v>
      </c>
      <c r="D408" s="139"/>
    </row>
    <row r="409" spans="2:4" ht="15.75" thickBot="1" x14ac:dyDescent="0.3">
      <c r="B409" t="s">
        <v>2542</v>
      </c>
      <c r="C409" s="139" t="s">
        <v>2541</v>
      </c>
      <c r="D409" s="139"/>
    </row>
    <row r="410" spans="2:4" ht="15.75" thickBot="1" x14ac:dyDescent="0.3">
      <c r="B410" t="s">
        <v>2540</v>
      </c>
      <c r="C410" s="139" t="s">
        <v>2539</v>
      </c>
      <c r="D410" s="139"/>
    </row>
    <row r="411" spans="2:4" ht="15.75" thickBot="1" x14ac:dyDescent="0.3">
      <c r="B411" t="s">
        <v>2538</v>
      </c>
      <c r="C411" s="139" t="s">
        <v>2537</v>
      </c>
      <c r="D411" s="139"/>
    </row>
    <row r="412" spans="2:4" ht="30.75" thickBot="1" x14ac:dyDescent="0.3">
      <c r="B412" t="s">
        <v>2536</v>
      </c>
      <c r="C412" s="139" t="s">
        <v>2535</v>
      </c>
      <c r="D412" s="139"/>
    </row>
    <row r="413" spans="2:4" ht="15.75" thickBot="1" x14ac:dyDescent="0.3">
      <c r="B413" t="s">
        <v>2534</v>
      </c>
      <c r="C413" s="139" t="s">
        <v>2533</v>
      </c>
      <c r="D413" s="139"/>
    </row>
    <row r="414" spans="2:4" ht="15.75" thickBot="1" x14ac:dyDescent="0.3">
      <c r="B414" t="s">
        <v>2532</v>
      </c>
      <c r="C414" s="139" t="s">
        <v>2531</v>
      </c>
      <c r="D414" s="139"/>
    </row>
    <row r="415" spans="2:4" ht="30.75" thickBot="1" x14ac:dyDescent="0.3">
      <c r="B415" t="s">
        <v>2530</v>
      </c>
      <c r="C415" s="139" t="s">
        <v>2529</v>
      </c>
      <c r="D415" s="139"/>
    </row>
    <row r="416" spans="2:4" ht="15.75" thickBot="1" x14ac:dyDescent="0.3">
      <c r="B416" t="s">
        <v>2528</v>
      </c>
      <c r="C416" s="139" t="s">
        <v>2527</v>
      </c>
      <c r="D416" s="139"/>
    </row>
    <row r="417" spans="2:4" ht="15.75" thickBot="1" x14ac:dyDescent="0.3">
      <c r="B417" t="s">
        <v>2526</v>
      </c>
      <c r="C417" s="139" t="s">
        <v>2525</v>
      </c>
      <c r="D417" s="139"/>
    </row>
    <row r="418" spans="2:4" ht="15.75" thickBot="1" x14ac:dyDescent="0.3">
      <c r="B418" t="s">
        <v>2524</v>
      </c>
      <c r="C418" s="139" t="s">
        <v>2523</v>
      </c>
      <c r="D418" s="139"/>
    </row>
    <row r="419" spans="2:4" ht="15.75" thickBot="1" x14ac:dyDescent="0.3">
      <c r="B419" t="s">
        <v>2522</v>
      </c>
      <c r="C419" s="139" t="s">
        <v>2521</v>
      </c>
      <c r="D419" s="139"/>
    </row>
    <row r="420" spans="2:4" ht="15.75" thickBot="1" x14ac:dyDescent="0.3">
      <c r="B420" t="s">
        <v>2520</v>
      </c>
      <c r="C420" s="139" t="s">
        <v>2519</v>
      </c>
      <c r="D420" s="139"/>
    </row>
    <row r="421" spans="2:4" ht="15.75" thickBot="1" x14ac:dyDescent="0.3">
      <c r="B421" t="s">
        <v>2518</v>
      </c>
      <c r="C421" s="139" t="s">
        <v>2517</v>
      </c>
      <c r="D421" s="139"/>
    </row>
    <row r="422" spans="2:4" ht="15.75" thickBot="1" x14ac:dyDescent="0.3">
      <c r="B422" t="s">
        <v>2516</v>
      </c>
      <c r="C422" s="139" t="s">
        <v>2515</v>
      </c>
      <c r="D422" s="139"/>
    </row>
    <row r="423" spans="2:4" ht="15.75" thickBot="1" x14ac:dyDescent="0.3">
      <c r="B423" t="s">
        <v>2514</v>
      </c>
      <c r="C423" s="139" t="s">
        <v>2513</v>
      </c>
      <c r="D423" s="139"/>
    </row>
    <row r="424" spans="2:4" ht="15.75" thickBot="1" x14ac:dyDescent="0.3">
      <c r="B424" t="s">
        <v>2512</v>
      </c>
      <c r="C424" s="139" t="s">
        <v>2511</v>
      </c>
      <c r="D424" s="139"/>
    </row>
    <row r="425" spans="2:4" ht="15.75" thickBot="1" x14ac:dyDescent="0.3">
      <c r="B425" t="s">
        <v>2510</v>
      </c>
      <c r="C425" s="139" t="s">
        <v>2509</v>
      </c>
      <c r="D425" s="139"/>
    </row>
    <row r="426" spans="2:4" ht="15.75" thickBot="1" x14ac:dyDescent="0.3">
      <c r="B426" t="s">
        <v>2508</v>
      </c>
      <c r="C426" s="139" t="s">
        <v>2507</v>
      </c>
      <c r="D426" s="139"/>
    </row>
    <row r="427" spans="2:4" ht="15.75" thickBot="1" x14ac:dyDescent="0.3">
      <c r="B427" t="s">
        <v>2506</v>
      </c>
      <c r="C427" s="139" t="s">
        <v>2505</v>
      </c>
      <c r="D427" s="139"/>
    </row>
    <row r="428" spans="2:4" ht="15.75" thickBot="1" x14ac:dyDescent="0.3">
      <c r="B428" t="s">
        <v>2504</v>
      </c>
      <c r="C428" s="139" t="s">
        <v>2503</v>
      </c>
      <c r="D428" s="139"/>
    </row>
    <row r="429" spans="2:4" ht="15.75" thickBot="1" x14ac:dyDescent="0.3">
      <c r="B429" t="s">
        <v>2502</v>
      </c>
      <c r="C429" s="139" t="s">
        <v>2501</v>
      </c>
      <c r="D429" s="139"/>
    </row>
    <row r="430" spans="2:4" ht="15.75" thickBot="1" x14ac:dyDescent="0.3">
      <c r="B430" t="s">
        <v>2500</v>
      </c>
      <c r="C430" s="139" t="s">
        <v>2499</v>
      </c>
      <c r="D430" s="139"/>
    </row>
    <row r="431" spans="2:4" ht="15.75" thickBot="1" x14ac:dyDescent="0.3">
      <c r="B431" t="s">
        <v>2498</v>
      </c>
      <c r="C431" s="139" t="s">
        <v>2497</v>
      </c>
      <c r="D431" s="139"/>
    </row>
    <row r="432" spans="2:4" ht="15.75" thickBot="1" x14ac:dyDescent="0.3">
      <c r="B432" t="s">
        <v>2496</v>
      </c>
      <c r="C432" s="139" t="s">
        <v>2495</v>
      </c>
      <c r="D432" s="139"/>
    </row>
    <row r="433" spans="2:4" ht="15.75" thickBot="1" x14ac:dyDescent="0.3">
      <c r="B433" t="s">
        <v>2494</v>
      </c>
      <c r="C433" s="139" t="s">
        <v>2493</v>
      </c>
      <c r="D433" s="139"/>
    </row>
    <row r="434" spans="2:4" ht="15.75" thickBot="1" x14ac:dyDescent="0.3">
      <c r="B434" t="s">
        <v>2492</v>
      </c>
      <c r="C434" s="139" t="s">
        <v>2491</v>
      </c>
      <c r="D434" s="139"/>
    </row>
    <row r="435" spans="2:4" ht="15.75" thickBot="1" x14ac:dyDescent="0.3">
      <c r="B435" t="s">
        <v>2490</v>
      </c>
      <c r="C435" s="139" t="s">
        <v>2489</v>
      </c>
      <c r="D435" s="139"/>
    </row>
    <row r="436" spans="2:4" ht="15.75" thickBot="1" x14ac:dyDescent="0.3">
      <c r="B436" t="s">
        <v>2488</v>
      </c>
      <c r="C436" s="139" t="s">
        <v>2487</v>
      </c>
      <c r="D436" s="139"/>
    </row>
    <row r="437" spans="2:4" ht="15.75" thickBot="1" x14ac:dyDescent="0.3">
      <c r="B437" t="s">
        <v>2486</v>
      </c>
      <c r="C437" s="139" t="s">
        <v>2485</v>
      </c>
      <c r="D437" s="139"/>
    </row>
    <row r="438" spans="2:4" ht="15.75" thickBot="1" x14ac:dyDescent="0.3">
      <c r="B438" t="s">
        <v>2484</v>
      </c>
      <c r="C438" s="139" t="s">
        <v>2483</v>
      </c>
      <c r="D438" s="139"/>
    </row>
    <row r="439" spans="2:4" ht="15.75" thickBot="1" x14ac:dyDescent="0.3">
      <c r="B439" t="s">
        <v>2482</v>
      </c>
      <c r="C439" s="139" t="s">
        <v>2481</v>
      </c>
      <c r="D439" s="139"/>
    </row>
    <row r="440" spans="2:4" ht="15.75" thickBot="1" x14ac:dyDescent="0.3">
      <c r="B440" t="s">
        <v>2480</v>
      </c>
      <c r="C440" s="139" t="s">
        <v>2479</v>
      </c>
      <c r="D440" s="139"/>
    </row>
    <row r="441" spans="2:4" ht="15.75" thickBot="1" x14ac:dyDescent="0.3">
      <c r="B441" t="s">
        <v>2478</v>
      </c>
      <c r="C441" s="139" t="s">
        <v>2477</v>
      </c>
      <c r="D441" s="139"/>
    </row>
    <row r="442" spans="2:4" ht="15.75" thickBot="1" x14ac:dyDescent="0.3">
      <c r="B442" t="s">
        <v>2476</v>
      </c>
      <c r="C442" s="139" t="s">
        <v>2475</v>
      </c>
      <c r="D442" s="139"/>
    </row>
    <row r="443" spans="2:4" ht="15.75" thickBot="1" x14ac:dyDescent="0.3">
      <c r="B443" t="s">
        <v>2474</v>
      </c>
      <c r="C443" s="139" t="s">
        <v>2473</v>
      </c>
      <c r="D443" s="139"/>
    </row>
    <row r="444" spans="2:4" ht="15.75" thickBot="1" x14ac:dyDescent="0.3">
      <c r="B444" t="s">
        <v>2472</v>
      </c>
      <c r="C444" s="139" t="s">
        <v>2471</v>
      </c>
      <c r="D444" s="139"/>
    </row>
    <row r="445" spans="2:4" ht="30.75" thickBot="1" x14ac:dyDescent="0.3">
      <c r="B445" t="s">
        <v>2470</v>
      </c>
      <c r="C445" s="139" t="s">
        <v>2469</v>
      </c>
      <c r="D445" s="139"/>
    </row>
    <row r="446" spans="2:4" ht="15.75" thickBot="1" x14ac:dyDescent="0.3">
      <c r="B446" t="s">
        <v>2468</v>
      </c>
      <c r="C446" s="139" t="s">
        <v>2467</v>
      </c>
      <c r="D446" s="139"/>
    </row>
    <row r="447" spans="2:4" ht="15.75" thickBot="1" x14ac:dyDescent="0.3">
      <c r="B447" t="s">
        <v>2466</v>
      </c>
      <c r="C447" s="139" t="s">
        <v>2465</v>
      </c>
      <c r="D447" s="139"/>
    </row>
    <row r="448" spans="2:4" ht="15.75" thickBot="1" x14ac:dyDescent="0.3">
      <c r="B448" t="s">
        <v>2464</v>
      </c>
      <c r="C448" s="139" t="s">
        <v>2463</v>
      </c>
      <c r="D448" s="139"/>
    </row>
    <row r="449" spans="2:4" ht="15.75" thickBot="1" x14ac:dyDescent="0.3">
      <c r="B449" t="s">
        <v>2462</v>
      </c>
      <c r="C449" s="139" t="s">
        <v>2461</v>
      </c>
      <c r="D449" s="139"/>
    </row>
    <row r="450" spans="2:4" ht="15.75" thickBot="1" x14ac:dyDescent="0.3">
      <c r="B450" t="s">
        <v>2460</v>
      </c>
      <c r="C450" s="139" t="s">
        <v>2459</v>
      </c>
      <c r="D450" s="139"/>
    </row>
    <row r="451" spans="2:4" ht="15.75" thickBot="1" x14ac:dyDescent="0.3">
      <c r="B451" t="s">
        <v>2458</v>
      </c>
      <c r="C451" s="139" t="s">
        <v>2457</v>
      </c>
      <c r="D451" s="139"/>
    </row>
    <row r="452" spans="2:4" ht="15.75" thickBot="1" x14ac:dyDescent="0.3">
      <c r="B452" t="s">
        <v>2456</v>
      </c>
      <c r="C452" s="139" t="s">
        <v>2455</v>
      </c>
      <c r="D452" s="139"/>
    </row>
    <row r="453" spans="2:4" ht="15.75" thickBot="1" x14ac:dyDescent="0.3">
      <c r="B453" t="s">
        <v>2454</v>
      </c>
      <c r="C453" s="139" t="s">
        <v>2453</v>
      </c>
      <c r="D453" s="139"/>
    </row>
    <row r="454" spans="2:4" ht="15.75" thickBot="1" x14ac:dyDescent="0.3">
      <c r="B454" t="s">
        <v>2452</v>
      </c>
      <c r="C454" s="139" t="s">
        <v>2451</v>
      </c>
      <c r="D454" s="139"/>
    </row>
    <row r="455" spans="2:4" ht="15.75" thickBot="1" x14ac:dyDescent="0.3">
      <c r="B455" t="s">
        <v>2450</v>
      </c>
      <c r="C455" s="139" t="s">
        <v>2449</v>
      </c>
      <c r="D455" s="139"/>
    </row>
    <row r="456" spans="2:4" ht="15.75" thickBot="1" x14ac:dyDescent="0.3">
      <c r="B456" t="s">
        <v>2448</v>
      </c>
      <c r="C456" s="139" t="s">
        <v>2447</v>
      </c>
      <c r="D456" s="139"/>
    </row>
    <row r="457" spans="2:4" ht="15.75" thickBot="1" x14ac:dyDescent="0.3">
      <c r="B457" t="s">
        <v>2446</v>
      </c>
      <c r="C457" s="139" t="s">
        <v>2445</v>
      </c>
      <c r="D457" s="139"/>
    </row>
    <row r="458" spans="2:4" ht="15.75" thickBot="1" x14ac:dyDescent="0.3">
      <c r="B458" t="s">
        <v>2444</v>
      </c>
      <c r="C458" s="139" t="s">
        <v>2443</v>
      </c>
      <c r="D458" s="139"/>
    </row>
    <row r="459" spans="2:4" ht="15.75" thickBot="1" x14ac:dyDescent="0.3">
      <c r="B459" t="s">
        <v>2442</v>
      </c>
      <c r="C459" s="139" t="s">
        <v>2441</v>
      </c>
      <c r="D459" s="139"/>
    </row>
    <row r="460" spans="2:4" ht="15.75" thickBot="1" x14ac:dyDescent="0.3">
      <c r="B460" t="s">
        <v>2440</v>
      </c>
      <c r="C460" s="139" t="s">
        <v>2439</v>
      </c>
      <c r="D460" s="139"/>
    </row>
    <row r="461" spans="2:4" ht="15.75" thickBot="1" x14ac:dyDescent="0.3">
      <c r="B461" t="s">
        <v>2438</v>
      </c>
      <c r="C461" s="139" t="s">
        <v>2437</v>
      </c>
      <c r="D461" s="139"/>
    </row>
    <row r="462" spans="2:4" ht="15.75" thickBot="1" x14ac:dyDescent="0.3">
      <c r="B462" t="s">
        <v>2436</v>
      </c>
      <c r="C462" s="139" t="s">
        <v>2435</v>
      </c>
      <c r="D462" s="139"/>
    </row>
    <row r="463" spans="2:4" ht="15.75" thickBot="1" x14ac:dyDescent="0.3">
      <c r="B463" t="s">
        <v>2434</v>
      </c>
      <c r="C463" s="139" t="s">
        <v>2433</v>
      </c>
      <c r="D463" s="139"/>
    </row>
    <row r="464" spans="2:4" ht="15.75" thickBot="1" x14ac:dyDescent="0.3">
      <c r="B464" t="s">
        <v>2432</v>
      </c>
      <c r="C464" s="139" t="s">
        <v>2431</v>
      </c>
      <c r="D464" s="139"/>
    </row>
    <row r="465" spans="2:4" ht="15.75" thickBot="1" x14ac:dyDescent="0.3">
      <c r="B465" t="s">
        <v>2430</v>
      </c>
      <c r="C465" s="139" t="s">
        <v>2429</v>
      </c>
      <c r="D465" s="139"/>
    </row>
    <row r="466" spans="2:4" ht="15.75" thickBot="1" x14ac:dyDescent="0.3">
      <c r="B466" t="s">
        <v>2428</v>
      </c>
      <c r="C466" s="139" t="s">
        <v>2427</v>
      </c>
      <c r="D466" s="139"/>
    </row>
    <row r="467" spans="2:4" ht="15.75" thickBot="1" x14ac:dyDescent="0.3">
      <c r="B467" t="s">
        <v>2426</v>
      </c>
      <c r="C467" s="139" t="s">
        <v>2425</v>
      </c>
      <c r="D467" s="139"/>
    </row>
    <row r="468" spans="2:4" ht="15.75" thickBot="1" x14ac:dyDescent="0.3">
      <c r="B468" t="s">
        <v>2424</v>
      </c>
      <c r="C468" s="139" t="s">
        <v>2423</v>
      </c>
      <c r="D468" s="139"/>
    </row>
    <row r="469" spans="2:4" ht="15.75" thickBot="1" x14ac:dyDescent="0.3">
      <c r="B469" t="s">
        <v>2422</v>
      </c>
      <c r="C469" s="139" t="s">
        <v>2421</v>
      </c>
      <c r="D469" s="139"/>
    </row>
    <row r="470" spans="2:4" ht="15.75" thickBot="1" x14ac:dyDescent="0.3">
      <c r="B470" t="s">
        <v>2420</v>
      </c>
      <c r="C470" s="139" t="s">
        <v>2419</v>
      </c>
      <c r="D470" s="139"/>
    </row>
    <row r="471" spans="2:4" ht="15.75" thickBot="1" x14ac:dyDescent="0.3">
      <c r="B471" t="s">
        <v>2418</v>
      </c>
      <c r="C471" s="139" t="s">
        <v>2417</v>
      </c>
      <c r="D471" s="139"/>
    </row>
    <row r="472" spans="2:4" ht="15.75" thickBot="1" x14ac:dyDescent="0.3">
      <c r="B472" t="s">
        <v>2416</v>
      </c>
      <c r="C472" s="139" t="s">
        <v>2415</v>
      </c>
      <c r="D472" s="139"/>
    </row>
    <row r="473" spans="2:4" ht="15.75" thickBot="1" x14ac:dyDescent="0.3">
      <c r="B473" t="s">
        <v>2414</v>
      </c>
      <c r="C473" s="139" t="s">
        <v>2413</v>
      </c>
      <c r="D473" s="139"/>
    </row>
    <row r="474" spans="2:4" ht="15.75" thickBot="1" x14ac:dyDescent="0.3">
      <c r="B474" t="s">
        <v>2412</v>
      </c>
      <c r="C474" s="139" t="s">
        <v>2411</v>
      </c>
      <c r="D474" s="139"/>
    </row>
    <row r="475" spans="2:4" ht="15.75" thickBot="1" x14ac:dyDescent="0.3">
      <c r="B475" t="s">
        <v>2410</v>
      </c>
      <c r="C475" s="139" t="s">
        <v>2409</v>
      </c>
      <c r="D475" s="139"/>
    </row>
    <row r="476" spans="2:4" ht="15.75" thickBot="1" x14ac:dyDescent="0.3">
      <c r="B476" t="s">
        <v>2408</v>
      </c>
      <c r="C476" s="139" t="s">
        <v>2407</v>
      </c>
      <c r="D476" s="139"/>
    </row>
    <row r="477" spans="2:4" ht="15.75" thickBot="1" x14ac:dyDescent="0.3">
      <c r="B477" t="s">
        <v>2406</v>
      </c>
      <c r="C477" s="139" t="s">
        <v>2405</v>
      </c>
      <c r="D477" s="139"/>
    </row>
    <row r="478" spans="2:4" ht="15.75" thickBot="1" x14ac:dyDescent="0.3">
      <c r="B478" t="s">
        <v>2404</v>
      </c>
      <c r="C478" s="139" t="s">
        <v>2403</v>
      </c>
      <c r="D478" s="139"/>
    </row>
    <row r="479" spans="2:4" ht="15.75" thickBot="1" x14ac:dyDescent="0.3">
      <c r="B479" t="s">
        <v>2402</v>
      </c>
      <c r="C479" s="139" t="s">
        <v>2401</v>
      </c>
      <c r="D479" s="139"/>
    </row>
    <row r="480" spans="2:4" ht="15.75" thickBot="1" x14ac:dyDescent="0.3">
      <c r="B480" t="s">
        <v>2400</v>
      </c>
      <c r="C480" s="139" t="s">
        <v>2399</v>
      </c>
      <c r="D480" s="139"/>
    </row>
    <row r="481" spans="2:4" ht="15.75" thickBot="1" x14ac:dyDescent="0.3">
      <c r="B481" t="s">
        <v>2398</v>
      </c>
      <c r="C481" s="139" t="s">
        <v>2397</v>
      </c>
      <c r="D481" s="139"/>
    </row>
    <row r="482" spans="2:4" ht="15.75" thickBot="1" x14ac:dyDescent="0.3">
      <c r="B482" t="s">
        <v>2396</v>
      </c>
      <c r="C482" s="139" t="s">
        <v>2395</v>
      </c>
      <c r="D482" s="139"/>
    </row>
    <row r="483" spans="2:4" ht="15.75" thickBot="1" x14ac:dyDescent="0.3">
      <c r="B483" t="s">
        <v>2394</v>
      </c>
      <c r="C483" s="139" t="s">
        <v>2393</v>
      </c>
      <c r="D483" s="139"/>
    </row>
    <row r="484" spans="2:4" ht="15.75" thickBot="1" x14ac:dyDescent="0.3">
      <c r="B484" t="s">
        <v>2392</v>
      </c>
      <c r="C484" s="139" t="s">
        <v>2391</v>
      </c>
      <c r="D484" s="139"/>
    </row>
    <row r="485" spans="2:4" ht="15.75" thickBot="1" x14ac:dyDescent="0.3">
      <c r="B485" t="s">
        <v>2390</v>
      </c>
      <c r="C485" s="139" t="s">
        <v>2389</v>
      </c>
      <c r="D485" s="139"/>
    </row>
    <row r="486" spans="2:4" ht="15.75" thickBot="1" x14ac:dyDescent="0.3">
      <c r="B486" t="s">
        <v>2388</v>
      </c>
      <c r="C486" s="139" t="s">
        <v>2387</v>
      </c>
      <c r="D486" s="139"/>
    </row>
    <row r="487" spans="2:4" ht="30.75" thickBot="1" x14ac:dyDescent="0.3">
      <c r="B487" t="s">
        <v>2386</v>
      </c>
      <c r="C487" s="139" t="s">
        <v>2385</v>
      </c>
      <c r="D487" s="139"/>
    </row>
    <row r="488" spans="2:4" ht="15.75" thickBot="1" x14ac:dyDescent="0.3">
      <c r="B488" t="s">
        <v>2384</v>
      </c>
      <c r="C488" s="139" t="s">
        <v>2383</v>
      </c>
      <c r="D488" s="139"/>
    </row>
    <row r="489" spans="2:4" ht="15.75" thickBot="1" x14ac:dyDescent="0.3">
      <c r="B489" t="s">
        <v>2382</v>
      </c>
      <c r="C489" s="139" t="s">
        <v>2381</v>
      </c>
      <c r="D489" s="139"/>
    </row>
    <row r="490" spans="2:4" ht="15.75" thickBot="1" x14ac:dyDescent="0.3">
      <c r="B490" t="s">
        <v>2380</v>
      </c>
      <c r="C490" s="139" t="s">
        <v>2379</v>
      </c>
      <c r="D490" s="139"/>
    </row>
    <row r="491" spans="2:4" ht="15.75" thickBot="1" x14ac:dyDescent="0.3">
      <c r="B491" t="s">
        <v>2378</v>
      </c>
      <c r="C491" s="139" t="s">
        <v>2377</v>
      </c>
      <c r="D491" s="139"/>
    </row>
    <row r="492" spans="2:4" ht="15.75" thickBot="1" x14ac:dyDescent="0.3">
      <c r="B492" t="s">
        <v>2376</v>
      </c>
      <c r="C492" s="139" t="s">
        <v>2375</v>
      </c>
      <c r="D492" s="139"/>
    </row>
    <row r="493" spans="2:4" ht="15.75" thickBot="1" x14ac:dyDescent="0.3">
      <c r="B493" t="s">
        <v>2374</v>
      </c>
      <c r="C493" s="139" t="s">
        <v>2373</v>
      </c>
      <c r="D493" s="139"/>
    </row>
    <row r="494" spans="2:4" ht="15.75" thickBot="1" x14ac:dyDescent="0.3">
      <c r="B494" t="s">
        <v>2372</v>
      </c>
      <c r="C494" s="139" t="s">
        <v>2371</v>
      </c>
      <c r="D494" s="139"/>
    </row>
    <row r="495" spans="2:4" ht="15.75" thickBot="1" x14ac:dyDescent="0.3">
      <c r="B495" t="s">
        <v>2370</v>
      </c>
      <c r="C495" s="139" t="s">
        <v>2369</v>
      </c>
      <c r="D495" s="139"/>
    </row>
    <row r="496" spans="2:4" ht="15.75" thickBot="1" x14ac:dyDescent="0.3">
      <c r="B496" t="s">
        <v>2368</v>
      </c>
      <c r="C496" s="139" t="s">
        <v>2367</v>
      </c>
      <c r="D496" s="139"/>
    </row>
    <row r="497" spans="2:4" ht="15.75" thickBot="1" x14ac:dyDescent="0.3">
      <c r="B497" t="s">
        <v>2366</v>
      </c>
      <c r="C497" s="139" t="s">
        <v>2365</v>
      </c>
      <c r="D497" s="139"/>
    </row>
    <row r="498" spans="2:4" ht="15.75" thickBot="1" x14ac:dyDescent="0.3">
      <c r="B498" t="s">
        <v>2364</v>
      </c>
      <c r="C498" s="139" t="s">
        <v>2363</v>
      </c>
      <c r="D498" s="139"/>
    </row>
    <row r="499" spans="2:4" ht="15.75" thickBot="1" x14ac:dyDescent="0.3">
      <c r="B499" t="s">
        <v>2362</v>
      </c>
      <c r="C499" s="139" t="s">
        <v>2361</v>
      </c>
      <c r="D499" s="139"/>
    </row>
    <row r="500" spans="2:4" ht="15.75" thickBot="1" x14ac:dyDescent="0.3">
      <c r="B500" t="s">
        <v>2360</v>
      </c>
      <c r="C500" s="139" t="s">
        <v>2359</v>
      </c>
      <c r="D500" s="139"/>
    </row>
    <row r="501" spans="2:4" ht="15.75" thickBot="1" x14ac:dyDescent="0.3">
      <c r="B501" t="s">
        <v>2358</v>
      </c>
      <c r="C501" s="139" t="s">
        <v>2357</v>
      </c>
      <c r="D501" s="139"/>
    </row>
    <row r="502" spans="2:4" ht="15.75" thickBot="1" x14ac:dyDescent="0.3">
      <c r="B502" t="s">
        <v>2356</v>
      </c>
      <c r="C502" s="139" t="s">
        <v>2355</v>
      </c>
      <c r="D502" s="139"/>
    </row>
    <row r="503" spans="2:4" ht="15.75" thickBot="1" x14ac:dyDescent="0.3">
      <c r="B503" t="s">
        <v>2354</v>
      </c>
      <c r="C503" s="139" t="s">
        <v>2353</v>
      </c>
      <c r="D503" s="139"/>
    </row>
    <row r="504" spans="2:4" ht="15.75" thickBot="1" x14ac:dyDescent="0.3">
      <c r="B504" t="s">
        <v>2352</v>
      </c>
      <c r="C504" s="139" t="s">
        <v>2351</v>
      </c>
      <c r="D504" s="139"/>
    </row>
    <row r="505" spans="2:4" ht="15.75" thickBot="1" x14ac:dyDescent="0.3">
      <c r="B505" t="s">
        <v>2350</v>
      </c>
      <c r="C505" s="139" t="s">
        <v>2349</v>
      </c>
      <c r="D505" s="139"/>
    </row>
    <row r="506" spans="2:4" ht="15.75" thickBot="1" x14ac:dyDescent="0.3">
      <c r="B506" t="s">
        <v>2348</v>
      </c>
      <c r="C506" s="139" t="s">
        <v>2347</v>
      </c>
      <c r="D506" s="139"/>
    </row>
    <row r="507" spans="2:4" ht="15.75" thickBot="1" x14ac:dyDescent="0.3">
      <c r="B507" t="s">
        <v>2346</v>
      </c>
      <c r="C507" s="139" t="s">
        <v>2345</v>
      </c>
      <c r="D507" s="139"/>
    </row>
    <row r="508" spans="2:4" ht="15.75" thickBot="1" x14ac:dyDescent="0.3">
      <c r="B508" t="s">
        <v>2344</v>
      </c>
      <c r="C508" s="139" t="s">
        <v>2343</v>
      </c>
      <c r="D508" s="139"/>
    </row>
    <row r="509" spans="2:4" ht="15.75" thickBot="1" x14ac:dyDescent="0.3">
      <c r="B509" t="s">
        <v>2342</v>
      </c>
      <c r="C509" s="139" t="s">
        <v>2341</v>
      </c>
      <c r="D509" s="139"/>
    </row>
    <row r="510" spans="2:4" ht="15.75" thickBot="1" x14ac:dyDescent="0.3">
      <c r="B510" t="s">
        <v>2340</v>
      </c>
      <c r="C510" s="139" t="s">
        <v>2339</v>
      </c>
      <c r="D510" s="139"/>
    </row>
    <row r="511" spans="2:4" ht="15.75" thickBot="1" x14ac:dyDescent="0.3">
      <c r="B511" t="s">
        <v>2338</v>
      </c>
      <c r="C511" s="139" t="s">
        <v>2337</v>
      </c>
      <c r="D511" s="139"/>
    </row>
    <row r="512" spans="2:4" ht="15.75" thickBot="1" x14ac:dyDescent="0.3">
      <c r="B512" t="s">
        <v>2336</v>
      </c>
      <c r="C512" s="139" t="s">
        <v>2335</v>
      </c>
      <c r="D512" s="139"/>
    </row>
    <row r="513" spans="2:4" ht="15.75" thickBot="1" x14ac:dyDescent="0.3">
      <c r="B513" t="s">
        <v>2334</v>
      </c>
      <c r="C513" s="139" t="s">
        <v>2333</v>
      </c>
      <c r="D513" s="139"/>
    </row>
    <row r="514" spans="2:4" ht="15.75" thickBot="1" x14ac:dyDescent="0.3">
      <c r="B514" t="s">
        <v>2332</v>
      </c>
      <c r="C514" s="139" t="s">
        <v>2331</v>
      </c>
      <c r="D514" s="139"/>
    </row>
    <row r="515" spans="2:4" ht="15.75" thickBot="1" x14ac:dyDescent="0.3">
      <c r="B515" t="s">
        <v>2330</v>
      </c>
      <c r="C515" s="139" t="s">
        <v>2329</v>
      </c>
      <c r="D515" s="139"/>
    </row>
    <row r="516" spans="2:4" ht="15.75" thickBot="1" x14ac:dyDescent="0.3">
      <c r="B516" t="s">
        <v>2328</v>
      </c>
      <c r="C516" s="139" t="s">
        <v>2327</v>
      </c>
      <c r="D516" s="139"/>
    </row>
    <row r="517" spans="2:4" ht="15.75" thickBot="1" x14ac:dyDescent="0.3">
      <c r="B517" t="s">
        <v>2326</v>
      </c>
      <c r="C517" s="139" t="s">
        <v>2325</v>
      </c>
      <c r="D517" s="139"/>
    </row>
    <row r="518" spans="2:4" ht="15.75" thickBot="1" x14ac:dyDescent="0.3">
      <c r="B518" t="s">
        <v>2324</v>
      </c>
      <c r="C518" s="139" t="s">
        <v>2323</v>
      </c>
      <c r="D518" s="139"/>
    </row>
    <row r="519" spans="2:4" ht="15.75" thickBot="1" x14ac:dyDescent="0.3">
      <c r="B519" t="s">
        <v>2322</v>
      </c>
      <c r="C519" s="139" t="s">
        <v>2321</v>
      </c>
      <c r="D519" s="139"/>
    </row>
    <row r="520" spans="2:4" ht="15.75" thickBot="1" x14ac:dyDescent="0.3">
      <c r="B520" t="s">
        <v>2320</v>
      </c>
      <c r="C520" s="139" t="s">
        <v>2319</v>
      </c>
      <c r="D520" s="139"/>
    </row>
    <row r="521" spans="2:4" ht="15.75" thickBot="1" x14ac:dyDescent="0.3">
      <c r="B521" t="s">
        <v>2318</v>
      </c>
      <c r="C521" s="139" t="s">
        <v>2317</v>
      </c>
      <c r="D521" s="139"/>
    </row>
    <row r="522" spans="2:4" ht="15.75" thickBot="1" x14ac:dyDescent="0.3">
      <c r="B522" t="s">
        <v>2316</v>
      </c>
      <c r="C522" s="139" t="s">
        <v>2315</v>
      </c>
      <c r="D522" s="139"/>
    </row>
    <row r="523" spans="2:4" ht="15.75" thickBot="1" x14ac:dyDescent="0.3">
      <c r="B523" t="s">
        <v>2314</v>
      </c>
      <c r="C523" s="139" t="s">
        <v>2313</v>
      </c>
      <c r="D523" s="139"/>
    </row>
    <row r="524" spans="2:4" ht="15.75" thickBot="1" x14ac:dyDescent="0.3">
      <c r="B524" t="s">
        <v>2312</v>
      </c>
      <c r="C524" s="139" t="s">
        <v>2311</v>
      </c>
      <c r="D524" s="139"/>
    </row>
    <row r="525" spans="2:4" ht="15.75" thickBot="1" x14ac:dyDescent="0.3">
      <c r="B525" t="s">
        <v>2310</v>
      </c>
      <c r="C525" s="139" t="s">
        <v>2309</v>
      </c>
      <c r="D525" s="139"/>
    </row>
    <row r="526" spans="2:4" ht="15.75" thickBot="1" x14ac:dyDescent="0.3">
      <c r="B526" t="s">
        <v>2308</v>
      </c>
      <c r="C526" s="139" t="s">
        <v>2307</v>
      </c>
      <c r="D526" s="139"/>
    </row>
    <row r="527" spans="2:4" ht="15.75" thickBot="1" x14ac:dyDescent="0.3">
      <c r="B527" t="s">
        <v>2306</v>
      </c>
      <c r="C527" s="139" t="s">
        <v>2305</v>
      </c>
      <c r="D527" s="139"/>
    </row>
    <row r="528" spans="2:4" ht="15.75" thickBot="1" x14ac:dyDescent="0.3">
      <c r="B528" t="s">
        <v>2304</v>
      </c>
      <c r="C528" s="139" t="s">
        <v>2303</v>
      </c>
      <c r="D528" s="139"/>
    </row>
    <row r="529" spans="2:4" ht="15.75" thickBot="1" x14ac:dyDescent="0.3">
      <c r="B529" t="s">
        <v>2302</v>
      </c>
      <c r="C529" s="139" t="s">
        <v>2301</v>
      </c>
      <c r="D529" s="139"/>
    </row>
    <row r="530" spans="2:4" ht="15.75" thickBot="1" x14ac:dyDescent="0.3">
      <c r="B530" t="s">
        <v>2300</v>
      </c>
      <c r="C530" s="139" t="s">
        <v>2299</v>
      </c>
      <c r="D530" s="139"/>
    </row>
    <row r="531" spans="2:4" ht="15.75" thickBot="1" x14ac:dyDescent="0.3">
      <c r="B531" t="s">
        <v>2298</v>
      </c>
      <c r="C531" s="139" t="s">
        <v>2297</v>
      </c>
      <c r="D531" s="139"/>
    </row>
    <row r="532" spans="2:4" ht="15.75" thickBot="1" x14ac:dyDescent="0.3">
      <c r="B532" t="s">
        <v>2296</v>
      </c>
      <c r="C532" s="139" t="s">
        <v>2295</v>
      </c>
      <c r="D532" s="139"/>
    </row>
    <row r="533" spans="2:4" ht="15.75" thickBot="1" x14ac:dyDescent="0.3">
      <c r="B533" t="s">
        <v>2294</v>
      </c>
      <c r="C533" s="139" t="s">
        <v>2293</v>
      </c>
      <c r="D533" s="139"/>
    </row>
    <row r="534" spans="2:4" ht="15.75" thickBot="1" x14ac:dyDescent="0.3">
      <c r="B534" t="s">
        <v>2292</v>
      </c>
      <c r="C534" s="139" t="s">
        <v>2291</v>
      </c>
      <c r="D534" s="139"/>
    </row>
    <row r="535" spans="2:4" ht="15.75" thickBot="1" x14ac:dyDescent="0.3">
      <c r="B535" t="s">
        <v>2290</v>
      </c>
      <c r="C535" s="139" t="s">
        <v>2289</v>
      </c>
      <c r="D535" s="139"/>
    </row>
    <row r="536" spans="2:4" ht="15.75" thickBot="1" x14ac:dyDescent="0.3">
      <c r="B536" t="s">
        <v>2288</v>
      </c>
      <c r="C536" s="139" t="s">
        <v>2287</v>
      </c>
      <c r="D536" s="139"/>
    </row>
    <row r="537" spans="2:4" ht="15.75" thickBot="1" x14ac:dyDescent="0.3">
      <c r="B537" t="s">
        <v>2286</v>
      </c>
      <c r="C537" s="139" t="s">
        <v>2285</v>
      </c>
      <c r="D537" s="139"/>
    </row>
    <row r="538" spans="2:4" ht="15.75" thickBot="1" x14ac:dyDescent="0.3">
      <c r="B538" t="s">
        <v>2284</v>
      </c>
      <c r="C538" s="139" t="s">
        <v>2283</v>
      </c>
      <c r="D538" s="139"/>
    </row>
    <row r="539" spans="2:4" ht="15.75" thickBot="1" x14ac:dyDescent="0.3">
      <c r="B539" t="s">
        <v>2282</v>
      </c>
      <c r="C539" s="139" t="s">
        <v>2281</v>
      </c>
      <c r="D539" s="139"/>
    </row>
    <row r="540" spans="2:4" ht="15.75" thickBot="1" x14ac:dyDescent="0.3">
      <c r="B540" t="s">
        <v>2280</v>
      </c>
      <c r="C540" s="139" t="s">
        <v>2279</v>
      </c>
      <c r="D540" s="139"/>
    </row>
    <row r="541" spans="2:4" ht="15.75" thickBot="1" x14ac:dyDescent="0.3">
      <c r="B541" t="s">
        <v>2278</v>
      </c>
      <c r="C541" s="139" t="s">
        <v>2277</v>
      </c>
      <c r="D541" s="139"/>
    </row>
    <row r="542" spans="2:4" ht="15.75" thickBot="1" x14ac:dyDescent="0.3">
      <c r="B542" t="s">
        <v>2276</v>
      </c>
      <c r="C542" s="139" t="s">
        <v>2275</v>
      </c>
      <c r="D542" s="139"/>
    </row>
    <row r="543" spans="2:4" ht="15.75" thickBot="1" x14ac:dyDescent="0.3">
      <c r="B543" t="s">
        <v>2274</v>
      </c>
      <c r="C543" s="139" t="s">
        <v>2273</v>
      </c>
      <c r="D543" s="139"/>
    </row>
    <row r="544" spans="2:4" ht="15.75" thickBot="1" x14ac:dyDescent="0.3">
      <c r="B544" t="s">
        <v>2272</v>
      </c>
      <c r="C544" s="139" t="s">
        <v>2271</v>
      </c>
      <c r="D544" s="139"/>
    </row>
    <row r="545" spans="2:4" ht="15.75" thickBot="1" x14ac:dyDescent="0.3">
      <c r="B545" t="s">
        <v>2270</v>
      </c>
      <c r="C545" s="139" t="s">
        <v>2269</v>
      </c>
      <c r="D545" s="139"/>
    </row>
    <row r="546" spans="2:4" ht="15.75" thickBot="1" x14ac:dyDescent="0.3">
      <c r="B546" t="s">
        <v>2268</v>
      </c>
      <c r="C546" s="139" t="s">
        <v>2267</v>
      </c>
      <c r="D546" s="139"/>
    </row>
    <row r="547" spans="2:4" ht="15.75" thickBot="1" x14ac:dyDescent="0.3">
      <c r="B547" t="s">
        <v>2266</v>
      </c>
      <c r="C547" s="139" t="s">
        <v>2265</v>
      </c>
      <c r="D547" s="139"/>
    </row>
    <row r="548" spans="2:4" ht="15.75" thickBot="1" x14ac:dyDescent="0.3">
      <c r="B548" t="s">
        <v>2264</v>
      </c>
      <c r="C548" s="139" t="s">
        <v>2263</v>
      </c>
      <c r="D548" s="139"/>
    </row>
    <row r="549" spans="2:4" ht="15.75" thickBot="1" x14ac:dyDescent="0.3">
      <c r="B549" t="s">
        <v>2262</v>
      </c>
      <c r="C549" s="139" t="s">
        <v>2261</v>
      </c>
      <c r="D549" s="139"/>
    </row>
    <row r="550" spans="2:4" ht="15.75" thickBot="1" x14ac:dyDescent="0.3">
      <c r="B550" t="s">
        <v>2260</v>
      </c>
      <c r="C550" s="139" t="s">
        <v>2259</v>
      </c>
      <c r="D550" s="139"/>
    </row>
    <row r="551" spans="2:4" ht="15.75" thickBot="1" x14ac:dyDescent="0.3">
      <c r="B551" t="s">
        <v>2258</v>
      </c>
      <c r="C551" s="139" t="s">
        <v>2257</v>
      </c>
      <c r="D551" s="139"/>
    </row>
    <row r="552" spans="2:4" ht="15.75" thickBot="1" x14ac:dyDescent="0.3">
      <c r="B552" t="s">
        <v>2256</v>
      </c>
      <c r="C552" s="139" t="s">
        <v>2255</v>
      </c>
      <c r="D552" s="139"/>
    </row>
    <row r="553" spans="2:4" ht="15.75" thickBot="1" x14ac:dyDescent="0.3">
      <c r="B553" t="s">
        <v>2254</v>
      </c>
      <c r="C553" s="139" t="s">
        <v>2253</v>
      </c>
      <c r="D553" s="139"/>
    </row>
    <row r="554" spans="2:4" ht="15.75" thickBot="1" x14ac:dyDescent="0.3">
      <c r="B554" t="s">
        <v>2252</v>
      </c>
      <c r="C554" s="139" t="s">
        <v>2251</v>
      </c>
      <c r="D554" s="139"/>
    </row>
    <row r="555" spans="2:4" ht="15.75" thickBot="1" x14ac:dyDescent="0.3">
      <c r="B555" t="s">
        <v>2250</v>
      </c>
      <c r="C555" s="139" t="s">
        <v>2249</v>
      </c>
      <c r="D555" s="139"/>
    </row>
    <row r="556" spans="2:4" ht="15.75" thickBot="1" x14ac:dyDescent="0.3">
      <c r="B556" t="s">
        <v>2248</v>
      </c>
      <c r="C556" s="139" t="s">
        <v>2247</v>
      </c>
      <c r="D556" s="139"/>
    </row>
    <row r="557" spans="2:4" ht="15.75" thickBot="1" x14ac:dyDescent="0.3">
      <c r="B557" t="s">
        <v>2246</v>
      </c>
      <c r="C557" s="139" t="s">
        <v>2245</v>
      </c>
      <c r="D557" s="139"/>
    </row>
    <row r="558" spans="2:4" ht="15.75" thickBot="1" x14ac:dyDescent="0.3">
      <c r="B558" t="s">
        <v>2244</v>
      </c>
      <c r="C558" s="139" t="s">
        <v>2243</v>
      </c>
      <c r="D558" s="139"/>
    </row>
    <row r="559" spans="2:4" ht="15.75" thickBot="1" x14ac:dyDescent="0.3">
      <c r="B559" t="s">
        <v>2242</v>
      </c>
      <c r="C559" s="139" t="s">
        <v>2241</v>
      </c>
      <c r="D559" s="139"/>
    </row>
    <row r="560" spans="2:4" ht="15.75" thickBot="1" x14ac:dyDescent="0.3">
      <c r="B560" t="s">
        <v>2240</v>
      </c>
      <c r="C560" s="139" t="s">
        <v>2239</v>
      </c>
      <c r="D560" s="139"/>
    </row>
    <row r="561" spans="2:4" ht="15.75" thickBot="1" x14ac:dyDescent="0.3">
      <c r="B561" t="s">
        <v>2238</v>
      </c>
      <c r="C561" s="139" t="s">
        <v>2237</v>
      </c>
      <c r="D561" s="139"/>
    </row>
    <row r="562" spans="2:4" ht="15.75" thickBot="1" x14ac:dyDescent="0.3">
      <c r="B562" t="s">
        <v>2236</v>
      </c>
      <c r="C562" s="139" t="s">
        <v>2235</v>
      </c>
      <c r="D562" s="139"/>
    </row>
    <row r="563" spans="2:4" ht="15.75" thickBot="1" x14ac:dyDescent="0.3">
      <c r="B563" t="s">
        <v>2234</v>
      </c>
      <c r="C563" s="139" t="s">
        <v>2233</v>
      </c>
      <c r="D563" s="139"/>
    </row>
    <row r="564" spans="2:4" ht="15.75" thickBot="1" x14ac:dyDescent="0.3">
      <c r="B564" t="s">
        <v>2232</v>
      </c>
      <c r="C564" s="139" t="s">
        <v>2231</v>
      </c>
      <c r="D564" s="139"/>
    </row>
    <row r="565" spans="2:4" ht="15.75" thickBot="1" x14ac:dyDescent="0.3">
      <c r="B565" t="s">
        <v>2230</v>
      </c>
      <c r="C565" s="139" t="s">
        <v>2229</v>
      </c>
      <c r="D565" s="139"/>
    </row>
    <row r="566" spans="2:4" ht="15.75" thickBot="1" x14ac:dyDescent="0.3">
      <c r="B566" t="s">
        <v>2228</v>
      </c>
      <c r="C566" s="139" t="s">
        <v>2227</v>
      </c>
      <c r="D566" s="139"/>
    </row>
    <row r="567" spans="2:4" ht="15.75" thickBot="1" x14ac:dyDescent="0.3">
      <c r="B567" t="s">
        <v>2226</v>
      </c>
      <c r="C567" s="139" t="s">
        <v>2225</v>
      </c>
      <c r="D567" s="139"/>
    </row>
    <row r="568" spans="2:4" ht="15.75" thickBot="1" x14ac:dyDescent="0.3">
      <c r="B568" t="s">
        <v>2224</v>
      </c>
      <c r="C568" s="139" t="s">
        <v>2223</v>
      </c>
      <c r="D568" s="139"/>
    </row>
    <row r="569" spans="2:4" ht="15.75" thickBot="1" x14ac:dyDescent="0.3">
      <c r="B569" t="s">
        <v>2222</v>
      </c>
      <c r="C569" s="139" t="s">
        <v>2221</v>
      </c>
      <c r="D569" s="139"/>
    </row>
    <row r="570" spans="2:4" ht="15.75" thickBot="1" x14ac:dyDescent="0.3">
      <c r="B570" t="s">
        <v>2220</v>
      </c>
      <c r="C570" s="139" t="s">
        <v>2219</v>
      </c>
      <c r="D570" s="139"/>
    </row>
    <row r="571" spans="2:4" ht="15.75" thickBot="1" x14ac:dyDescent="0.3">
      <c r="B571" t="s">
        <v>2218</v>
      </c>
      <c r="C571" s="139" t="s">
        <v>2217</v>
      </c>
      <c r="D571" s="139"/>
    </row>
    <row r="572" spans="2:4" ht="15.75" thickBot="1" x14ac:dyDescent="0.3">
      <c r="B572" t="s">
        <v>2216</v>
      </c>
      <c r="C572" s="139" t="s">
        <v>2215</v>
      </c>
      <c r="D572" s="139"/>
    </row>
    <row r="573" spans="2:4" ht="15.75" thickBot="1" x14ac:dyDescent="0.3">
      <c r="B573" t="s">
        <v>2214</v>
      </c>
      <c r="C573" s="139" t="s">
        <v>2213</v>
      </c>
      <c r="D573" s="139"/>
    </row>
    <row r="574" spans="2:4" ht="15.75" thickBot="1" x14ac:dyDescent="0.3">
      <c r="B574" t="s">
        <v>2212</v>
      </c>
      <c r="C574" s="139" t="s">
        <v>2211</v>
      </c>
      <c r="D574" s="139"/>
    </row>
    <row r="575" spans="2:4" ht="15.75" thickBot="1" x14ac:dyDescent="0.3">
      <c r="B575" t="s">
        <v>2210</v>
      </c>
      <c r="C575" s="139" t="s">
        <v>2209</v>
      </c>
      <c r="D575" s="139"/>
    </row>
    <row r="576" spans="2:4" ht="15.75" thickBot="1" x14ac:dyDescent="0.3">
      <c r="B576" t="s">
        <v>2208</v>
      </c>
      <c r="C576" s="139" t="s">
        <v>2207</v>
      </c>
      <c r="D576" s="139"/>
    </row>
    <row r="577" spans="2:4" ht="15.75" thickBot="1" x14ac:dyDescent="0.3">
      <c r="B577" t="s">
        <v>2206</v>
      </c>
      <c r="C577" s="139" t="s">
        <v>2205</v>
      </c>
      <c r="D577" s="139"/>
    </row>
    <row r="578" spans="2:4" ht="15.75" thickBot="1" x14ac:dyDescent="0.3">
      <c r="B578" t="s">
        <v>2204</v>
      </c>
      <c r="C578" s="139" t="s">
        <v>2203</v>
      </c>
      <c r="D578" s="139"/>
    </row>
    <row r="579" spans="2:4" ht="15.75" thickBot="1" x14ac:dyDescent="0.3">
      <c r="B579" t="s">
        <v>2202</v>
      </c>
      <c r="C579" s="139" t="s">
        <v>2201</v>
      </c>
      <c r="D579" s="139"/>
    </row>
    <row r="580" spans="2:4" ht="15.75" thickBot="1" x14ac:dyDescent="0.3">
      <c r="B580" t="s">
        <v>2200</v>
      </c>
      <c r="C580" s="139" t="s">
        <v>2199</v>
      </c>
      <c r="D580" s="139"/>
    </row>
    <row r="581" spans="2:4" ht="15.75" thickBot="1" x14ac:dyDescent="0.3">
      <c r="B581" t="s">
        <v>2198</v>
      </c>
      <c r="C581" s="139" t="s">
        <v>2197</v>
      </c>
      <c r="D581" s="139"/>
    </row>
    <row r="582" spans="2:4" ht="15.75" thickBot="1" x14ac:dyDescent="0.3">
      <c r="B582" t="s">
        <v>2196</v>
      </c>
      <c r="C582" s="139" t="s">
        <v>2195</v>
      </c>
      <c r="D582" s="139"/>
    </row>
    <row r="583" spans="2:4" ht="15.75" thickBot="1" x14ac:dyDescent="0.3">
      <c r="B583" t="s">
        <v>2194</v>
      </c>
      <c r="C583" s="139" t="s">
        <v>2193</v>
      </c>
      <c r="D583" s="139"/>
    </row>
    <row r="584" spans="2:4" ht="15.75" thickBot="1" x14ac:dyDescent="0.3">
      <c r="B584" t="s">
        <v>2192</v>
      </c>
      <c r="C584" s="139" t="s">
        <v>2191</v>
      </c>
      <c r="D584" s="139"/>
    </row>
    <row r="585" spans="2:4" ht="15.75" thickBot="1" x14ac:dyDescent="0.3">
      <c r="B585" t="s">
        <v>2190</v>
      </c>
      <c r="C585" s="139" t="s">
        <v>2189</v>
      </c>
      <c r="D585" s="139"/>
    </row>
    <row r="586" spans="2:4" ht="15.75" thickBot="1" x14ac:dyDescent="0.3">
      <c r="B586" t="s">
        <v>2188</v>
      </c>
      <c r="C586" s="139" t="s">
        <v>2187</v>
      </c>
      <c r="D586" s="139"/>
    </row>
    <row r="587" spans="2:4" ht="15.75" thickBot="1" x14ac:dyDescent="0.3">
      <c r="B587" t="s">
        <v>2186</v>
      </c>
      <c r="C587" s="139" t="s">
        <v>2185</v>
      </c>
      <c r="D587" s="139"/>
    </row>
    <row r="588" spans="2:4" ht="15.75" thickBot="1" x14ac:dyDescent="0.3">
      <c r="B588" t="s">
        <v>2184</v>
      </c>
      <c r="C588" s="139" t="s">
        <v>2183</v>
      </c>
      <c r="D588" s="139"/>
    </row>
    <row r="589" spans="2:4" ht="15.75" thickBot="1" x14ac:dyDescent="0.3">
      <c r="B589" t="s">
        <v>2182</v>
      </c>
      <c r="C589" s="139" t="s">
        <v>2181</v>
      </c>
      <c r="D589" s="139"/>
    </row>
    <row r="590" spans="2:4" ht="15.75" thickBot="1" x14ac:dyDescent="0.3">
      <c r="B590" t="s">
        <v>2180</v>
      </c>
      <c r="C590" s="139" t="s">
        <v>2179</v>
      </c>
      <c r="D590" s="139"/>
    </row>
    <row r="591" spans="2:4" ht="15.75" thickBot="1" x14ac:dyDescent="0.3">
      <c r="B591" t="s">
        <v>2178</v>
      </c>
      <c r="C591" s="139" t="s">
        <v>2177</v>
      </c>
      <c r="D591" s="139"/>
    </row>
    <row r="592" spans="2:4" ht="15.75" thickBot="1" x14ac:dyDescent="0.3">
      <c r="B592" t="s">
        <v>2176</v>
      </c>
      <c r="C592" s="139" t="s">
        <v>2175</v>
      </c>
      <c r="D592" s="139"/>
    </row>
    <row r="593" spans="2:4" ht="15.75" thickBot="1" x14ac:dyDescent="0.3">
      <c r="B593" t="s">
        <v>2174</v>
      </c>
      <c r="C593" s="139" t="s">
        <v>2173</v>
      </c>
      <c r="D593" s="139"/>
    </row>
    <row r="594" spans="2:4" ht="15.75" thickBot="1" x14ac:dyDescent="0.3">
      <c r="B594" t="s">
        <v>2172</v>
      </c>
      <c r="C594" s="139" t="s">
        <v>2171</v>
      </c>
      <c r="D594" s="139"/>
    </row>
    <row r="595" spans="2:4" ht="15.75" thickBot="1" x14ac:dyDescent="0.3">
      <c r="B595" t="s">
        <v>2170</v>
      </c>
      <c r="C595" s="139" t="s">
        <v>2169</v>
      </c>
      <c r="D595" s="139"/>
    </row>
    <row r="596" spans="2:4" ht="15.75" thickBot="1" x14ac:dyDescent="0.3">
      <c r="B596" t="s">
        <v>2168</v>
      </c>
      <c r="C596" s="139" t="s">
        <v>2167</v>
      </c>
      <c r="D596" s="139"/>
    </row>
    <row r="597" spans="2:4" ht="15.75" thickBot="1" x14ac:dyDescent="0.3">
      <c r="B597" t="s">
        <v>2166</v>
      </c>
      <c r="C597" s="139" t="s">
        <v>2165</v>
      </c>
      <c r="D597" s="139"/>
    </row>
    <row r="598" spans="2:4" ht="15.75" thickBot="1" x14ac:dyDescent="0.3">
      <c r="B598" t="s">
        <v>2164</v>
      </c>
      <c r="C598" s="139" t="s">
        <v>2163</v>
      </c>
      <c r="D598" s="139"/>
    </row>
    <row r="599" spans="2:4" ht="15.75" thickBot="1" x14ac:dyDescent="0.3">
      <c r="B599" t="s">
        <v>2162</v>
      </c>
      <c r="C599" s="139" t="s">
        <v>2161</v>
      </c>
      <c r="D599" s="139"/>
    </row>
    <row r="600" spans="2:4" ht="30.75" thickBot="1" x14ac:dyDescent="0.3">
      <c r="B600" t="s">
        <v>2160</v>
      </c>
      <c r="C600" s="139" t="s">
        <v>2159</v>
      </c>
      <c r="D600" s="139"/>
    </row>
    <row r="601" spans="2:4" ht="15.75" thickBot="1" x14ac:dyDescent="0.3">
      <c r="B601" t="s">
        <v>2158</v>
      </c>
      <c r="C601" s="139" t="s">
        <v>2157</v>
      </c>
      <c r="D601" s="139"/>
    </row>
    <row r="602" spans="2:4" ht="30.75" thickBot="1" x14ac:dyDescent="0.3">
      <c r="B602" t="s">
        <v>2156</v>
      </c>
      <c r="C602" s="139" t="s">
        <v>2155</v>
      </c>
      <c r="D602" s="139"/>
    </row>
    <row r="603" spans="2:4" ht="15.75" thickBot="1" x14ac:dyDescent="0.3">
      <c r="B603" t="s">
        <v>2154</v>
      </c>
      <c r="C603" s="139" t="s">
        <v>2153</v>
      </c>
      <c r="D603" s="139"/>
    </row>
    <row r="604" spans="2:4" ht="15.75" thickBot="1" x14ac:dyDescent="0.3">
      <c r="B604" t="s">
        <v>2152</v>
      </c>
      <c r="C604" s="139" t="s">
        <v>2151</v>
      </c>
      <c r="D604" s="139"/>
    </row>
    <row r="605" spans="2:4" ht="15.75" thickBot="1" x14ac:dyDescent="0.3">
      <c r="B605" t="s">
        <v>2150</v>
      </c>
      <c r="C605" s="139" t="s">
        <v>2149</v>
      </c>
      <c r="D605" s="139"/>
    </row>
    <row r="606" spans="2:4" ht="15.75" thickBot="1" x14ac:dyDescent="0.3">
      <c r="B606" t="s">
        <v>2148</v>
      </c>
      <c r="C606" s="139" t="s">
        <v>2147</v>
      </c>
      <c r="D606" s="139"/>
    </row>
    <row r="607" spans="2:4" ht="15.75" thickBot="1" x14ac:dyDescent="0.3">
      <c r="B607" t="s">
        <v>2146</v>
      </c>
      <c r="C607" s="139" t="s">
        <v>2145</v>
      </c>
      <c r="D607" s="139"/>
    </row>
    <row r="608" spans="2:4" ht="15.75" thickBot="1" x14ac:dyDescent="0.3">
      <c r="B608" t="s">
        <v>2144</v>
      </c>
      <c r="C608" s="139" t="s">
        <v>2143</v>
      </c>
      <c r="D608" s="139"/>
    </row>
    <row r="609" spans="2:4" ht="15.75" thickBot="1" x14ac:dyDescent="0.3">
      <c r="B609" t="s">
        <v>2142</v>
      </c>
      <c r="C609" s="139" t="s">
        <v>2141</v>
      </c>
      <c r="D609" s="139"/>
    </row>
    <row r="610" spans="2:4" ht="15.75" thickBot="1" x14ac:dyDescent="0.3">
      <c r="B610" t="s">
        <v>2140</v>
      </c>
      <c r="C610" s="139" t="s">
        <v>2139</v>
      </c>
      <c r="D610" s="139"/>
    </row>
    <row r="611" spans="2:4" ht="15.75" thickBot="1" x14ac:dyDescent="0.3">
      <c r="B611" t="s">
        <v>2138</v>
      </c>
      <c r="C611" s="139" t="s">
        <v>2137</v>
      </c>
      <c r="D611" s="139"/>
    </row>
    <row r="612" spans="2:4" ht="15.75" thickBot="1" x14ac:dyDescent="0.3">
      <c r="B612" t="s">
        <v>2136</v>
      </c>
      <c r="C612" s="139" t="s">
        <v>2135</v>
      </c>
      <c r="D612" s="139"/>
    </row>
    <row r="613" spans="2:4" ht="15.75" thickBot="1" x14ac:dyDescent="0.3">
      <c r="B613" t="s">
        <v>2134</v>
      </c>
      <c r="C613" s="139" t="s">
        <v>2133</v>
      </c>
      <c r="D613" s="139"/>
    </row>
    <row r="614" spans="2:4" ht="15.75" thickBot="1" x14ac:dyDescent="0.3">
      <c r="B614" t="s">
        <v>2132</v>
      </c>
      <c r="C614" s="139" t="s">
        <v>2131</v>
      </c>
      <c r="D614" s="139"/>
    </row>
    <row r="615" spans="2:4" ht="30.75" thickBot="1" x14ac:dyDescent="0.3">
      <c r="B615" t="s">
        <v>2130</v>
      </c>
      <c r="C615" s="139" t="s">
        <v>2129</v>
      </c>
      <c r="D615" s="139"/>
    </row>
    <row r="616" spans="2:4" ht="30.75" thickBot="1" x14ac:dyDescent="0.3">
      <c r="B616" t="s">
        <v>2128</v>
      </c>
      <c r="C616" s="139" t="s">
        <v>2127</v>
      </c>
      <c r="D616" s="139"/>
    </row>
    <row r="617" spans="2:4" ht="15.75" thickBot="1" x14ac:dyDescent="0.3">
      <c r="B617" t="s">
        <v>2126</v>
      </c>
      <c r="C617" s="139" t="s">
        <v>2125</v>
      </c>
      <c r="D617" s="139"/>
    </row>
    <row r="618" spans="2:4" ht="15.75" thickBot="1" x14ac:dyDescent="0.3">
      <c r="B618" t="s">
        <v>2124</v>
      </c>
      <c r="C618" s="139" t="s">
        <v>2123</v>
      </c>
      <c r="D618" s="139"/>
    </row>
    <row r="619" spans="2:4" ht="15.75" thickBot="1" x14ac:dyDescent="0.3">
      <c r="B619" t="s">
        <v>2122</v>
      </c>
      <c r="C619" s="139" t="s">
        <v>2121</v>
      </c>
      <c r="D619" s="139"/>
    </row>
    <row r="620" spans="2:4" ht="30.75" thickBot="1" x14ac:dyDescent="0.3">
      <c r="B620" t="s">
        <v>2120</v>
      </c>
      <c r="C620" s="139" t="s">
        <v>2119</v>
      </c>
      <c r="D620" s="139"/>
    </row>
    <row r="621" spans="2:4" ht="15.75" thickBot="1" x14ac:dyDescent="0.3">
      <c r="B621" t="s">
        <v>2118</v>
      </c>
      <c r="C621" s="139" t="s">
        <v>2117</v>
      </c>
      <c r="D621" s="139"/>
    </row>
    <row r="622" spans="2:4" ht="30.75" thickBot="1" x14ac:dyDescent="0.3">
      <c r="B622" t="s">
        <v>2116</v>
      </c>
      <c r="C622" s="139" t="s">
        <v>2115</v>
      </c>
      <c r="D622" s="139"/>
    </row>
    <row r="623" spans="2:4" ht="15.75" thickBot="1" x14ac:dyDescent="0.3">
      <c r="B623" t="s">
        <v>2114</v>
      </c>
      <c r="C623" s="139" t="s">
        <v>2113</v>
      </c>
      <c r="D623" s="139"/>
    </row>
    <row r="624" spans="2:4" ht="15.75" thickBot="1" x14ac:dyDescent="0.3">
      <c r="B624" t="s">
        <v>2112</v>
      </c>
      <c r="C624" s="139" t="s">
        <v>2111</v>
      </c>
      <c r="D624" s="139"/>
    </row>
    <row r="625" spans="2:4" ht="15.75" thickBot="1" x14ac:dyDescent="0.3">
      <c r="B625" t="s">
        <v>2110</v>
      </c>
      <c r="C625" s="139" t="s">
        <v>2109</v>
      </c>
      <c r="D625" s="139"/>
    </row>
    <row r="626" spans="2:4" ht="15.75" thickBot="1" x14ac:dyDescent="0.3">
      <c r="B626" t="s">
        <v>2108</v>
      </c>
      <c r="C626" s="139" t="s">
        <v>2107</v>
      </c>
      <c r="D626" s="139"/>
    </row>
    <row r="627" spans="2:4" ht="15.75" thickBot="1" x14ac:dyDescent="0.3">
      <c r="B627" t="s">
        <v>2106</v>
      </c>
      <c r="C627" s="139" t="s">
        <v>2105</v>
      </c>
      <c r="D627" s="139"/>
    </row>
    <row r="628" spans="2:4" ht="30.75" thickBot="1" x14ac:dyDescent="0.3">
      <c r="B628" t="s">
        <v>2104</v>
      </c>
      <c r="C628" s="139" t="s">
        <v>2103</v>
      </c>
      <c r="D628" s="139"/>
    </row>
    <row r="629" spans="2:4" ht="15.75" thickBot="1" x14ac:dyDescent="0.3">
      <c r="B629" t="s">
        <v>2102</v>
      </c>
      <c r="C629" s="139" t="s">
        <v>2101</v>
      </c>
      <c r="D629" s="139"/>
    </row>
    <row r="630" spans="2:4" ht="30.75" thickBot="1" x14ac:dyDescent="0.3">
      <c r="B630" t="s">
        <v>2100</v>
      </c>
      <c r="C630" s="139" t="s">
        <v>2099</v>
      </c>
      <c r="D630" s="139"/>
    </row>
    <row r="631" spans="2:4" ht="30.75" thickBot="1" x14ac:dyDescent="0.3">
      <c r="B631" t="s">
        <v>2098</v>
      </c>
      <c r="C631" s="139" t="s">
        <v>2097</v>
      </c>
      <c r="D631" s="139"/>
    </row>
    <row r="632" spans="2:4" ht="15.75" thickBot="1" x14ac:dyDescent="0.3">
      <c r="B632" t="s">
        <v>2096</v>
      </c>
      <c r="C632" s="139" t="s">
        <v>2095</v>
      </c>
      <c r="D632" s="139"/>
    </row>
    <row r="633" spans="2:4" ht="15.75" thickBot="1" x14ac:dyDescent="0.3">
      <c r="B633" t="s">
        <v>2094</v>
      </c>
      <c r="C633" s="139" t="s">
        <v>2093</v>
      </c>
      <c r="D633" s="139"/>
    </row>
    <row r="634" spans="2:4" ht="15.75" thickBot="1" x14ac:dyDescent="0.3">
      <c r="B634" t="s">
        <v>2092</v>
      </c>
      <c r="C634" s="139" t="s">
        <v>2091</v>
      </c>
      <c r="D634" s="139"/>
    </row>
    <row r="635" spans="2:4" ht="15.75" thickBot="1" x14ac:dyDescent="0.3">
      <c r="B635" t="s">
        <v>2090</v>
      </c>
      <c r="C635" s="139" t="s">
        <v>2089</v>
      </c>
      <c r="D635" s="139"/>
    </row>
    <row r="636" spans="2:4" ht="30.75" thickBot="1" x14ac:dyDescent="0.3">
      <c r="B636" t="s">
        <v>2088</v>
      </c>
      <c r="C636" s="139" t="s">
        <v>2087</v>
      </c>
      <c r="D636" s="139"/>
    </row>
    <row r="637" spans="2:4" ht="15.75" thickBot="1" x14ac:dyDescent="0.3">
      <c r="B637" t="s">
        <v>2086</v>
      </c>
      <c r="C637" s="139" t="s">
        <v>2085</v>
      </c>
      <c r="D637" s="139"/>
    </row>
    <row r="638" spans="2:4" ht="30.75" thickBot="1" x14ac:dyDescent="0.3">
      <c r="B638" t="s">
        <v>2084</v>
      </c>
      <c r="C638" s="139" t="s">
        <v>2083</v>
      </c>
      <c r="D638" s="139"/>
    </row>
    <row r="639" spans="2:4" ht="15.75" thickBot="1" x14ac:dyDescent="0.3">
      <c r="B639" t="s">
        <v>2082</v>
      </c>
      <c r="C639" s="139" t="s">
        <v>2081</v>
      </c>
      <c r="D639" s="139"/>
    </row>
    <row r="640" spans="2:4" ht="15.75" thickBot="1" x14ac:dyDescent="0.3">
      <c r="B640" t="s">
        <v>2080</v>
      </c>
      <c r="C640" s="139" t="s">
        <v>2079</v>
      </c>
      <c r="D640" s="139"/>
    </row>
    <row r="641" spans="2:4" ht="15.75" thickBot="1" x14ac:dyDescent="0.3">
      <c r="B641" t="s">
        <v>2078</v>
      </c>
      <c r="C641" s="139" t="s">
        <v>2077</v>
      </c>
      <c r="D641" s="139"/>
    </row>
    <row r="642" spans="2:4" ht="15.75" thickBot="1" x14ac:dyDescent="0.3">
      <c r="B642" t="s">
        <v>2076</v>
      </c>
      <c r="C642" s="139" t="s">
        <v>2075</v>
      </c>
      <c r="D642" s="139"/>
    </row>
    <row r="643" spans="2:4" ht="15.75" thickBot="1" x14ac:dyDescent="0.3">
      <c r="B643" t="s">
        <v>2074</v>
      </c>
      <c r="C643" s="139" t="s">
        <v>2073</v>
      </c>
      <c r="D643" s="139"/>
    </row>
    <row r="644" spans="2:4" ht="15.75" thickBot="1" x14ac:dyDescent="0.3">
      <c r="B644" t="s">
        <v>2072</v>
      </c>
      <c r="C644" s="139" t="s">
        <v>2071</v>
      </c>
      <c r="D644" s="139"/>
    </row>
    <row r="645" spans="2:4" ht="15.75" thickBot="1" x14ac:dyDescent="0.3">
      <c r="B645" t="s">
        <v>2070</v>
      </c>
      <c r="C645" s="139" t="s">
        <v>2069</v>
      </c>
      <c r="D645" s="139"/>
    </row>
    <row r="646" spans="2:4" ht="15.75" thickBot="1" x14ac:dyDescent="0.3">
      <c r="B646" t="s">
        <v>2068</v>
      </c>
      <c r="C646" s="139" t="s">
        <v>2067</v>
      </c>
      <c r="D646" s="139"/>
    </row>
    <row r="647" spans="2:4" ht="15.75" thickBot="1" x14ac:dyDescent="0.3">
      <c r="B647" t="s">
        <v>2066</v>
      </c>
      <c r="C647" s="139" t="s">
        <v>2065</v>
      </c>
      <c r="D647" s="139"/>
    </row>
    <row r="648" spans="2:4" ht="15.75" thickBot="1" x14ac:dyDescent="0.3">
      <c r="B648" t="s">
        <v>2064</v>
      </c>
      <c r="C648" s="139" t="s">
        <v>2063</v>
      </c>
      <c r="D648" s="139"/>
    </row>
    <row r="649" spans="2:4" ht="15.75" thickBot="1" x14ac:dyDescent="0.3">
      <c r="B649" t="s">
        <v>2062</v>
      </c>
      <c r="C649" s="139" t="s">
        <v>2061</v>
      </c>
      <c r="D649" s="139"/>
    </row>
    <row r="650" spans="2:4" ht="15.75" thickBot="1" x14ac:dyDescent="0.3">
      <c r="B650" t="s">
        <v>2060</v>
      </c>
      <c r="C650" s="139" t="s">
        <v>2059</v>
      </c>
      <c r="D650" s="139"/>
    </row>
    <row r="651" spans="2:4" ht="15.75" thickBot="1" x14ac:dyDescent="0.3">
      <c r="B651" t="s">
        <v>2058</v>
      </c>
      <c r="C651" s="139" t="s">
        <v>2057</v>
      </c>
      <c r="D651" s="139"/>
    </row>
    <row r="652" spans="2:4" ht="15.75" thickBot="1" x14ac:dyDescent="0.3">
      <c r="B652" t="s">
        <v>2056</v>
      </c>
      <c r="C652" s="139" t="s">
        <v>2055</v>
      </c>
      <c r="D652" s="139"/>
    </row>
    <row r="653" spans="2:4" ht="15.75" thickBot="1" x14ac:dyDescent="0.3">
      <c r="B653" t="s">
        <v>2054</v>
      </c>
      <c r="C653" s="139" t="s">
        <v>2053</v>
      </c>
      <c r="D653" s="139"/>
    </row>
    <row r="654" spans="2:4" ht="15.75" thickBot="1" x14ac:dyDescent="0.3">
      <c r="B654" t="s">
        <v>2052</v>
      </c>
      <c r="C654" s="139" t="s">
        <v>2051</v>
      </c>
      <c r="D654" s="139"/>
    </row>
    <row r="655" spans="2:4" ht="15.75" thickBot="1" x14ac:dyDescent="0.3">
      <c r="B655" t="s">
        <v>2050</v>
      </c>
      <c r="C655" s="139" t="s">
        <v>2049</v>
      </c>
      <c r="D655" s="139"/>
    </row>
    <row r="656" spans="2:4" ht="15.75" thickBot="1" x14ac:dyDescent="0.3">
      <c r="B656" t="s">
        <v>2048</v>
      </c>
      <c r="C656" s="139" t="s">
        <v>2047</v>
      </c>
      <c r="D656" s="139"/>
    </row>
    <row r="657" spans="2:4" ht="15.75" thickBot="1" x14ac:dyDescent="0.3">
      <c r="B657" t="s">
        <v>2046</v>
      </c>
      <c r="C657" s="139" t="s">
        <v>2045</v>
      </c>
      <c r="D657" s="139"/>
    </row>
    <row r="658" spans="2:4" ht="15.75" thickBot="1" x14ac:dyDescent="0.3">
      <c r="B658" t="s">
        <v>2044</v>
      </c>
      <c r="C658" s="139" t="s">
        <v>2043</v>
      </c>
      <c r="D658" s="139"/>
    </row>
    <row r="659" spans="2:4" ht="15.75" thickBot="1" x14ac:dyDescent="0.3">
      <c r="B659" t="s">
        <v>2042</v>
      </c>
      <c r="C659" s="139" t="s">
        <v>2041</v>
      </c>
      <c r="D659" s="139"/>
    </row>
    <row r="660" spans="2:4" ht="15.75" thickBot="1" x14ac:dyDescent="0.3">
      <c r="B660" t="s">
        <v>2040</v>
      </c>
      <c r="C660" s="139" t="s">
        <v>2039</v>
      </c>
      <c r="D660" s="139"/>
    </row>
    <row r="661" spans="2:4" ht="15.75" thickBot="1" x14ac:dyDescent="0.3">
      <c r="B661" t="s">
        <v>2038</v>
      </c>
      <c r="C661" s="139" t="s">
        <v>2037</v>
      </c>
      <c r="D661" s="139"/>
    </row>
    <row r="662" spans="2:4" ht="15.75" thickBot="1" x14ac:dyDescent="0.3">
      <c r="B662" t="s">
        <v>2036</v>
      </c>
      <c r="C662" s="139" t="s">
        <v>2035</v>
      </c>
      <c r="D662" s="139"/>
    </row>
    <row r="663" spans="2:4" ht="15.75" thickBot="1" x14ac:dyDescent="0.3">
      <c r="B663" t="s">
        <v>2034</v>
      </c>
      <c r="C663" s="139" t="s">
        <v>2033</v>
      </c>
      <c r="D663" s="139"/>
    </row>
    <row r="664" spans="2:4" ht="15.75" thickBot="1" x14ac:dyDescent="0.3">
      <c r="B664" t="s">
        <v>2032</v>
      </c>
      <c r="C664" s="139" t="s">
        <v>2031</v>
      </c>
      <c r="D664" s="139"/>
    </row>
    <row r="665" spans="2:4" ht="15.75" thickBot="1" x14ac:dyDescent="0.3">
      <c r="B665" t="s">
        <v>2030</v>
      </c>
      <c r="C665" s="139" t="s">
        <v>2029</v>
      </c>
      <c r="D665" s="139"/>
    </row>
    <row r="666" spans="2:4" ht="15.75" thickBot="1" x14ac:dyDescent="0.3">
      <c r="B666" t="s">
        <v>2028</v>
      </c>
      <c r="C666" s="139" t="s">
        <v>2027</v>
      </c>
      <c r="D666" s="139"/>
    </row>
    <row r="667" spans="2:4" ht="15.75" thickBot="1" x14ac:dyDescent="0.3">
      <c r="B667" t="s">
        <v>2026</v>
      </c>
      <c r="C667" s="139" t="s">
        <v>2025</v>
      </c>
      <c r="D667" s="139"/>
    </row>
    <row r="668" spans="2:4" ht="15.75" thickBot="1" x14ac:dyDescent="0.3">
      <c r="B668" t="s">
        <v>2024</v>
      </c>
      <c r="C668" s="139" t="s">
        <v>2023</v>
      </c>
      <c r="D668" s="139"/>
    </row>
    <row r="669" spans="2:4" ht="15.75" thickBot="1" x14ac:dyDescent="0.3">
      <c r="B669" t="s">
        <v>2022</v>
      </c>
      <c r="C669" s="139" t="s">
        <v>2021</v>
      </c>
      <c r="D669" s="139"/>
    </row>
    <row r="670" spans="2:4" ht="15.75" thickBot="1" x14ac:dyDescent="0.3">
      <c r="B670" t="s">
        <v>2020</v>
      </c>
      <c r="C670" s="139" t="s">
        <v>2019</v>
      </c>
      <c r="D670" s="139"/>
    </row>
    <row r="671" spans="2:4" ht="15.75" thickBot="1" x14ac:dyDescent="0.3">
      <c r="B671" t="s">
        <v>2018</v>
      </c>
      <c r="C671" s="139" t="s">
        <v>2017</v>
      </c>
      <c r="D671" s="139"/>
    </row>
    <row r="672" spans="2:4" ht="15.75" thickBot="1" x14ac:dyDescent="0.3">
      <c r="B672" t="s">
        <v>2016</v>
      </c>
      <c r="C672" s="139" t="s">
        <v>2015</v>
      </c>
      <c r="D672" s="139"/>
    </row>
    <row r="673" spans="2:4" ht="15.75" thickBot="1" x14ac:dyDescent="0.3">
      <c r="B673" t="s">
        <v>2014</v>
      </c>
      <c r="C673" s="139" t="s">
        <v>2013</v>
      </c>
      <c r="D673" s="139"/>
    </row>
    <row r="674" spans="2:4" ht="15.75" thickBot="1" x14ac:dyDescent="0.3">
      <c r="B674" t="s">
        <v>2012</v>
      </c>
      <c r="C674" s="139" t="s">
        <v>2011</v>
      </c>
      <c r="D674" s="139"/>
    </row>
    <row r="675" spans="2:4" ht="15.75" thickBot="1" x14ac:dyDescent="0.3">
      <c r="B675" t="s">
        <v>2010</v>
      </c>
      <c r="C675" s="139" t="s">
        <v>2009</v>
      </c>
      <c r="D675" s="139"/>
    </row>
    <row r="676" spans="2:4" ht="15.75" thickBot="1" x14ac:dyDescent="0.3">
      <c r="B676" t="s">
        <v>2008</v>
      </c>
      <c r="C676" s="139" t="s">
        <v>2007</v>
      </c>
      <c r="D676" s="139"/>
    </row>
    <row r="677" spans="2:4" ht="15.75" thickBot="1" x14ac:dyDescent="0.3">
      <c r="B677" t="s">
        <v>2006</v>
      </c>
      <c r="C677" s="139" t="s">
        <v>2005</v>
      </c>
      <c r="D677" s="139"/>
    </row>
    <row r="678" spans="2:4" ht="15.75" thickBot="1" x14ac:dyDescent="0.3">
      <c r="B678" t="s">
        <v>2004</v>
      </c>
      <c r="C678" s="139" t="s">
        <v>2003</v>
      </c>
      <c r="D678" s="139"/>
    </row>
    <row r="679" spans="2:4" ht="15.75" thickBot="1" x14ac:dyDescent="0.3">
      <c r="B679" t="s">
        <v>2002</v>
      </c>
      <c r="C679" s="139" t="s">
        <v>2001</v>
      </c>
      <c r="D679" s="139"/>
    </row>
    <row r="680" spans="2:4" ht="15.75" thickBot="1" x14ac:dyDescent="0.3">
      <c r="B680" t="s">
        <v>2000</v>
      </c>
      <c r="C680" s="139" t="s">
        <v>1999</v>
      </c>
      <c r="D680" s="139"/>
    </row>
    <row r="681" spans="2:4" ht="15.75" thickBot="1" x14ac:dyDescent="0.3">
      <c r="B681" t="s">
        <v>1998</v>
      </c>
      <c r="C681" s="139" t="s">
        <v>1997</v>
      </c>
      <c r="D681" s="139"/>
    </row>
    <row r="682" spans="2:4" ht="15.75" thickBot="1" x14ac:dyDescent="0.3">
      <c r="B682" t="s">
        <v>1996</v>
      </c>
      <c r="C682" s="139" t="s">
        <v>1995</v>
      </c>
      <c r="D682" s="139"/>
    </row>
    <row r="683" spans="2:4" ht="15.75" thickBot="1" x14ac:dyDescent="0.3">
      <c r="B683" t="s">
        <v>1994</v>
      </c>
      <c r="C683" s="139" t="s">
        <v>1993</v>
      </c>
      <c r="D683" s="139"/>
    </row>
    <row r="684" spans="2:4" ht="15.75" thickBot="1" x14ac:dyDescent="0.3">
      <c r="B684" t="s">
        <v>1992</v>
      </c>
      <c r="C684" s="139" t="s">
        <v>1991</v>
      </c>
      <c r="D684" s="139"/>
    </row>
    <row r="685" spans="2:4" ht="15.75" thickBot="1" x14ac:dyDescent="0.3">
      <c r="B685" t="s">
        <v>1990</v>
      </c>
      <c r="C685" s="139" t="s">
        <v>1989</v>
      </c>
      <c r="D685" s="139"/>
    </row>
    <row r="686" spans="2:4" ht="15.75" thickBot="1" x14ac:dyDescent="0.3">
      <c r="B686" t="s">
        <v>1988</v>
      </c>
      <c r="C686" s="139" t="s">
        <v>1987</v>
      </c>
      <c r="D686" s="139"/>
    </row>
    <row r="687" spans="2:4" ht="15.75" thickBot="1" x14ac:dyDescent="0.3">
      <c r="B687" t="s">
        <v>1986</v>
      </c>
      <c r="C687" s="139" t="s">
        <v>1985</v>
      </c>
      <c r="D687" s="139"/>
    </row>
    <row r="688" spans="2:4" ht="15.75" thickBot="1" x14ac:dyDescent="0.3">
      <c r="B688" t="s">
        <v>1984</v>
      </c>
      <c r="C688" s="139" t="s">
        <v>1983</v>
      </c>
      <c r="D688" s="139"/>
    </row>
    <row r="689" spans="2:4" ht="15.75" thickBot="1" x14ac:dyDescent="0.3">
      <c r="B689" t="s">
        <v>1982</v>
      </c>
      <c r="C689" s="139" t="s">
        <v>1981</v>
      </c>
      <c r="D689" s="139"/>
    </row>
    <row r="690" spans="2:4" ht="15.75" thickBot="1" x14ac:dyDescent="0.3">
      <c r="B690" t="s">
        <v>1980</v>
      </c>
      <c r="C690" s="139" t="s">
        <v>1979</v>
      </c>
      <c r="D690" s="139"/>
    </row>
    <row r="691" spans="2:4" ht="15.75" thickBot="1" x14ac:dyDescent="0.3">
      <c r="B691" t="s">
        <v>1978</v>
      </c>
      <c r="C691" s="139" t="s">
        <v>1977</v>
      </c>
      <c r="D691" s="139"/>
    </row>
    <row r="692" spans="2:4" ht="15.75" thickBot="1" x14ac:dyDescent="0.3">
      <c r="B692" t="s">
        <v>1976</v>
      </c>
      <c r="C692" s="139" t="s">
        <v>1975</v>
      </c>
      <c r="D692" s="139"/>
    </row>
    <row r="693" spans="2:4" ht="15.75" thickBot="1" x14ac:dyDescent="0.3">
      <c r="B693" t="s">
        <v>1974</v>
      </c>
      <c r="C693" s="139" t="s">
        <v>1973</v>
      </c>
      <c r="D693" s="139"/>
    </row>
    <row r="694" spans="2:4" ht="15.75" thickBot="1" x14ac:dyDescent="0.3">
      <c r="B694" t="s">
        <v>1972</v>
      </c>
      <c r="C694" s="139" t="s">
        <v>1971</v>
      </c>
      <c r="D694" s="139"/>
    </row>
    <row r="695" spans="2:4" ht="15.75" thickBot="1" x14ac:dyDescent="0.3">
      <c r="B695" t="s">
        <v>1970</v>
      </c>
      <c r="C695" s="139" t="s">
        <v>1969</v>
      </c>
      <c r="D695" s="139"/>
    </row>
    <row r="696" spans="2:4" ht="15.75" thickBot="1" x14ac:dyDescent="0.3">
      <c r="B696" t="s">
        <v>1968</v>
      </c>
      <c r="C696" s="139" t="s">
        <v>1967</v>
      </c>
      <c r="D696" s="139"/>
    </row>
    <row r="697" spans="2:4" ht="15.75" thickBot="1" x14ac:dyDescent="0.3">
      <c r="B697" t="s">
        <v>1966</v>
      </c>
      <c r="C697" s="139" t="s">
        <v>1965</v>
      </c>
      <c r="D697" s="139"/>
    </row>
    <row r="698" spans="2:4" ht="15.75" thickBot="1" x14ac:dyDescent="0.3">
      <c r="B698" t="s">
        <v>1964</v>
      </c>
      <c r="C698" s="139" t="s">
        <v>1963</v>
      </c>
      <c r="D698" s="139"/>
    </row>
    <row r="699" spans="2:4" ht="15.75" thickBot="1" x14ac:dyDescent="0.3">
      <c r="B699" t="s">
        <v>1962</v>
      </c>
      <c r="C699" s="139" t="s">
        <v>1961</v>
      </c>
      <c r="D699" s="139"/>
    </row>
    <row r="700" spans="2:4" ht="15.75" thickBot="1" x14ac:dyDescent="0.3">
      <c r="B700" t="s">
        <v>1960</v>
      </c>
      <c r="C700" s="139" t="s">
        <v>1959</v>
      </c>
      <c r="D700" s="139"/>
    </row>
    <row r="701" spans="2:4" ht="15.75" thickBot="1" x14ac:dyDescent="0.3">
      <c r="B701" t="s">
        <v>1958</v>
      </c>
      <c r="C701" s="139" t="s">
        <v>1957</v>
      </c>
      <c r="D701" s="139"/>
    </row>
    <row r="702" spans="2:4" ht="15.75" thickBot="1" x14ac:dyDescent="0.3">
      <c r="B702" t="s">
        <v>1956</v>
      </c>
      <c r="C702" s="139" t="s">
        <v>1955</v>
      </c>
      <c r="D702" s="139"/>
    </row>
    <row r="703" spans="2:4" ht="15.75" thickBot="1" x14ac:dyDescent="0.3">
      <c r="B703" t="s">
        <v>1954</v>
      </c>
      <c r="C703" s="139" t="s">
        <v>1953</v>
      </c>
      <c r="D703" s="139"/>
    </row>
    <row r="704" spans="2:4" ht="15.75" thickBot="1" x14ac:dyDescent="0.3">
      <c r="B704" t="s">
        <v>1952</v>
      </c>
      <c r="C704" s="139" t="s">
        <v>1951</v>
      </c>
      <c r="D704" s="139"/>
    </row>
    <row r="705" spans="2:4" ht="15.75" thickBot="1" x14ac:dyDescent="0.3">
      <c r="B705" t="s">
        <v>1950</v>
      </c>
      <c r="C705" s="139" t="s">
        <v>1949</v>
      </c>
      <c r="D705" s="139"/>
    </row>
    <row r="706" spans="2:4" ht="15.75" thickBot="1" x14ac:dyDescent="0.3">
      <c r="B706" t="s">
        <v>1948</v>
      </c>
      <c r="C706" s="139" t="s">
        <v>1947</v>
      </c>
      <c r="D706" s="139"/>
    </row>
    <row r="707" spans="2:4" ht="15.75" thickBot="1" x14ac:dyDescent="0.3">
      <c r="B707" t="s">
        <v>1946</v>
      </c>
      <c r="C707" s="139" t="s">
        <v>1945</v>
      </c>
      <c r="D707" s="139"/>
    </row>
    <row r="708" spans="2:4" ht="15.75" thickBot="1" x14ac:dyDescent="0.3">
      <c r="B708" t="s">
        <v>1944</v>
      </c>
      <c r="C708" s="139" t="s">
        <v>1943</v>
      </c>
      <c r="D708" s="139"/>
    </row>
    <row r="709" spans="2:4" ht="15.75" thickBot="1" x14ac:dyDescent="0.3">
      <c r="B709" t="s">
        <v>1942</v>
      </c>
      <c r="C709" s="139" t="s">
        <v>1941</v>
      </c>
      <c r="D709" s="139"/>
    </row>
    <row r="710" spans="2:4" ht="15.75" thickBot="1" x14ac:dyDescent="0.3">
      <c r="B710" t="s">
        <v>1940</v>
      </c>
      <c r="C710" s="139" t="s">
        <v>1939</v>
      </c>
      <c r="D710" s="139"/>
    </row>
    <row r="711" spans="2:4" ht="15.75" thickBot="1" x14ac:dyDescent="0.3">
      <c r="B711" t="s">
        <v>1938</v>
      </c>
      <c r="C711" s="139" t="s">
        <v>1937</v>
      </c>
      <c r="D711" s="139"/>
    </row>
    <row r="712" spans="2:4" ht="15.75" thickBot="1" x14ac:dyDescent="0.3">
      <c r="B712" t="s">
        <v>1936</v>
      </c>
      <c r="C712" s="139" t="s">
        <v>1935</v>
      </c>
      <c r="D712" s="139"/>
    </row>
    <row r="713" spans="2:4" ht="15.75" thickBot="1" x14ac:dyDescent="0.3">
      <c r="B713" t="s">
        <v>1934</v>
      </c>
      <c r="C713" s="139" t="s">
        <v>1933</v>
      </c>
      <c r="D713" s="139"/>
    </row>
    <row r="714" spans="2:4" ht="15.75" thickBot="1" x14ac:dyDescent="0.3">
      <c r="B714" t="s">
        <v>1932</v>
      </c>
      <c r="C714" s="139" t="s">
        <v>1931</v>
      </c>
      <c r="D714" s="139"/>
    </row>
    <row r="715" spans="2:4" ht="15.75" thickBot="1" x14ac:dyDescent="0.3">
      <c r="B715" t="s">
        <v>1930</v>
      </c>
      <c r="C715" s="139" t="s">
        <v>1929</v>
      </c>
      <c r="D715" s="139"/>
    </row>
    <row r="716" spans="2:4" ht="15.75" thickBot="1" x14ac:dyDescent="0.3">
      <c r="B716" t="s">
        <v>1928</v>
      </c>
      <c r="C716" s="139" t="s">
        <v>1927</v>
      </c>
      <c r="D716" s="139"/>
    </row>
    <row r="717" spans="2:4" ht="15.75" thickBot="1" x14ac:dyDescent="0.3">
      <c r="B717" t="s">
        <v>1926</v>
      </c>
      <c r="C717" s="139" t="s">
        <v>1925</v>
      </c>
      <c r="D717" s="139"/>
    </row>
    <row r="718" spans="2:4" ht="30.75" thickBot="1" x14ac:dyDescent="0.3">
      <c r="B718" t="s">
        <v>1924</v>
      </c>
      <c r="C718" s="139" t="s">
        <v>1923</v>
      </c>
      <c r="D718" s="139"/>
    </row>
    <row r="719" spans="2:4" ht="15.75" thickBot="1" x14ac:dyDescent="0.3">
      <c r="B719" t="s">
        <v>1922</v>
      </c>
      <c r="C719" s="139" t="s">
        <v>1921</v>
      </c>
      <c r="D719" s="139"/>
    </row>
    <row r="720" spans="2:4" ht="15.75" thickBot="1" x14ac:dyDescent="0.3">
      <c r="B720" t="s">
        <v>1920</v>
      </c>
      <c r="C720" s="139" t="s">
        <v>1919</v>
      </c>
      <c r="D720" s="139"/>
    </row>
    <row r="721" spans="2:4" ht="15.75" thickBot="1" x14ac:dyDescent="0.3">
      <c r="B721" t="s">
        <v>1918</v>
      </c>
      <c r="C721" s="139" t="s">
        <v>1917</v>
      </c>
      <c r="D721" s="139"/>
    </row>
    <row r="722" spans="2:4" ht="30.75" thickBot="1" x14ac:dyDescent="0.3">
      <c r="B722" t="s">
        <v>1916</v>
      </c>
      <c r="C722" s="139" t="s">
        <v>1915</v>
      </c>
      <c r="D722" s="139"/>
    </row>
    <row r="723" spans="2:4" ht="15.75" thickBot="1" x14ac:dyDescent="0.3">
      <c r="B723" t="s">
        <v>1914</v>
      </c>
      <c r="C723" s="139" t="s">
        <v>1913</v>
      </c>
      <c r="D723" s="139"/>
    </row>
    <row r="724" spans="2:4" ht="15.75" thickBot="1" x14ac:dyDescent="0.3">
      <c r="B724" t="s">
        <v>1912</v>
      </c>
      <c r="C724" s="139" t="s">
        <v>1911</v>
      </c>
      <c r="D724" s="139"/>
    </row>
    <row r="725" spans="2:4" ht="15.75" thickBot="1" x14ac:dyDescent="0.3">
      <c r="B725" t="s">
        <v>1910</v>
      </c>
      <c r="C725" s="139" t="s">
        <v>1909</v>
      </c>
      <c r="D725" s="139"/>
    </row>
    <row r="726" spans="2:4" ht="30.75" thickBot="1" x14ac:dyDescent="0.3">
      <c r="B726" t="s">
        <v>1908</v>
      </c>
      <c r="C726" s="139" t="s">
        <v>1907</v>
      </c>
      <c r="D726" s="139"/>
    </row>
    <row r="727" spans="2:4" ht="15.75" thickBot="1" x14ac:dyDescent="0.3">
      <c r="B727" t="s">
        <v>1906</v>
      </c>
      <c r="C727" s="139" t="s">
        <v>1905</v>
      </c>
      <c r="D727" s="139"/>
    </row>
    <row r="728" spans="2:4" ht="15.75" thickBot="1" x14ac:dyDescent="0.3">
      <c r="B728" t="s">
        <v>1904</v>
      </c>
      <c r="C728" s="139" t="s">
        <v>1903</v>
      </c>
      <c r="D728" s="139"/>
    </row>
    <row r="729" spans="2:4" ht="15.75" thickBot="1" x14ac:dyDescent="0.3">
      <c r="B729" t="s">
        <v>1902</v>
      </c>
      <c r="C729" s="139" t="s">
        <v>1901</v>
      </c>
      <c r="D729" s="139"/>
    </row>
    <row r="730" spans="2:4" ht="15.75" thickBot="1" x14ac:dyDescent="0.3">
      <c r="B730" t="s">
        <v>1900</v>
      </c>
      <c r="C730" s="139" t="s">
        <v>1899</v>
      </c>
      <c r="D730" s="139"/>
    </row>
    <row r="731" spans="2:4" ht="15.75" thickBot="1" x14ac:dyDescent="0.3">
      <c r="B731" t="s">
        <v>1898</v>
      </c>
      <c r="C731" s="139" t="s">
        <v>1897</v>
      </c>
      <c r="D731" s="139"/>
    </row>
    <row r="732" spans="2:4" ht="15.75" thickBot="1" x14ac:dyDescent="0.3">
      <c r="B732" t="s">
        <v>1896</v>
      </c>
      <c r="C732" s="139" t="s">
        <v>1895</v>
      </c>
      <c r="D732" s="139"/>
    </row>
    <row r="733" spans="2:4" ht="15.75" thickBot="1" x14ac:dyDescent="0.3">
      <c r="B733" t="s">
        <v>1894</v>
      </c>
      <c r="C733" s="139" t="s">
        <v>1893</v>
      </c>
      <c r="D733" s="139"/>
    </row>
    <row r="734" spans="2:4" ht="15.75" thickBot="1" x14ac:dyDescent="0.3">
      <c r="B734" t="s">
        <v>1892</v>
      </c>
      <c r="C734" s="139" t="s">
        <v>1891</v>
      </c>
      <c r="D734" s="139"/>
    </row>
    <row r="735" spans="2:4" ht="15.75" thickBot="1" x14ac:dyDescent="0.3">
      <c r="B735" t="s">
        <v>1890</v>
      </c>
      <c r="C735" s="139" t="s">
        <v>1889</v>
      </c>
      <c r="D735" s="139"/>
    </row>
    <row r="736" spans="2:4" ht="15.75" thickBot="1" x14ac:dyDescent="0.3">
      <c r="B736" t="s">
        <v>1888</v>
      </c>
      <c r="C736" s="139" t="s">
        <v>1887</v>
      </c>
      <c r="D736" s="139"/>
    </row>
    <row r="737" spans="2:4" ht="15.75" thickBot="1" x14ac:dyDescent="0.3">
      <c r="B737" t="s">
        <v>1886</v>
      </c>
      <c r="C737" s="139" t="s">
        <v>1885</v>
      </c>
      <c r="D737" s="139"/>
    </row>
    <row r="738" spans="2:4" ht="15.75" thickBot="1" x14ac:dyDescent="0.3">
      <c r="B738" t="s">
        <v>1884</v>
      </c>
      <c r="C738" s="139" t="s">
        <v>1883</v>
      </c>
      <c r="D738" s="139"/>
    </row>
    <row r="739" spans="2:4" ht="15.75" thickBot="1" x14ac:dyDescent="0.3">
      <c r="B739" t="s">
        <v>1882</v>
      </c>
      <c r="C739" s="139" t="s">
        <v>1881</v>
      </c>
      <c r="D739" s="139"/>
    </row>
    <row r="740" spans="2:4" ht="15.75" thickBot="1" x14ac:dyDescent="0.3">
      <c r="B740" t="s">
        <v>1880</v>
      </c>
      <c r="C740" s="139" t="s">
        <v>1879</v>
      </c>
      <c r="D740" s="139"/>
    </row>
    <row r="741" spans="2:4" ht="15.75" thickBot="1" x14ac:dyDescent="0.3">
      <c r="B741" t="s">
        <v>1878</v>
      </c>
      <c r="C741" s="139" t="s">
        <v>1877</v>
      </c>
      <c r="D741" s="139"/>
    </row>
    <row r="742" spans="2:4" ht="15.75" thickBot="1" x14ac:dyDescent="0.3">
      <c r="B742" t="s">
        <v>1876</v>
      </c>
      <c r="C742" s="139" t="s">
        <v>1875</v>
      </c>
      <c r="D742" s="139"/>
    </row>
    <row r="743" spans="2:4" ht="15.75" thickBot="1" x14ac:dyDescent="0.3">
      <c r="B743" t="s">
        <v>1874</v>
      </c>
      <c r="C743" s="139" t="s">
        <v>1873</v>
      </c>
      <c r="D743" s="139"/>
    </row>
    <row r="744" spans="2:4" ht="30.75" thickBot="1" x14ac:dyDescent="0.3">
      <c r="B744" t="s">
        <v>1872</v>
      </c>
      <c r="C744" s="139" t="s">
        <v>1871</v>
      </c>
      <c r="D744" s="139"/>
    </row>
    <row r="745" spans="2:4" ht="15.75" thickBot="1" x14ac:dyDescent="0.3">
      <c r="B745" t="s">
        <v>1870</v>
      </c>
      <c r="C745" s="139" t="s">
        <v>1869</v>
      </c>
      <c r="D745" s="139"/>
    </row>
    <row r="746" spans="2:4" ht="15.75" thickBot="1" x14ac:dyDescent="0.3">
      <c r="B746" t="s">
        <v>1868</v>
      </c>
      <c r="C746" s="139" t="s">
        <v>1867</v>
      </c>
      <c r="D746" s="139"/>
    </row>
    <row r="747" spans="2:4" ht="15.75" thickBot="1" x14ac:dyDescent="0.3">
      <c r="B747" t="s">
        <v>1866</v>
      </c>
      <c r="C747" s="139" t="s">
        <v>1865</v>
      </c>
      <c r="D747" s="139"/>
    </row>
    <row r="748" spans="2:4" ht="15.75" thickBot="1" x14ac:dyDescent="0.3">
      <c r="B748" t="s">
        <v>1864</v>
      </c>
      <c r="C748" s="139" t="s">
        <v>1863</v>
      </c>
      <c r="D748" s="139"/>
    </row>
    <row r="749" spans="2:4" ht="15.75" thickBot="1" x14ac:dyDescent="0.3">
      <c r="B749" t="s">
        <v>1862</v>
      </c>
      <c r="C749" s="139" t="s">
        <v>1861</v>
      </c>
      <c r="D749" s="139"/>
    </row>
    <row r="750" spans="2:4" ht="15.75" thickBot="1" x14ac:dyDescent="0.3">
      <c r="B750" t="s">
        <v>1860</v>
      </c>
      <c r="C750" s="139" t="s">
        <v>1859</v>
      </c>
      <c r="D750" s="139"/>
    </row>
    <row r="751" spans="2:4" ht="15.75" thickBot="1" x14ac:dyDescent="0.3">
      <c r="B751" t="s">
        <v>1858</v>
      </c>
      <c r="C751" s="139" t="s">
        <v>1857</v>
      </c>
      <c r="D751" s="139"/>
    </row>
    <row r="752" spans="2:4" ht="15.75" thickBot="1" x14ac:dyDescent="0.3">
      <c r="B752" t="s">
        <v>1856</v>
      </c>
      <c r="C752" s="139" t="s">
        <v>1855</v>
      </c>
      <c r="D752" s="139"/>
    </row>
    <row r="753" spans="2:4" ht="15.75" thickBot="1" x14ac:dyDescent="0.3">
      <c r="B753" t="s">
        <v>1854</v>
      </c>
      <c r="C753" s="139" t="s">
        <v>1853</v>
      </c>
      <c r="D753" s="139"/>
    </row>
    <row r="754" spans="2:4" ht="15.75" thickBot="1" x14ac:dyDescent="0.3">
      <c r="B754" t="s">
        <v>1852</v>
      </c>
      <c r="C754" s="139" t="s">
        <v>1851</v>
      </c>
      <c r="D754" s="139"/>
    </row>
    <row r="755" spans="2:4" ht="15.75" thickBot="1" x14ac:dyDescent="0.3">
      <c r="B755" t="s">
        <v>1850</v>
      </c>
      <c r="C755" s="139" t="s">
        <v>1849</v>
      </c>
      <c r="D755" s="139"/>
    </row>
    <row r="756" spans="2:4" ht="15.75" thickBot="1" x14ac:dyDescent="0.3">
      <c r="B756" t="s">
        <v>1848</v>
      </c>
      <c r="C756" s="139" t="s">
        <v>1847</v>
      </c>
      <c r="D756" s="139"/>
    </row>
    <row r="757" spans="2:4" ht="15.75" thickBot="1" x14ac:dyDescent="0.3">
      <c r="B757" t="s">
        <v>1846</v>
      </c>
      <c r="C757" s="139" t="s">
        <v>1845</v>
      </c>
      <c r="D757" s="139"/>
    </row>
    <row r="758" spans="2:4" ht="15.75" thickBot="1" x14ac:dyDescent="0.3">
      <c r="B758" t="s">
        <v>1844</v>
      </c>
      <c r="C758" s="139" t="s">
        <v>1843</v>
      </c>
      <c r="D758" s="139"/>
    </row>
    <row r="759" spans="2:4" ht="15.75" thickBot="1" x14ac:dyDescent="0.3">
      <c r="B759" t="s">
        <v>1842</v>
      </c>
      <c r="C759" s="139" t="s">
        <v>1841</v>
      </c>
      <c r="D759" s="139"/>
    </row>
    <row r="760" spans="2:4" ht="15.75" thickBot="1" x14ac:dyDescent="0.3">
      <c r="B760" t="s">
        <v>1840</v>
      </c>
      <c r="C760" s="139" t="s">
        <v>1839</v>
      </c>
      <c r="D760" s="139"/>
    </row>
    <row r="761" spans="2:4" ht="15.75" thickBot="1" x14ac:dyDescent="0.3">
      <c r="B761" t="s">
        <v>1838</v>
      </c>
      <c r="C761" s="139" t="s">
        <v>1837</v>
      </c>
      <c r="D761" s="139"/>
    </row>
    <row r="762" spans="2:4" ht="15.75" thickBot="1" x14ac:dyDescent="0.3">
      <c r="B762" t="s">
        <v>1836</v>
      </c>
      <c r="C762" s="139" t="s">
        <v>1835</v>
      </c>
      <c r="D762" s="139"/>
    </row>
    <row r="763" spans="2:4" ht="15.75" thickBot="1" x14ac:dyDescent="0.3">
      <c r="B763" t="s">
        <v>1834</v>
      </c>
      <c r="C763" s="139" t="s">
        <v>1833</v>
      </c>
      <c r="D763" s="139"/>
    </row>
    <row r="764" spans="2:4" ht="15.75" thickBot="1" x14ac:dyDescent="0.3">
      <c r="B764" t="s">
        <v>1832</v>
      </c>
      <c r="C764" s="139" t="s">
        <v>1831</v>
      </c>
      <c r="D764" s="139"/>
    </row>
    <row r="765" spans="2:4" ht="15.75" thickBot="1" x14ac:dyDescent="0.3">
      <c r="B765" t="s">
        <v>1830</v>
      </c>
      <c r="C765" s="139" t="s">
        <v>1829</v>
      </c>
      <c r="D765" s="139"/>
    </row>
    <row r="766" spans="2:4" ht="15.75" thickBot="1" x14ac:dyDescent="0.3">
      <c r="B766" t="s">
        <v>1828</v>
      </c>
      <c r="C766" s="139" t="s">
        <v>1827</v>
      </c>
      <c r="D766" s="139"/>
    </row>
    <row r="767" spans="2:4" ht="15.75" thickBot="1" x14ac:dyDescent="0.3">
      <c r="B767" t="s">
        <v>1826</v>
      </c>
      <c r="C767" s="139" t="s">
        <v>1825</v>
      </c>
      <c r="D767" s="139"/>
    </row>
    <row r="768" spans="2:4" ht="15.75" thickBot="1" x14ac:dyDescent="0.3">
      <c r="B768" t="s">
        <v>1824</v>
      </c>
      <c r="C768" s="139" t="s">
        <v>1823</v>
      </c>
      <c r="D768" s="139"/>
    </row>
    <row r="769" spans="2:4" ht="15.75" thickBot="1" x14ac:dyDescent="0.3">
      <c r="B769" t="s">
        <v>1822</v>
      </c>
      <c r="C769" s="139" t="s">
        <v>1821</v>
      </c>
      <c r="D769" s="139"/>
    </row>
    <row r="770" spans="2:4" ht="15.75" thickBot="1" x14ac:dyDescent="0.3">
      <c r="B770" t="s">
        <v>1820</v>
      </c>
      <c r="C770" s="139" t="s">
        <v>1819</v>
      </c>
      <c r="D770" s="139"/>
    </row>
    <row r="771" spans="2:4" ht="15.75" thickBot="1" x14ac:dyDescent="0.3">
      <c r="B771" t="s">
        <v>1818</v>
      </c>
      <c r="C771" s="139" t="s">
        <v>1817</v>
      </c>
      <c r="D771" s="139"/>
    </row>
    <row r="772" spans="2:4" ht="15.75" thickBot="1" x14ac:dyDescent="0.3">
      <c r="B772" t="s">
        <v>1816</v>
      </c>
      <c r="C772" s="139" t="s">
        <v>1815</v>
      </c>
      <c r="D772" s="139"/>
    </row>
    <row r="773" spans="2:4" ht="15.75" thickBot="1" x14ac:dyDescent="0.3">
      <c r="B773" t="s">
        <v>1814</v>
      </c>
      <c r="C773" s="139" t="s">
        <v>1813</v>
      </c>
      <c r="D773" s="139"/>
    </row>
    <row r="774" spans="2:4" ht="15.75" thickBot="1" x14ac:dyDescent="0.3">
      <c r="B774" t="s">
        <v>1812</v>
      </c>
      <c r="C774" s="139" t="s">
        <v>1811</v>
      </c>
      <c r="D774" s="139"/>
    </row>
    <row r="775" spans="2:4" ht="15.75" thickBot="1" x14ac:dyDescent="0.3">
      <c r="B775" t="s">
        <v>1810</v>
      </c>
      <c r="C775" s="139" t="s">
        <v>1809</v>
      </c>
      <c r="D775" s="139"/>
    </row>
    <row r="776" spans="2:4" ht="15.75" thickBot="1" x14ac:dyDescent="0.3">
      <c r="B776" t="s">
        <v>1808</v>
      </c>
      <c r="C776" s="139" t="s">
        <v>1807</v>
      </c>
      <c r="D776" s="139"/>
    </row>
    <row r="777" spans="2:4" ht="15.75" thickBot="1" x14ac:dyDescent="0.3">
      <c r="B777" t="s">
        <v>1806</v>
      </c>
      <c r="C777" s="139" t="s">
        <v>1805</v>
      </c>
      <c r="D777" s="139"/>
    </row>
    <row r="778" spans="2:4" ht="15.75" thickBot="1" x14ac:dyDescent="0.3">
      <c r="B778" t="s">
        <v>1804</v>
      </c>
      <c r="C778" s="139" t="s">
        <v>1803</v>
      </c>
      <c r="D778" s="139"/>
    </row>
    <row r="779" spans="2:4" ht="15.75" thickBot="1" x14ac:dyDescent="0.3">
      <c r="B779" t="s">
        <v>1802</v>
      </c>
      <c r="C779" s="139" t="s">
        <v>1801</v>
      </c>
      <c r="D779" s="139"/>
    </row>
    <row r="780" spans="2:4" ht="15.75" thickBot="1" x14ac:dyDescent="0.3">
      <c r="B780" t="s">
        <v>1800</v>
      </c>
      <c r="C780" s="139" t="s">
        <v>1799</v>
      </c>
      <c r="D780" s="139"/>
    </row>
    <row r="781" spans="2:4" ht="15.75" thickBot="1" x14ac:dyDescent="0.3">
      <c r="B781" t="s">
        <v>1798</v>
      </c>
      <c r="C781" s="139" t="s">
        <v>1797</v>
      </c>
      <c r="D781" s="139"/>
    </row>
    <row r="782" spans="2:4" ht="15.75" thickBot="1" x14ac:dyDescent="0.3">
      <c r="B782" t="s">
        <v>1796</v>
      </c>
      <c r="C782" s="139" t="s">
        <v>1795</v>
      </c>
      <c r="D782" s="139"/>
    </row>
    <row r="783" spans="2:4" ht="15.75" thickBot="1" x14ac:dyDescent="0.3">
      <c r="B783" t="s">
        <v>1794</v>
      </c>
      <c r="C783" s="139" t="s">
        <v>1793</v>
      </c>
      <c r="D783" s="139"/>
    </row>
    <row r="784" spans="2:4" ht="15.75" thickBot="1" x14ac:dyDescent="0.3">
      <c r="B784" t="s">
        <v>1792</v>
      </c>
      <c r="C784" s="139" t="s">
        <v>1791</v>
      </c>
      <c r="D784" s="139"/>
    </row>
    <row r="785" spans="2:4" ht="15.75" thickBot="1" x14ac:dyDescent="0.3">
      <c r="B785" t="s">
        <v>1790</v>
      </c>
      <c r="C785" s="139" t="s">
        <v>1789</v>
      </c>
      <c r="D785" s="139"/>
    </row>
    <row r="786" spans="2:4" ht="15.75" thickBot="1" x14ac:dyDescent="0.3">
      <c r="B786" t="s">
        <v>1788</v>
      </c>
      <c r="C786" s="139" t="s">
        <v>1787</v>
      </c>
      <c r="D786" s="139"/>
    </row>
    <row r="787" spans="2:4" ht="15.75" thickBot="1" x14ac:dyDescent="0.3">
      <c r="B787" t="s">
        <v>1786</v>
      </c>
      <c r="C787" s="139" t="s">
        <v>1785</v>
      </c>
      <c r="D787" s="139"/>
    </row>
    <row r="788" spans="2:4" ht="15.75" thickBot="1" x14ac:dyDescent="0.3">
      <c r="B788" t="s">
        <v>1784</v>
      </c>
      <c r="C788" s="139" t="s">
        <v>1783</v>
      </c>
      <c r="D788" s="139"/>
    </row>
    <row r="789" spans="2:4" ht="15.75" thickBot="1" x14ac:dyDescent="0.3">
      <c r="B789" t="s">
        <v>1782</v>
      </c>
      <c r="C789" s="139" t="s">
        <v>1781</v>
      </c>
      <c r="D789" s="139"/>
    </row>
    <row r="790" spans="2:4" ht="15.75" thickBot="1" x14ac:dyDescent="0.3">
      <c r="B790" t="s">
        <v>1780</v>
      </c>
      <c r="C790" s="139" t="s">
        <v>1779</v>
      </c>
      <c r="D790" s="139"/>
    </row>
    <row r="791" spans="2:4" ht="15.75" thickBot="1" x14ac:dyDescent="0.3">
      <c r="B791" t="s">
        <v>1778</v>
      </c>
      <c r="C791" s="139" t="s">
        <v>1777</v>
      </c>
      <c r="D791" s="139"/>
    </row>
    <row r="792" spans="2:4" ht="15.75" thickBot="1" x14ac:dyDescent="0.3">
      <c r="B792" t="s">
        <v>1776</v>
      </c>
      <c r="C792" s="139" t="s">
        <v>1775</v>
      </c>
      <c r="D792" s="139"/>
    </row>
    <row r="793" spans="2:4" ht="15.75" thickBot="1" x14ac:dyDescent="0.3">
      <c r="B793" t="s">
        <v>1774</v>
      </c>
      <c r="C793" s="139" t="s">
        <v>1773</v>
      </c>
      <c r="D793" s="139"/>
    </row>
    <row r="794" spans="2:4" ht="15.75" thickBot="1" x14ac:dyDescent="0.3">
      <c r="B794" t="s">
        <v>1772</v>
      </c>
      <c r="C794" s="139" t="s">
        <v>1771</v>
      </c>
      <c r="D794" s="139"/>
    </row>
    <row r="795" spans="2:4" ht="15.75" thickBot="1" x14ac:dyDescent="0.3">
      <c r="B795" t="s">
        <v>1770</v>
      </c>
      <c r="C795" s="139" t="s">
        <v>1769</v>
      </c>
      <c r="D795" s="139"/>
    </row>
    <row r="796" spans="2:4" ht="15.75" thickBot="1" x14ac:dyDescent="0.3">
      <c r="B796" t="s">
        <v>1768</v>
      </c>
      <c r="C796" s="139" t="s">
        <v>1767</v>
      </c>
      <c r="D796" s="139"/>
    </row>
    <row r="797" spans="2:4" ht="15.75" thickBot="1" x14ac:dyDescent="0.3">
      <c r="B797" t="s">
        <v>1766</v>
      </c>
      <c r="C797" s="139" t="s">
        <v>1765</v>
      </c>
      <c r="D797" s="139"/>
    </row>
    <row r="798" spans="2:4" ht="15.75" thickBot="1" x14ac:dyDescent="0.3">
      <c r="B798" t="s">
        <v>1764</v>
      </c>
      <c r="C798" s="139" t="s">
        <v>1763</v>
      </c>
      <c r="D798" s="139"/>
    </row>
    <row r="799" spans="2:4" ht="15.75" thickBot="1" x14ac:dyDescent="0.3">
      <c r="B799" t="s">
        <v>1762</v>
      </c>
      <c r="C799" s="139" t="s">
        <v>1761</v>
      </c>
      <c r="D799" s="139"/>
    </row>
    <row r="800" spans="2:4" ht="15.75" thickBot="1" x14ac:dyDescent="0.3">
      <c r="B800" t="s">
        <v>1760</v>
      </c>
      <c r="C800" s="139" t="s">
        <v>1759</v>
      </c>
      <c r="D800" s="139"/>
    </row>
    <row r="801" spans="2:4" ht="15.75" thickBot="1" x14ac:dyDescent="0.3">
      <c r="B801" t="s">
        <v>1758</v>
      </c>
      <c r="C801" s="139" t="s">
        <v>1757</v>
      </c>
      <c r="D801" s="139"/>
    </row>
    <row r="802" spans="2:4" ht="15.75" thickBot="1" x14ac:dyDescent="0.3">
      <c r="B802" t="s">
        <v>1756</v>
      </c>
      <c r="C802" s="139" t="s">
        <v>1755</v>
      </c>
      <c r="D802" s="139"/>
    </row>
    <row r="803" spans="2:4" ht="15.75" thickBot="1" x14ac:dyDescent="0.3">
      <c r="B803" t="s">
        <v>1754</v>
      </c>
      <c r="C803" s="139" t="s">
        <v>1753</v>
      </c>
      <c r="D803" s="139"/>
    </row>
    <row r="804" spans="2:4" ht="15.75" thickBot="1" x14ac:dyDescent="0.3">
      <c r="B804" t="s">
        <v>1752</v>
      </c>
      <c r="C804" s="139" t="s">
        <v>1751</v>
      </c>
      <c r="D804" s="139"/>
    </row>
    <row r="805" spans="2:4" ht="15.75" thickBot="1" x14ac:dyDescent="0.3">
      <c r="B805" t="s">
        <v>1750</v>
      </c>
      <c r="C805" s="139" t="s">
        <v>1749</v>
      </c>
      <c r="D805" s="139"/>
    </row>
    <row r="806" spans="2:4" ht="15.75" thickBot="1" x14ac:dyDescent="0.3">
      <c r="B806" t="s">
        <v>1748</v>
      </c>
      <c r="C806" s="139" t="s">
        <v>1747</v>
      </c>
      <c r="D806" s="139"/>
    </row>
    <row r="807" spans="2:4" ht="15.75" thickBot="1" x14ac:dyDescent="0.3">
      <c r="B807" t="s">
        <v>1746</v>
      </c>
      <c r="C807" s="139" t="s">
        <v>1745</v>
      </c>
      <c r="D807" s="139"/>
    </row>
    <row r="808" spans="2:4" ht="15.75" thickBot="1" x14ac:dyDescent="0.3">
      <c r="B808" t="s">
        <v>1744</v>
      </c>
      <c r="C808" s="139" t="s">
        <v>1743</v>
      </c>
      <c r="D808" s="139"/>
    </row>
    <row r="809" spans="2:4" ht="15.75" thickBot="1" x14ac:dyDescent="0.3">
      <c r="B809" t="s">
        <v>1742</v>
      </c>
      <c r="C809" s="139" t="s">
        <v>1741</v>
      </c>
      <c r="D809" s="139"/>
    </row>
    <row r="810" spans="2:4" ht="15.75" thickBot="1" x14ac:dyDescent="0.3">
      <c r="B810" t="s">
        <v>1740</v>
      </c>
      <c r="C810" s="139" t="s">
        <v>1739</v>
      </c>
      <c r="D810" s="139"/>
    </row>
    <row r="811" spans="2:4" ht="15.75" thickBot="1" x14ac:dyDescent="0.3">
      <c r="B811" t="s">
        <v>1738</v>
      </c>
      <c r="C811" s="139" t="s">
        <v>1737</v>
      </c>
      <c r="D811" s="139"/>
    </row>
    <row r="812" spans="2:4" ht="15.75" thickBot="1" x14ac:dyDescent="0.3">
      <c r="B812" t="s">
        <v>1736</v>
      </c>
      <c r="C812" s="139" t="s">
        <v>1735</v>
      </c>
      <c r="D812" s="139"/>
    </row>
    <row r="813" spans="2:4" ht="15.75" thickBot="1" x14ac:dyDescent="0.3">
      <c r="B813" t="s">
        <v>1734</v>
      </c>
      <c r="C813" s="139" t="s">
        <v>1733</v>
      </c>
      <c r="D813" s="139"/>
    </row>
    <row r="814" spans="2:4" ht="15.75" thickBot="1" x14ac:dyDescent="0.3">
      <c r="B814" t="s">
        <v>1732</v>
      </c>
      <c r="C814" s="139" t="s">
        <v>1731</v>
      </c>
      <c r="D814" s="139"/>
    </row>
    <row r="815" spans="2:4" ht="15.75" thickBot="1" x14ac:dyDescent="0.3">
      <c r="B815" t="s">
        <v>1730</v>
      </c>
      <c r="C815" s="139" t="s">
        <v>1729</v>
      </c>
      <c r="D815" s="139"/>
    </row>
    <row r="816" spans="2:4" ht="15.75" thickBot="1" x14ac:dyDescent="0.3">
      <c r="B816" t="s">
        <v>1728</v>
      </c>
      <c r="C816" s="139" t="s">
        <v>1727</v>
      </c>
      <c r="D816" s="139"/>
    </row>
    <row r="817" spans="2:4" ht="15.75" thickBot="1" x14ac:dyDescent="0.3">
      <c r="B817" t="s">
        <v>1726</v>
      </c>
      <c r="C817" s="139" t="s">
        <v>1725</v>
      </c>
      <c r="D817" s="139"/>
    </row>
    <row r="818" spans="2:4" ht="15.75" thickBot="1" x14ac:dyDescent="0.3">
      <c r="B818" t="s">
        <v>1724</v>
      </c>
      <c r="C818" s="139" t="s">
        <v>1723</v>
      </c>
      <c r="D818" s="139"/>
    </row>
    <row r="819" spans="2:4" ht="15.75" thickBot="1" x14ac:dyDescent="0.3">
      <c r="B819" t="s">
        <v>1722</v>
      </c>
      <c r="C819" s="139" t="s">
        <v>1721</v>
      </c>
      <c r="D819" s="139"/>
    </row>
    <row r="820" spans="2:4" ht="15.75" thickBot="1" x14ac:dyDescent="0.3">
      <c r="B820" t="s">
        <v>1720</v>
      </c>
      <c r="C820" s="139" t="s">
        <v>1719</v>
      </c>
      <c r="D820" s="139"/>
    </row>
    <row r="821" spans="2:4" ht="15.75" thickBot="1" x14ac:dyDescent="0.3">
      <c r="B821" t="s">
        <v>1718</v>
      </c>
      <c r="C821" s="139" t="s">
        <v>1717</v>
      </c>
      <c r="D821" s="139"/>
    </row>
    <row r="822" spans="2:4" ht="15.75" thickBot="1" x14ac:dyDescent="0.3">
      <c r="B822" t="s">
        <v>1716</v>
      </c>
      <c r="C822" s="139" t="s">
        <v>1715</v>
      </c>
      <c r="D822" s="139"/>
    </row>
    <row r="823" spans="2:4" ht="15.75" thickBot="1" x14ac:dyDescent="0.3">
      <c r="B823" t="s">
        <v>1714</v>
      </c>
      <c r="C823" s="139" t="s">
        <v>1713</v>
      </c>
      <c r="D823" s="139"/>
    </row>
    <row r="824" spans="2:4" ht="15.75" thickBot="1" x14ac:dyDescent="0.3">
      <c r="B824" t="s">
        <v>1712</v>
      </c>
      <c r="C824" s="139" t="s">
        <v>1711</v>
      </c>
      <c r="D824" s="139"/>
    </row>
    <row r="825" spans="2:4" ht="15.75" thickBot="1" x14ac:dyDescent="0.3">
      <c r="B825" t="s">
        <v>1710</v>
      </c>
      <c r="C825" s="139" t="s">
        <v>1709</v>
      </c>
      <c r="D825" s="139"/>
    </row>
    <row r="826" spans="2:4" ht="15.75" thickBot="1" x14ac:dyDescent="0.3">
      <c r="B826" t="s">
        <v>1708</v>
      </c>
      <c r="C826" s="139" t="s">
        <v>1707</v>
      </c>
      <c r="D826" s="139"/>
    </row>
    <row r="827" spans="2:4" ht="15.75" thickBot="1" x14ac:dyDescent="0.3">
      <c r="B827" t="s">
        <v>1706</v>
      </c>
      <c r="C827" s="139" t="s">
        <v>1705</v>
      </c>
      <c r="D827" s="139"/>
    </row>
    <row r="828" spans="2:4" ht="15.75" thickBot="1" x14ac:dyDescent="0.3">
      <c r="B828" t="s">
        <v>1704</v>
      </c>
      <c r="C828" s="139" t="s">
        <v>1703</v>
      </c>
      <c r="D828" s="139"/>
    </row>
    <row r="829" spans="2:4" ht="15.75" thickBot="1" x14ac:dyDescent="0.3">
      <c r="B829" t="s">
        <v>1702</v>
      </c>
      <c r="C829" s="139" t="s">
        <v>1701</v>
      </c>
      <c r="D829" s="139"/>
    </row>
    <row r="830" spans="2:4" ht="15.75" thickBot="1" x14ac:dyDescent="0.3">
      <c r="B830" t="s">
        <v>1700</v>
      </c>
      <c r="C830" s="139" t="s">
        <v>1699</v>
      </c>
      <c r="D830" s="139"/>
    </row>
    <row r="831" spans="2:4" ht="15.75" thickBot="1" x14ac:dyDescent="0.3">
      <c r="B831" t="s">
        <v>1698</v>
      </c>
      <c r="C831" s="139" t="s">
        <v>1697</v>
      </c>
      <c r="D831" s="139"/>
    </row>
    <row r="832" spans="2:4" ht="15.75" thickBot="1" x14ac:dyDescent="0.3">
      <c r="B832" t="s">
        <v>1696</v>
      </c>
      <c r="C832" s="139" t="s">
        <v>1695</v>
      </c>
      <c r="D832" s="139"/>
    </row>
    <row r="833" spans="2:4" ht="15.75" thickBot="1" x14ac:dyDescent="0.3">
      <c r="B833" t="s">
        <v>1694</v>
      </c>
      <c r="C833" s="139" t="s">
        <v>1693</v>
      </c>
      <c r="D833" s="139"/>
    </row>
    <row r="834" spans="2:4" ht="15.75" thickBot="1" x14ac:dyDescent="0.3">
      <c r="B834" t="s">
        <v>1692</v>
      </c>
      <c r="C834" s="139" t="s">
        <v>1691</v>
      </c>
      <c r="D834" s="139"/>
    </row>
    <row r="835" spans="2:4" ht="15.75" thickBot="1" x14ac:dyDescent="0.3">
      <c r="B835" t="s">
        <v>1690</v>
      </c>
      <c r="C835" s="139" t="s">
        <v>1689</v>
      </c>
      <c r="D835" s="139"/>
    </row>
    <row r="836" spans="2:4" ht="15.75" thickBot="1" x14ac:dyDescent="0.3">
      <c r="B836" t="s">
        <v>1688</v>
      </c>
      <c r="C836" s="139" t="s">
        <v>1687</v>
      </c>
      <c r="D836" s="139"/>
    </row>
    <row r="837" spans="2:4" ht="15.75" thickBot="1" x14ac:dyDescent="0.3">
      <c r="B837" t="s">
        <v>1686</v>
      </c>
      <c r="C837" s="139" t="s">
        <v>1685</v>
      </c>
      <c r="D837" s="139"/>
    </row>
    <row r="838" spans="2:4" ht="15.75" thickBot="1" x14ac:dyDescent="0.3">
      <c r="B838" t="s">
        <v>1684</v>
      </c>
      <c r="C838" s="139" t="s">
        <v>1683</v>
      </c>
      <c r="D838" s="139"/>
    </row>
    <row r="839" spans="2:4" ht="15.75" thickBot="1" x14ac:dyDescent="0.3">
      <c r="B839" t="s">
        <v>1682</v>
      </c>
      <c r="C839" s="139" t="s">
        <v>1681</v>
      </c>
      <c r="D839" s="139"/>
    </row>
    <row r="840" spans="2:4" ht="15.75" thickBot="1" x14ac:dyDescent="0.3">
      <c r="B840" t="s">
        <v>1680</v>
      </c>
      <c r="C840" s="139" t="s">
        <v>1679</v>
      </c>
      <c r="D840" s="139"/>
    </row>
    <row r="841" spans="2:4" ht="15.75" thickBot="1" x14ac:dyDescent="0.3">
      <c r="B841" t="s">
        <v>1678</v>
      </c>
      <c r="C841" s="139" t="s">
        <v>1677</v>
      </c>
      <c r="D841" s="139"/>
    </row>
    <row r="842" spans="2:4" ht="15.75" thickBot="1" x14ac:dyDescent="0.3">
      <c r="B842" t="s">
        <v>1676</v>
      </c>
      <c r="C842" s="139" t="s">
        <v>1675</v>
      </c>
      <c r="D842" s="139"/>
    </row>
    <row r="843" spans="2:4" ht="30.75" thickBot="1" x14ac:dyDescent="0.3">
      <c r="B843" t="s">
        <v>1674</v>
      </c>
      <c r="C843" s="139" t="s">
        <v>1673</v>
      </c>
      <c r="D843" s="139"/>
    </row>
    <row r="844" spans="2:4" ht="15.75" thickBot="1" x14ac:dyDescent="0.3">
      <c r="B844" t="s">
        <v>1672</v>
      </c>
      <c r="C844" s="139" t="s">
        <v>1671</v>
      </c>
      <c r="D844" s="139"/>
    </row>
    <row r="845" spans="2:4" ht="15.75" thickBot="1" x14ac:dyDescent="0.3">
      <c r="B845" t="s">
        <v>1670</v>
      </c>
      <c r="C845" s="139" t="s">
        <v>1669</v>
      </c>
      <c r="D845" s="139"/>
    </row>
    <row r="846" spans="2:4" ht="15.75" thickBot="1" x14ac:dyDescent="0.3">
      <c r="B846" t="s">
        <v>1668</v>
      </c>
      <c r="C846" s="139" t="s">
        <v>1667</v>
      </c>
      <c r="D846" s="139"/>
    </row>
    <row r="847" spans="2:4" ht="15.75" thickBot="1" x14ac:dyDescent="0.3">
      <c r="B847" t="s">
        <v>1666</v>
      </c>
      <c r="C847" s="139" t="s">
        <v>1665</v>
      </c>
      <c r="D847" s="139"/>
    </row>
    <row r="848" spans="2:4" ht="15.75" thickBot="1" x14ac:dyDescent="0.3">
      <c r="B848" t="s">
        <v>1664</v>
      </c>
      <c r="C848" s="139" t="s">
        <v>1663</v>
      </c>
      <c r="D848" s="139"/>
    </row>
    <row r="849" spans="2:4" ht="15.75" thickBot="1" x14ac:dyDescent="0.3">
      <c r="B849" t="s">
        <v>1662</v>
      </c>
      <c r="C849" s="139" t="s">
        <v>1661</v>
      </c>
      <c r="D849" s="139"/>
    </row>
    <row r="850" spans="2:4" ht="15.75" thickBot="1" x14ac:dyDescent="0.3">
      <c r="B850" t="s">
        <v>1660</v>
      </c>
      <c r="C850" s="139" t="s">
        <v>1659</v>
      </c>
      <c r="D850" s="139"/>
    </row>
    <row r="851" spans="2:4" ht="15.75" thickBot="1" x14ac:dyDescent="0.3">
      <c r="B851" t="s">
        <v>1658</v>
      </c>
      <c r="C851" s="139" t="s">
        <v>1657</v>
      </c>
      <c r="D851" s="139"/>
    </row>
    <row r="852" spans="2:4" ht="15.75" thickBot="1" x14ac:dyDescent="0.3">
      <c r="B852" t="s">
        <v>1656</v>
      </c>
      <c r="C852" s="139" t="s">
        <v>1655</v>
      </c>
      <c r="D852" s="139"/>
    </row>
    <row r="853" spans="2:4" ht="15.75" thickBot="1" x14ac:dyDescent="0.3">
      <c r="B853" t="s">
        <v>1654</v>
      </c>
      <c r="C853" s="139" t="s">
        <v>1653</v>
      </c>
      <c r="D853" s="139"/>
    </row>
    <row r="854" spans="2:4" ht="15.75" thickBot="1" x14ac:dyDescent="0.3">
      <c r="B854" t="s">
        <v>1652</v>
      </c>
      <c r="C854" s="139" t="s">
        <v>1651</v>
      </c>
      <c r="D854" s="139"/>
    </row>
    <row r="855" spans="2:4" ht="15.75" thickBot="1" x14ac:dyDescent="0.3">
      <c r="B855" t="s">
        <v>1650</v>
      </c>
      <c r="C855" s="139" t="s">
        <v>1649</v>
      </c>
      <c r="D855" s="139"/>
    </row>
    <row r="856" spans="2:4" ht="15.75" thickBot="1" x14ac:dyDescent="0.3">
      <c r="B856" t="s">
        <v>1648</v>
      </c>
      <c r="C856" s="139" t="s">
        <v>1647</v>
      </c>
      <c r="D856" s="139"/>
    </row>
    <row r="857" spans="2:4" ht="15.75" thickBot="1" x14ac:dyDescent="0.3">
      <c r="B857" t="s">
        <v>1646</v>
      </c>
      <c r="C857" s="139" t="s">
        <v>1645</v>
      </c>
      <c r="D857" s="139"/>
    </row>
    <row r="858" spans="2:4" ht="15.75" thickBot="1" x14ac:dyDescent="0.3">
      <c r="B858" t="s">
        <v>1644</v>
      </c>
      <c r="C858" s="139" t="s">
        <v>1643</v>
      </c>
      <c r="D858" s="139"/>
    </row>
    <row r="859" spans="2:4" ht="15.75" thickBot="1" x14ac:dyDescent="0.3">
      <c r="B859" t="s">
        <v>1642</v>
      </c>
      <c r="C859" s="139" t="s">
        <v>1641</v>
      </c>
      <c r="D859" s="139"/>
    </row>
    <row r="860" spans="2:4" ht="15.75" thickBot="1" x14ac:dyDescent="0.3">
      <c r="B860" t="s">
        <v>1640</v>
      </c>
      <c r="C860" s="139" t="s">
        <v>1639</v>
      </c>
      <c r="D860" s="139"/>
    </row>
    <row r="861" spans="2:4" ht="15.75" thickBot="1" x14ac:dyDescent="0.3">
      <c r="B861" t="s">
        <v>1638</v>
      </c>
      <c r="C861" s="139" t="s">
        <v>1637</v>
      </c>
      <c r="D861" s="139"/>
    </row>
    <row r="862" spans="2:4" ht="15.75" thickBot="1" x14ac:dyDescent="0.3">
      <c r="B862" t="s">
        <v>1636</v>
      </c>
      <c r="C862" s="139" t="s">
        <v>1635</v>
      </c>
      <c r="D862" s="139"/>
    </row>
    <row r="863" spans="2:4" ht="15.75" thickBot="1" x14ac:dyDescent="0.3">
      <c r="B863" t="s">
        <v>1634</v>
      </c>
      <c r="C863" s="139" t="s">
        <v>1633</v>
      </c>
      <c r="D863" s="139"/>
    </row>
    <row r="864" spans="2:4" ht="15.75" thickBot="1" x14ac:dyDescent="0.3">
      <c r="B864" t="s">
        <v>1632</v>
      </c>
      <c r="C864" s="139" t="s">
        <v>1631</v>
      </c>
      <c r="D864" s="139"/>
    </row>
    <row r="865" spans="2:4" ht="15.75" thickBot="1" x14ac:dyDescent="0.3">
      <c r="B865" t="s">
        <v>1630</v>
      </c>
      <c r="C865" s="139" t="s">
        <v>1629</v>
      </c>
      <c r="D865" s="139"/>
    </row>
    <row r="866" spans="2:4" ht="15.75" thickBot="1" x14ac:dyDescent="0.3">
      <c r="B866" t="s">
        <v>1628</v>
      </c>
      <c r="C866" s="139" t="s">
        <v>1627</v>
      </c>
      <c r="D866" s="139"/>
    </row>
    <row r="867" spans="2:4" ht="15.75" thickBot="1" x14ac:dyDescent="0.3">
      <c r="B867" t="s">
        <v>1626</v>
      </c>
      <c r="C867" s="139" t="s">
        <v>1625</v>
      </c>
      <c r="D867" s="139"/>
    </row>
    <row r="868" spans="2:4" ht="15.75" thickBot="1" x14ac:dyDescent="0.3">
      <c r="B868" t="s">
        <v>1624</v>
      </c>
      <c r="C868" s="139" t="s">
        <v>1623</v>
      </c>
      <c r="D868" s="139"/>
    </row>
    <row r="869" spans="2:4" ht="15.75" thickBot="1" x14ac:dyDescent="0.3">
      <c r="B869" t="s">
        <v>1622</v>
      </c>
      <c r="C869" s="139" t="s">
        <v>1621</v>
      </c>
      <c r="D869" s="139"/>
    </row>
    <row r="870" spans="2:4" ht="15.75" thickBot="1" x14ac:dyDescent="0.3">
      <c r="B870" t="s">
        <v>1620</v>
      </c>
      <c r="C870" s="139" t="s">
        <v>1619</v>
      </c>
      <c r="D870" s="139"/>
    </row>
    <row r="871" spans="2:4" ht="30.75" thickBot="1" x14ac:dyDescent="0.3">
      <c r="B871" t="s">
        <v>1618</v>
      </c>
      <c r="C871" s="139" t="s">
        <v>1617</v>
      </c>
      <c r="D871" s="139"/>
    </row>
    <row r="872" spans="2:4" ht="15.75" thickBot="1" x14ac:dyDescent="0.3">
      <c r="B872" t="s">
        <v>1616</v>
      </c>
      <c r="C872" s="139" t="s">
        <v>1615</v>
      </c>
      <c r="D872" s="139"/>
    </row>
    <row r="873" spans="2:4" ht="15.75" thickBot="1" x14ac:dyDescent="0.3">
      <c r="B873" t="s">
        <v>1614</v>
      </c>
      <c r="C873" s="139" t="s">
        <v>1613</v>
      </c>
      <c r="D873" s="139"/>
    </row>
    <row r="874" spans="2:4" ht="15.75" thickBot="1" x14ac:dyDescent="0.3">
      <c r="B874" t="s">
        <v>1612</v>
      </c>
      <c r="C874" s="139" t="s">
        <v>1611</v>
      </c>
      <c r="D874" s="139"/>
    </row>
    <row r="875" spans="2:4" ht="15.75" thickBot="1" x14ac:dyDescent="0.3">
      <c r="B875" t="s">
        <v>1610</v>
      </c>
      <c r="C875" s="139" t="s">
        <v>1609</v>
      </c>
      <c r="D875" s="139"/>
    </row>
    <row r="876" spans="2:4" ht="15.75" thickBot="1" x14ac:dyDescent="0.3">
      <c r="B876" t="s">
        <v>1608</v>
      </c>
      <c r="C876" s="139" t="s">
        <v>1607</v>
      </c>
      <c r="D876" s="139"/>
    </row>
    <row r="877" spans="2:4" ht="15.75" thickBot="1" x14ac:dyDescent="0.3">
      <c r="B877" t="s">
        <v>1606</v>
      </c>
      <c r="C877" s="139" t="s">
        <v>1605</v>
      </c>
      <c r="D877" s="139"/>
    </row>
    <row r="878" spans="2:4" ht="15.75" thickBot="1" x14ac:dyDescent="0.3">
      <c r="B878" t="s">
        <v>1604</v>
      </c>
      <c r="C878" s="139" t="s">
        <v>1603</v>
      </c>
      <c r="D878" s="139"/>
    </row>
    <row r="879" spans="2:4" ht="15.75" thickBot="1" x14ac:dyDescent="0.3">
      <c r="B879" t="s">
        <v>1602</v>
      </c>
      <c r="C879" s="139" t="s">
        <v>1601</v>
      </c>
      <c r="D879" s="139"/>
    </row>
    <row r="880" spans="2:4" ht="15.75" thickBot="1" x14ac:dyDescent="0.3">
      <c r="B880" t="s">
        <v>1600</v>
      </c>
      <c r="C880" s="139" t="s">
        <v>1599</v>
      </c>
      <c r="D880" s="139"/>
    </row>
    <row r="881" spans="2:4" ht="15.75" thickBot="1" x14ac:dyDescent="0.3">
      <c r="B881" t="s">
        <v>1598</v>
      </c>
      <c r="C881" s="139" t="s">
        <v>1597</v>
      </c>
      <c r="D881" s="139"/>
    </row>
    <row r="882" spans="2:4" ht="15.75" thickBot="1" x14ac:dyDescent="0.3">
      <c r="B882" t="s">
        <v>1596</v>
      </c>
      <c r="C882" s="139" t="s">
        <v>1595</v>
      </c>
      <c r="D882" s="139"/>
    </row>
    <row r="883" spans="2:4" ht="15.75" thickBot="1" x14ac:dyDescent="0.3">
      <c r="B883" t="s">
        <v>1594</v>
      </c>
      <c r="C883" s="139" t="s">
        <v>1593</v>
      </c>
      <c r="D883" s="139"/>
    </row>
    <row r="884" spans="2:4" ht="15.75" thickBot="1" x14ac:dyDescent="0.3">
      <c r="B884" t="s">
        <v>1592</v>
      </c>
      <c r="C884" s="139" t="s">
        <v>1591</v>
      </c>
      <c r="D884" s="139"/>
    </row>
    <row r="885" spans="2:4" ht="15.75" thickBot="1" x14ac:dyDescent="0.3">
      <c r="B885" t="s">
        <v>1590</v>
      </c>
      <c r="C885" s="139" t="s">
        <v>1589</v>
      </c>
      <c r="D885" s="139"/>
    </row>
    <row r="886" spans="2:4" ht="15.75" thickBot="1" x14ac:dyDescent="0.3">
      <c r="B886" t="s">
        <v>1588</v>
      </c>
      <c r="C886" s="139" t="s">
        <v>1587</v>
      </c>
      <c r="D886" s="139"/>
    </row>
    <row r="887" spans="2:4" ht="15.75" thickBot="1" x14ac:dyDescent="0.3">
      <c r="B887" t="s">
        <v>1586</v>
      </c>
      <c r="C887" s="139" t="s">
        <v>1585</v>
      </c>
      <c r="D887" s="139"/>
    </row>
    <row r="888" spans="2:4" ht="15.75" thickBot="1" x14ac:dyDescent="0.3">
      <c r="B888" t="s">
        <v>1584</v>
      </c>
      <c r="C888" s="139" t="s">
        <v>1583</v>
      </c>
      <c r="D888" s="139"/>
    </row>
    <row r="889" spans="2:4" ht="15.75" thickBot="1" x14ac:dyDescent="0.3">
      <c r="B889" t="s">
        <v>1582</v>
      </c>
      <c r="C889" s="139" t="s">
        <v>1581</v>
      </c>
      <c r="D889" s="139"/>
    </row>
    <row r="890" spans="2:4" ht="15.75" thickBot="1" x14ac:dyDescent="0.3">
      <c r="B890" t="s">
        <v>1580</v>
      </c>
      <c r="C890" s="139" t="s">
        <v>1579</v>
      </c>
      <c r="D890" s="139"/>
    </row>
    <row r="891" spans="2:4" ht="15.75" thickBot="1" x14ac:dyDescent="0.3">
      <c r="B891" t="s">
        <v>1578</v>
      </c>
      <c r="C891" s="139" t="s">
        <v>1577</v>
      </c>
      <c r="D891" s="139"/>
    </row>
    <row r="892" spans="2:4" ht="15.75" thickBot="1" x14ac:dyDescent="0.3">
      <c r="B892" t="s">
        <v>1576</v>
      </c>
      <c r="C892" s="139" t="s">
        <v>1575</v>
      </c>
      <c r="D892" s="139"/>
    </row>
    <row r="893" spans="2:4" ht="15.75" thickBot="1" x14ac:dyDescent="0.3">
      <c r="B893" t="s">
        <v>1574</v>
      </c>
      <c r="C893" s="139" t="s">
        <v>1573</v>
      </c>
      <c r="D893" s="139"/>
    </row>
    <row r="894" spans="2:4" ht="15.75" thickBot="1" x14ac:dyDescent="0.3">
      <c r="B894" t="s">
        <v>1572</v>
      </c>
      <c r="C894" s="139" t="s">
        <v>1571</v>
      </c>
      <c r="D894" s="139"/>
    </row>
    <row r="895" spans="2:4" ht="15.75" thickBot="1" x14ac:dyDescent="0.3">
      <c r="B895" t="s">
        <v>1570</v>
      </c>
      <c r="C895" s="139" t="s">
        <v>1569</v>
      </c>
      <c r="D895" s="139"/>
    </row>
    <row r="896" spans="2:4" ht="15.75" thickBot="1" x14ac:dyDescent="0.3">
      <c r="B896" t="s">
        <v>1568</v>
      </c>
      <c r="C896" s="139" t="s">
        <v>1567</v>
      </c>
      <c r="D896" s="139"/>
    </row>
    <row r="897" spans="2:4" ht="15.75" thickBot="1" x14ac:dyDescent="0.3">
      <c r="B897" t="s">
        <v>1566</v>
      </c>
      <c r="C897" s="139" t="s">
        <v>1565</v>
      </c>
      <c r="D897" s="139"/>
    </row>
    <row r="898" spans="2:4" ht="15.75" thickBot="1" x14ac:dyDescent="0.3">
      <c r="B898" t="s">
        <v>1564</v>
      </c>
      <c r="C898" s="139" t="s">
        <v>1563</v>
      </c>
      <c r="D898" s="139"/>
    </row>
    <row r="899" spans="2:4" ht="15.75" thickBot="1" x14ac:dyDescent="0.3">
      <c r="B899" t="s">
        <v>1562</v>
      </c>
      <c r="C899" s="139" t="s">
        <v>1561</v>
      </c>
      <c r="D899" s="139"/>
    </row>
    <row r="900" spans="2:4" ht="15.75" thickBot="1" x14ac:dyDescent="0.3">
      <c r="B900" t="s">
        <v>1560</v>
      </c>
      <c r="C900" s="139" t="s">
        <v>1559</v>
      </c>
      <c r="D900" s="139"/>
    </row>
    <row r="901" spans="2:4" ht="30.75" thickBot="1" x14ac:dyDescent="0.3">
      <c r="B901" t="s">
        <v>1558</v>
      </c>
      <c r="C901" s="139" t="s">
        <v>1557</v>
      </c>
      <c r="D901" s="139"/>
    </row>
    <row r="902" spans="2:4" ht="15.75" thickBot="1" x14ac:dyDescent="0.3">
      <c r="B902" t="s">
        <v>1556</v>
      </c>
      <c r="C902" s="139" t="s">
        <v>1555</v>
      </c>
      <c r="D902" s="139"/>
    </row>
    <row r="903" spans="2:4" ht="15.75" thickBot="1" x14ac:dyDescent="0.3">
      <c r="B903" t="s">
        <v>1554</v>
      </c>
      <c r="C903" s="139" t="s">
        <v>1553</v>
      </c>
      <c r="D903" s="139"/>
    </row>
    <row r="904" spans="2:4" ht="15.75" thickBot="1" x14ac:dyDescent="0.3">
      <c r="B904" t="s">
        <v>1552</v>
      </c>
      <c r="C904" s="139" t="s">
        <v>1551</v>
      </c>
      <c r="D904" s="139"/>
    </row>
    <row r="905" spans="2:4" ht="15.75" thickBot="1" x14ac:dyDescent="0.3">
      <c r="B905" t="s">
        <v>1550</v>
      </c>
      <c r="C905" s="139" t="s">
        <v>1549</v>
      </c>
      <c r="D905" s="139"/>
    </row>
    <row r="906" spans="2:4" ht="15.75" thickBot="1" x14ac:dyDescent="0.3">
      <c r="B906" t="s">
        <v>1548</v>
      </c>
      <c r="C906" s="139" t="s">
        <v>1547</v>
      </c>
      <c r="D906" s="139"/>
    </row>
    <row r="907" spans="2:4" ht="15.75" thickBot="1" x14ac:dyDescent="0.3">
      <c r="B907" t="s">
        <v>1546</v>
      </c>
      <c r="C907" s="139" t="s">
        <v>1545</v>
      </c>
      <c r="D907" s="139"/>
    </row>
    <row r="908" spans="2:4" ht="15.75" thickBot="1" x14ac:dyDescent="0.3">
      <c r="B908" t="s">
        <v>1544</v>
      </c>
      <c r="C908" s="139" t="s">
        <v>1543</v>
      </c>
      <c r="D908" s="139"/>
    </row>
    <row r="909" spans="2:4" ht="15.75" thickBot="1" x14ac:dyDescent="0.3">
      <c r="B909" t="s">
        <v>1542</v>
      </c>
      <c r="C909" s="139" t="s">
        <v>1541</v>
      </c>
      <c r="D909" s="139"/>
    </row>
    <row r="910" spans="2:4" ht="15.75" thickBot="1" x14ac:dyDescent="0.3">
      <c r="B910" t="s">
        <v>1540</v>
      </c>
      <c r="C910" s="139" t="s">
        <v>1539</v>
      </c>
      <c r="D910" s="139"/>
    </row>
    <row r="911" spans="2:4" ht="15.75" thickBot="1" x14ac:dyDescent="0.3">
      <c r="B911" t="s">
        <v>1538</v>
      </c>
      <c r="C911" s="139" t="s">
        <v>1537</v>
      </c>
      <c r="D911" s="139"/>
    </row>
    <row r="912" spans="2:4" ht="15.75" thickBot="1" x14ac:dyDescent="0.3">
      <c r="B912" t="s">
        <v>1536</v>
      </c>
      <c r="C912" s="139" t="s">
        <v>1535</v>
      </c>
      <c r="D912" s="139"/>
    </row>
    <row r="913" spans="2:4" ht="15.75" thickBot="1" x14ac:dyDescent="0.3">
      <c r="B913" t="s">
        <v>1534</v>
      </c>
      <c r="C913" s="139" t="s">
        <v>1533</v>
      </c>
      <c r="D913" s="139"/>
    </row>
    <row r="914" spans="2:4" ht="15.75" thickBot="1" x14ac:dyDescent="0.3">
      <c r="B914" t="s">
        <v>1532</v>
      </c>
      <c r="C914" s="139" t="s">
        <v>1531</v>
      </c>
      <c r="D914" s="139"/>
    </row>
    <row r="915" spans="2:4" ht="15.75" thickBot="1" x14ac:dyDescent="0.3">
      <c r="B915" t="s">
        <v>1530</v>
      </c>
      <c r="C915" s="139" t="s">
        <v>1529</v>
      </c>
      <c r="D915" s="139"/>
    </row>
    <row r="916" spans="2:4" ht="15.75" thickBot="1" x14ac:dyDescent="0.3">
      <c r="B916" t="s">
        <v>1528</v>
      </c>
      <c r="C916" s="139" t="s">
        <v>1528</v>
      </c>
      <c r="D916" s="139"/>
    </row>
    <row r="917" spans="2:4" ht="15.75" thickBot="1" x14ac:dyDescent="0.3">
      <c r="B917" t="s">
        <v>1527</v>
      </c>
      <c r="C917" s="139" t="s">
        <v>1527</v>
      </c>
      <c r="D917" s="139"/>
    </row>
    <row r="918" spans="2:4" ht="15.75" thickBot="1" x14ac:dyDescent="0.3">
      <c r="B918" t="s">
        <v>1526</v>
      </c>
      <c r="C918" s="139" t="s">
        <v>1526</v>
      </c>
      <c r="D918" s="139"/>
    </row>
    <row r="919" spans="2:4" ht="15.75" thickBot="1" x14ac:dyDescent="0.3">
      <c r="B919" t="s">
        <v>1525</v>
      </c>
      <c r="C919" s="139" t="s">
        <v>1525</v>
      </c>
      <c r="D919" s="139"/>
    </row>
    <row r="920" spans="2:4" ht="15.75" thickBot="1" x14ac:dyDescent="0.3">
      <c r="B920" t="s">
        <v>1524</v>
      </c>
      <c r="C920" s="139" t="s">
        <v>1524</v>
      </c>
      <c r="D920" s="139"/>
    </row>
    <row r="921" spans="2:4" ht="15.75" thickBot="1" x14ac:dyDescent="0.3">
      <c r="B921" t="s">
        <v>1523</v>
      </c>
      <c r="C921" s="139" t="s">
        <v>1523</v>
      </c>
      <c r="D921" s="139"/>
    </row>
    <row r="922" spans="2:4" ht="15.75" thickBot="1" x14ac:dyDescent="0.3">
      <c r="B922" t="s">
        <v>1522</v>
      </c>
      <c r="C922" s="139" t="s">
        <v>1522</v>
      </c>
      <c r="D922" s="139"/>
    </row>
    <row r="923" spans="2:4" ht="15.75" thickBot="1" x14ac:dyDescent="0.3">
      <c r="B923" t="s">
        <v>1521</v>
      </c>
      <c r="C923" s="139" t="s">
        <v>1521</v>
      </c>
      <c r="D923" s="139"/>
    </row>
    <row r="924" spans="2:4" ht="15.75" thickBot="1" x14ac:dyDescent="0.3">
      <c r="B924" t="s">
        <v>1520</v>
      </c>
      <c r="C924" s="139" t="s">
        <v>1520</v>
      </c>
      <c r="D924" s="139"/>
    </row>
    <row r="925" spans="2:4" ht="15.75" thickBot="1" x14ac:dyDescent="0.3">
      <c r="B925" t="s">
        <v>1519</v>
      </c>
      <c r="C925" s="139" t="s">
        <v>1519</v>
      </c>
      <c r="D925" s="139"/>
    </row>
    <row r="926" spans="2:4" ht="15.75" thickBot="1" x14ac:dyDescent="0.3">
      <c r="B926" t="s">
        <v>1518</v>
      </c>
      <c r="C926" s="139" t="s">
        <v>1518</v>
      </c>
      <c r="D926" s="139"/>
    </row>
    <row r="927" spans="2:4" ht="15.75" thickBot="1" x14ac:dyDescent="0.3">
      <c r="B927" t="s">
        <v>1517</v>
      </c>
      <c r="C927" s="139" t="s">
        <v>1517</v>
      </c>
      <c r="D927" s="139"/>
    </row>
    <row r="928" spans="2:4" ht="15.75" thickBot="1" x14ac:dyDescent="0.3">
      <c r="B928" t="s">
        <v>1516</v>
      </c>
      <c r="C928" s="139" t="s">
        <v>1516</v>
      </c>
      <c r="D928" s="139"/>
    </row>
    <row r="929" spans="2:4" ht="30.75" thickBot="1" x14ac:dyDescent="0.3">
      <c r="B929" t="s">
        <v>1515</v>
      </c>
      <c r="C929" s="139" t="s">
        <v>1515</v>
      </c>
      <c r="D929" s="139"/>
    </row>
    <row r="930" spans="2:4" ht="30.75" thickBot="1" x14ac:dyDescent="0.3">
      <c r="B930" t="s">
        <v>1514</v>
      </c>
      <c r="C930" s="139" t="s">
        <v>1514</v>
      </c>
      <c r="D930" s="139"/>
    </row>
    <row r="931" spans="2:4" ht="30.75" thickBot="1" x14ac:dyDescent="0.3">
      <c r="B931" t="s">
        <v>1513</v>
      </c>
      <c r="C931" s="139" t="s">
        <v>1513</v>
      </c>
      <c r="D931" s="139"/>
    </row>
    <row r="932" spans="2:4" ht="15.75" thickBot="1" x14ac:dyDescent="0.3">
      <c r="B932" t="s">
        <v>1512</v>
      </c>
      <c r="C932" s="139" t="s">
        <v>1512</v>
      </c>
      <c r="D932" s="139"/>
    </row>
    <row r="933" spans="2:4" ht="15.75" thickBot="1" x14ac:dyDescent="0.3">
      <c r="B933" t="s">
        <v>1511</v>
      </c>
      <c r="C933" s="139" t="s">
        <v>1511</v>
      </c>
      <c r="D933" s="139"/>
    </row>
    <row r="934" spans="2:4" ht="15.75" thickBot="1" x14ac:dyDescent="0.3">
      <c r="B934" t="s">
        <v>1510</v>
      </c>
      <c r="C934" s="139" t="s">
        <v>1510</v>
      </c>
      <c r="D934" s="139"/>
    </row>
    <row r="935" spans="2:4" ht="15.75" thickBot="1" x14ac:dyDescent="0.3">
      <c r="B935" t="s">
        <v>1509</v>
      </c>
      <c r="C935" s="139" t="s">
        <v>1509</v>
      </c>
      <c r="D935" s="139"/>
    </row>
    <row r="936" spans="2:4" ht="15.75" thickBot="1" x14ac:dyDescent="0.3">
      <c r="B936" t="s">
        <v>1508</v>
      </c>
      <c r="C936" s="139" t="s">
        <v>1508</v>
      </c>
      <c r="D936" s="139"/>
    </row>
    <row r="937" spans="2:4" ht="15.75" thickBot="1" x14ac:dyDescent="0.3">
      <c r="B937" t="s">
        <v>1507</v>
      </c>
      <c r="C937" s="139" t="s">
        <v>1507</v>
      </c>
      <c r="D937" s="139"/>
    </row>
    <row r="938" spans="2:4" ht="15.75" thickBot="1" x14ac:dyDescent="0.3">
      <c r="B938" t="s">
        <v>1506</v>
      </c>
      <c r="C938" s="139" t="s">
        <v>1506</v>
      </c>
      <c r="D938" s="139"/>
    </row>
    <row r="939" spans="2:4" ht="15.75" thickBot="1" x14ac:dyDescent="0.3">
      <c r="B939" t="s">
        <v>1505</v>
      </c>
      <c r="C939" s="139" t="s">
        <v>1505</v>
      </c>
      <c r="D939" s="139"/>
    </row>
    <row r="940" spans="2:4" ht="15.75" thickBot="1" x14ac:dyDescent="0.3">
      <c r="B940" t="s">
        <v>1504</v>
      </c>
      <c r="C940" s="139" t="s">
        <v>1504</v>
      </c>
      <c r="D940" s="139"/>
    </row>
    <row r="941" spans="2:4" ht="15.75" thickBot="1" x14ac:dyDescent="0.3">
      <c r="B941" t="s">
        <v>1503</v>
      </c>
      <c r="C941" s="139" t="s">
        <v>1503</v>
      </c>
      <c r="D941" s="139"/>
    </row>
    <row r="942" spans="2:4" ht="15.75" thickBot="1" x14ac:dyDescent="0.3">
      <c r="B942" t="s">
        <v>1502</v>
      </c>
      <c r="C942" s="139" t="s">
        <v>1502</v>
      </c>
      <c r="D942" s="139"/>
    </row>
    <row r="943" spans="2:4" ht="15.75" thickBot="1" x14ac:dyDescent="0.3">
      <c r="B943" t="s">
        <v>1501</v>
      </c>
      <c r="C943" s="139" t="s">
        <v>1501</v>
      </c>
      <c r="D943" s="139"/>
    </row>
    <row r="944" spans="2:4" ht="15.75" thickBot="1" x14ac:dyDescent="0.3">
      <c r="B944" t="s">
        <v>1500</v>
      </c>
      <c r="C944" s="139" t="s">
        <v>1500</v>
      </c>
      <c r="D944" s="139"/>
    </row>
    <row r="945" spans="2:4" ht="15.75" thickBot="1" x14ac:dyDescent="0.3">
      <c r="B945" t="s">
        <v>1499</v>
      </c>
      <c r="C945" s="139" t="s">
        <v>1499</v>
      </c>
      <c r="D945" s="139"/>
    </row>
    <row r="946" spans="2:4" x14ac:dyDescent="0.25">
      <c r="B946" s="140" t="s">
        <v>1498</v>
      </c>
      <c r="C946" s="140" t="s">
        <v>1498</v>
      </c>
      <c r="D946" s="140"/>
    </row>
    <row r="947" spans="2:4" ht="15.75" thickBot="1" x14ac:dyDescent="0.3">
      <c r="C947" s="139"/>
      <c r="D947" s="138"/>
    </row>
    <row r="948" spans="2:4" ht="15.75" thickBot="1" x14ac:dyDescent="0.3">
      <c r="C948" s="139"/>
      <c r="D948" s="138"/>
    </row>
    <row r="949" spans="2:4" ht="15.75" thickBot="1" x14ac:dyDescent="0.3">
      <c r="C949" s="139"/>
      <c r="D949" s="138"/>
    </row>
    <row r="950" spans="2:4" ht="15.75" thickBot="1" x14ac:dyDescent="0.3">
      <c r="C950" s="139"/>
      <c r="D950" s="138"/>
    </row>
    <row r="951" spans="2:4" ht="15.75" thickBot="1" x14ac:dyDescent="0.3">
      <c r="C951" s="139"/>
      <c r="D951" s="138"/>
    </row>
    <row r="952" spans="2:4" ht="15.75" thickBot="1" x14ac:dyDescent="0.3">
      <c r="C952" s="139"/>
      <c r="D952" s="138"/>
    </row>
    <row r="953" spans="2:4" ht="15.75" thickBot="1" x14ac:dyDescent="0.3">
      <c r="C953" s="139"/>
      <c r="D953" s="138"/>
    </row>
    <row r="954" spans="2:4" ht="15.75" thickBot="1" x14ac:dyDescent="0.3">
      <c r="C954" s="139"/>
      <c r="D954" s="138"/>
    </row>
    <row r="955" spans="2:4" ht="15.75" thickBot="1" x14ac:dyDescent="0.3">
      <c r="C955" s="139"/>
      <c r="D955" s="138"/>
    </row>
    <row r="956" spans="2:4" ht="15.75" thickBot="1" x14ac:dyDescent="0.3">
      <c r="C956" s="139"/>
      <c r="D956" s="138"/>
    </row>
    <row r="957" spans="2:4" ht="15.75" thickBot="1" x14ac:dyDescent="0.3">
      <c r="C957" s="139"/>
      <c r="D957" s="138"/>
    </row>
    <row r="958" spans="2:4" ht="15.75" thickBot="1" x14ac:dyDescent="0.3">
      <c r="C958" s="139"/>
      <c r="D958" s="138"/>
    </row>
    <row r="959" spans="2:4" ht="15.75" thickBot="1" x14ac:dyDescent="0.3">
      <c r="C959" s="139"/>
      <c r="D959" s="138"/>
    </row>
    <row r="960" spans="2:4" ht="15.75" thickBot="1" x14ac:dyDescent="0.3">
      <c r="C960" s="139"/>
      <c r="D960" s="138"/>
    </row>
    <row r="961" spans="1:5" ht="15.75" thickBot="1" x14ac:dyDescent="0.3">
      <c r="C961" s="139"/>
      <c r="D961" s="138"/>
    </row>
    <row r="962" spans="1:5" ht="15.75" thickBot="1" x14ac:dyDescent="0.3">
      <c r="C962" s="139"/>
      <c r="D962" s="138"/>
    </row>
    <row r="963" spans="1:5" ht="15.75" thickBot="1" x14ac:dyDescent="0.3">
      <c r="C963" s="139"/>
      <c r="D963" s="138"/>
    </row>
    <row r="964" spans="1:5" ht="15.75" thickBot="1" x14ac:dyDescent="0.3">
      <c r="C964" s="139"/>
      <c r="D964" s="138"/>
    </row>
    <row r="965" spans="1:5" ht="15.75" thickBot="1" x14ac:dyDescent="0.3">
      <c r="C965" s="139"/>
      <c r="D965" s="138"/>
    </row>
    <row r="966" spans="1:5" s="62" customFormat="1" x14ac:dyDescent="0.25"/>
    <row r="967" spans="1:5" ht="15.75" thickBot="1" x14ac:dyDescent="0.3">
      <c r="C967" s="139"/>
      <c r="D967" s="138"/>
    </row>
    <row r="968" spans="1:5" ht="15.75" x14ac:dyDescent="0.25">
      <c r="B968" s="137" t="s">
        <v>1497</v>
      </c>
    </row>
    <row r="969" spans="1:5" ht="15.75" x14ac:dyDescent="0.25">
      <c r="B969" s="137"/>
    </row>
    <row r="970" spans="1:5" ht="56.25" x14ac:dyDescent="0.25">
      <c r="B970" s="136" t="s">
        <v>1496</v>
      </c>
    </row>
    <row r="971" spans="1:5" x14ac:dyDescent="0.25">
      <c r="B971" s="136"/>
    </row>
    <row r="972" spans="1:5" x14ac:dyDescent="0.25">
      <c r="B972" s="30" t="s">
        <v>1414</v>
      </c>
    </row>
    <row r="974" spans="1:5" s="27" customFormat="1" x14ac:dyDescent="0.25">
      <c r="A974" s="27" t="s">
        <v>1495</v>
      </c>
      <c r="B974" s="27" t="s">
        <v>1494</v>
      </c>
      <c r="C974" s="27" t="s">
        <v>1493</v>
      </c>
      <c r="E974" s="27" t="s">
        <v>1492</v>
      </c>
    </row>
    <row r="975" spans="1:5" x14ac:dyDescent="0.25">
      <c r="A975" t="s">
        <v>1491</v>
      </c>
      <c r="B975" t="s">
        <v>1490</v>
      </c>
      <c r="C975" t="s">
        <v>1489</v>
      </c>
      <c r="E975" s="28">
        <v>93.8</v>
      </c>
    </row>
    <row r="976" spans="1:5" x14ac:dyDescent="0.25">
      <c r="A976" t="s">
        <v>1488</v>
      </c>
      <c r="B976" t="s">
        <v>1487</v>
      </c>
      <c r="C976" t="s">
        <v>1486</v>
      </c>
      <c r="E976" s="28">
        <v>83.3</v>
      </c>
    </row>
    <row r="977" spans="1:5" x14ac:dyDescent="0.25">
      <c r="A977" t="s">
        <v>1485</v>
      </c>
      <c r="B977" t="s">
        <v>1484</v>
      </c>
      <c r="C977" t="s">
        <v>1483</v>
      </c>
      <c r="E977" s="28">
        <v>79</v>
      </c>
    </row>
    <row r="978" spans="1:5" x14ac:dyDescent="0.25">
      <c r="A978" t="s">
        <v>1482</v>
      </c>
      <c r="B978" t="s">
        <v>1481</v>
      </c>
      <c r="C978" t="s">
        <v>1480</v>
      </c>
      <c r="E978" s="28">
        <v>77.7</v>
      </c>
    </row>
    <row r="979" spans="1:5" x14ac:dyDescent="0.25">
      <c r="A979" t="s">
        <v>1479</v>
      </c>
      <c r="B979" t="s">
        <v>1478</v>
      </c>
      <c r="C979" t="s">
        <v>1477</v>
      </c>
      <c r="E979" s="28">
        <v>76.900000000000006</v>
      </c>
    </row>
    <row r="980" spans="1:5" x14ac:dyDescent="0.25">
      <c r="A980" t="s">
        <v>1476</v>
      </c>
      <c r="B980" t="s">
        <v>1475</v>
      </c>
      <c r="C980" t="s">
        <v>1474</v>
      </c>
      <c r="E980" s="28">
        <v>76.8</v>
      </c>
    </row>
    <row r="981" spans="1:5" x14ac:dyDescent="0.25">
      <c r="A981" t="s">
        <v>1473</v>
      </c>
      <c r="B981" t="s">
        <v>1472</v>
      </c>
      <c r="C981" t="s">
        <v>1471</v>
      </c>
      <c r="E981" s="28">
        <v>75</v>
      </c>
    </row>
    <row r="982" spans="1:5" x14ac:dyDescent="0.25">
      <c r="A982" t="s">
        <v>1470</v>
      </c>
      <c r="B982" t="s">
        <v>1469</v>
      </c>
      <c r="C982" t="s">
        <v>1468</v>
      </c>
      <c r="E982" s="28">
        <v>75</v>
      </c>
    </row>
    <row r="983" spans="1:5" x14ac:dyDescent="0.25">
      <c r="A983" t="s">
        <v>1467</v>
      </c>
      <c r="B983" t="s">
        <v>1466</v>
      </c>
      <c r="C983" t="s">
        <v>1465</v>
      </c>
      <c r="E983" s="28">
        <v>74</v>
      </c>
    </row>
    <row r="984" spans="1:5" x14ac:dyDescent="0.25">
      <c r="A984" t="s">
        <v>1464</v>
      </c>
      <c r="B984" t="s">
        <v>1463</v>
      </c>
      <c r="C984" t="s">
        <v>1462</v>
      </c>
      <c r="E984" s="28">
        <v>73.8</v>
      </c>
    </row>
    <row r="985" spans="1:5" x14ac:dyDescent="0.25">
      <c r="A985" t="s">
        <v>1461</v>
      </c>
      <c r="B985" t="s">
        <v>1460</v>
      </c>
      <c r="C985" t="s">
        <v>1459</v>
      </c>
      <c r="E985" s="28">
        <v>73.099999999999994</v>
      </c>
    </row>
    <row r="986" spans="1:5" x14ac:dyDescent="0.25">
      <c r="A986" t="s">
        <v>1458</v>
      </c>
      <c r="B986" t="s">
        <v>1457</v>
      </c>
      <c r="C986" t="s">
        <v>1456</v>
      </c>
      <c r="E986" s="28">
        <v>70.099999999999994</v>
      </c>
    </row>
    <row r="987" spans="1:5" x14ac:dyDescent="0.25">
      <c r="A987" t="s">
        <v>1455</v>
      </c>
      <c r="B987" t="s">
        <v>1454</v>
      </c>
      <c r="C987" t="s">
        <v>1453</v>
      </c>
      <c r="E987" s="28">
        <v>69.3</v>
      </c>
    </row>
    <row r="988" spans="1:5" x14ac:dyDescent="0.25">
      <c r="A988" t="s">
        <v>1452</v>
      </c>
      <c r="B988" t="s">
        <v>1451</v>
      </c>
      <c r="C988" t="s">
        <v>1450</v>
      </c>
      <c r="E988" s="28">
        <v>68.5</v>
      </c>
    </row>
    <row r="989" spans="1:5" x14ac:dyDescent="0.25">
      <c r="A989" t="s">
        <v>1449</v>
      </c>
      <c r="B989" t="s">
        <v>1448</v>
      </c>
      <c r="C989" t="s">
        <v>1447</v>
      </c>
      <c r="E989" s="28">
        <v>67.8</v>
      </c>
    </row>
    <row r="990" spans="1:5" x14ac:dyDescent="0.25">
      <c r="A990" t="s">
        <v>1446</v>
      </c>
      <c r="B990" t="s">
        <v>1445</v>
      </c>
      <c r="C990" t="s">
        <v>1444</v>
      </c>
      <c r="E990" s="28">
        <v>66</v>
      </c>
    </row>
    <row r="991" spans="1:5" x14ac:dyDescent="0.25">
      <c r="A991" t="s">
        <v>1443</v>
      </c>
      <c r="B991" t="s">
        <v>1442</v>
      </c>
      <c r="C991" t="s">
        <v>1441</v>
      </c>
      <c r="E991" s="28">
        <v>65.5</v>
      </c>
    </row>
    <row r="992" spans="1:5" x14ac:dyDescent="0.25">
      <c r="A992" t="s">
        <v>1440</v>
      </c>
      <c r="B992" t="s">
        <v>1439</v>
      </c>
      <c r="C992" t="s">
        <v>1438</v>
      </c>
      <c r="E992" s="28">
        <v>64.599999999999994</v>
      </c>
    </row>
    <row r="993" spans="1:5" x14ac:dyDescent="0.25">
      <c r="A993" t="s">
        <v>1437</v>
      </c>
      <c r="B993" t="s">
        <v>1436</v>
      </c>
      <c r="C993" t="s">
        <v>1435</v>
      </c>
      <c r="E993" s="28">
        <v>64.099999999999994</v>
      </c>
    </row>
    <row r="994" spans="1:5" x14ac:dyDescent="0.25">
      <c r="A994" t="s">
        <v>1434</v>
      </c>
      <c r="B994" t="s">
        <v>1433</v>
      </c>
      <c r="C994" t="s">
        <v>1432</v>
      </c>
      <c r="E994" s="28">
        <v>62.4</v>
      </c>
    </row>
    <row r="995" spans="1:5" x14ac:dyDescent="0.25">
      <c r="A995" t="s">
        <v>1431</v>
      </c>
      <c r="B995" t="s">
        <v>1430</v>
      </c>
      <c r="C995" t="s">
        <v>1429</v>
      </c>
      <c r="E995" s="28">
        <v>61.5</v>
      </c>
    </row>
    <row r="996" spans="1:5" x14ac:dyDescent="0.25">
      <c r="A996" t="s">
        <v>1428</v>
      </c>
      <c r="B996" t="s">
        <v>1427</v>
      </c>
      <c r="C996" t="s">
        <v>1426</v>
      </c>
      <c r="E996" s="28">
        <v>61.1</v>
      </c>
    </row>
    <row r="997" spans="1:5" x14ac:dyDescent="0.25">
      <c r="A997" t="s">
        <v>1425</v>
      </c>
      <c r="B997" t="s">
        <v>1424</v>
      </c>
      <c r="C997" t="s">
        <v>1423</v>
      </c>
      <c r="E997" s="28">
        <v>61</v>
      </c>
    </row>
    <row r="998" spans="1:5" x14ac:dyDescent="0.25">
      <c r="A998" t="s">
        <v>1422</v>
      </c>
      <c r="B998" t="s">
        <v>1421</v>
      </c>
      <c r="C998" t="s">
        <v>1420</v>
      </c>
      <c r="E998" s="28">
        <v>60.3</v>
      </c>
    </row>
    <row r="999" spans="1:5" x14ac:dyDescent="0.25">
      <c r="A999" t="s">
        <v>1419</v>
      </c>
      <c r="B999" t="s">
        <v>1418</v>
      </c>
      <c r="C999" t="s">
        <v>1417</v>
      </c>
      <c r="E999" s="28">
        <v>59.9</v>
      </c>
    </row>
    <row r="1001" spans="1:5" s="62" customFormat="1" x14ac:dyDescent="0.25"/>
    <row r="1003" spans="1:5" ht="15.75" x14ac:dyDescent="0.25">
      <c r="B1003" s="137" t="s">
        <v>1416</v>
      </c>
    </row>
    <row r="1004" spans="1:5" ht="67.5" x14ac:dyDescent="0.25">
      <c r="B1004" s="136" t="s">
        <v>1415</v>
      </c>
    </row>
    <row r="1005" spans="1:5" x14ac:dyDescent="0.25">
      <c r="B1005" s="30" t="s">
        <v>1414</v>
      </c>
    </row>
    <row r="1007" spans="1:5" x14ac:dyDescent="0.25">
      <c r="B1007" s="135" t="s">
        <v>1413</v>
      </c>
    </row>
    <row r="1008" spans="1:5" x14ac:dyDescent="0.25">
      <c r="B1008" s="134" t="s">
        <v>1412</v>
      </c>
    </row>
    <row r="1009" spans="2:2" x14ac:dyDescent="0.25">
      <c r="B1009" s="133" t="s">
        <v>1411</v>
      </c>
    </row>
    <row r="1010" spans="2:2" x14ac:dyDescent="0.25">
      <c r="B1010" s="133" t="s">
        <v>1410</v>
      </c>
    </row>
    <row r="1011" spans="2:2" x14ac:dyDescent="0.25">
      <c r="B1011" s="133" t="s">
        <v>1409</v>
      </c>
    </row>
    <row r="1012" spans="2:2" x14ac:dyDescent="0.25">
      <c r="B1012" s="133" t="s">
        <v>1408</v>
      </c>
    </row>
    <row r="1013" spans="2:2" x14ac:dyDescent="0.25">
      <c r="B1013" s="133" t="s">
        <v>1407</v>
      </c>
    </row>
    <row r="1014" spans="2:2" x14ac:dyDescent="0.25">
      <c r="B1014" s="133" t="s">
        <v>1406</v>
      </c>
    </row>
    <row r="1015" spans="2:2" x14ac:dyDescent="0.25">
      <c r="B1015" s="133" t="s">
        <v>1405</v>
      </c>
    </row>
    <row r="1016" spans="2:2" x14ac:dyDescent="0.25">
      <c r="B1016" s="133" t="s">
        <v>1404</v>
      </c>
    </row>
    <row r="1017" spans="2:2" x14ac:dyDescent="0.25">
      <c r="B1017" s="133" t="s">
        <v>1403</v>
      </c>
    </row>
    <row r="1018" spans="2:2" x14ac:dyDescent="0.25">
      <c r="B1018" s="135" t="s">
        <v>1402</v>
      </c>
    </row>
    <row r="1019" spans="2:2" x14ac:dyDescent="0.25">
      <c r="B1019" s="134" t="s">
        <v>1401</v>
      </c>
    </row>
    <row r="1020" spans="2:2" x14ac:dyDescent="0.25">
      <c r="B1020" s="133" t="s">
        <v>1400</v>
      </c>
    </row>
    <row r="1021" spans="2:2" x14ac:dyDescent="0.25">
      <c r="B1021" s="133" t="s">
        <v>1399</v>
      </c>
    </row>
    <row r="1022" spans="2:2" x14ac:dyDescent="0.25">
      <c r="B1022" s="133" t="s">
        <v>1398</v>
      </c>
    </row>
    <row r="1023" spans="2:2" x14ac:dyDescent="0.25">
      <c r="B1023" s="133" t="s">
        <v>1397</v>
      </c>
    </row>
    <row r="1024" spans="2:2" x14ac:dyDescent="0.25">
      <c r="B1024" s="133" t="s">
        <v>1396</v>
      </c>
    </row>
    <row r="1025" spans="2:2" x14ac:dyDescent="0.25">
      <c r="B1025" s="133" t="s">
        <v>1395</v>
      </c>
    </row>
    <row r="1026" spans="2:2" x14ac:dyDescent="0.25">
      <c r="B1026" s="133" t="s">
        <v>1394</v>
      </c>
    </row>
    <row r="1027" spans="2:2" x14ac:dyDescent="0.25">
      <c r="B1027" s="133" t="s">
        <v>1393</v>
      </c>
    </row>
    <row r="1028" spans="2:2" x14ac:dyDescent="0.25">
      <c r="B1028" s="133" t="s">
        <v>1392</v>
      </c>
    </row>
    <row r="1029" spans="2:2" x14ac:dyDescent="0.25">
      <c r="B1029" s="135" t="s">
        <v>1391</v>
      </c>
    </row>
    <row r="1030" spans="2:2" x14ac:dyDescent="0.25">
      <c r="B1030" s="134" t="s">
        <v>1390</v>
      </c>
    </row>
    <row r="1031" spans="2:2" x14ac:dyDescent="0.25">
      <c r="B1031" s="133" t="s">
        <v>1389</v>
      </c>
    </row>
    <row r="1032" spans="2:2" x14ac:dyDescent="0.25">
      <c r="B1032" s="133" t="s">
        <v>1388</v>
      </c>
    </row>
    <row r="1033" spans="2:2" x14ac:dyDescent="0.25">
      <c r="B1033" s="133" t="s">
        <v>1387</v>
      </c>
    </row>
    <row r="1034" spans="2:2" x14ac:dyDescent="0.25">
      <c r="B1034" s="133" t="s">
        <v>1386</v>
      </c>
    </row>
    <row r="1035" spans="2:2" x14ac:dyDescent="0.25">
      <c r="B1035" s="133" t="s">
        <v>1385</v>
      </c>
    </row>
    <row r="1036" spans="2:2" x14ac:dyDescent="0.25">
      <c r="B1036" s="133" t="s">
        <v>1384</v>
      </c>
    </row>
    <row r="1037" spans="2:2" x14ac:dyDescent="0.25">
      <c r="B1037" s="133" t="s">
        <v>1383</v>
      </c>
    </row>
    <row r="1039" spans="2:2" s="62" customFormat="1" x14ac:dyDescent="0.25"/>
  </sheetData>
  <hyperlinks>
    <hyperlink ref="C6" r:id="rId1" display="http://cwe.mitre.org/data/definitions/751.html" xr:uid="{00000000-0004-0000-0600-000000000000}"/>
    <hyperlink ref="C7" r:id="rId2" display="http://cwe.mitre.org/data/definitions/753.html" xr:uid="{00000000-0004-0000-0600-000001000000}"/>
    <hyperlink ref="C8" r:id="rId3" display="http://cwe.mitre.org/data/definitions/752.html" xr:uid="{00000000-0004-0000-0600-000002000000}"/>
    <hyperlink ref="C9" r:id="rId4" display="http://cwe.mitre.org/data/definitions/801.html" xr:uid="{00000000-0004-0000-0600-000003000000}"/>
    <hyperlink ref="C10" r:id="rId5" display="http://cwe.mitre.org/data/definitions/803.html" xr:uid="{00000000-0004-0000-0600-000004000000}"/>
    <hyperlink ref="C11" r:id="rId6" display="http://cwe.mitre.org/data/definitions/802.html" xr:uid="{00000000-0004-0000-0600-000005000000}"/>
    <hyperlink ref="C12" r:id="rId7" display="http://cwe.mitre.org/data/definitions/808.html" xr:uid="{00000000-0004-0000-0600-000006000000}"/>
    <hyperlink ref="C13" r:id="rId8" display="http://cwe.mitre.org/data/definitions/864.html" xr:uid="{00000000-0004-0000-0600-000007000000}"/>
    <hyperlink ref="C14" r:id="rId9" display="http://cwe.mitre.org/data/definitions/866.html" xr:uid="{00000000-0004-0000-0600-000008000000}"/>
    <hyperlink ref="C15" r:id="rId10" display="http://cwe.mitre.org/data/definitions/865.html" xr:uid="{00000000-0004-0000-0600-000009000000}"/>
    <hyperlink ref="C16" r:id="rId11" display="http://cwe.mitre.org/data/definitions/867.html" xr:uid="{00000000-0004-0000-0600-00000A000000}"/>
    <hyperlink ref="C17" r:id="rId12" display="http://cwe.mitre.org/data/definitions/36.html" xr:uid="{00000000-0004-0000-0600-00000B000000}"/>
    <hyperlink ref="C18" r:id="rId13" display="http://cwe.mitre.org/data/definitions/349.html" xr:uid="{00000000-0004-0000-0600-00000C000000}"/>
    <hyperlink ref="C19" r:id="rId14" display="http://cwe.mitre.org/data/definitions/788.html" xr:uid="{00000000-0004-0000-0600-00000D000000}"/>
    <hyperlink ref="C20" r:id="rId15" display="http://cwe.mitre.org/data/definitions/786.html" xr:uid="{00000000-0004-0000-0600-00000E000000}"/>
    <hyperlink ref="C21" r:id="rId16" display="http://cwe.mitre.org/data/definitions/843.html" xr:uid="{00000000-0004-0000-0600-00000F000000}"/>
    <hyperlink ref="C22" r:id="rId17" display="http://cwe.mitre.org/data/definitions/824.html" xr:uid="{00000000-0004-0000-0600-000010000000}"/>
    <hyperlink ref="C23" r:id="rId18" display="http://cwe.mitre.org/data/definitions/767.html" xr:uid="{00000000-0004-0000-0600-000011000000}"/>
    <hyperlink ref="C24" r:id="rId19" display="http://cwe.mitre.org/data/definitions/464.html" xr:uid="{00000000-0004-0000-0600-000012000000}"/>
    <hyperlink ref="C25" r:id="rId20" display="http://cwe.mitre.org/data/definitions/407.html" xr:uid="{00000000-0004-0000-0600-000013000000}"/>
    <hyperlink ref="C26" r:id="rId21" display="http://cwe.mitre.org/data/definitions/774.html" xr:uid="{00000000-0004-0000-0600-000014000000}"/>
    <hyperlink ref="C27" r:id="rId22" display="http://cwe.mitre.org/data/definitions/770.html" xr:uid="{00000000-0004-0000-0600-000015000000}"/>
    <hyperlink ref="C28" r:id="rId23" display="http://cwe.mitre.org/data/definitions/670.html" xr:uid="{00000000-0004-0000-0600-000016000000}"/>
    <hyperlink ref="C29" r:id="rId24" display="http://cwe.mitre.org/data/definitions/71.html" xr:uid="{00000000-0004-0000-0600-000017000000}"/>
    <hyperlink ref="C30" r:id="rId25" display="http://cwe.mitre.org/data/definitions/88.html" xr:uid="{00000000-0004-0000-0600-000018000000}"/>
    <hyperlink ref="C31" r:id="rId26" display="http://cwe.mitre.org/data/definitions/582.html" xr:uid="{00000000-0004-0000-0600-000019000000}"/>
    <hyperlink ref="C32" r:id="rId27" display="http://cwe.mitre.org/data/definitions/10.html" xr:uid="{00000000-0004-0000-0600-00001A000000}"/>
    <hyperlink ref="C33" r:id="rId28" display="http://cwe.mitre.org/data/definitions/11.html" xr:uid="{00000000-0004-0000-0600-00001B000000}"/>
    <hyperlink ref="C34" r:id="rId29" display="http://cwe.mitre.org/data/definitions/12.html" xr:uid="{00000000-0004-0000-0600-00001C000000}"/>
    <hyperlink ref="C35" r:id="rId30" display="http://cwe.mitre.org/data/definitions/554.html" xr:uid="{00000000-0004-0000-0600-00001D000000}"/>
    <hyperlink ref="C36" r:id="rId31" display="http://cwe.mitre.org/data/definitions/13.html" xr:uid="{00000000-0004-0000-0600-00001E000000}"/>
    <hyperlink ref="C37" r:id="rId32" display="http://cwe.mitre.org/data/definitions/556.html" xr:uid="{00000000-0004-0000-0600-00001F000000}"/>
    <hyperlink ref="C38" r:id="rId33" display="http://cwe.mitre.org/data/definitions/481.html" xr:uid="{00000000-0004-0000-0600-000020000000}"/>
    <hyperlink ref="C39" r:id="rId34" display="http://cwe.mitre.org/data/definitions/587.html" xr:uid="{00000000-0004-0000-0600-000021000000}"/>
    <hyperlink ref="C40" r:id="rId35" display="http://cwe.mitre.org/data/definitions/405.html" xr:uid="{00000000-0004-0000-0600-000022000000}"/>
    <hyperlink ref="C41" r:id="rId36" display="http://cwe.mitre.org/data/definitions/588.html" xr:uid="{00000000-0004-0000-0600-000023000000}"/>
    <hyperlink ref="C42" r:id="rId37" display="http://cwe.mitre.org/data/definitions/289.html" xr:uid="{00000000-0004-0000-0600-000024000000}"/>
    <hyperlink ref="C43" r:id="rId38" display="http://cwe.mitre.org/data/definitions/302.html" xr:uid="{00000000-0004-0000-0600-000025000000}"/>
    <hyperlink ref="C44" r:id="rId39" display="http://cwe.mitre.org/data/definitions/294.html" xr:uid="{00000000-0004-0000-0600-000026000000}"/>
    <hyperlink ref="C45" r:id="rId40" display="http://cwe.mitre.org/data/definitions/305.html" xr:uid="{00000000-0004-0000-0600-000027000000}"/>
    <hyperlink ref="C46" r:id="rId41" display="http://cwe.mitre.org/data/definitions/290.html" xr:uid="{00000000-0004-0000-0600-000028000000}"/>
    <hyperlink ref="C47" r:id="rId42" display="http://cwe.mitre.org/data/definitions/592.html" xr:uid="{00000000-0004-0000-0600-000029000000}"/>
    <hyperlink ref="C48" r:id="rId43" display="http://cwe.mitre.org/data/definitions/288.html" xr:uid="{00000000-0004-0000-0600-00002A000000}"/>
    <hyperlink ref="C49" r:id="rId44" display="http://cwe.mitre.org/data/definitions/593.html" xr:uid="{00000000-0004-0000-0600-00002B000000}"/>
    <hyperlink ref="C50" r:id="rId45" display="http://cwe.mitre.org/data/definitions/639.html" xr:uid="{00000000-0004-0000-0600-00002C000000}"/>
    <hyperlink ref="C51" r:id="rId46" display="http://cwe.mitre.org/data/definitions/566.html" xr:uid="{00000000-0004-0000-0600-00002D000000}"/>
    <hyperlink ref="C52" r:id="rId47" display="http://cwe.mitre.org/data/definitions/439.html" xr:uid="{00000000-0004-0000-0600-00002E000000}"/>
    <hyperlink ref="C53" r:id="rId48" display="http://cwe.mitre.org/data/definitions/438.html" xr:uid="{00000000-0004-0000-0600-00002F000000}"/>
    <hyperlink ref="C54" r:id="rId49" display="http://cwe.mitre.org/data/definitions/806.html" xr:uid="{00000000-0004-0000-0600-000030000000}"/>
    <hyperlink ref="C55" r:id="rId50" display="http://cwe.mitre.org/data/definitions/805.html" xr:uid="{00000000-0004-0000-0600-000031000000}"/>
    <hyperlink ref="C56" r:id="rId51" display="http://cwe.mitre.org/data/definitions/120.html" xr:uid="{00000000-0004-0000-0600-000032000000}"/>
    <hyperlink ref="C57" r:id="rId52" display="http://cwe.mitre.org/data/definitions/126.html" xr:uid="{00000000-0004-0000-0600-000033000000}"/>
    <hyperlink ref="C58" r:id="rId53" display="http://cwe.mitre.org/data/definitions/127.html" xr:uid="{00000000-0004-0000-0600-000034000000}"/>
    <hyperlink ref="C59" r:id="rId54" display="http://cwe.mitre.org/data/definitions/124.html" xr:uid="{00000000-0004-0000-0600-000035000000}"/>
    <hyperlink ref="C60" r:id="rId55" display="http://cwe.mitre.org/data/definitions/840.html" xr:uid="{00000000-0004-0000-0600-000036000000}"/>
    <hyperlink ref="C61" r:id="rId56" display="http://cwe.mitre.org/data/definitions/503.html" xr:uid="{00000000-0004-0000-0600-000037000000}"/>
    <hyperlink ref="C62" r:id="rId57" display="http://cwe.mitre.org/data/definitions/589.html" xr:uid="{00000000-0004-0000-0600-000038000000}"/>
    <hyperlink ref="C63" r:id="rId58" display="http://cwe.mitre.org/data/definitions/572.html" xr:uid="{00000000-0004-0000-0600-000039000000}"/>
    <hyperlink ref="C64" r:id="rId59" display="http://cwe.mitre.org/data/definitions/735.html" xr:uid="{00000000-0004-0000-0600-00003A000000}"/>
    <hyperlink ref="C65" r:id="rId60" display="http://cwe.mitre.org/data/definitions/736.html" xr:uid="{00000000-0004-0000-0600-00003B000000}"/>
    <hyperlink ref="C66" r:id="rId61" display="http://cwe.mitre.org/data/definitions/737.html" xr:uid="{00000000-0004-0000-0600-00003C000000}"/>
    <hyperlink ref="C67" r:id="rId62" display="http://cwe.mitre.org/data/definitions/738.html" xr:uid="{00000000-0004-0000-0600-00003D000000}"/>
    <hyperlink ref="C68" r:id="rId63" display="http://cwe.mitre.org/data/definitions/739.html" xr:uid="{00000000-0004-0000-0600-00003E000000}"/>
    <hyperlink ref="C69" r:id="rId64" display="http://cwe.mitre.org/data/definitions/740.html" xr:uid="{00000000-0004-0000-0600-00003F000000}"/>
    <hyperlink ref="C70" r:id="rId65" display="http://cwe.mitre.org/data/definitions/741.html" xr:uid="{00000000-0004-0000-0600-000040000000}"/>
    <hyperlink ref="C71" r:id="rId66" display="http://cwe.mitre.org/data/definitions/742.html" xr:uid="{00000000-0004-0000-0600-000041000000}"/>
    <hyperlink ref="C72" r:id="rId67" display="http://cwe.mitre.org/data/definitions/743.html" xr:uid="{00000000-0004-0000-0600-000042000000}"/>
    <hyperlink ref="C73" r:id="rId68" display="http://cwe.mitre.org/data/definitions/744.html" xr:uid="{00000000-0004-0000-0600-000043000000}"/>
    <hyperlink ref="C74" r:id="rId69" display="http://cwe.mitre.org/data/definitions/745.html" xr:uid="{00000000-0004-0000-0600-000044000000}"/>
    <hyperlink ref="C75" r:id="rId70" display="http://cwe.mitre.org/data/definitions/746.html" xr:uid="{00000000-0004-0000-0600-000045000000}"/>
    <hyperlink ref="C76" r:id="rId71" display="http://cwe.mitre.org/data/definitions/747.html" xr:uid="{00000000-0004-0000-0600-000046000000}"/>
    <hyperlink ref="C77" r:id="rId72" display="http://cwe.mitre.org/data/definitions/748.html" xr:uid="{00000000-0004-0000-0600-000047000000}"/>
    <hyperlink ref="C78" r:id="rId73" display="http://cwe.mitre.org/data/definitions/869.html" xr:uid="{00000000-0004-0000-0600-000048000000}"/>
    <hyperlink ref="C79" r:id="rId74" display="http://cwe.mitre.org/data/definitions/870.html" xr:uid="{00000000-0004-0000-0600-000049000000}"/>
    <hyperlink ref="C80" r:id="rId75" display="http://cwe.mitre.org/data/definitions/871.html" xr:uid="{00000000-0004-0000-0600-00004A000000}"/>
    <hyperlink ref="C81" r:id="rId76" display="http://cwe.mitre.org/data/definitions/872.html" xr:uid="{00000000-0004-0000-0600-00004B000000}"/>
    <hyperlink ref="C82" r:id="rId77" display="http://cwe.mitre.org/data/definitions/873.html" xr:uid="{00000000-0004-0000-0600-00004C000000}"/>
    <hyperlink ref="C83" r:id="rId78" display="http://cwe.mitre.org/data/definitions/874.html" xr:uid="{00000000-0004-0000-0600-00004D000000}"/>
    <hyperlink ref="C84" r:id="rId79" display="http://cwe.mitre.org/data/definitions/875.html" xr:uid="{00000000-0004-0000-0600-00004E000000}"/>
    <hyperlink ref="C85" r:id="rId80" display="http://cwe.mitre.org/data/definitions/876.html" xr:uid="{00000000-0004-0000-0600-00004F000000}"/>
    <hyperlink ref="C86" r:id="rId81" display="http://cwe.mitre.org/data/definitions/877.html" xr:uid="{00000000-0004-0000-0600-000050000000}"/>
    <hyperlink ref="C87" r:id="rId82" display="http://cwe.mitre.org/data/definitions/878.html" xr:uid="{00000000-0004-0000-0600-000051000000}"/>
    <hyperlink ref="C88" r:id="rId83" display="http://cwe.mitre.org/data/definitions/879.html" xr:uid="{00000000-0004-0000-0600-000052000000}"/>
    <hyperlink ref="C89" r:id="rId84" display="http://cwe.mitre.org/data/definitions/880.html" xr:uid="{00000000-0004-0000-0600-000053000000}"/>
    <hyperlink ref="C90" r:id="rId85" display="http://cwe.mitre.org/data/definitions/881.html" xr:uid="{00000000-0004-0000-0600-000054000000}"/>
    <hyperlink ref="C91" r:id="rId86" display="http://cwe.mitre.org/data/definitions/882.html" xr:uid="{00000000-0004-0000-0600-000055000000}"/>
    <hyperlink ref="C92" r:id="rId87" display="http://cwe.mitre.org/data/definitions/883.html" xr:uid="{00000000-0004-0000-0600-000056000000}"/>
    <hyperlink ref="C93" r:id="rId88" display="http://cwe.mitre.org/data/definitions/845.html" xr:uid="{00000000-0004-0000-0600-000057000000}"/>
    <hyperlink ref="C94" r:id="rId89" display="http://cwe.mitre.org/data/definitions/846.html" xr:uid="{00000000-0004-0000-0600-000058000000}"/>
    <hyperlink ref="C95" r:id="rId90" display="http://cwe.mitre.org/data/definitions/847.html" xr:uid="{00000000-0004-0000-0600-000059000000}"/>
    <hyperlink ref="C96" r:id="rId91" display="http://cwe.mitre.org/data/definitions/848.html" xr:uid="{00000000-0004-0000-0600-00005A000000}"/>
    <hyperlink ref="C97" r:id="rId92" display="http://cwe.mitre.org/data/definitions/849.html" xr:uid="{00000000-0004-0000-0600-00005B000000}"/>
    <hyperlink ref="C98" r:id="rId93" display="http://cwe.mitre.org/data/definitions/850.html" xr:uid="{00000000-0004-0000-0600-00005C000000}"/>
    <hyperlink ref="C99" r:id="rId94" display="http://cwe.mitre.org/data/definitions/851.html" xr:uid="{00000000-0004-0000-0600-00005D000000}"/>
    <hyperlink ref="C100" r:id="rId95" display="http://cwe.mitre.org/data/definitions/852.html" xr:uid="{00000000-0004-0000-0600-00005E000000}"/>
    <hyperlink ref="C101" r:id="rId96" display="http://cwe.mitre.org/data/definitions/853.html" xr:uid="{00000000-0004-0000-0600-00005F000000}"/>
    <hyperlink ref="C102" r:id="rId97" display="http://cwe.mitre.org/data/definitions/854.html" xr:uid="{00000000-0004-0000-0600-000060000000}"/>
    <hyperlink ref="C103" r:id="rId98" display="http://cwe.mitre.org/data/definitions/855.html" xr:uid="{00000000-0004-0000-0600-000061000000}"/>
    <hyperlink ref="C104" r:id="rId99" display="http://cwe.mitre.org/data/definitions/856.html" xr:uid="{00000000-0004-0000-0600-000062000000}"/>
    <hyperlink ref="C105" r:id="rId100" display="http://cwe.mitre.org/data/definitions/857.html" xr:uid="{00000000-0004-0000-0600-000063000000}"/>
    <hyperlink ref="C106" r:id="rId101" display="http://cwe.mitre.org/data/definitions/858.html" xr:uid="{00000000-0004-0000-0600-000064000000}"/>
    <hyperlink ref="C107" r:id="rId102" display="http://cwe.mitre.org/data/definitions/859.html" xr:uid="{00000000-0004-0000-0600-000065000000}"/>
    <hyperlink ref="C108" r:id="rId103" display="http://cwe.mitre.org/data/definitions/860.html" xr:uid="{00000000-0004-0000-0600-000066000000}"/>
    <hyperlink ref="C109" r:id="rId104" display="http://cwe.mitre.org/data/definitions/861.html" xr:uid="{00000000-0004-0000-0600-000067000000}"/>
    <hyperlink ref="C110" r:id="rId105" display="http://cwe.mitre.org/data/definitions/679.html" xr:uid="{00000000-0004-0000-0600-000068000000}"/>
    <hyperlink ref="C111" r:id="rId106" display="http://cwe.mitre.org/data/definitions/300.html" xr:uid="{00000000-0004-0000-0600-000069000000}"/>
    <hyperlink ref="C112" r:id="rId107" display="http://cwe.mitre.org/data/definitions/417.html" xr:uid="{00000000-0004-0000-0600-00006A000000}"/>
    <hyperlink ref="C113" r:id="rId108" display="http://cwe.mitre.org/data/definitions/418.html" xr:uid="{00000000-0004-0000-0600-00006B000000}"/>
    <hyperlink ref="C114" r:id="rId109" display="http://cwe.mitre.org/data/definitions/171.html" xr:uid="{00000000-0004-0000-0600-00006C000000}"/>
    <hyperlink ref="C115" r:id="rId110" display="http://cwe.mitre.org/data/definitions/313.html" xr:uid="{00000000-0004-0000-0600-00006D000000}"/>
    <hyperlink ref="C116" r:id="rId111" display="http://cwe.mitre.org/data/definitions/314.html" xr:uid="{00000000-0004-0000-0600-00006E000000}"/>
    <hyperlink ref="C117" r:id="rId112" display="http://cwe.mitre.org/data/definitions/312.html" xr:uid="{00000000-0004-0000-0600-00006F000000}"/>
    <hyperlink ref="C118" r:id="rId113" display="http://cwe.mitre.org/data/definitions/315.html" xr:uid="{00000000-0004-0000-0600-000070000000}"/>
    <hyperlink ref="C119" r:id="rId114" display="http://cwe.mitre.org/data/definitions/318.html" xr:uid="{00000000-0004-0000-0600-000071000000}"/>
    <hyperlink ref="C120" r:id="rId115" display="http://cwe.mitre.org/data/definitions/317.html" xr:uid="{00000000-0004-0000-0600-000072000000}"/>
    <hyperlink ref="C121" r:id="rId116" display="http://cwe.mitre.org/data/definitions/316.html" xr:uid="{00000000-0004-0000-0600-000073000000}"/>
    <hyperlink ref="C122" r:id="rId117" display="http://cwe.mitre.org/data/definitions/319.html" xr:uid="{00000000-0004-0000-0600-000074000000}"/>
    <hyperlink ref="C123" r:id="rId118" display="http://cwe.mitre.org/data/definitions/602.html" xr:uid="{00000000-0004-0000-0600-000075000000}"/>
    <hyperlink ref="C124" r:id="rId119" display="http://cwe.mitre.org/data/definitions/580.html" xr:uid="{00000000-0004-0000-0600-000076000000}"/>
    <hyperlink ref="C125" r:id="rId120" display="http://cwe.mitre.org/data/definitions/498.html" xr:uid="{00000000-0004-0000-0600-000077000000}"/>
    <hyperlink ref="C126" r:id="rId121" display="http://cwe.mitre.org/data/definitions/17.html" xr:uid="{00000000-0004-0000-0600-000078000000}"/>
    <hyperlink ref="C127" r:id="rId122" display="http://cwe.mitre.org/data/definitions/710.html" xr:uid="{00000000-0004-0000-0600-000079000000}"/>
    <hyperlink ref="C128" r:id="rId123" display="http://cwe.mitre.org/data/definitions/182.html" xr:uid="{00000000-0004-0000-0600-00007A000000}"/>
    <hyperlink ref="C129" r:id="rId124" display="http://cwe.mitre.org/data/definitions/553.html" xr:uid="{00000000-0004-0000-0600-00007B000000}"/>
    <hyperlink ref="C130" r:id="rId125" display="http://cwe.mitre.org/data/definitions/482.html" xr:uid="{00000000-0004-0000-0600-00007C000000}"/>
    <hyperlink ref="C131" r:id="rId126" display="http://cwe.mitre.org/data/definitions/486.html" xr:uid="{00000000-0004-0000-0600-00007D000000}"/>
    <hyperlink ref="C132" r:id="rId127" display="http://cwe.mitre.org/data/definitions/595.html" xr:uid="{00000000-0004-0000-0600-00007E000000}"/>
    <hyperlink ref="C133" r:id="rId128" display="http://cwe.mitre.org/data/definitions/733.html" xr:uid="{00000000-0004-0000-0600-00007F000000}"/>
    <hyperlink ref="C134" r:id="rId129" display="http://cwe.mitre.org/data/definitions/14.html" xr:uid="{00000000-0004-0000-0600-000080000000}"/>
    <hyperlink ref="C135" r:id="rId130" display="http://cwe.mitre.org/data/definitions/678.html" xr:uid="{00000000-0004-0000-0600-000081000000}"/>
    <hyperlink ref="C136" r:id="rId131" display="http://cwe.mitre.org/data/definitions/2000.html" xr:uid="{00000000-0004-0000-0600-000082000000}"/>
    <hyperlink ref="C137" r:id="rId132" display="http://cwe.mitre.org/data/definitions/557.html" xr:uid="{00000000-0004-0000-0600-000083000000}"/>
    <hyperlink ref="C138" r:id="rId133" display="http://cwe.mitre.org/data/definitions/362.html" xr:uid="{00000000-0004-0000-0600-000084000000}"/>
    <hyperlink ref="C139" r:id="rId134" display="http://cwe.mitre.org/data/definitions/16.html" xr:uid="{00000000-0004-0000-0600-000085000000}"/>
    <hyperlink ref="C140" r:id="rId135" display="http://cwe.mitre.org/data/definitions/216.html" xr:uid="{00000000-0004-0000-0600-000086000000}"/>
    <hyperlink ref="C141" r:id="rId136" display="http://cwe.mitre.org/data/definitions/368.html" xr:uid="{00000000-0004-0000-0600-000087000000}"/>
    <hyperlink ref="C142" r:id="rId137" display="http://cwe.mitre.org/data/definitions/514.html" xr:uid="{00000000-0004-0000-0600-000088000000}"/>
    <hyperlink ref="C143" r:id="rId138" display="http://cwe.mitre.org/data/definitions/515.html" xr:uid="{00000000-0004-0000-0600-000089000000}"/>
    <hyperlink ref="C144" r:id="rId139" display="http://cwe.mitre.org/data/definitions/385.html" xr:uid="{00000000-0004-0000-0600-00008A000000}"/>
    <hyperlink ref="C145" r:id="rId140" display="http://cwe.mitre.org/data/definitions/243.html" xr:uid="{00000000-0004-0000-0600-00008B000000}"/>
    <hyperlink ref="C146" r:id="rId141" display="http://cwe.mitre.org/data/definitions/379.html" xr:uid="{00000000-0004-0000-0600-00008C000000}"/>
    <hyperlink ref="C147" r:id="rId142" display="http://cwe.mitre.org/data/definitions/378.html" xr:uid="{00000000-0004-0000-0600-00008D000000}"/>
    <hyperlink ref="C148" r:id="rId143" display="http://cwe.mitre.org/data/definitions/255.html" xr:uid="{00000000-0004-0000-0600-00008E000000}"/>
    <hyperlink ref="C149" r:id="rId144" display="http://cwe.mitre.org/data/definitions/493.html" xr:uid="{00000000-0004-0000-0600-00008F000000}"/>
    <hyperlink ref="C150" r:id="rId145" display="http://cwe.mitre.org/data/definitions/766.html" xr:uid="{00000000-0004-0000-0600-000090000000}"/>
    <hyperlink ref="C151" r:id="rId146" display="http://cwe.mitre.org/data/definitions/352.html" xr:uid="{00000000-0004-0000-0600-000091000000}"/>
    <hyperlink ref="C152" r:id="rId147" display="http://cwe.mitre.org/data/definitions/310.html" xr:uid="{00000000-0004-0000-0600-000092000000}"/>
    <hyperlink ref="C153" r:id="rId148" display="http://cwe.mitre.org/data/definitions/884.html" xr:uid="{00000000-0004-0000-0600-000093000000}"/>
    <hyperlink ref="C154" r:id="rId149" display="http://cwe.mitre.org/data/definitions/432.html" xr:uid="{00000000-0004-0000-0600-000094000000}"/>
    <hyperlink ref="C155" r:id="rId150" display="http://cwe.mitre.org/data/definitions/619.html" xr:uid="{00000000-0004-0000-0600-000095000000}"/>
    <hyperlink ref="C156" r:id="rId151" display="http://cwe.mitre.org/data/definitions/19.html" xr:uid="{00000000-0004-0000-0600-000096000000}"/>
    <hyperlink ref="C157" r:id="rId152" display="http://cwe.mitre.org/data/definitions/461.html" xr:uid="{00000000-0004-0000-0600-000097000000}"/>
    <hyperlink ref="C158" r:id="rId153" display="http://cwe.mitre.org/data/definitions/561.html" xr:uid="{00000000-0004-0000-0600-000098000000}"/>
    <hyperlink ref="C159" r:id="rId154" display="http://cwe.mitre.org/data/definitions/833.html" xr:uid="{00000000-0004-0000-0600-000099000000}"/>
    <hyperlink ref="C160" r:id="rId155" display="http://cwe.mitre.org/data/definitions/396.html" xr:uid="{00000000-0004-0000-0600-00009A000000}"/>
    <hyperlink ref="C161" r:id="rId156" display="http://cwe.mitre.org/data/definitions/397.html" xr:uid="{00000000-0004-0000-0600-00009B000000}"/>
    <hyperlink ref="C162" r:id="rId157" display="http://cwe.mitre.org/data/definitions/463.html" xr:uid="{00000000-0004-0000-0600-00009C000000}"/>
    <hyperlink ref="C163" r:id="rId158" display="http://cwe.mitre.org/data/definitions/430.html" xr:uid="{00000000-0004-0000-0600-00009D000000}"/>
    <hyperlink ref="C164" r:id="rId159" display="http://cwe.mitre.org/data/definitions/516.html" xr:uid="{00000000-0004-0000-0600-00009E000000}"/>
    <hyperlink ref="C165" r:id="rId160" display="http://cwe.mitre.org/data/definitions/218.html" xr:uid="{00000000-0004-0000-0600-00009F000000}"/>
    <hyperlink ref="C166" r:id="rId161" display="http://cwe.mitre.org/data/definitions/225.html" xr:uid="{00000000-0004-0000-0600-0000A0000000}"/>
    <hyperlink ref="C167" r:id="rId162" display="http://cwe.mitre.org/data/definitions/443.html" xr:uid="{00000000-0004-0000-0600-0000A1000000}"/>
    <hyperlink ref="C168" r:id="rId163" display="http://cwe.mitre.org/data/definitions/132.html" xr:uid="{00000000-0004-0000-0600-0000A2000000}"/>
    <hyperlink ref="C169" r:id="rId164" display="http://cwe.mitre.org/data/definitions/423.html" xr:uid="{00000000-0004-0000-0600-0000A3000000}"/>
    <hyperlink ref="C170" r:id="rId165" display="http://cwe.mitre.org/data/definitions/247.html" xr:uid="{00000000-0004-0000-0600-0000A4000000}"/>
    <hyperlink ref="C171" r:id="rId166" display="http://cwe.mitre.org/data/definitions/292.html" xr:uid="{00000000-0004-0000-0600-0000A5000000}"/>
    <hyperlink ref="C172" r:id="rId167" display="http://cwe.mitre.org/data/definitions/604.html" xr:uid="{00000000-0004-0000-0600-0000A6000000}"/>
    <hyperlink ref="C173" r:id="rId168" display="http://cwe.mitre.org/data/definitions/217.html" xr:uid="{00000000-0004-0000-0600-0000A7000000}"/>
    <hyperlink ref="C174" r:id="rId169" display="http://cwe.mitre.org/data/definitions/139.html" xr:uid="{00000000-0004-0000-0600-0000A8000000}"/>
    <hyperlink ref="C175" r:id="rId170" display="http://cwe.mitre.org/data/definitions/92.html" xr:uid="{00000000-0004-0000-0600-0000A9000000}"/>
    <hyperlink ref="C176" r:id="rId171" display="http://cwe.mitre.org/data/definitions/458.html" xr:uid="{00000000-0004-0000-0600-0000AA000000}"/>
    <hyperlink ref="C177" r:id="rId172" display="http://cwe.mitre.org/data/definitions/249.html" xr:uid="{00000000-0004-0000-0600-0000AB000000}"/>
    <hyperlink ref="C178" r:id="rId173" display="http://cwe.mitre.org/data/definitions/373.html" xr:uid="{00000000-0004-0000-0600-0000AC000000}"/>
    <hyperlink ref="C179" r:id="rId174" display="http://cwe.mitre.org/data/definitions/502.html" xr:uid="{00000000-0004-0000-0600-0000AD000000}"/>
    <hyperlink ref="C180" r:id="rId175" display="http://cwe.mitre.org/data/definitions/390.html" xr:uid="{00000000-0004-0000-0600-0000AE000000}"/>
    <hyperlink ref="C181" r:id="rId176" display="http://cwe.mitre.org/data/definitions/699.html" xr:uid="{00000000-0004-0000-0600-0000AF000000}"/>
    <hyperlink ref="C182" r:id="rId177" display="http://cwe.mitre.org/data/definitions/425.html" xr:uid="{00000000-0004-0000-0600-0000B0000000}"/>
    <hyperlink ref="C183" r:id="rId178" display="http://cwe.mitre.org/data/definitions/111.html" xr:uid="{00000000-0004-0000-0600-0000B1000000}"/>
    <hyperlink ref="C184" r:id="rId179" display="http://cwe.mitre.org/data/definitions/369.html" xr:uid="{00000000-0004-0000-0600-0000B2000000}"/>
    <hyperlink ref="C185" r:id="rId180" display="http://cwe.mitre.org/data/definitions/174.html" xr:uid="{00000000-0004-0000-0600-0000B3000000}"/>
    <hyperlink ref="C186" r:id="rId181" display="http://cwe.mitre.org/data/definitions/415.html" xr:uid="{00000000-0004-0000-0600-0000B4000000}"/>
    <hyperlink ref="C187" r:id="rId182" display="http://cwe.mitre.org/data/definitions/609.html" xr:uid="{00000000-0004-0000-0600-0000B5000000}"/>
    <hyperlink ref="C188" r:id="rId183" display="http://cwe.mitre.org/data/definitions/85.html" xr:uid="{00000000-0004-0000-0600-0000B6000000}"/>
    <hyperlink ref="C189" r:id="rId184" display="http://cwe.mitre.org/data/definitions/494.html" xr:uid="{00000000-0004-0000-0600-0000B7000000}"/>
    <hyperlink ref="C190" r:id="rId185" display="http://cwe.mitre.org/data/definitions/462.html" xr:uid="{00000000-0004-0000-0600-0000B8000000}"/>
    <hyperlink ref="C191" r:id="rId186" display="http://cwe.mitre.org/data/definitions/675.html" xr:uid="{00000000-0004-0000-0600-0000B9000000}"/>
    <hyperlink ref="C192" r:id="rId187" display="http://cwe.mitre.org/data/definitions/627.html" xr:uid="{00000000-0004-0000-0600-0000BA000000}"/>
    <hyperlink ref="C193" r:id="rId188" display="http://cwe.mitre.org/data/definitions/575.html" xr:uid="{00000000-0004-0000-0600-0000BB000000}"/>
    <hyperlink ref="C194" r:id="rId189" display="http://cwe.mitre.org/data/definitions/578.html" xr:uid="{00000000-0004-0000-0600-0000BC000000}"/>
    <hyperlink ref="C195" r:id="rId190" display="http://cwe.mitre.org/data/definitions/576.html" xr:uid="{00000000-0004-0000-0600-0000BD000000}"/>
    <hyperlink ref="C196" r:id="rId191" display="http://cwe.mitre.org/data/definitions/577.html" xr:uid="{00000000-0004-0000-0600-0000BE000000}"/>
    <hyperlink ref="C197" r:id="rId192" display="http://cwe.mitre.org/data/definitions/574.html" xr:uid="{00000000-0004-0000-0600-0000BF000000}"/>
    <hyperlink ref="C198" r:id="rId193" display="http://cwe.mitre.org/data/definitions/506.html" xr:uid="{00000000-0004-0000-0600-0000C0000000}"/>
    <hyperlink ref="C199" r:id="rId194" display="http://cwe.mitre.org/data/definitions/258.html" xr:uid="{00000000-0004-0000-0600-0000C1000000}"/>
    <hyperlink ref="C200" r:id="rId195" display="http://cwe.mitre.org/data/definitions/585.html" xr:uid="{00000000-0004-0000-0600-0000C2000000}"/>
    <hyperlink ref="C201" r:id="rId196" display="http://cwe.mitre.org/data/definitions/172.html" xr:uid="{00000000-0004-0000-0600-0000C3000000}"/>
    <hyperlink ref="C202" r:id="rId197" display="http://cwe.mitre.org/data/definitions/2.html" xr:uid="{00000000-0004-0000-0600-0000C4000000}"/>
    <hyperlink ref="C203" r:id="rId198" display="http://cwe.mitre.org/data/definitions/389.html" xr:uid="{00000000-0004-0000-0600-0000C5000000}"/>
    <hyperlink ref="C204" r:id="rId199" display="http://cwe.mitre.org/data/definitions/388.html" xr:uid="{00000000-0004-0000-0600-0000C6000000}"/>
    <hyperlink ref="C205" r:id="rId200" display="http://cwe.mitre.org/data/definitions/834.html" xr:uid="{00000000-0004-0000-0600-0000C7000000}"/>
    <hyperlink ref="C206" r:id="rId201" display="http://cwe.mitre.org/data/definitions/624.html" xr:uid="{00000000-0004-0000-0600-0000C8000000}"/>
    <hyperlink ref="C207" r:id="rId202" display="http://cwe.mitre.org/data/definitions/698.html" xr:uid="{00000000-0004-0000-0600-0000C9000000}"/>
    <hyperlink ref="C208" r:id="rId203" display="http://cwe.mitre.org/data/definitions/250.html" xr:uid="{00000000-0004-0000-0600-0000CA000000}"/>
    <hyperlink ref="C209" r:id="rId204" display="http://cwe.mitre.org/data/definitions/440.html" xr:uid="{00000000-0004-0000-0600-0000CB000000}"/>
    <hyperlink ref="C210" r:id="rId205" display="http://cwe.mitre.org/data/definitions/825.html" xr:uid="{00000000-0004-0000-0600-0000CC000000}"/>
    <hyperlink ref="C211" r:id="rId206" display="http://cwe.mitre.org/data/definitions/586.html" xr:uid="{00000000-0004-0000-0600-0000CD000000}"/>
    <hyperlink ref="C212" r:id="rId207" display="http://cwe.mitre.org/data/definitions/749.html" xr:uid="{00000000-0004-0000-0600-0000CE000000}"/>
    <hyperlink ref="C213" r:id="rId208" display="http://cwe.mitre.org/data/definitions/782.html" xr:uid="{00000000-0004-0000-0600-0000CF000000}"/>
    <hyperlink ref="C214" r:id="rId209" display="http://cwe.mitre.org/data/definitions/618.html" xr:uid="{00000000-0004-0000-0600-0000D0000000}"/>
    <hyperlink ref="C215" r:id="rId210" display="http://cwe.mitre.org/data/definitions/529.html" xr:uid="{00000000-0004-0000-0600-0000D1000000}"/>
    <hyperlink ref="C216" r:id="rId211" display="http://cwe.mitre.org/data/definitions/530.html" xr:uid="{00000000-0004-0000-0600-0000D2000000}"/>
    <hyperlink ref="C217" r:id="rId212" display="http://cwe.mitre.org/data/definitions/528.html" xr:uid="{00000000-0004-0000-0600-0000D3000000}"/>
    <hyperlink ref="C218" r:id="rId213" display="http://cwe.mitre.org/data/definitions/527.html" xr:uid="{00000000-0004-0000-0600-0000D4000000}"/>
    <hyperlink ref="C219" r:id="rId214" display="http://cwe.mitre.org/data/definitions/488.html" xr:uid="{00000000-0004-0000-0600-0000D5000000}"/>
    <hyperlink ref="C220" r:id="rId215" display="http://cwe.mitre.org/data/definitions/403.html" xr:uid="{00000000-0004-0000-0600-0000D6000000}"/>
    <hyperlink ref="C221" r:id="rId216" display="http://cwe.mitre.org/data/definitions/668.html" xr:uid="{00000000-0004-0000-0600-0000D7000000}"/>
    <hyperlink ref="C222" r:id="rId217" display="http://cwe.mitre.org/data/definitions/202.html" xr:uid="{00000000-0004-0000-0600-0000D8000000}"/>
    <hyperlink ref="C223" r:id="rId218" display="http://cwe.mitre.org/data/definitions/497.html" xr:uid="{00000000-0004-0000-0600-0000D9000000}"/>
    <hyperlink ref="C224" r:id="rId219" display="http://cwe.mitre.org/data/definitions/570.html" xr:uid="{00000000-0004-0000-0600-0000DA000000}"/>
    <hyperlink ref="C225" r:id="rId220" display="http://cwe.mitre.org/data/definitions/571.html" xr:uid="{00000000-0004-0000-0600-0000DB000000}"/>
    <hyperlink ref="C226" r:id="rId221" display="http://cwe.mitre.org/data/definitions/569.html" xr:uid="{00000000-0004-0000-0600-0000DC000000}"/>
    <hyperlink ref="C227" r:id="rId222" display="http://cwe.mitre.org/data/definitions/472.html" xr:uid="{00000000-0004-0000-0600-0000DD000000}"/>
    <hyperlink ref="C228" r:id="rId223" display="http://cwe.mitre.org/data/definitions/642.html" xr:uid="{00000000-0004-0000-0600-0000DE000000}"/>
    <hyperlink ref="C229" r:id="rId224" display="http://cwe.mitre.org/data/definitions/73.html" xr:uid="{00000000-0004-0000-0600-0000DF000000}"/>
    <hyperlink ref="C230" r:id="rId225" display="http://cwe.mitre.org/data/definitions/15.html" xr:uid="{00000000-0004-0000-0600-0000E0000000}"/>
    <hyperlink ref="C231" r:id="rId226" display="http://cwe.mitre.org/data/definitions/673.html" xr:uid="{00000000-0004-0000-0600-0000E1000000}"/>
    <hyperlink ref="C232" r:id="rId227" display="http://cwe.mitre.org/data/definitions/454.html" xr:uid="{00000000-0004-0000-0600-0000E2000000}"/>
    <hyperlink ref="C233" r:id="rId228" display="http://cwe.mitre.org/data/definitions/610.html" xr:uid="{00000000-0004-0000-0600-0000E3000000}"/>
    <hyperlink ref="C234" r:id="rId229" display="http://cwe.mitre.org/data/definitions/239.html" xr:uid="{00000000-0004-0000-0600-0000E4000000}"/>
    <hyperlink ref="C235" r:id="rId230" display="http://cwe.mitre.org/data/definitions/234.html" xr:uid="{00000000-0004-0000-0600-0000E5000000}"/>
    <hyperlink ref="C236" r:id="rId231" display="http://cwe.mitre.org/data/definitions/157.html" xr:uid="{00000000-0004-0000-0600-0000E6000000}"/>
    <hyperlink ref="C237" r:id="rId232" display="http://cwe.mitre.org/data/definitions/159.html" xr:uid="{00000000-0004-0000-0600-0000E7000000}"/>
    <hyperlink ref="C238" r:id="rId233" display="http://cwe.mitre.org/data/definitions/75.html" xr:uid="{00000000-0004-0000-0600-0000E8000000}"/>
    <hyperlink ref="C239" r:id="rId234" display="http://cwe.mitre.org/data/definitions/538.html" xr:uid="{00000000-0004-0000-0600-0000E9000000}"/>
    <hyperlink ref="C240" r:id="rId235" display="http://cwe.mitre.org/data/definitions/769.html" xr:uid="{00000000-0004-0000-0600-0000EA000000}"/>
    <hyperlink ref="C241" r:id="rId236" display="http://cwe.mitre.org/data/definitions/552.html" xr:uid="{00000000-0004-0000-0600-0000EB000000}"/>
    <hyperlink ref="C242" r:id="rId237" display="http://cwe.mitre.org/data/definitions/583.html" xr:uid="{00000000-0004-0000-0600-0000EC000000}"/>
    <hyperlink ref="C243" r:id="rId238" display="http://cwe.mitre.org/data/definitions/568.html" xr:uid="{00000000-0004-0000-0600-0000ED000000}"/>
    <hyperlink ref="C244" r:id="rId239" display="http://cwe.mitre.org/data/definitions/590.html" xr:uid="{00000000-0004-0000-0600-0000EE000000}"/>
    <hyperlink ref="C245" r:id="rId240" display="http://cwe.mitre.org/data/definitions/761.html" xr:uid="{00000000-0004-0000-0600-0000EF000000}"/>
    <hyperlink ref="C246" r:id="rId241" display="http://cwe.mitre.org/data/definitions/686.html" xr:uid="{00000000-0004-0000-0600-0000F0000000}"/>
    <hyperlink ref="C247" r:id="rId242" display="http://cwe.mitre.org/data/definitions/685.html" xr:uid="{00000000-0004-0000-0600-0000F1000000}"/>
    <hyperlink ref="C248" r:id="rId243" display="http://cwe.mitre.org/data/definitions/683.html" xr:uid="{00000000-0004-0000-0600-0000F2000000}"/>
    <hyperlink ref="C249" r:id="rId244" display="http://cwe.mitre.org/data/definitions/688.html" xr:uid="{00000000-0004-0000-0600-0000F3000000}"/>
    <hyperlink ref="C250" r:id="rId245" display="http://cwe.mitre.org/data/definitions/687.html" xr:uid="{00000000-0004-0000-0600-0000F4000000}"/>
    <hyperlink ref="C251" r:id="rId246" display="http://cwe.mitre.org/data/definitions/628.html" xr:uid="{00000000-0004-0000-0600-0000F5000000}"/>
    <hyperlink ref="C252" r:id="rId247" display="http://cwe.mitre.org/data/definitions/804.html" xr:uid="{00000000-0004-0000-0600-0000F6000000}"/>
    <hyperlink ref="C253" r:id="rId248" display="http://cwe.mitre.org/data/definitions/429.html" xr:uid="{00000000-0004-0000-0600-0000F7000000}"/>
    <hyperlink ref="C254" r:id="rId249" display="http://cwe.mitre.org/data/definitions/122.html" xr:uid="{00000000-0004-0000-0600-0000F8000000}"/>
    <hyperlink ref="C255" r:id="rId250" display="http://cwe.mitre.org/data/definitions/912.html" xr:uid="{00000000-0004-0000-0600-0000F9000000}"/>
    <hyperlink ref="C256" r:id="rId251" display="http://cwe.mitre.org/data/definitions/284.html" xr:uid="{00000000-0004-0000-0600-0000FA000000}"/>
    <hyperlink ref="C257" r:id="rId252" display="http://cwe.mitre.org/data/definitions/118.html" xr:uid="{00000000-0004-0000-0600-0000FB000000}"/>
    <hyperlink ref="C258" r:id="rId253" display="http://cwe.mitre.org/data/definitions/781.html" xr:uid="{00000000-0004-0000-0600-0000FC000000}"/>
    <hyperlink ref="C259" r:id="rId254" display="http://cwe.mitre.org/data/definitions/287.html" xr:uid="{00000000-0004-0000-0600-0000FD000000}"/>
    <hyperlink ref="C260" r:id="rId255" display="http://cwe.mitre.org/data/definitions/923.html" xr:uid="{00000000-0004-0000-0600-0000FE000000}"/>
    <hyperlink ref="C261" r:id="rId256" display="http://cwe.mitre.org/data/definitions/285.html" xr:uid="{00000000-0004-0000-0600-0000FF000000}"/>
    <hyperlink ref="C262" r:id="rId257" display="http://cwe.mitre.org/data/definitions/295.html" xr:uid="{00000000-0004-0000-0600-000000010000}"/>
    <hyperlink ref="C263" r:id="rId258" display="http://cwe.mitre.org/data/definitions/299.html" xr:uid="{00000000-0004-0000-0600-000001010000}"/>
    <hyperlink ref="C264" r:id="rId259" display="http://cwe.mitre.org/data/definitions/273.html" xr:uid="{00000000-0004-0000-0600-000002010000}"/>
    <hyperlink ref="C265" r:id="rId260" display="http://cwe.mitre.org/data/definitions/754.html" xr:uid="{00000000-0004-0000-0600-000003010000}"/>
    <hyperlink ref="C266" r:id="rId261" display="http://cwe.mitre.org/data/definitions/703.html" xr:uid="{00000000-0004-0000-0600-000004010000}"/>
    <hyperlink ref="C267" r:id="rId262" display="http://cwe.mitre.org/data/definitions/460.html" xr:uid="{00000000-0004-0000-0600-000005010000}"/>
    <hyperlink ref="C268" r:id="rId263" display="http://cwe.mitre.org/data/definitions/244.html" xr:uid="{00000000-0004-0000-0600-000006010000}"/>
    <hyperlink ref="C269" r:id="rId264" display="http://cwe.mitre.org/data/definitions/664.html" xr:uid="{00000000-0004-0000-0600-000007010000}"/>
    <hyperlink ref="C270" r:id="rId265" display="http://cwe.mitre.org/data/definitions/827.html" xr:uid="{00000000-0004-0000-0600-000008010000}"/>
    <hyperlink ref="C271" r:id="rId266" display="http://cwe.mitre.org/data/definitions/914.html" xr:uid="{00000000-0004-0000-0600-000009010000}"/>
    <hyperlink ref="C272" r:id="rId267" display="http://cwe.mitre.org/data/definitions/913.html" xr:uid="{00000000-0004-0000-0600-00000A010000}"/>
    <hyperlink ref="C273" r:id="rId268" display="http://cwe.mitre.org/data/definitions/98.html" xr:uid="{00000000-0004-0000-0600-00000B010000}"/>
    <hyperlink ref="C274" r:id="rId269" display="http://cwe.mitre.org/data/definitions/94.html" xr:uid="{00000000-0004-0000-0600-00000C010000}"/>
    <hyperlink ref="C275" r:id="rId270" display="http://cwe.mitre.org/data/definitions/799.html" xr:uid="{00000000-0004-0000-0600-00000D010000}"/>
    <hyperlink ref="C276" r:id="rId271" display="http://cwe.mitre.org/data/definitions/99.html" xr:uid="{00000000-0004-0000-0600-00000E010000}"/>
    <hyperlink ref="C277" r:id="rId272" display="http://cwe.mitre.org/data/definitions/212.html" xr:uid="{00000000-0004-0000-0600-00000F010000}"/>
    <hyperlink ref="C278" r:id="rId273" display="http://cwe.mitre.org/data/definitions/116.html" xr:uid="{00000000-0004-0000-0600-000010010000}"/>
    <hyperlink ref="C279" r:id="rId274" display="http://cwe.mitre.org/data/definitions/837.html" xr:uid="{00000000-0004-0000-0600-000011010000}"/>
    <hyperlink ref="C280" r:id="rId275" display="http://cwe.mitre.org/data/definitions/841.html" xr:uid="{00000000-0004-0000-0600-000012010000}"/>
    <hyperlink ref="C281" r:id="rId276" display="http://cwe.mitre.org/data/definitions/924.html" xr:uid="{00000000-0004-0000-0600-000013010000}"/>
    <hyperlink ref="C282" r:id="rId277" display="http://cwe.mitre.org/data/definitions/707.html" xr:uid="{00000000-0004-0000-0600-000014010000}"/>
    <hyperlink ref="C283" r:id="rId278" display="http://cwe.mitre.org/data/definitions/790.html" xr:uid="{00000000-0004-0000-0600-000015010000}"/>
    <hyperlink ref="C284" r:id="rId279" display="http://cwe.mitre.org/data/definitions/296.html" xr:uid="{00000000-0004-0000-0600-000016010000}"/>
    <hyperlink ref="C285" r:id="rId280" display="http://cwe.mitre.org/data/definitions/573.html" xr:uid="{00000000-0004-0000-0600-000017010000}"/>
    <hyperlink ref="C286" r:id="rId281" display="http://cwe.mitre.org/data/definitions/227.html" xr:uid="{00000000-0004-0000-0600-000018010000}"/>
    <hyperlink ref="C287" r:id="rId282" display="http://cwe.mitre.org/data/definitions/167.html" xr:uid="{00000000-0004-0000-0600-000019010000}"/>
    <hyperlink ref="C288" r:id="rId283" display="http://cwe.mitre.org/data/definitions/173.html" xr:uid="{00000000-0004-0000-0600-00001A010000}"/>
    <hyperlink ref="C289" r:id="rId284" display="http://cwe.mitre.org/data/definitions/72.html" xr:uid="{00000000-0004-0000-0600-00001B010000}"/>
    <hyperlink ref="C290" r:id="rId285" display="http://cwe.mitre.org/data/definitions/178.html" xr:uid="{00000000-0004-0000-0600-00001C010000}"/>
    <hyperlink ref="C291" r:id="rId286" display="http://cwe.mitre.org/data/definitions/755.html" xr:uid="{00000000-0004-0000-0600-00001D010000}"/>
    <hyperlink ref="C292" r:id="rId287" display="http://cwe.mitre.org/data/definitions/235.html" xr:uid="{00000000-0004-0000-0600-00001E010000}"/>
    <hyperlink ref="C293" r:id="rId288" display="http://cwe.mitre.org/data/definitions/231.html" xr:uid="{00000000-0004-0000-0600-00001F010000}"/>
    <hyperlink ref="C294" r:id="rId289" display="http://cwe.mitre.org/data/definitions/66.html" xr:uid="{00000000-0004-0000-0600-000020010000}"/>
    <hyperlink ref="C295" r:id="rId290" display="http://cwe.mitre.org/data/definitions/409.html" xr:uid="{00000000-0004-0000-0600-000021010000}"/>
    <hyperlink ref="C296" r:id="rId291" display="http://cwe.mitre.org/data/definitions/238.html" xr:uid="{00000000-0004-0000-0600-000022010000}"/>
    <hyperlink ref="C297" r:id="rId292" display="http://cwe.mitre.org/data/definitions/168.html" xr:uid="{00000000-0004-0000-0600-000023010000}"/>
    <hyperlink ref="C298" r:id="rId293" display="http://cwe.mitre.org/data/definitions/240.html" xr:uid="{00000000-0004-0000-0600-000024010000}"/>
    <hyperlink ref="C299" r:id="rId294" display="http://cwe.mitre.org/data/definitions/333.html" xr:uid="{00000000-0004-0000-0600-000025010000}"/>
    <hyperlink ref="C300" r:id="rId295" display="http://cwe.mitre.org/data/definitions/280.html" xr:uid="{00000000-0004-0000-0600-000026010000}"/>
    <hyperlink ref="C301" r:id="rId296" display="http://cwe.mitre.org/data/definitions/274.html" xr:uid="{00000000-0004-0000-0600-000027010000}"/>
    <hyperlink ref="C302" r:id="rId297" display="http://cwe.mitre.org/data/definitions/130.html" xr:uid="{00000000-0004-0000-0600-000028010000}"/>
    <hyperlink ref="C303" r:id="rId298" display="http://cwe.mitre.org/data/definitions/166.html" xr:uid="{00000000-0004-0000-0600-000029010000}"/>
    <hyperlink ref="C304" r:id="rId299" display="http://cwe.mitre.org/data/definitions/230.html" xr:uid="{00000000-0004-0000-0600-00002A010000}"/>
    <hyperlink ref="C305" r:id="rId300" display="http://cwe.mitre.org/data/definitions/175.html" xr:uid="{00000000-0004-0000-0600-00002B010000}"/>
    <hyperlink ref="C306" r:id="rId301" display="http://cwe.mitre.org/data/definitions/233.html" xr:uid="{00000000-0004-0000-0600-00002C010000}"/>
    <hyperlink ref="C307" r:id="rId302" display="http://cwe.mitre.org/data/definitions/237.html" xr:uid="{00000000-0004-0000-0600-00002D010000}"/>
    <hyperlink ref="C308" r:id="rId303" display="http://cwe.mitre.org/data/definitions/228.html" xr:uid="{00000000-0004-0000-0600-00002E010000}"/>
    <hyperlink ref="C309" r:id="rId304" display="http://cwe.mitre.org/data/definitions/236.html" xr:uid="{00000000-0004-0000-0600-00002F010000}"/>
    <hyperlink ref="C310" r:id="rId305" display="http://cwe.mitre.org/data/definitions/232.html" xr:uid="{00000000-0004-0000-0600-000030010000}"/>
    <hyperlink ref="C311" r:id="rId306" display="http://cwe.mitre.org/data/definitions/241.html" xr:uid="{00000000-0004-0000-0600-000031010000}"/>
    <hyperlink ref="C312" r:id="rId307" display="http://cwe.mitre.org/data/definitions/176.html" xr:uid="{00000000-0004-0000-0600-000032010000}"/>
    <hyperlink ref="C313" r:id="rId308" display="http://cwe.mitre.org/data/definitions/177.html" xr:uid="{00000000-0004-0000-0600-000033010000}"/>
    <hyperlink ref="C314" r:id="rId309" display="http://cwe.mitre.org/data/definitions/229.html" xr:uid="{00000000-0004-0000-0600-000034010000}"/>
    <hyperlink ref="C315" r:id="rId310" display="http://cwe.mitre.org/data/definitions/69.html" xr:uid="{00000000-0004-0000-0600-000035010000}"/>
    <hyperlink ref="C316" r:id="rId311" display="http://cwe.mitre.org/data/definitions/67.html" xr:uid="{00000000-0004-0000-0600-000036010000}"/>
    <hyperlink ref="C317" r:id="rId312" display="http://cwe.mitre.org/data/definitions/665.html" xr:uid="{00000000-0004-0000-0600-000037010000}"/>
    <hyperlink ref="C318" r:id="rId313" display="http://cwe.mitre.org/data/definitions/20.html" xr:uid="{00000000-0004-0000-0600-000038010000}"/>
    <hyperlink ref="C319" r:id="rId314" display="http://cwe.mitre.org/data/definitions/22.html" xr:uid="{00000000-0004-0000-0600-000039010000}"/>
    <hyperlink ref="C320" r:id="rId315" display="http://cwe.mitre.org/data/definitions/59.html" xr:uid="{00000000-0004-0000-0600-00003A010000}"/>
    <hyperlink ref="C321" r:id="rId316" display="http://cwe.mitre.org/data/definitions/667.html" xr:uid="{00000000-0004-0000-0600-00003B010000}"/>
    <hyperlink ref="C322" r:id="rId317" display="http://cwe.mitre.org/data/definitions/87.html" xr:uid="{00000000-0004-0000-0600-00003C010000}"/>
    <hyperlink ref="C323" r:id="rId318" display="http://cwe.mitre.org/data/definitions/151.html" xr:uid="{00000000-0004-0000-0600-00003D010000}"/>
    <hyperlink ref="C324" r:id="rId319" display="http://cwe.mitre.org/data/definitions/93.html" xr:uid="{00000000-0004-0000-0600-00003E010000}"/>
    <hyperlink ref="C325" r:id="rId320" display="http://cwe.mitre.org/data/definitions/113.html" xr:uid="{00000000-0004-0000-0600-00003F010000}"/>
    <hyperlink ref="C326" r:id="rId321" display="http://cwe.mitre.org/data/definitions/643.html" xr:uid="{00000000-0004-0000-0600-000040010000}"/>
    <hyperlink ref="C327" r:id="rId322" display="http://cwe.mitre.org/data/definitions/652.html" xr:uid="{00000000-0004-0000-0600-000041010000}"/>
    <hyperlink ref="C328" r:id="rId323" display="http://cwe.mitre.org/data/definitions/140.html" xr:uid="{00000000-0004-0000-0600-000042010000}"/>
    <hyperlink ref="C329" r:id="rId324" display="http://cwe.mitre.org/data/definitions/95.html" xr:uid="{00000000-0004-0000-0600-000043010000}"/>
    <hyperlink ref="C330" r:id="rId325" display="http://cwe.mitre.org/data/definitions/96.html" xr:uid="{00000000-0004-0000-0600-000044010000}"/>
    <hyperlink ref="C331" r:id="rId326" display="http://cwe.mitre.org/data/definitions/84.html" xr:uid="{00000000-0004-0000-0600-000045010000}"/>
    <hyperlink ref="C332" r:id="rId327" display="http://cwe.mitre.org/data/definitions/76.html" xr:uid="{00000000-0004-0000-0600-000046010000}"/>
    <hyperlink ref="C333" r:id="rId328" display="http://cwe.mitre.org/data/definitions/150.html" xr:uid="{00000000-0004-0000-0600-000047010000}"/>
    <hyperlink ref="C334" r:id="rId329" display="http://cwe.mitre.org/data/definitions/146.html" xr:uid="{00000000-0004-0000-0600-000048010000}"/>
    <hyperlink ref="C335" r:id="rId330" display="http://cwe.mitre.org/data/definitions/644.html" xr:uid="{00000000-0004-0000-0600-000049010000}"/>
    <hyperlink ref="C336" r:id="rId331" display="http://cwe.mitre.org/data/definitions/79.html" xr:uid="{00000000-0004-0000-0600-00004A010000}"/>
    <hyperlink ref="C337" r:id="rId332" display="http://cwe.mitre.org/data/definitions/148.html" xr:uid="{00000000-0004-0000-0600-00004B010000}"/>
    <hyperlink ref="C338" r:id="rId333" display="http://cwe.mitre.org/data/definitions/147.html" xr:uid="{00000000-0004-0000-0600-00004C010000}"/>
    <hyperlink ref="C339" r:id="rId334" display="http://cwe.mitre.org/data/definitions/164.html" xr:uid="{00000000-0004-0000-0600-00004D010000}"/>
    <hyperlink ref="C340" r:id="rId335" display="http://cwe.mitre.org/data/definitions/86.html" xr:uid="{00000000-0004-0000-0600-00004E010000}"/>
    <hyperlink ref="C341" r:id="rId336" display="http://cwe.mitre.org/data/definitions/160.html" xr:uid="{00000000-0004-0000-0600-00004F010000}"/>
    <hyperlink ref="C342" r:id="rId337" display="http://cwe.mitre.org/data/definitions/144.html" xr:uid="{00000000-0004-0000-0600-000050010000}"/>
    <hyperlink ref="C343" r:id="rId338" display="http://cwe.mitre.org/data/definitions/152.html" xr:uid="{00000000-0004-0000-0600-000051010000}"/>
    <hyperlink ref="C344" r:id="rId339" display="http://cwe.mitre.org/data/definitions/165.html" xr:uid="{00000000-0004-0000-0600-000052010000}"/>
    <hyperlink ref="C345" r:id="rId340" display="http://cwe.mitre.org/data/definitions/161.html" xr:uid="{00000000-0004-0000-0600-000053010000}"/>
    <hyperlink ref="C346" r:id="rId341" display="http://cwe.mitre.org/data/definitions/163.html" xr:uid="{00000000-0004-0000-0600-000054010000}"/>
    <hyperlink ref="C347" r:id="rId342" display="http://cwe.mitre.org/data/definitions/158.html" xr:uid="{00000000-0004-0000-0600-000055010000}"/>
    <hyperlink ref="C348" r:id="rId343" display="http://cwe.mitre.org/data/definitions/141.html" xr:uid="{00000000-0004-0000-0600-000056010000}"/>
    <hyperlink ref="C349" r:id="rId344" display="http://cwe.mitre.org/data/definitions/149.html" xr:uid="{00000000-0004-0000-0600-000057010000}"/>
    <hyperlink ref="C350" r:id="rId345" display="http://cwe.mitre.org/data/definitions/143.html" xr:uid="{00000000-0004-0000-0600-000058010000}"/>
    <hyperlink ref="C351" r:id="rId346" display="http://cwe.mitre.org/data/definitions/81.html" xr:uid="{00000000-0004-0000-0600-000059010000}"/>
    <hyperlink ref="C352" r:id="rId347" display="http://cwe.mitre.org/data/definitions/83.html" xr:uid="{00000000-0004-0000-0600-00005A010000}"/>
    <hyperlink ref="C353" r:id="rId348" display="http://cwe.mitre.org/data/definitions/82.html" xr:uid="{00000000-0004-0000-0600-00005B010000}"/>
    <hyperlink ref="C354" r:id="rId349" display="http://cwe.mitre.org/data/definitions/80.html" xr:uid="{00000000-0004-0000-0600-00005C010000}"/>
    <hyperlink ref="C355" r:id="rId350" display="http://cwe.mitre.org/data/definitions/145.html" xr:uid="{00000000-0004-0000-0600-00005D010000}"/>
    <hyperlink ref="C356" r:id="rId351" display="http://cwe.mitre.org/data/definitions/97.html" xr:uid="{00000000-0004-0000-0600-00005E010000}"/>
    <hyperlink ref="C357" r:id="rId352" display="http://cwe.mitre.org/data/definitions/138.html" xr:uid="{00000000-0004-0000-0600-00005F010000}"/>
    <hyperlink ref="C358" r:id="rId353" display="http://cwe.mitre.org/data/definitions/74.html" xr:uid="{00000000-0004-0000-0600-000060010000}"/>
    <hyperlink ref="C359" r:id="rId354" display="http://cwe.mitre.org/data/definitions/77.html" xr:uid="{00000000-0004-0000-0600-000061010000}"/>
    <hyperlink ref="C360" r:id="rId355" display="http://cwe.mitre.org/data/definitions/917.html" xr:uid="{00000000-0004-0000-0600-000062010000}"/>
    <hyperlink ref="C361" r:id="rId356" display="http://cwe.mitre.org/data/definitions/90.html" xr:uid="{00000000-0004-0000-0600-000063010000}"/>
    <hyperlink ref="C362" r:id="rId357" display="http://cwe.mitre.org/data/definitions/78.html" xr:uid="{00000000-0004-0000-0600-000064010000}"/>
    <hyperlink ref="C363" r:id="rId358" display="http://cwe.mitre.org/data/definitions/89.html" xr:uid="{00000000-0004-0000-0600-000065010000}"/>
    <hyperlink ref="C364" r:id="rId359" display="http://cwe.mitre.org/data/definitions/153.html" xr:uid="{00000000-0004-0000-0600-000066010000}"/>
    <hyperlink ref="C365" r:id="rId360" display="http://cwe.mitre.org/data/definitions/162.html" xr:uid="{00000000-0004-0000-0600-000067010000}"/>
    <hyperlink ref="C366" r:id="rId361" display="http://cwe.mitre.org/data/definitions/142.html" xr:uid="{00000000-0004-0000-0600-000068010000}"/>
    <hyperlink ref="C367" r:id="rId362" display="http://cwe.mitre.org/data/definitions/154.html" xr:uid="{00000000-0004-0000-0600-000069010000}"/>
    <hyperlink ref="C368" r:id="rId363" display="http://cwe.mitre.org/data/definitions/156.html" xr:uid="{00000000-0004-0000-0600-00006A010000}"/>
    <hyperlink ref="C369" r:id="rId364" display="http://cwe.mitre.org/data/definitions/155.html" xr:uid="{00000000-0004-0000-0600-00006B010000}"/>
    <hyperlink ref="C370" r:id="rId365" display="http://cwe.mitre.org/data/definitions/170.html" xr:uid="{00000000-0004-0000-0600-00006C010000}"/>
    <hyperlink ref="C371" r:id="rId366" display="http://cwe.mitre.org/data/definitions/117.html" xr:uid="{00000000-0004-0000-0600-00006D010000}"/>
    <hyperlink ref="C372" r:id="rId367" display="http://cwe.mitre.org/data/definitions/282.html" xr:uid="{00000000-0004-0000-0600-00006E010000}"/>
    <hyperlink ref="C373" r:id="rId368" display="http://cwe.mitre.org/data/definitions/281.html" xr:uid="{00000000-0004-0000-0600-00006F010000}"/>
    <hyperlink ref="C374" r:id="rId369" display="http://cwe.mitre.org/data/definitions/269.html" xr:uid="{00000000-0004-0000-0600-000070010000}"/>
    <hyperlink ref="C375" r:id="rId370" display="http://cwe.mitre.org/data/definitions/424.html" xr:uid="{00000000-0004-0000-0600-000071010000}"/>
    <hyperlink ref="C376" r:id="rId371" display="http://cwe.mitre.org/data/definitions/401.html" xr:uid="{00000000-0004-0000-0600-000072010000}"/>
    <hyperlink ref="C377" r:id="rId372" display="http://cwe.mitre.org/data/definitions/41.html" xr:uid="{00000000-0004-0000-0600-000073010000}"/>
    <hyperlink ref="C378" r:id="rId373" display="http://cwe.mitre.org/data/definitions/413.html" xr:uid="{00000000-0004-0000-0600-000074010000}"/>
    <hyperlink ref="C379" r:id="rId374" display="http://cwe.mitre.org/data/definitions/404.html" xr:uid="{00000000-0004-0000-0600-000075010000}"/>
    <hyperlink ref="C380" r:id="rId375" display="http://cwe.mitre.org/data/definitions/926.html" xr:uid="{00000000-0004-0000-0600-000076010000}"/>
    <hyperlink ref="C381" r:id="rId376" display="http://cwe.mitre.org/data/definitions/307.html" xr:uid="{00000000-0004-0000-0600-000077010000}"/>
    <hyperlink ref="C382" r:id="rId377" display="http://cwe.mitre.org/data/definitions/641.html" xr:uid="{00000000-0004-0000-0600-000078010000}"/>
    <hyperlink ref="C383" r:id="rId378" display="http://cwe.mitre.org/data/definitions/119.html" xr:uid="{00000000-0004-0000-0600-000079010000}"/>
    <hyperlink ref="C384" r:id="rId379" display="http://cwe.mitre.org/data/definitions/920.html" xr:uid="{00000000-0004-0000-0600-00007A010000}"/>
    <hyperlink ref="C385" r:id="rId380" display="http://cwe.mitre.org/data/definitions/776.html" xr:uid="{00000000-0004-0000-0600-00007B010000}"/>
    <hyperlink ref="C386" r:id="rId381" display="http://cwe.mitre.org/data/definitions/611.html" xr:uid="{00000000-0004-0000-0600-00007C010000}"/>
    <hyperlink ref="C387" r:id="rId382" display="http://cwe.mitre.org/data/definitions/662.html" xr:uid="{00000000-0004-0000-0600-00007D010000}"/>
    <hyperlink ref="C388" r:id="rId383" display="http://cwe.mitre.org/data/definitions/911.html" xr:uid="{00000000-0004-0000-0600-00007E010000}"/>
    <hyperlink ref="C389" r:id="rId384" display="http://cwe.mitre.org/data/definitions/129.html" xr:uid="{00000000-0004-0000-0600-00007F010000}"/>
    <hyperlink ref="C390" r:id="rId385" display="http://cwe.mitre.org/data/definitions/298.html" xr:uid="{00000000-0004-0000-0600-000080010000}"/>
    <hyperlink ref="C391" r:id="rId386" display="http://cwe.mitre.org/data/definitions/297.html" xr:uid="{00000000-0004-0000-0600-000081010000}"/>
    <hyperlink ref="C392" r:id="rId387" display="http://cwe.mitre.org/data/definitions/622.html" xr:uid="{00000000-0004-0000-0600-000082010000}"/>
    <hyperlink ref="C393" r:id="rId388" display="http://cwe.mitre.org/data/definitions/354.html" xr:uid="{00000000-0004-0000-0600-000083010000}"/>
    <hyperlink ref="C394" r:id="rId389" display="http://cwe.mitre.org/data/definitions/347.html" xr:uid="{00000000-0004-0000-0600-000084010000}"/>
    <hyperlink ref="C395" r:id="rId390" display="http://cwe.mitre.org/data/definitions/925.html" xr:uid="{00000000-0004-0000-0600-000085010000}"/>
    <hyperlink ref="C396" r:id="rId391" display="http://cwe.mitre.org/data/definitions/915.html" xr:uid="{00000000-0004-0000-0600-000086010000}"/>
    <hyperlink ref="C397" r:id="rId392" display="http://cwe.mitre.org/data/definitions/358.html" xr:uid="{00000000-0004-0000-0600-000087010000}"/>
    <hyperlink ref="C398" r:id="rId393" display="http://cwe.mitre.org/data/definitions/326.html" xr:uid="{00000000-0004-0000-0600-000088010000}"/>
    <hyperlink ref="C399" r:id="rId394" display="http://cwe.mitre.org/data/definitions/518.html" xr:uid="{00000000-0004-0000-0600-000089010000}"/>
    <hyperlink ref="C400" r:id="rId395" display="http://cwe.mitre.org/data/definitions/838.html" xr:uid="{00000000-0004-0000-0600-00008A010000}"/>
    <hyperlink ref="C401" r:id="rId396" display="http://cwe.mitre.org/data/definitions/829.html" xr:uid="{00000000-0004-0000-0600-00008B010000}"/>
    <hyperlink ref="C402" r:id="rId397" display="http://cwe.mitre.org/data/definitions/830.html" xr:uid="{00000000-0004-0000-0600-00008C010000}"/>
    <hyperlink ref="C403" r:id="rId398" display="http://cwe.mitre.org/data/definitions/184.html" xr:uid="{00000000-0004-0000-0600-00008D010000}"/>
    <hyperlink ref="C404" r:id="rId399" display="http://cwe.mitre.org/data/definitions/692.html" xr:uid="{00000000-0004-0000-0600-00008E010000}"/>
    <hyperlink ref="C405" r:id="rId400" display="http://cwe.mitre.org/data/definitions/459.html" xr:uid="{00000000-0004-0000-0600-00008F010000}"/>
    <hyperlink ref="C406" r:id="rId401" display="http://cwe.mitre.org/data/definitions/794.html" xr:uid="{00000000-0004-0000-0600-000090010000}"/>
    <hyperlink ref="C407" r:id="rId402" display="http://cwe.mitre.org/data/definitions/792.html" xr:uid="{00000000-0004-0000-0600-000091010000}"/>
    <hyperlink ref="C408" r:id="rId403" display="http://cwe.mitre.org/data/definitions/791.html" xr:uid="{00000000-0004-0000-0600-000092010000}"/>
    <hyperlink ref="C409" r:id="rId404" display="http://cwe.mitre.org/data/definitions/616.html" xr:uid="{00000000-0004-0000-0600-000093010000}"/>
    <hyperlink ref="C410" r:id="rId405" display="http://cwe.mitre.org/data/definitions/372.html" xr:uid="{00000000-0004-0000-0600-000094010000}"/>
    <hyperlink ref="C411" r:id="rId406" display="http://cwe.mitre.org/data/definitions/437.html" xr:uid="{00000000-0004-0000-0600-000095010000}"/>
    <hyperlink ref="C412" r:id="rId407" display="http://cwe.mitre.org/data/definitions/444.html" xr:uid="{00000000-0004-0000-0600-000096010000}"/>
    <hyperlink ref="C413" r:id="rId408" display="http://cwe.mitre.org/data/definitions/863.html" xr:uid="{00000000-0004-0000-0600-000097010000}"/>
    <hyperlink ref="C414" r:id="rId409" display="http://cwe.mitre.org/data/definitions/696.html" xr:uid="{00000000-0004-0000-0600-000098010000}"/>
    <hyperlink ref="C415" r:id="rId410" display="http://cwe.mitre.org/data/definitions/551.html" xr:uid="{00000000-0004-0000-0600-000099010000}"/>
    <hyperlink ref="C416" r:id="rId411" display="http://cwe.mitre.org/data/definitions/408.html" xr:uid="{00000000-0004-0000-0600-00009A010000}"/>
    <hyperlink ref="C417" r:id="rId412" display="http://cwe.mitre.org/data/definitions/179.html" xr:uid="{00000000-0004-0000-0600-00009B010000}"/>
    <hyperlink ref="C418" r:id="rId413" display="http://cwe.mitre.org/data/definitions/180.html" xr:uid="{00000000-0004-0000-0600-00009C010000}"/>
    <hyperlink ref="C419" r:id="rId414" display="http://cwe.mitre.org/data/definitions/181.html" xr:uid="{00000000-0004-0000-0600-00009D010000}"/>
    <hyperlink ref="C420" r:id="rId415" display="http://cwe.mitre.org/data/definitions/483.html" xr:uid="{00000000-0004-0000-0600-00009E010000}"/>
    <hyperlink ref="C421" r:id="rId416" display="http://cwe.mitre.org/data/definitions/682.html" xr:uid="{00000000-0004-0000-0600-00009F010000}"/>
    <hyperlink ref="C422" r:id="rId417" display="http://cwe.mitre.org/data/definitions/131.html" xr:uid="{00000000-0004-0000-0600-0000A0010000}"/>
    <hyperlink ref="C423" r:id="rId418" display="http://cwe.mitre.org/data/definitions/135.html" xr:uid="{00000000-0004-0000-0600-0000A1010000}"/>
    <hyperlink ref="C424" r:id="rId419" display="http://cwe.mitre.org/data/definitions/253.html" xr:uid="{00000000-0004-0000-0600-0000A2010000}"/>
    <hyperlink ref="C425" r:id="rId420" display="http://cwe.mitre.org/data/definitions/705.html" xr:uid="{00000000-0004-0000-0600-0000A3010000}"/>
    <hyperlink ref="C426" r:id="rId421" display="http://cwe.mitre.org/data/definitions/681.html" xr:uid="{00000000-0004-0000-0600-0000A4010000}"/>
    <hyperlink ref="C427" r:id="rId422" display="http://cwe.mitre.org/data/definitions/276.html" xr:uid="{00000000-0004-0000-0600-0000A5010000}"/>
    <hyperlink ref="C428" r:id="rId423" display="http://cwe.mitre.org/data/definitions/279.html" xr:uid="{00000000-0004-0000-0600-0000A6010000}"/>
    <hyperlink ref="C429" r:id="rId424" display="http://cwe.mitre.org/data/definitions/303.html" xr:uid="{00000000-0004-0000-0600-0000A7010000}"/>
    <hyperlink ref="C430" r:id="rId425" display="http://cwe.mitre.org/data/definitions/708.html" xr:uid="{00000000-0004-0000-0600-0000A8010000}"/>
    <hyperlink ref="C431" r:id="rId426" display="http://cwe.mitre.org/data/definitions/732.html" xr:uid="{00000000-0004-0000-0600-0000A9010000}"/>
    <hyperlink ref="C432" r:id="rId427" display="http://cwe.mitre.org/data/definitions/468.html" xr:uid="{00000000-0004-0000-0600-0000AA010000}"/>
    <hyperlink ref="C433" r:id="rId428" display="http://cwe.mitre.org/data/definitions/266.html" xr:uid="{00000000-0004-0000-0600-0000AB010000}"/>
    <hyperlink ref="C434" r:id="rId429" display="http://cwe.mitre.org/data/definitions/684.html" xr:uid="{00000000-0004-0000-0600-0000AC010000}"/>
    <hyperlink ref="C435" r:id="rId430" display="http://cwe.mitre.org/data/definitions/185.html" xr:uid="{00000000-0004-0000-0600-0000AD010000}"/>
    <hyperlink ref="C436" r:id="rId431" display="http://cwe.mitre.org/data/definitions/669.html" xr:uid="{00000000-0004-0000-0600-0000AE010000}"/>
    <hyperlink ref="C437" r:id="rId432" display="http://cwe.mitre.org/data/definitions/596.html" xr:uid="{00000000-0004-0000-0600-0000AF010000}"/>
    <hyperlink ref="C438" r:id="rId433" display="http://cwe.mitre.org/data/definitions/768.html" xr:uid="{00000000-0004-0000-0600-0000B0010000}"/>
    <hyperlink ref="C439" r:id="rId434" display="http://cwe.mitre.org/data/definitions/821.html" xr:uid="{00000000-0004-0000-0600-0000B1010000}"/>
    <hyperlink ref="C440" r:id="rId435" display="http://cwe.mitre.org/data/definitions/704.html" xr:uid="{00000000-0004-0000-0600-0000B2010000}"/>
    <hyperlink ref="C441" r:id="rId436" display="http://cwe.mitre.org/data/definitions/648.html" xr:uid="{00000000-0004-0000-0600-0000B3010000}"/>
    <hyperlink ref="C442" r:id="rId437" display="http://cwe.mitre.org/data/definitions/286.html" xr:uid="{00000000-0004-0000-0600-0000B4010000}"/>
    <hyperlink ref="C443" r:id="rId438" display="http://cwe.mitre.org/data/definitions/398.html" xr:uid="{00000000-0004-0000-0600-0000B5010000}"/>
    <hyperlink ref="C444" r:id="rId439" display="http://cwe.mitre.org/data/definitions/200.html" xr:uid="{00000000-0004-0000-0600-0000B6010000}"/>
    <hyperlink ref="C445" r:id="rId440" display="http://cwe.mitre.org/data/definitions/206.html" xr:uid="{00000000-0004-0000-0600-0000B7010000}"/>
    <hyperlink ref="C446" r:id="rId441" display="http://cwe.mitre.org/data/definitions/209.html" xr:uid="{00000000-0004-0000-0600-0000B8010000}"/>
    <hyperlink ref="C447" r:id="rId442" display="http://cwe.mitre.org/data/definitions/207.html" xr:uid="{00000000-0004-0000-0600-0000B9010000}"/>
    <hyperlink ref="C448" r:id="rId443" display="http://cwe.mitre.org/data/definitions/205.html" xr:uid="{00000000-0004-0000-0600-0000BA010000}"/>
    <hyperlink ref="C449" r:id="rId444" display="http://cwe.mitre.org/data/definitions/525.html" xr:uid="{00000000-0004-0000-0600-0000BB010000}"/>
    <hyperlink ref="C450" r:id="rId445" display="http://cwe.mitre.org/data/definitions/524.html" xr:uid="{00000000-0004-0000-0600-0000BC010000}"/>
    <hyperlink ref="C451" r:id="rId446" display="http://cwe.mitre.org/data/definitions/542.html" xr:uid="{00000000-0004-0000-0600-0000BD010000}"/>
    <hyperlink ref="C452" r:id="rId447" display="http://cwe.mitre.org/data/definitions/615.html" xr:uid="{00000000-0004-0000-0600-0000BE010000}"/>
    <hyperlink ref="C453" r:id="rId448" display="http://cwe.mitre.org/data/definitions/215.html" xr:uid="{00000000-0004-0000-0600-0000BF010000}"/>
    <hyperlink ref="C454" r:id="rId449" display="http://cwe.mitre.org/data/definitions/534.html" xr:uid="{00000000-0004-0000-0600-0000C0010000}"/>
    <hyperlink ref="C455" r:id="rId450" display="http://cwe.mitre.org/data/definitions/548.html" xr:uid="{00000000-0004-0000-0600-0000C1010000}"/>
    <hyperlink ref="C456" r:id="rId451" display="http://cwe.mitre.org/data/definitions/203.html" xr:uid="{00000000-0004-0000-0600-0000C2010000}"/>
    <hyperlink ref="C457" r:id="rId452" display="http://cwe.mitre.org/data/definitions/526.html" xr:uid="{00000000-0004-0000-0600-0000C3010000}"/>
    <hyperlink ref="C458" r:id="rId453" display="http://cwe.mitre.org/data/definitions/211.html" xr:uid="{00000000-0004-0000-0600-0000C4010000}"/>
    <hyperlink ref="C459" r:id="rId454" display="http://cwe.mitre.org/data/definitions/541.html" xr:uid="{00000000-0004-0000-0600-0000C5010000}"/>
    <hyperlink ref="C460" r:id="rId455" display="http://cwe.mitre.org/data/definitions/612.html" xr:uid="{00000000-0004-0000-0600-0000C6010000}"/>
    <hyperlink ref="C461" r:id="rId456" display="http://cwe.mitre.org/data/definitions/537.html" xr:uid="{00000000-0004-0000-0600-0000C7010000}"/>
    <hyperlink ref="C462" r:id="rId457" display="http://cwe.mitre.org/data/definitions/532.html" xr:uid="{00000000-0004-0000-0600-0000C8010000}"/>
    <hyperlink ref="C463" r:id="rId458" display="http://cwe.mitre.org/data/definitions/539.html" xr:uid="{00000000-0004-0000-0600-0000C9010000}"/>
    <hyperlink ref="C464" r:id="rId459" display="http://cwe.mitre.org/data/definitions/214.html" xr:uid="{00000000-0004-0000-0600-0000CA010000}"/>
    <hyperlink ref="C465" r:id="rId460" display="http://cwe.mitre.org/data/definitions/598.html" xr:uid="{00000000-0004-0000-0600-0000CB010000}"/>
    <hyperlink ref="C466" r:id="rId461" display="http://cwe.mitre.org/data/definitions/210.html" xr:uid="{00000000-0004-0000-0600-0000CC010000}"/>
    <hyperlink ref="C467" r:id="rId462" display="http://cwe.mitre.org/data/definitions/201.html" xr:uid="{00000000-0004-0000-0600-0000CD010000}"/>
    <hyperlink ref="C468" r:id="rId463" display="http://cwe.mitre.org/data/definitions/550.html" xr:uid="{00000000-0004-0000-0600-0000CE010000}"/>
    <hyperlink ref="C469" r:id="rId464" display="http://cwe.mitre.org/data/definitions/533.html" xr:uid="{00000000-0004-0000-0600-0000CF010000}"/>
    <hyperlink ref="C470" r:id="rId465" display="http://cwe.mitre.org/data/definitions/536.html" xr:uid="{00000000-0004-0000-0600-0000D0010000}"/>
    <hyperlink ref="C471" r:id="rId466" display="http://cwe.mitre.org/data/definitions/535.html" xr:uid="{00000000-0004-0000-0600-0000D1010000}"/>
    <hyperlink ref="C472" r:id="rId467" display="http://cwe.mitre.org/data/definitions/540.html" xr:uid="{00000000-0004-0000-0600-0000D2010000}"/>
    <hyperlink ref="C473" r:id="rId468" display="http://cwe.mitre.org/data/definitions/531.html" xr:uid="{00000000-0004-0000-0600-0000D3010000}"/>
    <hyperlink ref="C474" r:id="rId469" display="http://cwe.mitre.org/data/definitions/208.html" xr:uid="{00000000-0004-0000-0600-0000D4010000}"/>
    <hyperlink ref="C475" r:id="rId470" display="http://cwe.mitre.org/data/definitions/651.html" xr:uid="{00000000-0004-0000-0600-0000D5010000}"/>
    <hyperlink ref="C476" r:id="rId471" display="http://cwe.mitre.org/data/definitions/221.html" xr:uid="{00000000-0004-0000-0600-0000D6010000}"/>
    <hyperlink ref="C477" r:id="rId472" display="http://cwe.mitre.org/data/definitions/199.html" xr:uid="{00000000-0004-0000-0600-0000D7010000}"/>
    <hyperlink ref="C478" r:id="rId473" display="http://cwe.mitre.org/data/definitions/452.html" xr:uid="{00000000-0004-0000-0600-0000D8010000}"/>
    <hyperlink ref="C479" r:id="rId474" display="http://cwe.mitre.org/data/definitions/453.html" xr:uid="{00000000-0004-0000-0600-0000D9010000}"/>
    <hyperlink ref="C480" r:id="rId475" display="http://cwe.mitre.org/data/definitions/277.html" xr:uid="{00000000-0004-0000-0600-0000DA010000}"/>
    <hyperlink ref="C481" r:id="rId476" display="http://cwe.mitre.org/data/definitions/278.html" xr:uid="{00000000-0004-0000-0600-0000DB010000}"/>
    <hyperlink ref="C482" r:id="rId477" display="http://cwe.mitre.org/data/definitions/922.html" xr:uid="{00000000-0004-0000-0600-0000DC010000}"/>
    <hyperlink ref="C483" r:id="rId478" display="http://cwe.mitre.org/data/definitions/377.html" xr:uid="{00000000-0004-0000-0600-0000DD010000}"/>
    <hyperlink ref="C484" r:id="rId479" display="http://cwe.mitre.org/data/definitions/697.html" xr:uid="{00000000-0004-0000-0600-0000DE010000}"/>
    <hyperlink ref="C485" r:id="rId480" display="http://cwe.mitre.org/data/definitions/653.html" xr:uid="{00000000-0004-0000-0600-0000DF010000}"/>
    <hyperlink ref="C486" r:id="rId481" display="http://cwe.mitre.org/data/definitions/691.html" xr:uid="{00000000-0004-0000-0600-0000E0010000}"/>
    <hyperlink ref="C487" r:id="rId482" display="http://cwe.mitre.org/data/definitions/406.html" xr:uid="{00000000-0004-0000-0600-0000E1010000}"/>
    <hyperlink ref="C488" r:id="rId483" display="http://cwe.mitre.org/data/definitions/485.html" xr:uid="{00000000-0004-0000-0600-0000E2010000}"/>
    <hyperlink ref="C489" r:id="rId484" display="http://cwe.mitre.org/data/definitions/331.html" xr:uid="{00000000-0004-0000-0600-0000E3010000}"/>
    <hyperlink ref="C490" r:id="rId485" display="http://cwe.mitre.org/data/definitions/332.html" xr:uid="{00000000-0004-0000-0600-0000E4010000}"/>
    <hyperlink ref="C491" r:id="rId486" display="http://cwe.mitre.org/data/definitions/778.html" xr:uid="{00000000-0004-0000-0600-0000E5010000}"/>
    <hyperlink ref="C492" r:id="rId487" display="http://cwe.mitre.org/data/definitions/655.html" xr:uid="{00000000-0004-0000-0600-0000E6010000}"/>
    <hyperlink ref="C493" r:id="rId488" display="http://cwe.mitre.org/data/definitions/410.html" xr:uid="{00000000-0004-0000-0600-0000E7010000}"/>
    <hyperlink ref="C494" r:id="rId489" display="http://cwe.mitre.org/data/definitions/613.html" xr:uid="{00000000-0004-0000-0600-0000E8010000}"/>
    <hyperlink ref="C495" r:id="rId490" display="http://cwe.mitre.org/data/definitions/351.html" xr:uid="{00000000-0004-0000-0600-0000E9010000}"/>
    <hyperlink ref="C496" r:id="rId491" display="http://cwe.mitre.org/data/definitions/357.html" xr:uid="{00000000-0004-0000-0600-0000EA010000}"/>
    <hyperlink ref="C497" r:id="rId492" display="http://cwe.mitre.org/data/definitions/345.html" xr:uid="{00000000-0004-0000-0600-0000EB010000}"/>
    <hyperlink ref="C498" r:id="rId493" display="http://cwe.mitre.org/data/definitions/522.html" xr:uid="{00000000-0004-0000-0600-0000EC010000}"/>
    <hyperlink ref="C499" r:id="rId494" display="http://cwe.mitre.org/data/definitions/192.html" xr:uid="{00000000-0004-0000-0600-0000ED010000}"/>
    <hyperlink ref="C500" r:id="rId495" display="http://cwe.mitre.org/data/definitions/190.html" xr:uid="{00000000-0004-0000-0600-0000EE010000}"/>
    <hyperlink ref="C501" r:id="rId496" display="http://cwe.mitre.org/data/definitions/680.html" xr:uid="{00000000-0004-0000-0600-0000EF010000}"/>
    <hyperlink ref="C502" r:id="rId497" display="http://cwe.mitre.org/data/definitions/191.html" xr:uid="{00000000-0004-0000-0600-0000F0010000}"/>
    <hyperlink ref="C503" r:id="rId498" display="http://cwe.mitre.org/data/definitions/213.html" xr:uid="{00000000-0004-0000-0600-0000F1010000}"/>
    <hyperlink ref="C504" r:id="rId499" display="http://cwe.mitre.org/data/definitions/513.html" xr:uid="{00000000-0004-0000-0600-0000F2010000}"/>
    <hyperlink ref="C505" r:id="rId500" display="http://cwe.mitre.org/data/definitions/505.html" xr:uid="{00000000-0004-0000-0600-0000F3010000}"/>
    <hyperlink ref="C506" r:id="rId501" display="http://cwe.mitre.org/data/definitions/435.html" xr:uid="{00000000-0004-0000-0600-0000F4010000}"/>
    <hyperlink ref="C507" r:id="rId502" display="http://cwe.mitre.org/data/definitions/436.html" xr:uid="{00000000-0004-0000-0600-0000F5010000}"/>
    <hyperlink ref="C508" r:id="rId503" display="http://cwe.mitre.org/data/definitions/245.html" xr:uid="{00000000-0004-0000-0600-0000F6010000}"/>
    <hyperlink ref="C509" r:id="rId504" display="http://cwe.mitre.org/data/definitions/246.html" xr:uid="{00000000-0004-0000-0600-0000F7010000}"/>
    <hyperlink ref="C510" r:id="rId505" display="http://cwe.mitre.org/data/definitions/383.html" xr:uid="{00000000-0004-0000-0600-0000F8010000}"/>
    <hyperlink ref="C511" r:id="rId506" display="http://cwe.mitre.org/data/definitions/579.html" xr:uid="{00000000-0004-0000-0600-0000F9010000}"/>
    <hyperlink ref="C512" r:id="rId507" display="http://cwe.mitre.org/data/definitions/382.html" xr:uid="{00000000-0004-0000-0600-0000FA010000}"/>
    <hyperlink ref="C513" r:id="rId508" display="http://cwe.mitre.org/data/definitions/4.html" xr:uid="{00000000-0004-0000-0600-0000FB010000}"/>
    <hyperlink ref="C514" r:id="rId509" display="http://cwe.mitre.org/data/definitions/594.html" xr:uid="{00000000-0004-0000-0600-0000FC010000}"/>
    <hyperlink ref="C515" r:id="rId510" display="http://cwe.mitre.org/data/definitions/5.html" xr:uid="{00000000-0004-0000-0600-0000FD010000}"/>
    <hyperlink ref="C516" r:id="rId511" display="http://cwe.mitre.org/data/definitions/8.html" xr:uid="{00000000-0004-0000-0600-0000FE010000}"/>
    <hyperlink ref="C517" r:id="rId512" display="http://cwe.mitre.org/data/definitions/6.html" xr:uid="{00000000-0004-0000-0600-0000FF010000}"/>
    <hyperlink ref="C518" r:id="rId513" display="http://cwe.mitre.org/data/definitions/7.html" xr:uid="{00000000-0004-0000-0600-000000020000}"/>
    <hyperlink ref="C519" r:id="rId514" display="http://cwe.mitre.org/data/definitions/555.html" xr:uid="{00000000-0004-0000-0600-000001020000}"/>
    <hyperlink ref="C520" r:id="rId515" display="http://cwe.mitre.org/data/definitions/9.html" xr:uid="{00000000-0004-0000-0600-000002020000}"/>
    <hyperlink ref="C521" r:id="rId516" display="http://cwe.mitre.org/data/definitions/381.html" xr:uid="{00000000-0004-0000-0600-000003020000}"/>
    <hyperlink ref="C522" r:id="rId517" display="http://cwe.mitre.org/data/definitions/322.html" xr:uid="{00000000-0004-0000-0600-000004020000}"/>
    <hyperlink ref="C523" r:id="rId518" display="http://cwe.mitre.org/data/definitions/320.html" xr:uid="{00000000-0004-0000-0600-000005020000}"/>
    <hyperlink ref="C524" r:id="rId519" display="http://cwe.mitre.org/data/definitions/671.html" xr:uid="{00000000-0004-0000-0600-000006020000}"/>
    <hyperlink ref="C525" r:id="rId520" display="http://cwe.mitre.org/data/definitions/272.html" xr:uid="{00000000-0004-0000-0600-000007020000}"/>
    <hyperlink ref="C526" r:id="rId521" display="http://cwe.mitre.org/data/definitions/489.html" xr:uid="{00000000-0004-0000-0600-000008020000}"/>
    <hyperlink ref="C527" r:id="rId522" display="http://cwe.mitre.org/data/definitions/1.html" xr:uid="{00000000-0004-0000-0600-000009020000}"/>
    <hyperlink ref="C528" r:id="rId523" display="http://cwe.mitre.org/data/definitions/779.html" xr:uid="{00000000-0004-0000-0600-00000A020000}"/>
    <hyperlink ref="C529" r:id="rId524" display="http://cwe.mitre.org/data/definitions/511.html" xr:uid="{00000000-0004-0000-0600-00000B020000}"/>
    <hyperlink ref="C530" r:id="rId525" display="http://cwe.mitre.org/data/definitions/835.html" xr:uid="{00000000-0004-0000-0600-00000C020000}"/>
    <hyperlink ref="C531" r:id="rId526" display="http://cwe.mitre.org/data/definitions/70.html" xr:uid="{00000000-0004-0000-0600-00000D020000}"/>
    <hyperlink ref="C532" r:id="rId527" display="http://cwe.mitre.org/data/definitions/115.html" xr:uid="{00000000-0004-0000-0600-00000E020000}"/>
    <hyperlink ref="C533" r:id="rId528" display="http://cwe.mitre.org/data/definitions/762.html" xr:uid="{00000000-0004-0000-0600-00000F020000}"/>
    <hyperlink ref="C534" r:id="rId529" display="http://cwe.mitre.org/data/definitions/306.html" xr:uid="{00000000-0004-0000-0600-000010020000}"/>
    <hyperlink ref="C535" r:id="rId530" display="http://cwe.mitre.org/data/definitions/862.html" xr:uid="{00000000-0004-0000-0600-000011020000}"/>
    <hyperlink ref="C536" r:id="rId531" display="http://cwe.mitre.org/data/definitions/370.html" xr:uid="{00000000-0004-0000-0600-000012020000}"/>
    <hyperlink ref="C537" r:id="rId532" display="http://cwe.mitre.org/data/definitions/304.html" xr:uid="{00000000-0004-0000-0600-000013020000}"/>
    <hyperlink ref="C538" r:id="rId533" display="http://cwe.mitre.org/data/definitions/756.html" xr:uid="{00000000-0004-0000-0600-000014020000}"/>
    <hyperlink ref="C539" r:id="rId534" display="http://cwe.mitre.org/data/definitions/478.html" xr:uid="{00000000-0004-0000-0600-000015020000}"/>
    <hyperlink ref="C540" r:id="rId535" display="http://cwe.mitre.org/data/definitions/311.html" xr:uid="{00000000-0004-0000-0600-000016020000}"/>
    <hyperlink ref="C541" r:id="rId536" display="http://cwe.mitre.org/data/definitions/431.html" xr:uid="{00000000-0004-0000-0600-000017020000}"/>
    <hyperlink ref="C542" r:id="rId537" display="http://cwe.mitre.org/data/definitions/456.html" xr:uid="{00000000-0004-0000-0600-000018020000}"/>
    <hyperlink ref="C543" r:id="rId538" display="http://cwe.mitre.org/data/definitions/909.html" xr:uid="{00000000-0004-0000-0600-000019020000}"/>
    <hyperlink ref="C544" r:id="rId539" display="http://cwe.mitre.org/data/definitions/414.html" xr:uid="{00000000-0004-0000-0600-00001A020000}"/>
    <hyperlink ref="C545" r:id="rId540" display="http://cwe.mitre.org/data/definitions/549.html" xr:uid="{00000000-0004-0000-0600-00001B020000}"/>
    <hyperlink ref="C546" r:id="rId541" display="http://cwe.mitre.org/data/definitions/771.html" xr:uid="{00000000-0004-0000-0600-00001C020000}"/>
    <hyperlink ref="C547" r:id="rId542" display="http://cwe.mitre.org/data/definitions/773.html" xr:uid="{00000000-0004-0000-0600-00001D020000}"/>
    <hyperlink ref="C548" r:id="rId543" display="http://cwe.mitre.org/data/definitions/775.html" xr:uid="{00000000-0004-0000-0600-00001E020000}"/>
    <hyperlink ref="C549" r:id="rId544" display="http://cwe.mitre.org/data/definitions/772.html" xr:uid="{00000000-0004-0000-0600-00001F020000}"/>
    <hyperlink ref="C550" r:id="rId545" display="http://cwe.mitre.org/data/definitions/392.html" xr:uid="{00000000-0004-0000-0600-000020020000}"/>
    <hyperlink ref="C551" r:id="rId546" display="http://cwe.mitre.org/data/definitions/325.html" xr:uid="{00000000-0004-0000-0600-000021020000}"/>
    <hyperlink ref="C552" r:id="rId547" display="http://cwe.mitre.org/data/definitions/544.html" xr:uid="{00000000-0004-0000-0600-000022020000}"/>
    <hyperlink ref="C553" r:id="rId548" display="http://cwe.mitre.org/data/definitions/353.html" xr:uid="{00000000-0004-0000-0600-000023020000}"/>
    <hyperlink ref="C554" r:id="rId549" display="http://cwe.mitre.org/data/definitions/820.html" xr:uid="{00000000-0004-0000-0600-000024020000}"/>
    <hyperlink ref="C555" r:id="rId550" display="http://cwe.mitre.org/data/definitions/599.html" xr:uid="{00000000-0004-0000-0600-000025020000}"/>
    <hyperlink ref="C556" r:id="rId551" display="http://cwe.mitre.org/data/definitions/112.html" xr:uid="{00000000-0004-0000-0600-000026020000}"/>
    <hyperlink ref="C557" r:id="rId552" display="http://cwe.mitre.org/data/definitions/490.html" xr:uid="{00000000-0004-0000-0600-000027020000}"/>
    <hyperlink ref="C558" r:id="rId553" display="http://cwe.mitre.org/data/definitions/471.html" xr:uid="{00000000-0004-0000-0600-000028020000}"/>
    <hyperlink ref="C559" r:id="rId554" display="http://cwe.mitre.org/data/definitions/504.html" xr:uid="{00000000-0004-0000-0600-000029020000}"/>
    <hyperlink ref="C560" r:id="rId555" display="http://cwe.mitre.org/data/definitions/605.html" xr:uid="{00000000-0004-0000-0600-00002A020000}"/>
    <hyperlink ref="C561" r:id="rId556" display="http://cwe.mitre.org/data/definitions/450.html" xr:uid="{00000000-0004-0000-0600-00002B020000}"/>
    <hyperlink ref="C562" r:id="rId557" display="http://cwe.mitre.org/data/definitions/764.html" xr:uid="{00000000-0004-0000-0600-00002C020000}"/>
    <hyperlink ref="C563" r:id="rId558" display="http://cwe.mitre.org/data/definitions/765.html" xr:uid="{00000000-0004-0000-0600-00002D020000}"/>
    <hyperlink ref="C564" r:id="rId559" display="http://cwe.mitre.org/data/definitions/709.html" xr:uid="{00000000-0004-0000-0600-00002E020000}"/>
    <hyperlink ref="C565" r:id="rId560" display="http://cwe.mitre.org/data/definitions/519.html" xr:uid="{00000000-0004-0000-0600-00002F020000}"/>
    <hyperlink ref="C566" r:id="rId561" display="http://cwe.mitre.org/data/definitions/520.html" xr:uid="{00000000-0004-0000-0600-000030020000}"/>
    <hyperlink ref="C567" r:id="rId562" display="http://cwe.mitre.org/data/definitions/455.html" xr:uid="{00000000-0004-0000-0600-000031020000}"/>
    <hyperlink ref="C568" r:id="rId563" display="http://cwe.mitre.org/data/definitions/508.html" xr:uid="{00000000-0004-0000-0600-000032020000}"/>
    <hyperlink ref="C569" r:id="rId564" display="http://cwe.mitre.org/data/definitions/636.html" xr:uid="{00000000-0004-0000-0600-000033020000}"/>
    <hyperlink ref="C570" r:id="rId565" display="http://cwe.mitre.org/data/definitions/329.html" xr:uid="{00000000-0004-0000-0600-000034020000}"/>
    <hyperlink ref="C571" r:id="rId566" display="http://cwe.mitre.org/data/definitions/638.html" xr:uid="{00000000-0004-0000-0600-000035020000}"/>
    <hyperlink ref="C572" r:id="rId567" display="http://cwe.mitre.org/data/definitions/262.html" xr:uid="{00000000-0004-0000-0600-000036020000}"/>
    <hyperlink ref="C573" r:id="rId568" display="http://cwe.mitre.org/data/definitions/626.html" xr:uid="{00000000-0004-0000-0600-000037020000}"/>
    <hyperlink ref="C574" r:id="rId569" display="http://cwe.mitre.org/data/definitions/476.html" xr:uid="{00000000-0004-0000-0600-000038020000}"/>
    <hyperlink ref="C575" r:id="rId570" display="http://cwe.mitre.org/data/definitions/189.html" xr:uid="{00000000-0004-0000-0600-000039020000}"/>
    <hyperlink ref="C576" r:id="rId571" display="http://cwe.mitre.org/data/definitions/839.html" xr:uid="{00000000-0004-0000-0600-00003A020000}"/>
    <hyperlink ref="C577" r:id="rId572" display="http://cwe.mitre.org/data/definitions/197.html" xr:uid="{00000000-0004-0000-0600-00003B020000}"/>
    <hyperlink ref="C578" r:id="rId573" display="http://cwe.mitre.org/data/definitions/581.html" xr:uid="{00000000-0004-0000-0600-00003C020000}"/>
    <hyperlink ref="C579" r:id="rId574" display="http://cwe.mitre.org/data/definitions/224.html" xr:uid="{00000000-0004-0000-0600-00003D020000}"/>
    <hyperlink ref="C580" r:id="rId575" display="http://cwe.mitre.org/data/definitions/448.html" xr:uid="{00000000-0004-0000-0600-00003E020000}"/>
    <hyperlink ref="C581" r:id="rId576" display="http://cwe.mitre.org/data/definitions/193.html" xr:uid="{00000000-0004-0000-0600-00003F020000}"/>
    <hyperlink ref="C582" r:id="rId577" display="http://cwe.mitre.org/data/definitions/559.html" xr:uid="{00000000-0004-0000-0600-000040020000}"/>
    <hyperlink ref="C583" r:id="rId578" display="http://cwe.mitre.org/data/definitions/251.html" xr:uid="{00000000-0004-0000-0600-000041020000}"/>
    <hyperlink ref="C584" r:id="rId579" display="http://cwe.mitre.org/data/definitions/223.html" xr:uid="{00000000-0004-0000-0600-000042020000}"/>
    <hyperlink ref="C585" r:id="rId580" display="http://cwe.mitre.org/data/definitions/484.html" xr:uid="{00000000-0004-0000-0600-000043020000}"/>
    <hyperlink ref="C586" r:id="rId581" display="http://cwe.mitre.org/data/definitions/793.html" xr:uid="{00000000-0004-0000-0600-000044020000}"/>
    <hyperlink ref="C587" r:id="rId582" display="http://cwe.mitre.org/data/definitions/795.html" xr:uid="{00000000-0004-0000-0600-000045020000}"/>
    <hyperlink ref="C588" r:id="rId583" display="http://cwe.mitre.org/data/definitions/797.html" xr:uid="{00000000-0004-0000-0600-000046020000}"/>
    <hyperlink ref="C589" r:id="rId584" display="http://cwe.mitre.org/data/definitions/796.html" xr:uid="{00000000-0004-0000-0600-000047020000}"/>
    <hyperlink ref="C590" r:id="rId585" display="http://cwe.mitre.org/data/definitions/672.html" xr:uid="{00000000-0004-0000-0600-000048020000}"/>
    <hyperlink ref="C591" r:id="rId586" display="http://cwe.mitre.org/data/definitions/666.html" xr:uid="{00000000-0004-0000-0600-000049020000}"/>
    <hyperlink ref="C592" r:id="rId587" display="http://cwe.mitre.org/data/definitions/783.html" xr:uid="{00000000-0004-0000-0600-00004A020000}"/>
    <hyperlink ref="C593" r:id="rId588" display="http://cwe.mitre.org/data/definitions/346.html" xr:uid="{00000000-0004-0000-0600-00004B020000}"/>
    <hyperlink ref="C594" r:id="rId589" display="http://cwe.mitre.org/data/definitions/517.html" xr:uid="{00000000-0004-0000-0600-00004C020000}"/>
    <hyperlink ref="C595" r:id="rId590" display="http://cwe.mitre.org/data/definitions/125.html" xr:uid="{00000000-0004-0000-0600-00004D020000}"/>
    <hyperlink ref="C596" r:id="rId591" display="http://cwe.mitre.org/data/definitions/787.html" xr:uid="{00000000-0004-0000-0600-00004E020000}"/>
    <hyperlink ref="C597" r:id="rId592" display="http://cwe.mitre.org/data/definitions/645.html" xr:uid="{00000000-0004-0000-0600-00004F020000}"/>
    <hyperlink ref="C598" r:id="rId593" display="http://cwe.mitre.org/data/definitions/186.html" xr:uid="{00000000-0004-0000-0600-000050020000}"/>
    <hyperlink ref="C599" r:id="rId594" display="http://cwe.mitre.org/data/definitions/722.html" xr:uid="{00000000-0004-0000-0600-000051020000}"/>
    <hyperlink ref="C600" r:id="rId595" display="http://cwe.mitre.org/data/definitions/731.html" xr:uid="{00000000-0004-0000-0600-000052020000}"/>
    <hyperlink ref="C601" r:id="rId596" display="http://cwe.mitre.org/data/definitions/723.html" xr:uid="{00000000-0004-0000-0600-000053020000}"/>
    <hyperlink ref="C602" r:id="rId597" display="http://cwe.mitre.org/data/definitions/724.html" xr:uid="{00000000-0004-0000-0600-000054020000}"/>
    <hyperlink ref="C603" r:id="rId598" display="http://cwe.mitre.org/data/definitions/725.html" xr:uid="{00000000-0004-0000-0600-000055020000}"/>
    <hyperlink ref="C604" r:id="rId599" display="http://cwe.mitre.org/data/definitions/726.html" xr:uid="{00000000-0004-0000-0600-000056020000}"/>
    <hyperlink ref="C605" r:id="rId600" display="http://cwe.mitre.org/data/definitions/727.html" xr:uid="{00000000-0004-0000-0600-000057020000}"/>
    <hyperlink ref="C606" r:id="rId601" display="http://cwe.mitre.org/data/definitions/728.html" xr:uid="{00000000-0004-0000-0600-000058020000}"/>
    <hyperlink ref="C607" r:id="rId602" display="http://cwe.mitre.org/data/definitions/729.html" xr:uid="{00000000-0004-0000-0600-000059020000}"/>
    <hyperlink ref="C608" r:id="rId603" display="http://cwe.mitre.org/data/definitions/730.html" xr:uid="{00000000-0004-0000-0600-00005A020000}"/>
    <hyperlink ref="C609" r:id="rId604" display="http://cwe.mitre.org/data/definitions/712.html" xr:uid="{00000000-0004-0000-0600-00005B020000}"/>
    <hyperlink ref="C610" r:id="rId605" display="http://cwe.mitre.org/data/definitions/721.html" xr:uid="{00000000-0004-0000-0600-00005C020000}"/>
    <hyperlink ref="C611" r:id="rId606" display="http://cwe.mitre.org/data/definitions/713.html" xr:uid="{00000000-0004-0000-0600-00005D020000}"/>
    <hyperlink ref="C612" r:id="rId607" display="http://cwe.mitre.org/data/definitions/714.html" xr:uid="{00000000-0004-0000-0600-00005E020000}"/>
    <hyperlink ref="C613" r:id="rId608" display="http://cwe.mitre.org/data/definitions/715.html" xr:uid="{00000000-0004-0000-0600-00005F020000}"/>
    <hyperlink ref="C614" r:id="rId609" display="http://cwe.mitre.org/data/definitions/716.html" xr:uid="{00000000-0004-0000-0600-000060020000}"/>
    <hyperlink ref="C615" r:id="rId610" display="http://cwe.mitre.org/data/definitions/717.html" xr:uid="{00000000-0004-0000-0600-000061020000}"/>
    <hyperlink ref="C616" r:id="rId611" display="http://cwe.mitre.org/data/definitions/718.html" xr:uid="{00000000-0004-0000-0600-000062020000}"/>
    <hyperlink ref="C617" r:id="rId612" display="http://cwe.mitre.org/data/definitions/719.html" xr:uid="{00000000-0004-0000-0600-000063020000}"/>
    <hyperlink ref="C618" r:id="rId613" display="http://cwe.mitre.org/data/definitions/720.html" xr:uid="{00000000-0004-0000-0600-000064020000}"/>
    <hyperlink ref="C619" r:id="rId614" display="http://cwe.mitre.org/data/definitions/810.html" xr:uid="{00000000-0004-0000-0600-000065020000}"/>
    <hyperlink ref="C620" r:id="rId615" display="http://cwe.mitre.org/data/definitions/819.html" xr:uid="{00000000-0004-0000-0600-000066020000}"/>
    <hyperlink ref="C621" r:id="rId616" display="http://cwe.mitre.org/data/definitions/811.html" xr:uid="{00000000-0004-0000-0600-000067020000}"/>
    <hyperlink ref="C622" r:id="rId617" display="http://cwe.mitre.org/data/definitions/812.html" xr:uid="{00000000-0004-0000-0600-000068020000}"/>
    <hyperlink ref="C623" r:id="rId618" display="http://cwe.mitre.org/data/definitions/813.html" xr:uid="{00000000-0004-0000-0600-000069020000}"/>
    <hyperlink ref="C624" r:id="rId619" display="http://cwe.mitre.org/data/definitions/814.html" xr:uid="{00000000-0004-0000-0600-00006A020000}"/>
    <hyperlink ref="C625" r:id="rId620" display="http://cwe.mitre.org/data/definitions/815.html" xr:uid="{00000000-0004-0000-0600-00006B020000}"/>
    <hyperlink ref="C626" r:id="rId621" display="http://cwe.mitre.org/data/definitions/816.html" xr:uid="{00000000-0004-0000-0600-00006C020000}"/>
    <hyperlink ref="C627" r:id="rId622" display="http://cwe.mitre.org/data/definitions/817.html" xr:uid="{00000000-0004-0000-0600-00006D020000}"/>
    <hyperlink ref="C628" r:id="rId623" display="http://cwe.mitre.org/data/definitions/818.html" xr:uid="{00000000-0004-0000-0600-00006E020000}"/>
    <hyperlink ref="C629" r:id="rId624" display="http://cwe.mitre.org/data/definitions/929.html" xr:uid="{00000000-0004-0000-0600-00006F020000}"/>
    <hyperlink ref="C630" r:id="rId625" display="http://cwe.mitre.org/data/definitions/938.html" xr:uid="{00000000-0004-0000-0600-000070020000}"/>
    <hyperlink ref="C631" r:id="rId626" display="http://cwe.mitre.org/data/definitions/930.html" xr:uid="{00000000-0004-0000-0600-000071020000}"/>
    <hyperlink ref="C632" r:id="rId627" display="http://cwe.mitre.org/data/definitions/931.html" xr:uid="{00000000-0004-0000-0600-000072020000}"/>
    <hyperlink ref="C633" r:id="rId628" display="http://cwe.mitre.org/data/definitions/932.html" xr:uid="{00000000-0004-0000-0600-000073020000}"/>
    <hyperlink ref="C634" r:id="rId629" display="http://cwe.mitre.org/data/definitions/933.html" xr:uid="{00000000-0004-0000-0600-000074020000}"/>
    <hyperlink ref="C635" r:id="rId630" display="http://cwe.mitre.org/data/definitions/934.html" xr:uid="{00000000-0004-0000-0600-000075020000}"/>
    <hyperlink ref="C636" r:id="rId631" display="http://cwe.mitre.org/data/definitions/935.html" xr:uid="{00000000-0004-0000-0600-000076020000}"/>
    <hyperlink ref="C637" r:id="rId632" display="http://cwe.mitre.org/data/definitions/936.html" xr:uid="{00000000-0004-0000-0600-000077020000}"/>
    <hyperlink ref="C638" r:id="rId633" display="http://cwe.mitre.org/data/definitions/937.html" xr:uid="{00000000-0004-0000-0600-000078020000}"/>
    <hyperlink ref="C639" r:id="rId634" display="http://cwe.mitre.org/data/definitions/187.html" xr:uid="{00000000-0004-0000-0600-000079020000}"/>
    <hyperlink ref="C640" r:id="rId635" display="http://cwe.mitre.org/data/definitions/374.html" xr:uid="{00000000-0004-0000-0600-00007A020000}"/>
    <hyperlink ref="C641" r:id="rId636" display="http://cwe.mitre.org/data/definitions/263.html" xr:uid="{00000000-0004-0000-0600-00007B020000}"/>
    <hyperlink ref="C642" r:id="rId637" display="http://cwe.mitre.org/data/definitions/260.html" xr:uid="{00000000-0004-0000-0600-00007C020000}"/>
    <hyperlink ref="C643" r:id="rId638" display="http://cwe.mitre.org/data/definitions/47.html" xr:uid="{00000000-0004-0000-0600-00007D020000}"/>
    <hyperlink ref="C644" r:id="rId639" display="http://cwe.mitre.org/data/definitions/55.html" xr:uid="{00000000-0004-0000-0600-00007E020000}"/>
    <hyperlink ref="C645" r:id="rId640" display="http://cwe.mitre.org/data/definitions/50.html" xr:uid="{00000000-0004-0000-0600-00007F020000}"/>
    <hyperlink ref="C646" r:id="rId641" display="http://cwe.mitre.org/data/definitions/51.html" xr:uid="{00000000-0004-0000-0600-000080020000}"/>
    <hyperlink ref="C647" r:id="rId642" display="http://cwe.mitre.org/data/definitions/52.html" xr:uid="{00000000-0004-0000-0600-000081020000}"/>
    <hyperlink ref="C648" r:id="rId643" display="http://cwe.mitre.org/data/definitions/53.html" xr:uid="{00000000-0004-0000-0600-000082020000}"/>
    <hyperlink ref="C649" r:id="rId644" display="http://cwe.mitre.org/data/definitions/57.html" xr:uid="{00000000-0004-0000-0600-000083020000}"/>
    <hyperlink ref="C650" r:id="rId645" display="http://cwe.mitre.org/data/definitions/48.html" xr:uid="{00000000-0004-0000-0600-000084020000}"/>
    <hyperlink ref="C651" r:id="rId646" display="http://cwe.mitre.org/data/definitions/56.html" xr:uid="{00000000-0004-0000-0600-000085020000}"/>
    <hyperlink ref="C652" r:id="rId647" display="http://cwe.mitre.org/data/definitions/54.html" xr:uid="{00000000-0004-0000-0600-000086020000}"/>
    <hyperlink ref="C653" r:id="rId648" display="http://cwe.mitre.org/data/definitions/46.html" xr:uid="{00000000-0004-0000-0600-000087020000}"/>
    <hyperlink ref="C654" r:id="rId649" display="http://cwe.mitre.org/data/definitions/44.html" xr:uid="{00000000-0004-0000-0600-000088020000}"/>
    <hyperlink ref="C655" r:id="rId650" display="http://cwe.mitre.org/data/definitions/45.html" xr:uid="{00000000-0004-0000-0600-000089020000}"/>
    <hyperlink ref="C656" r:id="rId651" display="http://cwe.mitre.org/data/definitions/43.html" xr:uid="{00000000-0004-0000-0600-00008A020000}"/>
    <hyperlink ref="C657" r:id="rId652" display="http://cwe.mitre.org/data/definitions/42.html" xr:uid="{00000000-0004-0000-0600-00008B020000}"/>
    <hyperlink ref="C658" r:id="rId653" display="http://cwe.mitre.org/data/definitions/49.html" xr:uid="{00000000-0004-0000-0600-00008C020000}"/>
    <hyperlink ref="C659" r:id="rId654" display="http://cwe.mitre.org/data/definitions/58.html" xr:uid="{00000000-0004-0000-0600-00008D020000}"/>
    <hyperlink ref="C660" r:id="rId655" display="http://cwe.mitre.org/data/definitions/33.html" xr:uid="{00000000-0004-0000-0600-00008E020000}"/>
    <hyperlink ref="C661" r:id="rId656" display="http://cwe.mitre.org/data/definitions/32.html" xr:uid="{00000000-0004-0000-0600-00008F020000}"/>
    <hyperlink ref="C662" r:id="rId657" display="http://cwe.mitre.org/data/definitions/34.html" xr:uid="{00000000-0004-0000-0600-000090020000}"/>
    <hyperlink ref="C663" r:id="rId658" display="http://cwe.mitre.org/data/definitions/35.html" xr:uid="{00000000-0004-0000-0600-000091020000}"/>
    <hyperlink ref="C664" r:id="rId659" display="http://cwe.mitre.org/data/definitions/25.html" xr:uid="{00000000-0004-0000-0600-000092020000}"/>
    <hyperlink ref="C665" r:id="rId660" display="http://cwe.mitre.org/data/definitions/37.html" xr:uid="{00000000-0004-0000-0600-000093020000}"/>
    <hyperlink ref="C666" r:id="rId661" display="http://cwe.mitre.org/data/definitions/26.html" xr:uid="{00000000-0004-0000-0600-000094020000}"/>
    <hyperlink ref="C667" r:id="rId662" display="http://cwe.mitre.org/data/definitions/24.html" xr:uid="{00000000-0004-0000-0600-000095020000}"/>
    <hyperlink ref="C668" r:id="rId663" display="http://cwe.mitre.org/data/definitions/29.html" xr:uid="{00000000-0004-0000-0600-000096020000}"/>
    <hyperlink ref="C669" r:id="rId664" display="http://cwe.mitre.org/data/definitions/40.html" xr:uid="{00000000-0004-0000-0600-000097020000}"/>
    <hyperlink ref="C670" r:id="rId665" display="http://cwe.mitre.org/data/definitions/38.html" xr:uid="{00000000-0004-0000-0600-000098020000}"/>
    <hyperlink ref="C671" r:id="rId666" display="http://cwe.mitre.org/data/definitions/30.html" xr:uid="{00000000-0004-0000-0600-000099020000}"/>
    <hyperlink ref="C672" r:id="rId667" display="http://cwe.mitre.org/data/definitions/28.html" xr:uid="{00000000-0004-0000-0600-00009A020000}"/>
    <hyperlink ref="C673" r:id="rId668" display="http://cwe.mitre.org/data/definitions/39.html" xr:uid="{00000000-0004-0000-0600-00009B020000}"/>
    <hyperlink ref="C674" r:id="rId669" display="http://cwe.mitre.org/data/definitions/27.html" xr:uid="{00000000-0004-0000-0600-00009C020000}"/>
    <hyperlink ref="C675" r:id="rId670" display="http://cwe.mitre.org/data/definitions/31.html" xr:uid="{00000000-0004-0000-0600-00009D020000}"/>
    <hyperlink ref="C676" r:id="rId671" display="http://cwe.mitre.org/data/definitions/21.html" xr:uid="{00000000-0004-0000-0600-00009E020000}"/>
    <hyperlink ref="C677" r:id="rId672" display="http://cwe.mitre.org/data/definitions/275.html" xr:uid="{00000000-0004-0000-0600-00009F020000}"/>
    <hyperlink ref="C678" r:id="rId673" display="http://cwe.mitre.org/data/definitions/689.html" xr:uid="{00000000-0004-0000-0600-0000A0020000}"/>
    <hyperlink ref="C679" r:id="rId674" display="http://cwe.mitre.org/data/definitions/264.html" xr:uid="{00000000-0004-0000-0600-0000A1020000}"/>
    <hyperlink ref="C680" r:id="rId675" display="http://cwe.mitre.org/data/definitions/625.html" xr:uid="{00000000-0004-0000-0600-0000A2020000}"/>
    <hyperlink ref="C681" r:id="rId676" display="http://cwe.mitre.org/data/definitions/183.html" xr:uid="{00000000-0004-0000-0600-0000A3020000}"/>
    <hyperlink ref="C682" r:id="rId677" display="http://cwe.mitre.org/data/definitions/473.html" xr:uid="{00000000-0004-0000-0600-0000A4020000}"/>
    <hyperlink ref="C683" r:id="rId678" display="http://cwe.mitre.org/data/definitions/842.html" xr:uid="{00000000-0004-0000-0600-0000A5020000}"/>
    <hyperlink ref="C684" r:id="rId679" display="http://cwe.mitre.org/data/definitions/256.html" xr:uid="{00000000-0004-0000-0600-0000A6020000}"/>
    <hyperlink ref="C685" r:id="rId680" display="http://cwe.mitre.org/data/definitions/465.html" xr:uid="{00000000-0004-0000-0600-0000A7020000}"/>
    <hyperlink ref="C686" r:id="rId681" display="http://cwe.mitre.org/data/definitions/340.html" xr:uid="{00000000-0004-0000-0600-0000A8020000}"/>
    <hyperlink ref="C687" r:id="rId682" display="http://cwe.mitre.org/data/definitions/342.html" xr:uid="{00000000-0004-0000-0600-0000A9020000}"/>
    <hyperlink ref="C688" r:id="rId683" display="http://cwe.mitre.org/data/definitions/341.html" xr:uid="{00000000-0004-0000-0600-0000AA020000}"/>
    <hyperlink ref="C689" r:id="rId684" display="http://cwe.mitre.org/data/definitions/337.html" xr:uid="{00000000-0004-0000-0600-0000AB020000}"/>
    <hyperlink ref="C690" r:id="rId685" display="http://cwe.mitre.org/data/definitions/343.html" xr:uid="{00000000-0004-0000-0600-0000AC020000}"/>
    <hyperlink ref="C691" r:id="rId686" display="http://cwe.mitre.org/data/definitions/826.html" xr:uid="{00000000-0004-0000-0600-0000AD020000}"/>
    <hyperlink ref="C692" r:id="rId687" display="http://cwe.mitre.org/data/definitions/359.html" xr:uid="{00000000-0004-0000-0600-0000AE020000}"/>
    <hyperlink ref="C693" r:id="rId688" display="http://cwe.mitre.org/data/definitions/495.html" xr:uid="{00000000-0004-0000-0600-0000AF020000}"/>
    <hyperlink ref="C694" r:id="rId689" display="http://cwe.mitre.org/data/definitions/265.html" xr:uid="{00000000-0004-0000-0600-0000B0020000}"/>
    <hyperlink ref="C695" r:id="rId690" display="http://cwe.mitre.org/data/definitions/268.html" xr:uid="{00000000-0004-0000-0600-0000B1020000}"/>
    <hyperlink ref="C696" r:id="rId691" display="http://cwe.mitre.org/data/definitions/270.html" xr:uid="{00000000-0004-0000-0600-0000B2020000}"/>
    <hyperlink ref="C697" r:id="rId692" display="http://cwe.mitre.org/data/definitions/267.html" xr:uid="{00000000-0004-0000-0600-0000B3020000}"/>
    <hyperlink ref="C698" r:id="rId693" display="http://cwe.mitre.org/data/definitions/271.html" xr:uid="{00000000-0004-0000-0600-0000B4020000}"/>
    <hyperlink ref="C699" r:id="rId694" display="http://cwe.mitre.org/data/definitions/335.html" xr:uid="{00000000-0004-0000-0600-0000B5020000}"/>
    <hyperlink ref="C700" r:id="rId695" display="http://cwe.mitre.org/data/definitions/114.html" xr:uid="{00000000-0004-0000-0600-0000B6020000}"/>
    <hyperlink ref="C701" r:id="rId696" display="http://cwe.mitre.org/data/definitions/356.html" xr:uid="{00000000-0004-0000-0600-0000B7020000}"/>
    <hyperlink ref="C702" r:id="rId697" display="http://cwe.mitre.org/data/definitions/693.html" xr:uid="{00000000-0004-0000-0600-0000B8020000}"/>
    <hyperlink ref="C703" r:id="rId698" display="http://cwe.mitre.org/data/definitions/491.html" xr:uid="{00000000-0004-0000-0600-0000B9020000}"/>
    <hyperlink ref="C704" r:id="rId699" display="http://cwe.mitre.org/data/definitions/496.html" xr:uid="{00000000-0004-0000-0600-0000BA020000}"/>
    <hyperlink ref="C705" r:id="rId700" display="http://cwe.mitre.org/data/definitions/500.html" xr:uid="{00000000-0004-0000-0600-0000BB020000}"/>
    <hyperlink ref="C706" r:id="rId701" display="http://cwe.mitre.org/data/definitions/607.html" xr:uid="{00000000-0004-0000-0600-0000BC020000}"/>
    <hyperlink ref="C707" r:id="rId702" display="http://cwe.mitre.org/data/definitions/421.html" xr:uid="{00000000-0004-0000-0600-0000BD020000}"/>
    <hyperlink ref="C708" r:id="rId703" display="http://cwe.mitre.org/data/definitions/363.html" xr:uid="{00000000-0004-0000-0600-0000BE020000}"/>
    <hyperlink ref="C709" r:id="rId704" display="http://cwe.mitre.org/data/definitions/365.html" xr:uid="{00000000-0004-0000-0600-0000BF020000}"/>
    <hyperlink ref="C710" r:id="rId705" display="http://cwe.mitre.org/data/definitions/366.html" xr:uid="{00000000-0004-0000-0600-0000C0020000}"/>
    <hyperlink ref="C711" r:id="rId706" display="http://cwe.mitre.org/data/definitions/617.html" xr:uid="{00000000-0004-0000-0600-0000C1020000}"/>
    <hyperlink ref="C712" r:id="rId707" display="http://cwe.mitre.org/data/definitions/301.html" xr:uid="{00000000-0004-0000-0600-0000C2020000}"/>
    <hyperlink ref="C713" r:id="rId708" display="http://cwe.mitre.org/data/definitions/777.html" xr:uid="{00000000-0004-0000-0600-0000C3020000}"/>
    <hyperlink ref="C714" r:id="rId709" display="http://cwe.mitre.org/data/definitions/23.html" xr:uid="{00000000-0004-0000-0600-0000C4020000}"/>
    <hyperlink ref="C715" r:id="rId710" display="http://cwe.mitre.org/data/definitions/763.html" xr:uid="{00000000-0004-0000-0600-0000C5020000}"/>
    <hyperlink ref="C716" r:id="rId711" display="http://cwe.mitre.org/data/definitions/654.html" xr:uid="{00000000-0004-0000-0600-0000C6020000}"/>
    <hyperlink ref="C717" r:id="rId712" display="http://cwe.mitre.org/data/definitions/565.html" xr:uid="{00000000-0004-0000-0600-0000C7020000}"/>
    <hyperlink ref="C718" r:id="rId713" display="http://cwe.mitre.org/data/definitions/784.html" xr:uid="{00000000-0004-0000-0600-0000C8020000}"/>
    <hyperlink ref="C719" r:id="rId714" display="http://cwe.mitre.org/data/definitions/188.html" xr:uid="{00000000-0004-0000-0600-0000C9020000}"/>
    <hyperlink ref="C720" r:id="rId715" display="http://cwe.mitre.org/data/definitions/646.html" xr:uid="{00000000-0004-0000-0600-0000CA020000}"/>
    <hyperlink ref="C721" r:id="rId716" display="http://cwe.mitre.org/data/definitions/291.html" xr:uid="{00000000-0004-0000-0600-0000CB020000}"/>
    <hyperlink ref="C722" r:id="rId717" display="http://cwe.mitre.org/data/definitions/649.html" xr:uid="{00000000-0004-0000-0600-0000CC020000}"/>
    <hyperlink ref="C723" r:id="rId718" display="http://cwe.mitre.org/data/definitions/487.html" xr:uid="{00000000-0004-0000-0600-0000CD020000}"/>
    <hyperlink ref="C724" r:id="rId719" display="http://cwe.mitre.org/data/definitions/350.html" xr:uid="{00000000-0004-0000-0600-0000CE020000}"/>
    <hyperlink ref="C725" r:id="rId720" display="http://cwe.mitre.org/data/definitions/656.html" xr:uid="{00000000-0004-0000-0600-0000CF020000}"/>
    <hyperlink ref="C726" r:id="rId721" display="http://cwe.mitre.org/data/definitions/758.html" xr:uid="{00000000-0004-0000-0600-0000D0020000}"/>
    <hyperlink ref="C727" r:id="rId722" display="http://cwe.mitre.org/data/definitions/807.html" xr:uid="{00000000-0004-0000-0600-0000D1020000}"/>
    <hyperlink ref="C728" r:id="rId723" display="http://cwe.mitre.org/data/definitions/509.html" xr:uid="{00000000-0004-0000-0600-0000D2020000}"/>
    <hyperlink ref="C729" r:id="rId724" display="http://cwe.mitre.org/data/definitions/137.html" xr:uid="{00000000-0004-0000-0600-0000D3020000}"/>
    <hyperlink ref="C730" r:id="rId725" display="http://cwe.mitre.org/data/definitions/1000.html" xr:uid="{00000000-0004-0000-0600-0000D4020000}"/>
    <hyperlink ref="C731" r:id="rId726" display="http://cwe.mitre.org/data/definitions/411.html" xr:uid="{00000000-0004-0000-0600-0000D5020000}"/>
    <hyperlink ref="C732" r:id="rId727" display="http://cwe.mitre.org/data/definitions/399.html" xr:uid="{00000000-0004-0000-0600-0000D6020000}"/>
    <hyperlink ref="C733" r:id="rId728" display="http://cwe.mitre.org/data/definitions/631.html" xr:uid="{00000000-0004-0000-0600-0000D7020000}"/>
    <hyperlink ref="C734" r:id="rId729" display="http://cwe.mitre.org/data/definitions/204.html" xr:uid="{00000000-0004-0000-0600-0000D8020000}"/>
    <hyperlink ref="C735" r:id="rId730" display="http://cwe.mitre.org/data/definitions/584.html" xr:uid="{00000000-0004-0000-0600-0000D9020000}"/>
    <hyperlink ref="C736" r:id="rId731" display="http://cwe.mitre.org/data/definitions/466.html" xr:uid="{00000000-0004-0000-0600-0000DA020000}"/>
    <hyperlink ref="C737" r:id="rId732" display="http://cwe.mitre.org/data/definitions/562.html" xr:uid="{00000000-0004-0000-0600-0000DB020000}"/>
    <hyperlink ref="C738" r:id="rId733" display="http://cwe.mitre.org/data/definitions/393.html" xr:uid="{00000000-0004-0000-0600-0000DC020000}"/>
    <hyperlink ref="C739" r:id="rId734" display="http://cwe.mitre.org/data/definitions/375.html" xr:uid="{00000000-0004-0000-0600-0000DD020000}"/>
    <hyperlink ref="C740" r:id="rId735" display="http://cwe.mitre.org/data/definitions/323.html" xr:uid="{00000000-0004-0000-0600-0000DE020000}"/>
    <hyperlink ref="C741" r:id="rId736" display="http://cwe.mitre.org/data/definitions/328.html" xr:uid="{00000000-0004-0000-0600-0000DF020000}"/>
    <hyperlink ref="C742" r:id="rId737" display="http://cwe.mitre.org/data/definitions/336.html" xr:uid="{00000000-0004-0000-0600-0000E0020000}"/>
    <hyperlink ref="C743" r:id="rId738" display="http://cwe.mitre.org/data/definitions/254.html" xr:uid="{00000000-0004-0000-0600-0000E1020000}"/>
    <hyperlink ref="C744" r:id="rId739" display="http://cwe.mitre.org/data/definitions/757.html" xr:uid="{00000000-0004-0000-0600-0000E2020000}"/>
    <hyperlink ref="C745" r:id="rId740" display="http://cwe.mitre.org/data/definitions/614.html" xr:uid="{00000000-0004-0000-0600-0000E3020000}"/>
    <hyperlink ref="C746" r:id="rId741" display="http://cwe.mitre.org/data/definitions/591.html" xr:uid="{00000000-0004-0000-0600-0000E4020000}"/>
    <hyperlink ref="C747" r:id="rId742" display="http://cwe.mitre.org/data/definitions/220.html" xr:uid="{00000000-0004-0000-0600-0000E5020000}"/>
    <hyperlink ref="C748" r:id="rId743" display="http://cwe.mitre.org/data/definitions/219.html" xr:uid="{00000000-0004-0000-0600-0000E6020000}"/>
    <hyperlink ref="C749" r:id="rId744" display="http://cwe.mitre.org/data/definitions/226.html" xr:uid="{00000000-0004-0000-0600-0000E7020000}"/>
    <hyperlink ref="C750" r:id="rId745" display="http://cwe.mitre.org/data/definitions/499.html" xr:uid="{00000000-0004-0000-0600-0000E8020000}"/>
    <hyperlink ref="C751" r:id="rId746" display="http://cwe.mitre.org/data/definitions/918.html" xr:uid="{00000000-0004-0000-0600-0000E9020000}"/>
    <hyperlink ref="C752" r:id="rId747" display="http://cwe.mitre.org/data/definitions/384.html" xr:uid="{00000000-0004-0000-0600-0000EA020000}"/>
    <hyperlink ref="C753" r:id="rId748" display="http://cwe.mitre.org/data/definitions/700.html" xr:uid="{00000000-0004-0000-0600-0000EB020000}"/>
    <hyperlink ref="C754" r:id="rId749" display="http://cwe.mitre.org/data/definitions/899.html" xr:uid="{00000000-0004-0000-0600-0000EC020000}"/>
    <hyperlink ref="C755" r:id="rId750" display="http://cwe.mitre.org/data/definitions/887.html" xr:uid="{00000000-0004-0000-0600-0000ED020000}"/>
    <hyperlink ref="C756" r:id="rId751" display="http://cwe.mitre.org/data/definitions/898.html" xr:uid="{00000000-0004-0000-0600-0000EE020000}"/>
    <hyperlink ref="C757" r:id="rId752" display="http://cwe.mitre.org/data/definitions/902.html" xr:uid="{00000000-0004-0000-0600-0000EF020000}"/>
    <hyperlink ref="C758" r:id="rId753" display="http://cwe.mitre.org/data/definitions/903.html" xr:uid="{00000000-0004-0000-0600-0000F0020000}"/>
    <hyperlink ref="C759" r:id="rId754" display="http://cwe.mitre.org/data/definitions/897.html" xr:uid="{00000000-0004-0000-0600-0000F1020000}"/>
    <hyperlink ref="C760" r:id="rId755" display="http://cwe.mitre.org/data/definitions/889.html" xr:uid="{00000000-0004-0000-0600-0000F2020000}"/>
    <hyperlink ref="C761" r:id="rId756" display="http://cwe.mitre.org/data/definitions/895.html" xr:uid="{00000000-0004-0000-0600-0000F3020000}"/>
    <hyperlink ref="C762" r:id="rId757" display="http://cwe.mitre.org/data/definitions/904.html" xr:uid="{00000000-0004-0000-0600-0000F4020000}"/>
    <hyperlink ref="C763" r:id="rId758" display="http://cwe.mitre.org/data/definitions/890.html" xr:uid="{00000000-0004-0000-0600-0000F5020000}"/>
    <hyperlink ref="C764" r:id="rId759" display="http://cwe.mitre.org/data/definitions/891.html" xr:uid="{00000000-0004-0000-0600-0000F6020000}"/>
    <hyperlink ref="C765" r:id="rId760" display="http://cwe.mitre.org/data/definitions/907.html" xr:uid="{00000000-0004-0000-0600-0000F7020000}"/>
    <hyperlink ref="C766" r:id="rId761" display="http://cwe.mitre.org/data/definitions/893.html" xr:uid="{00000000-0004-0000-0600-0000F8020000}"/>
    <hyperlink ref="C767" r:id="rId762" display="http://cwe.mitre.org/data/definitions/905.html" xr:uid="{00000000-0004-0000-0600-0000F9020000}"/>
    <hyperlink ref="C768" r:id="rId763" display="http://cwe.mitre.org/data/definitions/901.html" xr:uid="{00000000-0004-0000-0600-0000FA020000}"/>
    <hyperlink ref="C769" r:id="rId764" display="http://cwe.mitre.org/data/definitions/892.html" xr:uid="{00000000-0004-0000-0600-0000FB020000}"/>
    <hyperlink ref="C770" r:id="rId765" display="http://cwe.mitre.org/data/definitions/885.html" xr:uid="{00000000-0004-0000-0600-0000FC020000}"/>
    <hyperlink ref="C771" r:id="rId766" display="http://cwe.mitre.org/data/definitions/894.html" xr:uid="{00000000-0004-0000-0600-0000FD020000}"/>
    <hyperlink ref="C772" r:id="rId767" display="http://cwe.mitre.org/data/definitions/896.html" xr:uid="{00000000-0004-0000-0600-0000FE020000}"/>
    <hyperlink ref="C773" r:id="rId768" display="http://cwe.mitre.org/data/definitions/906.html" xr:uid="{00000000-0004-0000-0600-0000FF020000}"/>
    <hyperlink ref="C774" r:id="rId769" display="http://cwe.mitre.org/data/definitions/886.html" xr:uid="{00000000-0004-0000-0600-000000030000}"/>
    <hyperlink ref="C775" r:id="rId770" display="http://cwe.mitre.org/data/definitions/387.html" xr:uid="{00000000-0004-0000-0600-000001030000}"/>
    <hyperlink ref="C776" r:id="rId771" display="http://cwe.mitre.org/data/definitions/831.html" xr:uid="{00000000-0004-0000-0600-000002030000}"/>
    <hyperlink ref="C777" r:id="rId772" display="http://cwe.mitre.org/data/definitions/364.html" xr:uid="{00000000-0004-0000-0600-000003030000}"/>
    <hyperlink ref="C778" r:id="rId773" display="http://cwe.mitre.org/data/definitions/479.html" xr:uid="{00000000-0004-0000-0600-000004030000}"/>
    <hyperlink ref="C779" r:id="rId774" display="http://cwe.mitre.org/data/definitions/828.html" xr:uid="{00000000-0004-0000-0600-000005030000}"/>
    <hyperlink ref="C780" r:id="rId775" display="http://cwe.mitre.org/data/definitions/195.html" xr:uid="{00000000-0004-0000-0600-000006030000}"/>
    <hyperlink ref="C781" r:id="rId776" display="http://cwe.mitre.org/data/definitions/339.html" xr:uid="{00000000-0004-0000-0600-000007030000}"/>
    <hyperlink ref="C782" r:id="rId777" display="http://cwe.mitre.org/data/definitions/334.html" xr:uid="{00000000-0004-0000-0600-000008030000}"/>
    <hyperlink ref="C783" r:id="rId778" display="http://cwe.mitre.org/data/definitions/888.html" xr:uid="{00000000-0004-0000-0600-000009030000}"/>
    <hyperlink ref="C784" r:id="rId779" display="http://cwe.mitre.org/data/definitions/18.html" xr:uid="{00000000-0004-0000-0600-00000A030000}"/>
    <hyperlink ref="C785" r:id="rId780" display="http://cwe.mitre.org/data/definitions/512.html" xr:uid="{00000000-0004-0000-0600-00000B030000}"/>
    <hyperlink ref="C786" r:id="rId781" display="http://cwe.mitre.org/data/definitions/564.html" xr:uid="{00000000-0004-0000-0600-00000C030000}"/>
    <hyperlink ref="C787" r:id="rId782" display="http://cwe.mitre.org/data/definitions/121.html" xr:uid="{00000000-0004-0000-0600-00000D030000}"/>
    <hyperlink ref="C788" r:id="rId783" display="http://cwe.mitre.org/data/definitions/371.html" xr:uid="{00000000-0004-0000-0600-00000E030000}"/>
    <hyperlink ref="C789" r:id="rId784" display="http://cwe.mitre.org/data/definitions/921.html" xr:uid="{00000000-0004-0000-0600-00000F030000}"/>
    <hyperlink ref="C790" r:id="rId785" display="http://cwe.mitre.org/data/definitions/257.html" xr:uid="{00000000-0004-0000-0600-000010030000}"/>
    <hyperlink ref="C791" r:id="rId786" display="http://cwe.mitre.org/data/definitions/133.html" xr:uid="{00000000-0004-0000-0600-000011030000}"/>
    <hyperlink ref="C792" r:id="rId787" display="http://cwe.mitre.org/data/definitions/101.html" xr:uid="{00000000-0004-0000-0600-000012030000}"/>
    <hyperlink ref="C793" r:id="rId788" display="http://cwe.mitre.org/data/definitions/102.html" xr:uid="{00000000-0004-0000-0600-000013030000}"/>
    <hyperlink ref="C794" r:id="rId789" display="http://cwe.mitre.org/data/definitions/104.html" xr:uid="{00000000-0004-0000-0600-000014030000}"/>
    <hyperlink ref="C795" r:id="rId790" display="http://cwe.mitre.org/data/definitions/105.html" xr:uid="{00000000-0004-0000-0600-000015030000}"/>
    <hyperlink ref="C796" r:id="rId791" display="http://cwe.mitre.org/data/definitions/103.html" xr:uid="{00000000-0004-0000-0600-000016030000}"/>
    <hyperlink ref="C797" r:id="rId792" display="http://cwe.mitre.org/data/definitions/608.html" xr:uid="{00000000-0004-0000-0600-000017030000}"/>
    <hyperlink ref="C798" r:id="rId793" display="http://cwe.mitre.org/data/definitions/106.html" xr:uid="{00000000-0004-0000-0600-000018030000}"/>
    <hyperlink ref="C799" r:id="rId794" display="http://cwe.mitre.org/data/definitions/107.html" xr:uid="{00000000-0004-0000-0600-000019030000}"/>
    <hyperlink ref="C800" r:id="rId795" display="http://cwe.mitre.org/data/definitions/108.html" xr:uid="{00000000-0004-0000-0600-00001A030000}"/>
    <hyperlink ref="C801" r:id="rId796" display="http://cwe.mitre.org/data/definitions/109.html" xr:uid="{00000000-0004-0000-0600-00001B030000}"/>
    <hyperlink ref="C802" r:id="rId797" display="http://cwe.mitre.org/data/definitions/110.html" xr:uid="{00000000-0004-0000-0600-00001C030000}"/>
    <hyperlink ref="C803" r:id="rId798" display="http://cwe.mitre.org/data/definitions/546.html" xr:uid="{00000000-0004-0000-0600-00001D030000}"/>
    <hyperlink ref="C804" r:id="rId799" display="http://cwe.mitre.org/data/definitions/386.html" xr:uid="{00000000-0004-0000-0600-00001E030000}"/>
    <hyperlink ref="C805" r:id="rId800" display="http://cwe.mitre.org/data/definitions/3.html" xr:uid="{00000000-0004-0000-0600-00001F030000}"/>
    <hyperlink ref="C806" r:id="rId801" display="http://cwe.mitre.org/data/definitions/100.html" xr:uid="{00000000-0004-0000-0600-000020030000}"/>
    <hyperlink ref="C807" r:id="rId802" display="http://cwe.mitre.org/data/definitions/169.html" xr:uid="{00000000-0004-0000-0600-000021030000}"/>
    <hyperlink ref="C808" r:id="rId803" display="http://cwe.mitre.org/data/definitions/380.html" xr:uid="{00000000-0004-0000-0600-000022030000}"/>
    <hyperlink ref="C809" r:id="rId804" display="http://cwe.mitre.org/data/definitions/376.html" xr:uid="{00000000-0004-0000-0600-000023030000}"/>
    <hyperlink ref="C810" r:id="rId805" display="http://cwe.mitre.org/data/definitions/449.html" xr:uid="{00000000-0004-0000-0600-000024030000}"/>
    <hyperlink ref="C811" r:id="rId806" display="http://cwe.mitre.org/data/definitions/361.html" xr:uid="{00000000-0004-0000-0600-000025030000}"/>
    <hyperlink ref="C812" r:id="rId807" display="http://cwe.mitre.org/data/definitions/367.html" xr:uid="{00000000-0004-0000-0600-000026030000}"/>
    <hyperlink ref="C813" r:id="rId808" display="http://cwe.mitre.org/data/definitions/402.html" xr:uid="{00000000-0004-0000-0600-000027030000}"/>
    <hyperlink ref="C814" r:id="rId809" display="http://cwe.mitre.org/data/definitions/510.html" xr:uid="{00000000-0004-0000-0600-000028030000}"/>
    <hyperlink ref="C815" r:id="rId810" display="http://cwe.mitre.org/data/definitions/507.html" xr:uid="{00000000-0004-0000-0600-000029030000}"/>
    <hyperlink ref="C816" r:id="rId811" display="http://cwe.mitre.org/data/definitions/222.html" xr:uid="{00000000-0004-0000-0600-00002A030000}"/>
    <hyperlink ref="C817" r:id="rId812" display="http://cwe.mitre.org/data/definitions/501.html" xr:uid="{00000000-0004-0000-0600-00002B030000}"/>
    <hyperlink ref="C818" r:id="rId813" display="http://cwe.mitre.org/data/definitions/360.html" xr:uid="{00000000-0004-0000-0600-00002C030000}"/>
    <hyperlink ref="C819" r:id="rId814" display="http://cwe.mitre.org/data/definitions/650.html" xr:uid="{00000000-0004-0000-0600-00002D030000}"/>
    <hyperlink ref="C820" r:id="rId815" display="http://cwe.mitre.org/data/definitions/136.html" xr:uid="{00000000-0004-0000-0600-00002E030000}"/>
    <hyperlink ref="C821" r:id="rId816" display="http://cwe.mitre.org/data/definitions/446.html" xr:uid="{00000000-0004-0000-0600-00002F030000}"/>
    <hyperlink ref="C822" r:id="rId817" display="http://cwe.mitre.org/data/definitions/451.html" xr:uid="{00000000-0004-0000-0600-000030030000}"/>
    <hyperlink ref="C823" r:id="rId818" display="http://cwe.mitre.org/data/definitions/248.html" xr:uid="{00000000-0004-0000-0600-000031030000}"/>
    <hyperlink ref="C824" r:id="rId819" display="http://cwe.mitre.org/data/definitions/600.html" xr:uid="{00000000-0004-0000-0600-000032030000}"/>
    <hyperlink ref="C825" r:id="rId820" display="http://cwe.mitre.org/data/definitions/391.html" xr:uid="{00000000-0004-0000-0600-000033030000}"/>
    <hyperlink ref="C826" r:id="rId821" display="http://cwe.mitre.org/data/definitions/606.html" xr:uid="{00000000-0004-0000-0600-000034030000}"/>
    <hyperlink ref="C827" r:id="rId822" display="http://cwe.mitre.org/data/definitions/252.html" xr:uid="{00000000-0004-0000-0600-000035030000}"/>
    <hyperlink ref="C828" r:id="rId823" display="http://cwe.mitre.org/data/definitions/690.html" xr:uid="{00000000-0004-0000-0600-000036030000}"/>
    <hyperlink ref="C829" r:id="rId824" display="http://cwe.mitre.org/data/definitions/134.html" xr:uid="{00000000-0004-0000-0600-000037030000}"/>
    <hyperlink ref="C830" r:id="rId825" display="http://cwe.mitre.org/data/definitions/789.html" xr:uid="{00000000-0004-0000-0600-000038030000}"/>
    <hyperlink ref="C831" r:id="rId826" display="http://cwe.mitre.org/data/definitions/674.html" xr:uid="{00000000-0004-0000-0600-000039030000}"/>
    <hyperlink ref="C832" r:id="rId827" display="http://cwe.mitre.org/data/definitions/400.html" xr:uid="{00000000-0004-0000-0600-00003A030000}"/>
    <hyperlink ref="C833" r:id="rId828" display="http://cwe.mitre.org/data/definitions/427.html" xr:uid="{00000000-0004-0000-0600-00003B030000}"/>
    <hyperlink ref="C834" r:id="rId829" display="http://cwe.mitre.org/data/definitions/475.html" xr:uid="{00000000-0004-0000-0600-00003C030000}"/>
    <hyperlink ref="C835" r:id="rId830" display="http://cwe.mitre.org/data/definitions/194.html" xr:uid="{00000000-0004-0000-0600-00003D030000}"/>
    <hyperlink ref="C836" r:id="rId831" display="http://cwe.mitre.org/data/definitions/394.html" xr:uid="{00000000-0004-0000-0600-00003E030000}"/>
    <hyperlink ref="C837" r:id="rId832" display="http://cwe.mitre.org/data/definitions/447.html" xr:uid="{00000000-0004-0000-0600-00003F030000}"/>
    <hyperlink ref="C838" r:id="rId833" display="http://cwe.mitre.org/data/definitions/441.html" xr:uid="{00000000-0004-0000-0600-000040030000}"/>
    <hyperlink ref="C839" r:id="rId834" display="http://cwe.mitre.org/data/definitions/62.html" xr:uid="{00000000-0004-0000-0600-000041030000}"/>
    <hyperlink ref="C840" r:id="rId835" display="http://cwe.mitre.org/data/definitions/60.html" xr:uid="{00000000-0004-0000-0600-000042030000}"/>
    <hyperlink ref="C841" r:id="rId836" display="http://cwe.mitre.org/data/definitions/61.html" xr:uid="{00000000-0004-0000-0600-000043030000}"/>
    <hyperlink ref="C842" r:id="rId837" display="http://cwe.mitre.org/data/definitions/832.html" xr:uid="{00000000-0004-0000-0600-000044030000}"/>
    <hyperlink ref="C843" r:id="rId838" display="http://cwe.mitre.org/data/definitions/637.html" xr:uid="{00000000-0004-0000-0600-000045030000}"/>
    <hyperlink ref="C844" r:id="rId839" display="http://cwe.mitre.org/data/definitions/433.html" xr:uid="{00000000-0004-0000-0600-000046030000}"/>
    <hyperlink ref="C845" r:id="rId840" display="http://cwe.mitre.org/data/definitions/420.html" xr:uid="{00000000-0004-0000-0600-000047030000}"/>
    <hyperlink ref="C846" r:id="rId841" display="http://cwe.mitre.org/data/definitions/419.html" xr:uid="{00000000-0004-0000-0600-000048030000}"/>
    <hyperlink ref="C847" r:id="rId842" display="http://cwe.mitre.org/data/definitions/523.html" xr:uid="{00000000-0004-0000-0600-000049030000}"/>
    <hyperlink ref="C848" r:id="rId843" display="http://cwe.mitre.org/data/definitions/422.html" xr:uid="{00000000-0004-0000-0600-00004A030000}"/>
    <hyperlink ref="C849" r:id="rId844" display="http://cwe.mitre.org/data/definitions/428.html" xr:uid="{00000000-0004-0000-0600-00004B030000}"/>
    <hyperlink ref="C850" r:id="rId845" display="http://cwe.mitre.org/data/definitions/412.html" xr:uid="{00000000-0004-0000-0600-00004C030000}"/>
    <hyperlink ref="C851" r:id="rId846" display="http://cwe.mitre.org/data/definitions/434.html" xr:uid="{00000000-0004-0000-0600-00004D030000}"/>
    <hyperlink ref="C852" r:id="rId847" display="http://cwe.mitre.org/data/definitions/623.html" xr:uid="{00000000-0004-0000-0600-00004E030000}"/>
    <hyperlink ref="C853" r:id="rId848" display="http://cwe.mitre.org/data/definitions/196.html" xr:uid="{00000000-0004-0000-0600-00004F030000}"/>
    <hyperlink ref="C854" r:id="rId849" display="http://cwe.mitre.org/data/definitions/567.html" xr:uid="{00000000-0004-0000-0600-000050030000}"/>
    <hyperlink ref="C855" r:id="rId850" display="http://cwe.mitre.org/data/definitions/822.html" xr:uid="{00000000-0004-0000-0600-000051030000}"/>
    <hyperlink ref="C856" r:id="rId851" display="http://cwe.mitre.org/data/definitions/426.html" xr:uid="{00000000-0004-0000-0600-000052030000}"/>
    <hyperlink ref="C857" r:id="rId852" display="http://cwe.mitre.org/data/definitions/563.html" xr:uid="{00000000-0004-0000-0600-000053030000}"/>
    <hyperlink ref="C858" r:id="rId853" display="http://cwe.mitre.org/data/definitions/283.html" xr:uid="{00000000-0004-0000-0600-000054030000}"/>
    <hyperlink ref="C859" r:id="rId854" display="http://cwe.mitre.org/data/definitions/620.html" xr:uid="{00000000-0004-0000-0600-000055030000}"/>
    <hyperlink ref="C860" r:id="rId855" display="http://cwe.mitre.org/data/definitions/601.html" xr:uid="{00000000-0004-0000-0600-000056030000}"/>
    <hyperlink ref="C861" r:id="rId856" display="http://cwe.mitre.org/data/definitions/416.html" xr:uid="{00000000-0004-0000-0600-000057030000}"/>
    <hyperlink ref="C862" r:id="rId857" display="http://cwe.mitre.org/data/definitions/327.html" xr:uid="{00000000-0004-0000-0600-000058030000}"/>
    <hyperlink ref="C863" r:id="rId858" display="http://cwe.mitre.org/data/definitions/324.html" xr:uid="{00000000-0004-0000-0600-000059030000}"/>
    <hyperlink ref="C864" r:id="rId859" display="http://cwe.mitre.org/data/definitions/663.html" xr:uid="{00000000-0004-0000-0600-00005A030000}"/>
    <hyperlink ref="C865" r:id="rId860" display="http://cwe.mitre.org/data/definitions/760.html" xr:uid="{00000000-0004-0000-0600-00005B030000}"/>
    <hyperlink ref="C866" r:id="rId861" display="http://cwe.mitre.org/data/definitions/759.html" xr:uid="{00000000-0004-0000-0600-00005C030000}"/>
    <hyperlink ref="C867" r:id="rId862" display="http://cwe.mitre.org/data/definitions/603.html" xr:uid="{00000000-0004-0000-0600-00005D030000}"/>
    <hyperlink ref="C868" r:id="rId863" display="http://cwe.mitre.org/data/definitions/338.html" xr:uid="{00000000-0004-0000-0600-00005E030000}"/>
    <hyperlink ref="C869" r:id="rId864" display="http://cwe.mitre.org/data/definitions/545.html" xr:uid="{00000000-0004-0000-0600-00005F030000}"/>
    <hyperlink ref="C870" r:id="rId865" display="http://cwe.mitre.org/data/definitions/910.html" xr:uid="{00000000-0004-0000-0600-000060030000}"/>
    <hyperlink ref="C871" r:id="rId866" display="http://cwe.mitre.org/data/definitions/470.html" xr:uid="{00000000-0004-0000-0600-000061030000}"/>
    <hyperlink ref="C872" r:id="rId867" display="http://cwe.mitre.org/data/definitions/474.html" xr:uid="{00000000-0004-0000-0600-000062030000}"/>
    <hyperlink ref="C873" r:id="rId868" display="http://cwe.mitre.org/data/definitions/558.html" xr:uid="{00000000-0004-0000-0600-000063030000}"/>
    <hyperlink ref="C874" r:id="rId869" display="http://cwe.mitre.org/data/definitions/798.html" xr:uid="{00000000-0004-0000-0600-000064030000}"/>
    <hyperlink ref="C875" r:id="rId870" display="http://cwe.mitre.org/data/definitions/321.html" xr:uid="{00000000-0004-0000-0600-000065030000}"/>
    <hyperlink ref="C876" r:id="rId871" display="http://cwe.mitre.org/data/definitions/259.html" xr:uid="{00000000-0004-0000-0600-000066030000}"/>
    <hyperlink ref="C877" r:id="rId872" display="http://cwe.mitre.org/data/definitions/547.html" xr:uid="{00000000-0004-0000-0600-000067030000}"/>
    <hyperlink ref="C878" r:id="rId873" display="http://cwe.mitre.org/data/definitions/927.html" xr:uid="{00000000-0004-0000-0600-000068030000}"/>
    <hyperlink ref="C879" r:id="rId874" display="http://cwe.mitre.org/data/definitions/198.html" xr:uid="{00000000-0004-0000-0600-000069030000}"/>
    <hyperlink ref="C880" r:id="rId875" display="http://cwe.mitre.org/data/definitions/480.html" xr:uid="{00000000-0004-0000-0600-00006A030000}"/>
    <hyperlink ref="C881" r:id="rId876" display="http://cwe.mitre.org/data/definitions/706.html" xr:uid="{00000000-0004-0000-0600-00006B030000}"/>
    <hyperlink ref="C882" r:id="rId877" display="http://cwe.mitre.org/data/definitions/242.html" xr:uid="{00000000-0004-0000-0600-00006C030000}"/>
    <hyperlink ref="C883" r:id="rId878" display="http://cwe.mitre.org/data/definitions/492.html" xr:uid="{00000000-0004-0000-0600-00006D030000}"/>
    <hyperlink ref="C884" r:id="rId879" display="http://cwe.mitre.org/data/definitions/330.html" xr:uid="{00000000-0004-0000-0600-00006E030000}"/>
    <hyperlink ref="C885" r:id="rId880" display="http://cwe.mitre.org/data/definitions/344.html" xr:uid="{00000000-0004-0000-0600-00006F030000}"/>
    <hyperlink ref="C886" r:id="rId881" display="http://cwe.mitre.org/data/definitions/348.html" xr:uid="{00000000-0004-0000-0600-000070030000}"/>
    <hyperlink ref="C887" r:id="rId882" display="http://cwe.mitre.org/data/definitions/695.html" xr:uid="{00000000-0004-0000-0600-000071030000}"/>
    <hyperlink ref="C888" r:id="rId883" display="http://cwe.mitre.org/data/definitions/694.html" xr:uid="{00000000-0004-0000-0600-000072030000}"/>
    <hyperlink ref="C889" r:id="rId884" display="http://cwe.mitre.org/data/definitions/647.html" xr:uid="{00000000-0004-0000-0600-000073030000}"/>
    <hyperlink ref="C890" r:id="rId885" display="http://cwe.mitre.org/data/definitions/395.html" xr:uid="{00000000-0004-0000-0600-000074030000}"/>
    <hyperlink ref="C891" r:id="rId886" display="http://cwe.mitre.org/data/definitions/477.html" xr:uid="{00000000-0004-0000-0600-000075030000}"/>
    <hyperlink ref="C892" r:id="rId887" display="http://cwe.mitre.org/data/definitions/823.html" xr:uid="{00000000-0004-0000-0600-000076030000}"/>
    <hyperlink ref="C893" r:id="rId888" display="http://cwe.mitre.org/data/definitions/836.html" xr:uid="{00000000-0004-0000-0600-000077030000}"/>
    <hyperlink ref="C894" r:id="rId889" display="http://cwe.mitre.org/data/definitions/916.html" xr:uid="{00000000-0004-0000-0600-000078030000}"/>
    <hyperlink ref="C895" r:id="rId890" display="http://cwe.mitre.org/data/definitions/309.html" xr:uid="{00000000-0004-0000-0600-000079030000}"/>
    <hyperlink ref="C896" r:id="rId891" display="http://cwe.mitre.org/data/definitions/785.html" xr:uid="{00000000-0004-0000-0600-00007A030000}"/>
    <hyperlink ref="C897" r:id="rId892" display="http://cwe.mitre.org/data/definitions/469.html" xr:uid="{00000000-0004-0000-0600-00007B030000}"/>
    <hyperlink ref="C898" r:id="rId893" display="http://cwe.mitre.org/data/definitions/676.html" xr:uid="{00000000-0004-0000-0600-00007C030000}"/>
    <hyperlink ref="C899" r:id="rId894" display="http://cwe.mitre.org/data/definitions/780.html" xr:uid="{00000000-0004-0000-0600-00007D030000}"/>
    <hyperlink ref="C900" r:id="rId895" display="http://cwe.mitre.org/data/definitions/308.html" xr:uid="{00000000-0004-0000-0600-00007E030000}"/>
    <hyperlink ref="C901" r:id="rId896" display="http://cwe.mitre.org/data/definitions/543.html" xr:uid="{00000000-0004-0000-0600-00007F030000}"/>
    <hyperlink ref="C902" r:id="rId897" display="http://cwe.mitre.org/data/definitions/467.html" xr:uid="{00000000-0004-0000-0600-000080030000}"/>
    <hyperlink ref="C903" r:id="rId898" display="http://cwe.mitre.org/data/definitions/560.html" xr:uid="{00000000-0004-0000-0600-000081030000}"/>
    <hyperlink ref="C904" r:id="rId899" display="http://cwe.mitre.org/data/definitions/908.html" xr:uid="{00000000-0004-0000-0600-000082030000}"/>
    <hyperlink ref="C905" r:id="rId900" display="http://cwe.mitre.org/data/definitions/457.html" xr:uid="{00000000-0004-0000-0600-000083030000}"/>
    <hyperlink ref="C906" r:id="rId901" display="http://cwe.mitre.org/data/definitions/597.html" xr:uid="{00000000-0004-0000-0600-000084030000}"/>
    <hyperlink ref="C907" r:id="rId902" display="http://cwe.mitre.org/data/definitions/445.html" xr:uid="{00000000-0004-0000-0600-000085030000}"/>
    <hyperlink ref="C908" r:id="rId903" display="http://cwe.mitre.org/data/definitions/355.html" xr:uid="{00000000-0004-0000-0600-000086030000}"/>
    <hyperlink ref="C909" r:id="rId904" display="http://cwe.mitre.org/data/definitions/293.html" xr:uid="{00000000-0004-0000-0600-000087030000}"/>
    <hyperlink ref="C910" r:id="rId905" display="http://cwe.mitre.org/data/definitions/621.html" xr:uid="{00000000-0004-0000-0600-000088030000}"/>
    <hyperlink ref="C911" r:id="rId906" display="http://cwe.mitre.org/data/definitions/657.html" xr:uid="{00000000-0004-0000-0600-000089030000}"/>
    <hyperlink ref="C912" r:id="rId907" display="http://cwe.mitre.org/data/definitions/261.html" xr:uid="{00000000-0004-0000-0600-00008A030000}"/>
    <hyperlink ref="C913" r:id="rId908" display="http://cwe.mitre.org/data/definitions/640.html" xr:uid="{00000000-0004-0000-0600-00008B030000}"/>
    <hyperlink ref="C914" r:id="rId909" display="http://cwe.mitre.org/data/definitions/521.html" xr:uid="{00000000-0004-0000-0600-00008C030000}"/>
    <hyperlink ref="C915" r:id="rId910" display="http://cwe.mitre.org/data/definitions/677.html" xr:uid="{00000000-0004-0000-0600-00008D030000}"/>
    <hyperlink ref="C916" r:id="rId911" display="http://cwe.mitre.org/data/definitions/734.html" xr:uid="{00000000-0004-0000-0600-00008E030000}"/>
    <hyperlink ref="C917" r:id="rId912" display="http://cwe.mitre.org/data/definitions/868.html" xr:uid="{00000000-0004-0000-0600-00008F030000}"/>
    <hyperlink ref="C918" r:id="rId913" display="http://cwe.mitre.org/data/definitions/844.html" xr:uid="{00000000-0004-0000-0600-000090030000}"/>
    <hyperlink ref="C919" r:id="rId914" display="http://cwe.mitre.org/data/definitions/630.html" xr:uid="{00000000-0004-0000-0600-000091030000}"/>
    <hyperlink ref="C920" r:id="rId915" display="http://cwe.mitre.org/data/definitions/919.html" xr:uid="{00000000-0004-0000-0600-000092030000}"/>
    <hyperlink ref="C921" r:id="rId916" display="http://cwe.mitre.org/data/definitions/711.html" xr:uid="{00000000-0004-0000-0600-000093030000}"/>
    <hyperlink ref="C922" r:id="rId917" display="http://cwe.mitre.org/data/definitions/629.html" xr:uid="{00000000-0004-0000-0600-000094030000}"/>
    <hyperlink ref="C923" r:id="rId918" display="http://cwe.mitre.org/data/definitions/809.html" xr:uid="{00000000-0004-0000-0600-000095030000}"/>
    <hyperlink ref="C924" r:id="rId919" display="http://cwe.mitre.org/data/definitions/928.html" xr:uid="{00000000-0004-0000-0600-000096030000}"/>
    <hyperlink ref="C925" r:id="rId920" display="http://cwe.mitre.org/data/definitions/658.html" xr:uid="{00000000-0004-0000-0600-000097030000}"/>
    <hyperlink ref="C926" r:id="rId921" display="http://cwe.mitre.org/data/definitions/659.html" xr:uid="{00000000-0004-0000-0600-000098030000}"/>
    <hyperlink ref="C927" r:id="rId922" display="http://cwe.mitre.org/data/definitions/660.html" xr:uid="{00000000-0004-0000-0600-000099030000}"/>
    <hyperlink ref="C928" r:id="rId923" display="http://cwe.mitre.org/data/definitions/661.html" xr:uid="{00000000-0004-0000-0600-00009A030000}"/>
    <hyperlink ref="C929" r:id="rId924" display="http://cwe.mitre.org/data/definitions/750.html" xr:uid="{00000000-0004-0000-0600-00009B030000}"/>
    <hyperlink ref="C930" r:id="rId925" display="http://cwe.mitre.org/data/definitions/800.html" xr:uid="{00000000-0004-0000-0600-00009C030000}"/>
    <hyperlink ref="C931" r:id="rId926" display="http://cwe.mitre.org/data/definitions/900.html" xr:uid="{00000000-0004-0000-0600-00009D030000}"/>
    <hyperlink ref="C932" r:id="rId927" display="http://cwe.mitre.org/data/definitions/701.html" xr:uid="{00000000-0004-0000-0600-00009E030000}"/>
    <hyperlink ref="C933" r:id="rId928" display="http://cwe.mitre.org/data/definitions/702.html" xr:uid="{00000000-0004-0000-0600-00009F030000}"/>
    <hyperlink ref="C934" r:id="rId929" display="http://cwe.mitre.org/data/definitions/632.html" xr:uid="{00000000-0004-0000-0600-0000A0030000}"/>
    <hyperlink ref="C935" r:id="rId930" display="http://cwe.mitre.org/data/definitions/633.html" xr:uid="{00000000-0004-0000-0600-0000A1030000}"/>
    <hyperlink ref="C936" r:id="rId931" display="http://cwe.mitre.org/data/definitions/634.html" xr:uid="{00000000-0004-0000-0600-0000A2030000}"/>
    <hyperlink ref="C937" r:id="rId932" display="http://cwe.mitre.org/data/definitions/635.html" xr:uid="{00000000-0004-0000-0600-0000A3030000}"/>
    <hyperlink ref="C938" r:id="rId933" display="http://cwe.mitre.org/data/definitions/442.html" xr:uid="{00000000-0004-0000-0600-0000A4030000}"/>
    <hyperlink ref="C939" r:id="rId934" display="http://cwe.mitre.org/data/definitions/65.html" xr:uid="{00000000-0004-0000-0600-0000A5030000}"/>
    <hyperlink ref="C940" r:id="rId935" display="http://cwe.mitre.org/data/definitions/63.html" xr:uid="{00000000-0004-0000-0600-0000A6030000}"/>
    <hyperlink ref="C941" r:id="rId936" display="http://cwe.mitre.org/data/definitions/64.html" xr:uid="{00000000-0004-0000-0600-0000A7030000}"/>
    <hyperlink ref="C942" r:id="rId937" display="http://cwe.mitre.org/data/definitions/68.html" xr:uid="{00000000-0004-0000-0600-0000A8030000}"/>
    <hyperlink ref="C943" r:id="rId938" display="http://cwe.mitre.org/data/definitions/128.html" xr:uid="{00000000-0004-0000-0600-0000A9030000}"/>
    <hyperlink ref="C944" r:id="rId939" display="http://cwe.mitre.org/data/definitions/123.html" xr:uid="{00000000-0004-0000-0600-0000AA030000}"/>
    <hyperlink ref="C945" r:id="rId940" display="http://cwe.mitre.org/data/definitions/91.html" xr:uid="{00000000-0004-0000-0600-0000AB030000}"/>
    <hyperlink ref="B3" r:id="rId941" xr:uid="{00000000-0004-0000-0600-0000AC030000}"/>
    <hyperlink ref="B1005" r:id="rId942" xr:uid="{00000000-0004-0000-0600-0000AD030000}"/>
    <hyperlink ref="B972" r:id="rId943" xr:uid="{00000000-0004-0000-0600-0000AE030000}"/>
  </hyperlinks>
  <pageMargins left="0.7" right="0.7" top="0.75" bottom="0.75" header="0.3" footer="0.3"/>
  <pageSetup orientation="portrait"/>
  <customProperties>
    <customPr name="Guid" r:id="rId944"/>
  </customProperties>
  <drawing r:id="rId94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42"/>
  <sheetViews>
    <sheetView zoomScale="80" zoomScaleNormal="80" workbookViewId="0">
      <pane xSplit="8" ySplit="10" topLeftCell="I11" activePane="bottomRight" state="frozen"/>
      <selection pane="topRight" activeCell="I1" sqref="I1"/>
      <selection pane="bottomLeft" activeCell="A11" sqref="A11"/>
      <selection pane="bottomRight" activeCell="I11" sqref="I11"/>
    </sheetView>
  </sheetViews>
  <sheetFormatPr defaultRowHeight="15" x14ac:dyDescent="0.25"/>
  <cols>
    <col min="1" max="1" width="15.42578125" style="31" customWidth="1"/>
    <col min="2" max="2" width="16.42578125" style="31" customWidth="1"/>
    <col min="3" max="3" width="14.5703125" style="31" bestFit="1" customWidth="1"/>
    <col min="4" max="4" width="5.85546875" style="44" customWidth="1"/>
    <col min="5" max="6" width="11.7109375" style="47" customWidth="1"/>
    <col min="7" max="7" width="10.28515625" style="47" bestFit="1" customWidth="1"/>
    <col min="8" max="8" width="1.140625" style="6" customWidth="1"/>
    <col min="9" max="9" width="30.85546875" style="3" customWidth="1"/>
    <col min="10" max="10" width="30.5703125" style="3" customWidth="1"/>
    <col min="11" max="11" width="23.42578125" style="19" customWidth="1"/>
    <col min="12" max="12" width="34" style="19" customWidth="1"/>
    <col min="13" max="13" width="26.28515625" style="3" customWidth="1"/>
    <col min="14" max="14" width="18.28515625" style="3" customWidth="1"/>
    <col min="15" max="15" width="15" style="3" customWidth="1"/>
    <col min="16" max="16" width="31.28515625" style="3" customWidth="1"/>
    <col min="17" max="17" width="20.7109375" style="3" customWidth="1"/>
    <col min="18" max="18" width="1.42578125" style="6" customWidth="1"/>
    <col min="19" max="19" width="105.28515625" style="36" customWidth="1"/>
    <col min="20" max="20" width="100.85546875" style="36" customWidth="1"/>
    <col min="21" max="21" width="16.42578125" style="36" bestFit="1" customWidth="1"/>
    <col min="22" max="22" width="1.140625" style="6" customWidth="1"/>
    <col min="23" max="23" width="93.7109375" style="31" customWidth="1"/>
    <col min="24" max="24" width="105.5703125" style="36" customWidth="1"/>
  </cols>
  <sheetData>
    <row r="1" spans="1:24" x14ac:dyDescent="0.25">
      <c r="I1" s="10"/>
    </row>
    <row r="2" spans="1:24" ht="21" x14ac:dyDescent="0.35">
      <c r="A2" s="40" t="s">
        <v>1104</v>
      </c>
      <c r="B2" s="40"/>
      <c r="C2" s="40"/>
      <c r="D2" s="43"/>
      <c r="E2" s="46"/>
      <c r="F2" s="46"/>
      <c r="G2" s="46"/>
      <c r="H2" s="4"/>
      <c r="R2" s="4"/>
      <c r="V2" s="4"/>
    </row>
    <row r="3" spans="1:24" x14ac:dyDescent="0.25">
      <c r="A3" s="41">
        <v>42724</v>
      </c>
      <c r="B3" s="41"/>
      <c r="C3" s="41"/>
      <c r="H3" s="5"/>
      <c r="I3" s="16" t="s">
        <v>15</v>
      </c>
      <c r="R3" s="5"/>
      <c r="V3" s="5"/>
    </row>
    <row r="4" spans="1:24" s="17" customFormat="1" x14ac:dyDescent="0.25">
      <c r="A4" s="10"/>
      <c r="B4" s="10"/>
      <c r="C4" s="10"/>
      <c r="D4" s="44"/>
      <c r="E4" s="47"/>
      <c r="F4" s="47"/>
      <c r="G4" s="47"/>
      <c r="H4" s="18"/>
      <c r="I4" s="12" t="s">
        <v>19</v>
      </c>
      <c r="J4" s="14" t="s">
        <v>18</v>
      </c>
      <c r="K4" s="10" t="s">
        <v>35</v>
      </c>
      <c r="L4" s="24" t="s">
        <v>607</v>
      </c>
      <c r="M4" s="10"/>
      <c r="N4" s="10"/>
      <c r="O4" s="10"/>
      <c r="P4" s="10"/>
      <c r="Q4" s="10"/>
      <c r="R4" s="18"/>
      <c r="S4" s="38"/>
      <c r="T4" s="38"/>
      <c r="U4" s="38"/>
      <c r="V4" s="18"/>
      <c r="W4" s="10"/>
      <c r="X4" s="38"/>
    </row>
    <row r="5" spans="1:24" s="17" customFormat="1" x14ac:dyDescent="0.25">
      <c r="A5" s="10"/>
      <c r="B5" s="10"/>
      <c r="C5" s="10"/>
      <c r="D5" s="44"/>
      <c r="E5" s="47"/>
      <c r="F5" s="47"/>
      <c r="G5" s="47"/>
      <c r="H5" s="18"/>
      <c r="I5" s="11" t="s">
        <v>14</v>
      </c>
      <c r="J5" s="119" t="s">
        <v>16</v>
      </c>
      <c r="K5" s="10" t="s">
        <v>36</v>
      </c>
      <c r="L5" s="24" t="s">
        <v>608</v>
      </c>
      <c r="M5" s="10"/>
      <c r="N5" s="10"/>
      <c r="O5" s="10"/>
      <c r="P5" s="10"/>
      <c r="Q5" s="10"/>
      <c r="R5" s="18"/>
      <c r="S5" s="38"/>
      <c r="T5" s="38"/>
      <c r="U5" s="38"/>
      <c r="V5" s="18"/>
      <c r="W5" s="10"/>
      <c r="X5" s="38"/>
    </row>
    <row r="7" spans="1:24" s="36" customFormat="1" ht="24" x14ac:dyDescent="0.25">
      <c r="A7" s="36" t="s">
        <v>564</v>
      </c>
      <c r="D7" s="44"/>
      <c r="E7" s="47"/>
      <c r="F7" s="47"/>
      <c r="G7" s="47"/>
      <c r="H7" s="37"/>
      <c r="I7" s="49" t="s">
        <v>724</v>
      </c>
      <c r="J7" s="49" t="s">
        <v>48</v>
      </c>
      <c r="K7" s="49" t="s">
        <v>756</v>
      </c>
      <c r="L7" s="49" t="s">
        <v>683</v>
      </c>
      <c r="M7" s="49" t="s">
        <v>683</v>
      </c>
      <c r="N7" s="49" t="s">
        <v>691</v>
      </c>
      <c r="O7" s="49" t="s">
        <v>723</v>
      </c>
      <c r="P7" s="49" t="s">
        <v>552</v>
      </c>
      <c r="Q7" s="49" t="s">
        <v>721</v>
      </c>
      <c r="R7" s="37"/>
      <c r="V7" s="37"/>
    </row>
    <row r="8" spans="1:24" x14ac:dyDescent="0.25">
      <c r="A8" s="31" t="s">
        <v>567</v>
      </c>
      <c r="I8" s="3" t="s">
        <v>38</v>
      </c>
      <c r="J8" s="3" t="s">
        <v>37</v>
      </c>
      <c r="K8" s="19" t="s">
        <v>38</v>
      </c>
      <c r="L8" s="19" t="s">
        <v>38</v>
      </c>
      <c r="M8" s="3" t="s">
        <v>37</v>
      </c>
      <c r="N8" s="3" t="s">
        <v>37</v>
      </c>
      <c r="O8" s="3" t="s">
        <v>38</v>
      </c>
      <c r="P8" s="3" t="s">
        <v>38</v>
      </c>
      <c r="Q8" s="3" t="s">
        <v>38</v>
      </c>
      <c r="S8" s="36" t="s">
        <v>13</v>
      </c>
    </row>
    <row r="9" spans="1:24" x14ac:dyDescent="0.25">
      <c r="A9" s="31" t="s">
        <v>1097</v>
      </c>
      <c r="E9" s="47" t="s">
        <v>1166</v>
      </c>
      <c r="I9" s="55"/>
      <c r="J9" s="27" t="s">
        <v>54</v>
      </c>
      <c r="K9" s="27" t="s">
        <v>54</v>
      </c>
      <c r="L9" s="27"/>
      <c r="M9" s="27"/>
      <c r="N9" s="27"/>
      <c r="O9" s="27" t="s">
        <v>55</v>
      </c>
      <c r="P9" s="56" t="s">
        <v>56</v>
      </c>
      <c r="Q9" s="56" t="s">
        <v>57</v>
      </c>
    </row>
    <row r="10" spans="1:24" s="1" customFormat="1" ht="30" x14ac:dyDescent="0.25">
      <c r="A10" s="63" t="s">
        <v>12</v>
      </c>
      <c r="B10" s="63" t="s">
        <v>23</v>
      </c>
      <c r="C10" s="63" t="s">
        <v>1093</v>
      </c>
      <c r="D10" s="64" t="s">
        <v>573</v>
      </c>
      <c r="E10" s="65" t="s">
        <v>1165</v>
      </c>
      <c r="F10" s="65" t="s">
        <v>1167</v>
      </c>
      <c r="G10" s="65" t="s">
        <v>1148</v>
      </c>
      <c r="H10" s="66"/>
      <c r="I10" s="67" t="s">
        <v>1</v>
      </c>
      <c r="J10" s="68" t="s">
        <v>2</v>
      </c>
      <c r="K10" s="69" t="s">
        <v>3</v>
      </c>
      <c r="L10" s="70" t="s">
        <v>4</v>
      </c>
      <c r="M10" s="68" t="s">
        <v>5</v>
      </c>
      <c r="N10" s="67" t="s">
        <v>9</v>
      </c>
      <c r="O10" s="68" t="s">
        <v>6</v>
      </c>
      <c r="P10" s="68" t="s">
        <v>7</v>
      </c>
      <c r="Q10" s="68" t="s">
        <v>8</v>
      </c>
      <c r="R10" s="66"/>
      <c r="S10" s="71" t="s">
        <v>1098</v>
      </c>
      <c r="T10" s="71" t="s">
        <v>787</v>
      </c>
      <c r="U10" s="71" t="s">
        <v>574</v>
      </c>
      <c r="V10" s="66"/>
      <c r="W10" s="72" t="s">
        <v>1094</v>
      </c>
      <c r="X10" s="72" t="s">
        <v>1197</v>
      </c>
    </row>
    <row r="11" spans="1:24" ht="30" x14ac:dyDescent="0.25">
      <c r="A11" s="73" t="s">
        <v>1063</v>
      </c>
      <c r="B11" s="103" t="s">
        <v>1066</v>
      </c>
      <c r="C11" s="73" t="s">
        <v>946</v>
      </c>
      <c r="D11" s="74">
        <v>2016</v>
      </c>
      <c r="E11" s="105" t="s">
        <v>1146</v>
      </c>
      <c r="F11" s="105" t="s">
        <v>1060</v>
      </c>
      <c r="G11" s="105" t="s">
        <v>1060</v>
      </c>
      <c r="H11" s="75"/>
      <c r="I11" s="76" t="s">
        <v>845</v>
      </c>
      <c r="J11" s="76"/>
      <c r="K11" s="76" t="s">
        <v>10</v>
      </c>
      <c r="L11" s="76" t="s">
        <v>842</v>
      </c>
      <c r="M11" s="76" t="s">
        <v>844</v>
      </c>
      <c r="N11" s="76"/>
      <c r="O11" s="76" t="s">
        <v>26</v>
      </c>
      <c r="P11" s="76" t="s">
        <v>1061</v>
      </c>
      <c r="Q11" s="76" t="s">
        <v>843</v>
      </c>
      <c r="R11" s="75"/>
      <c r="S11" s="113" t="str">
        <f t="shared" ref="S11:S18" si="0">IF(ISBLANK(I11), IF(ISBLANK(N11), "MISSING [VULNTYPE] OR [ROOT CAUSE]! ", CONCATENATE(J11,IF(ISBLANK(J11), "", " in "),K11, IF(ISBLANK(K11), "", " "), L11, IF(ISBLANK(L11), "[PRODUCT] ", " "), M11, IF(ISBLANK(M11), "", " "),  N11, ", which allows ", O11, IF(ISBLANK(O11), "attackers to ", " to "), P11, IF(ISBLANK(P11), "unspecified impact ", ""), "via ", Q11, IF(ISBLANK(Q11), "unspecified vectors.", "."))), CONCATENATE(I11,IF(ISBLANK(I11), "", " in "),J11,IF(ISBLANK(J11), "", " in "),K11, IF(ISBLANK(K11), "", " "), L11, IF(ISBLANK(L11), "[PRODUCT] ", " "), M11, IF(ISBLANK(M11), "", " "), "allows ", O11, IF(ISBLANK(O11), "attackers to ", " to "), P11, IF(ISBLANK(P11), " unspecified impact", ""), " via ", Q11, IF(ISBLANK(Q11), "unspecified vectors.", ".")))</f>
        <v>A vulnerability in Intel Integrated Performance Primitives (IPP) Cryptography 9 and earlier allows local users to recover the RSA private key via a potential side-channel.</v>
      </c>
      <c r="T11" s="77" t="s">
        <v>846</v>
      </c>
      <c r="U11" s="77"/>
      <c r="V11" s="75"/>
      <c r="W11" s="104"/>
      <c r="X11" s="77"/>
    </row>
    <row r="12" spans="1:24" x14ac:dyDescent="0.25">
      <c r="A12" s="73" t="s">
        <v>1064</v>
      </c>
      <c r="B12" s="103" t="s">
        <v>1067</v>
      </c>
      <c r="C12" s="73" t="s">
        <v>947</v>
      </c>
      <c r="D12" s="74">
        <v>2016</v>
      </c>
      <c r="E12" s="105" t="s">
        <v>1146</v>
      </c>
      <c r="F12" s="105" t="s">
        <v>576</v>
      </c>
      <c r="G12" s="105" t="s">
        <v>576</v>
      </c>
      <c r="H12" s="75"/>
      <c r="I12" s="76"/>
      <c r="J12" s="76"/>
      <c r="K12" s="76" t="s">
        <v>10</v>
      </c>
      <c r="L12" s="76"/>
      <c r="M12" s="76"/>
      <c r="N12" s="76"/>
      <c r="O12" s="76"/>
      <c r="P12" s="76"/>
      <c r="Q12" s="76"/>
      <c r="R12" s="75"/>
      <c r="S12" s="113" t="str">
        <f t="shared" si="0"/>
        <v xml:space="preserve">MISSING [VULNTYPE] OR [ROOT CAUSE]! </v>
      </c>
      <c r="T12" s="77"/>
      <c r="U12" s="77"/>
      <c r="V12" s="75"/>
      <c r="W12" s="104"/>
      <c r="X12" s="77"/>
    </row>
    <row r="13" spans="1:24" x14ac:dyDescent="0.25">
      <c r="A13" s="73" t="s">
        <v>1074</v>
      </c>
      <c r="B13" s="103" t="s">
        <v>1068</v>
      </c>
      <c r="C13" s="73" t="s">
        <v>948</v>
      </c>
      <c r="D13" s="74">
        <v>2016</v>
      </c>
      <c r="E13" s="105" t="s">
        <v>1146</v>
      </c>
      <c r="F13" s="105" t="s">
        <v>576</v>
      </c>
      <c r="G13" s="105" t="s">
        <v>576</v>
      </c>
      <c r="H13" s="75"/>
      <c r="I13" s="76"/>
      <c r="J13" s="76"/>
      <c r="K13" s="76" t="s">
        <v>10</v>
      </c>
      <c r="L13" s="76"/>
      <c r="M13" s="76"/>
      <c r="N13" s="76"/>
      <c r="O13" s="76"/>
      <c r="P13" s="76"/>
      <c r="Q13" s="76"/>
      <c r="R13" s="75"/>
      <c r="S13" s="113" t="str">
        <f t="shared" si="0"/>
        <v xml:space="preserve">MISSING [VULNTYPE] OR [ROOT CAUSE]! </v>
      </c>
      <c r="T13" s="77"/>
      <c r="U13" s="77"/>
      <c r="V13" s="75"/>
      <c r="W13" s="104"/>
      <c r="X13" s="77"/>
    </row>
    <row r="14" spans="1:24" x14ac:dyDescent="0.25">
      <c r="A14" s="73" t="s">
        <v>1075</v>
      </c>
      <c r="B14" s="103" t="s">
        <v>1069</v>
      </c>
      <c r="C14" s="73" t="s">
        <v>949</v>
      </c>
      <c r="D14" s="74">
        <v>2016</v>
      </c>
      <c r="E14" s="105" t="s">
        <v>1146</v>
      </c>
      <c r="F14" s="105" t="s">
        <v>576</v>
      </c>
      <c r="G14" s="105" t="s">
        <v>576</v>
      </c>
      <c r="H14" s="75"/>
      <c r="I14" s="76"/>
      <c r="J14" s="76"/>
      <c r="K14" s="76" t="s">
        <v>10</v>
      </c>
      <c r="L14" s="76"/>
      <c r="M14" s="76"/>
      <c r="N14" s="76"/>
      <c r="O14" s="76"/>
      <c r="P14" s="76"/>
      <c r="Q14" s="76"/>
      <c r="R14" s="75"/>
      <c r="S14" s="113" t="str">
        <f t="shared" si="0"/>
        <v xml:space="preserve">MISSING [VULNTYPE] OR [ROOT CAUSE]! </v>
      </c>
      <c r="T14" s="77"/>
      <c r="U14" s="77"/>
      <c r="V14" s="75"/>
      <c r="W14" s="104"/>
      <c r="X14" s="77"/>
    </row>
    <row r="15" spans="1:24" x14ac:dyDescent="0.25">
      <c r="A15" s="73" t="s">
        <v>1076</v>
      </c>
      <c r="B15" s="103" t="s">
        <v>1070</v>
      </c>
      <c r="C15" s="73" t="s">
        <v>950</v>
      </c>
      <c r="D15" s="74">
        <v>2016</v>
      </c>
      <c r="E15" s="105" t="s">
        <v>1146</v>
      </c>
      <c r="F15" s="105" t="s">
        <v>576</v>
      </c>
      <c r="G15" s="105" t="s">
        <v>576</v>
      </c>
      <c r="H15" s="75"/>
      <c r="I15" s="76"/>
      <c r="J15" s="76"/>
      <c r="K15" s="76" t="s">
        <v>10</v>
      </c>
      <c r="L15" s="76"/>
      <c r="M15" s="76"/>
      <c r="N15" s="76"/>
      <c r="O15" s="76"/>
      <c r="P15" s="76"/>
      <c r="Q15" s="76"/>
      <c r="R15" s="75"/>
      <c r="S15" s="113" t="str">
        <f t="shared" si="0"/>
        <v xml:space="preserve">MISSING [VULNTYPE] OR [ROOT CAUSE]! </v>
      </c>
      <c r="T15" s="77"/>
      <c r="U15" s="77"/>
      <c r="V15" s="75"/>
      <c r="W15" s="104"/>
      <c r="X15" s="77"/>
    </row>
    <row r="16" spans="1:24" x14ac:dyDescent="0.25">
      <c r="A16" s="73" t="s">
        <v>1077</v>
      </c>
      <c r="B16" s="103" t="s">
        <v>1071</v>
      </c>
      <c r="C16" s="73" t="s">
        <v>951</v>
      </c>
      <c r="D16" s="74">
        <v>2016</v>
      </c>
      <c r="E16" s="105" t="s">
        <v>1146</v>
      </c>
      <c r="F16" s="105" t="s">
        <v>576</v>
      </c>
      <c r="G16" s="105" t="s">
        <v>576</v>
      </c>
      <c r="H16" s="75"/>
      <c r="I16" s="76"/>
      <c r="J16" s="76"/>
      <c r="K16" s="76" t="s">
        <v>10</v>
      </c>
      <c r="L16" s="76"/>
      <c r="M16" s="76"/>
      <c r="N16" s="76"/>
      <c r="O16" s="76"/>
      <c r="P16" s="76"/>
      <c r="Q16" s="76"/>
      <c r="R16" s="75"/>
      <c r="S16" s="113" t="str">
        <f t="shared" si="0"/>
        <v xml:space="preserve">MISSING [VULNTYPE] OR [ROOT CAUSE]! </v>
      </c>
      <c r="T16" s="77"/>
      <c r="U16" s="77"/>
      <c r="V16" s="75"/>
      <c r="W16" s="104"/>
      <c r="X16" s="77"/>
    </row>
    <row r="17" spans="1:24" x14ac:dyDescent="0.25">
      <c r="A17" s="73" t="s">
        <v>1078</v>
      </c>
      <c r="B17" s="103" t="s">
        <v>1072</v>
      </c>
      <c r="C17" s="73" t="s">
        <v>952</v>
      </c>
      <c r="D17" s="74">
        <v>2016</v>
      </c>
      <c r="E17" s="105" t="s">
        <v>1146</v>
      </c>
      <c r="F17" s="105" t="s">
        <v>576</v>
      </c>
      <c r="G17" s="105" t="s">
        <v>576</v>
      </c>
      <c r="H17" s="75"/>
      <c r="I17" s="76"/>
      <c r="J17" s="76"/>
      <c r="K17" s="76" t="s">
        <v>10</v>
      </c>
      <c r="L17" s="76"/>
      <c r="M17" s="76"/>
      <c r="N17" s="76"/>
      <c r="O17" s="76"/>
      <c r="P17" s="76"/>
      <c r="Q17" s="76"/>
      <c r="R17" s="75"/>
      <c r="S17" s="113" t="str">
        <f t="shared" si="0"/>
        <v xml:space="preserve">MISSING [VULNTYPE] OR [ROOT CAUSE]! </v>
      </c>
      <c r="T17" s="77"/>
      <c r="U17" s="77"/>
      <c r="V17" s="75"/>
      <c r="W17" s="104"/>
      <c r="X17" s="77"/>
    </row>
    <row r="18" spans="1:24" x14ac:dyDescent="0.25">
      <c r="A18" s="73" t="s">
        <v>1079</v>
      </c>
      <c r="B18" s="103" t="s">
        <v>1073</v>
      </c>
      <c r="C18" s="73" t="s">
        <v>953</v>
      </c>
      <c r="D18" s="74">
        <v>2016</v>
      </c>
      <c r="E18" s="105" t="s">
        <v>1146</v>
      </c>
      <c r="F18" s="105" t="s">
        <v>576</v>
      </c>
      <c r="G18" s="105" t="s">
        <v>576</v>
      </c>
      <c r="H18" s="75"/>
      <c r="I18" s="76"/>
      <c r="J18" s="76"/>
      <c r="K18" s="76" t="s">
        <v>10</v>
      </c>
      <c r="L18" s="76"/>
      <c r="M18" s="76"/>
      <c r="N18" s="76"/>
      <c r="O18" s="76"/>
      <c r="P18" s="76"/>
      <c r="Q18" s="76"/>
      <c r="R18" s="75"/>
      <c r="S18" s="113" t="str">
        <f t="shared" si="0"/>
        <v xml:space="preserve">MISSING [VULNTYPE] OR [ROOT CAUSE]! </v>
      </c>
      <c r="T18" s="77"/>
      <c r="U18" s="77"/>
      <c r="V18" s="75"/>
      <c r="W18" s="104"/>
      <c r="X18" s="77"/>
    </row>
    <row r="19" spans="1:24" s="6" customFormat="1" x14ac:dyDescent="0.25">
      <c r="A19" s="42"/>
      <c r="B19" s="42"/>
      <c r="C19" s="87">
        <v>2017</v>
      </c>
      <c r="D19" s="45"/>
      <c r="E19" s="45"/>
      <c r="F19" s="45"/>
      <c r="G19" s="45"/>
      <c r="I19" s="26"/>
      <c r="J19" s="26"/>
      <c r="K19" s="39"/>
      <c r="L19" s="39"/>
      <c r="M19" s="26"/>
      <c r="N19" s="26"/>
      <c r="O19" s="26"/>
      <c r="P19" s="26"/>
      <c r="Q19" s="26"/>
      <c r="S19" s="37"/>
      <c r="T19" s="37"/>
      <c r="U19" s="37"/>
      <c r="W19" s="42"/>
      <c r="X19" s="37"/>
    </row>
    <row r="21" spans="1:24" ht="21" x14ac:dyDescent="0.25">
      <c r="I21" s="122"/>
      <c r="J21" s="120" t="s">
        <v>1103</v>
      </c>
      <c r="K21" s="123"/>
      <c r="L21" s="123"/>
    </row>
    <row r="22" spans="1:24" ht="15.75" thickBot="1" x14ac:dyDescent="0.3">
      <c r="I22" s="124" t="s">
        <v>1102</v>
      </c>
      <c r="J22" s="121">
        <v>11</v>
      </c>
      <c r="K22" s="123"/>
      <c r="L22" s="123"/>
    </row>
    <row r="23" spans="1:24" x14ac:dyDescent="0.25">
      <c r="I23" s="125" t="s">
        <v>1099</v>
      </c>
      <c r="J23" s="156" t="str">
        <f ca="1">INDIRECT("$C" &amp; $J$22)</f>
        <v>CVE-2016-8100</v>
      </c>
      <c r="K23" s="157"/>
      <c r="L23" s="157"/>
      <c r="M23" s="158"/>
    </row>
    <row r="24" spans="1:24" x14ac:dyDescent="0.25">
      <c r="I24" s="114" t="s">
        <v>1100</v>
      </c>
      <c r="J24" s="152" t="str">
        <f ca="1">INDIRECT("$L" &amp; $J$22)</f>
        <v>Integrated Performance Primitives (IPP) Cryptography</v>
      </c>
      <c r="K24" s="153"/>
      <c r="L24" s="154"/>
      <c r="M24" s="155"/>
    </row>
    <row r="25" spans="1:24" s="3" customFormat="1" x14ac:dyDescent="0.25">
      <c r="A25" s="31"/>
      <c r="B25" s="31"/>
      <c r="C25" s="31"/>
      <c r="D25" s="44"/>
      <c r="E25" s="47"/>
      <c r="F25" s="47"/>
      <c r="G25" s="47"/>
      <c r="H25" s="6"/>
      <c r="I25" s="114" t="s">
        <v>1108</v>
      </c>
      <c r="J25" s="152" t="str">
        <f ca="1">INDIRECT("$M" &amp; $J$22)</f>
        <v>9 and earlier</v>
      </c>
      <c r="K25" s="153"/>
      <c r="L25" s="154"/>
      <c r="M25" s="155"/>
      <c r="R25" s="6"/>
      <c r="S25" s="36"/>
      <c r="T25" s="36"/>
      <c r="U25" s="36"/>
      <c r="V25" s="6"/>
      <c r="W25" s="31"/>
      <c r="X25" s="36"/>
    </row>
    <row r="26" spans="1:24" s="3" customFormat="1" x14ac:dyDescent="0.25">
      <c r="A26" s="31"/>
      <c r="B26" s="31"/>
      <c r="C26" s="31"/>
      <c r="D26" s="44"/>
      <c r="E26" s="47"/>
      <c r="F26" s="47"/>
      <c r="G26" s="47"/>
      <c r="H26" s="6"/>
      <c r="I26" s="114" t="s">
        <v>1101</v>
      </c>
      <c r="J26" s="152" t="str">
        <f ca="1">INDIRECT("$I" &amp; $J$22)</f>
        <v>A vulnerability</v>
      </c>
      <c r="K26" s="153"/>
      <c r="L26" s="154"/>
      <c r="M26" s="155"/>
      <c r="R26" s="6"/>
      <c r="S26" s="36"/>
      <c r="T26" s="36"/>
      <c r="U26" s="36"/>
      <c r="V26" s="6"/>
      <c r="W26" s="31"/>
      <c r="X26" s="36"/>
    </row>
    <row r="27" spans="1:24" s="3" customFormat="1" ht="55.5" customHeight="1" x14ac:dyDescent="0.25">
      <c r="A27" s="31"/>
      <c r="B27" s="31"/>
      <c r="C27" s="31"/>
      <c r="D27" s="44"/>
      <c r="E27" s="47"/>
      <c r="F27" s="47"/>
      <c r="G27" s="47"/>
      <c r="H27" s="6"/>
      <c r="I27" s="114" t="s">
        <v>1107</v>
      </c>
      <c r="J27" s="152">
        <f ca="1">INDIRECT("$W" &amp; $J$22)</f>
        <v>0</v>
      </c>
      <c r="K27" s="153"/>
      <c r="L27" s="154"/>
      <c r="M27" s="155"/>
      <c r="R27" s="6"/>
      <c r="S27" s="36"/>
      <c r="T27" s="36"/>
      <c r="U27" s="36"/>
      <c r="V27" s="6"/>
      <c r="W27" s="31"/>
      <c r="X27" s="36"/>
    </row>
    <row r="28" spans="1:24" s="3" customFormat="1" ht="61.5" customHeight="1" x14ac:dyDescent="0.25">
      <c r="A28" s="31"/>
      <c r="B28" s="31"/>
      <c r="C28" s="31"/>
      <c r="D28" s="44"/>
      <c r="E28" s="47"/>
      <c r="F28" s="47"/>
      <c r="G28" s="47"/>
      <c r="H28" s="6"/>
      <c r="I28" s="114"/>
      <c r="J28" s="152">
        <f ca="1">INDIRECT("$X" &amp; $J$22)</f>
        <v>0</v>
      </c>
      <c r="K28" s="153"/>
      <c r="L28" s="154"/>
      <c r="M28" s="155"/>
      <c r="R28" s="6"/>
      <c r="S28" s="36"/>
      <c r="T28" s="36"/>
      <c r="U28" s="36"/>
      <c r="V28" s="6"/>
      <c r="W28" s="31"/>
      <c r="X28" s="36"/>
    </row>
    <row r="29" spans="1:24" s="3" customFormat="1" ht="74.25" customHeight="1" thickBot="1" x14ac:dyDescent="0.3">
      <c r="A29" s="31"/>
      <c r="B29" s="31"/>
      <c r="C29" s="31"/>
      <c r="D29" s="44"/>
      <c r="E29" s="47"/>
      <c r="F29" s="47"/>
      <c r="G29" s="47"/>
      <c r="H29" s="6"/>
      <c r="I29" s="126" t="s">
        <v>1194</v>
      </c>
      <c r="J29" s="159" t="str">
        <f ca="1">INDIRECT("$S" &amp; $J$22)</f>
        <v>A vulnerability in Intel Integrated Performance Primitives (IPP) Cryptography 9 and earlier allows local users to recover the RSA private key via a potential side-channel.</v>
      </c>
      <c r="K29" s="160"/>
      <c r="L29" s="160"/>
      <c r="M29" s="161"/>
      <c r="R29" s="6"/>
      <c r="S29" s="36"/>
      <c r="T29" s="36"/>
      <c r="U29" s="36"/>
      <c r="V29" s="6"/>
      <c r="W29" s="31"/>
      <c r="X29" s="36"/>
    </row>
    <row r="30" spans="1:24" s="3" customFormat="1" x14ac:dyDescent="0.25">
      <c r="A30" s="31"/>
      <c r="B30" s="31"/>
      <c r="C30" s="31"/>
      <c r="D30" s="44"/>
      <c r="E30" s="47"/>
      <c r="F30" s="47"/>
      <c r="G30" s="47"/>
      <c r="H30" s="6"/>
      <c r="I30" s="10"/>
      <c r="K30" s="19"/>
      <c r="L30" s="19"/>
      <c r="R30" s="6"/>
      <c r="S30" s="36"/>
      <c r="T30" s="36"/>
      <c r="U30" s="36"/>
      <c r="V30" s="6"/>
      <c r="W30" s="31"/>
      <c r="X30" s="36"/>
    </row>
    <row r="31" spans="1:24" s="3" customFormat="1" x14ac:dyDescent="0.25">
      <c r="A31" s="31"/>
      <c r="B31" s="31"/>
      <c r="C31" s="31"/>
      <c r="D31" s="44"/>
      <c r="E31" s="47"/>
      <c r="F31" s="47"/>
      <c r="G31" s="47"/>
      <c r="H31" s="6"/>
      <c r="I31" s="10"/>
      <c r="K31" s="19"/>
      <c r="L31" s="19"/>
      <c r="R31" s="6"/>
      <c r="S31" s="36"/>
      <c r="T31" s="36"/>
      <c r="U31" s="36"/>
      <c r="V31" s="6"/>
      <c r="W31" s="31"/>
      <c r="X31" s="36"/>
    </row>
    <row r="32" spans="1:24" s="3" customFormat="1" x14ac:dyDescent="0.25">
      <c r="A32" s="31"/>
      <c r="B32" s="31"/>
      <c r="C32" s="31"/>
      <c r="D32" s="44"/>
      <c r="E32" s="47"/>
      <c r="F32" s="47"/>
      <c r="G32" s="47"/>
      <c r="H32" s="6"/>
      <c r="I32" s="10"/>
      <c r="K32" s="19"/>
      <c r="L32" s="19"/>
      <c r="R32" s="6"/>
      <c r="S32" s="36"/>
      <c r="T32" s="36"/>
      <c r="U32" s="36"/>
      <c r="V32" s="6"/>
      <c r="W32" s="31"/>
      <c r="X32" s="36"/>
    </row>
    <row r="33" spans="1:24" s="3" customFormat="1" x14ac:dyDescent="0.25">
      <c r="A33" s="31"/>
      <c r="B33" s="31"/>
      <c r="C33" s="31"/>
      <c r="D33" s="44"/>
      <c r="E33" s="47"/>
      <c r="F33" s="47"/>
      <c r="G33" s="47"/>
      <c r="H33" s="6"/>
      <c r="I33" s="10"/>
      <c r="K33" s="19"/>
      <c r="L33" s="19"/>
      <c r="R33" s="6"/>
      <c r="S33" s="36"/>
      <c r="T33" s="36"/>
      <c r="U33" s="36"/>
      <c r="V33" s="6"/>
      <c r="W33" s="31"/>
      <c r="X33" s="36"/>
    </row>
    <row r="34" spans="1:24" s="3" customFormat="1" x14ac:dyDescent="0.25">
      <c r="A34" s="31"/>
      <c r="B34" s="31"/>
      <c r="C34" s="31"/>
      <c r="D34" s="44"/>
      <c r="E34" s="47"/>
      <c r="F34" s="47"/>
      <c r="G34" s="47"/>
      <c r="H34" s="6"/>
      <c r="I34" s="10"/>
      <c r="K34" s="19"/>
      <c r="L34" s="19"/>
      <c r="R34" s="6"/>
      <c r="S34" s="36"/>
      <c r="T34" s="36"/>
      <c r="U34" s="36"/>
      <c r="V34" s="6"/>
      <c r="W34" s="31"/>
      <c r="X34" s="36"/>
    </row>
    <row r="35" spans="1:24" s="3" customFormat="1" x14ac:dyDescent="0.25">
      <c r="A35" s="31"/>
      <c r="B35" s="31"/>
      <c r="C35" s="31"/>
      <c r="D35" s="44"/>
      <c r="E35" s="47"/>
      <c r="F35" s="47"/>
      <c r="G35" s="47"/>
      <c r="H35" s="6"/>
      <c r="I35" s="10"/>
      <c r="K35" s="19"/>
      <c r="L35" s="19"/>
      <c r="R35" s="6"/>
      <c r="S35" s="36"/>
      <c r="T35" s="36"/>
      <c r="U35" s="36"/>
      <c r="V35" s="6"/>
      <c r="W35" s="31"/>
      <c r="X35" s="36"/>
    </row>
    <row r="36" spans="1:24" s="3" customFormat="1" x14ac:dyDescent="0.25">
      <c r="A36" s="31"/>
      <c r="B36" s="31"/>
      <c r="C36" s="31"/>
      <c r="D36" s="44"/>
      <c r="E36" s="47"/>
      <c r="F36" s="47"/>
      <c r="G36" s="47"/>
      <c r="H36" s="6"/>
      <c r="I36" s="10"/>
      <c r="K36" s="19"/>
      <c r="L36" s="19"/>
      <c r="R36" s="6"/>
      <c r="S36" s="36"/>
      <c r="T36" s="36"/>
      <c r="U36" s="36"/>
      <c r="V36" s="6"/>
      <c r="W36" s="31"/>
      <c r="X36" s="36"/>
    </row>
    <row r="37" spans="1:24" s="3" customFormat="1" x14ac:dyDescent="0.25">
      <c r="A37" s="31"/>
      <c r="B37" s="31"/>
      <c r="C37" s="31"/>
      <c r="D37" s="44"/>
      <c r="E37" s="47"/>
      <c r="F37" s="47"/>
      <c r="G37" s="47"/>
      <c r="H37" s="6"/>
      <c r="I37" s="10"/>
      <c r="K37" s="19"/>
      <c r="L37" s="19"/>
      <c r="R37" s="6"/>
      <c r="S37" s="36"/>
      <c r="T37" s="36"/>
      <c r="U37" s="36"/>
      <c r="V37" s="6"/>
      <c r="W37" s="31"/>
      <c r="X37" s="36"/>
    </row>
    <row r="38" spans="1:24" s="3" customFormat="1" x14ac:dyDescent="0.25">
      <c r="A38" s="31"/>
      <c r="B38" s="31"/>
      <c r="C38" s="31"/>
      <c r="D38" s="44"/>
      <c r="E38" s="47"/>
      <c r="F38" s="47"/>
      <c r="G38" s="47"/>
      <c r="H38" s="6"/>
      <c r="I38" s="10"/>
      <c r="K38" s="19"/>
      <c r="L38" s="19"/>
      <c r="R38" s="6"/>
      <c r="S38" s="36"/>
      <c r="T38" s="36"/>
      <c r="U38" s="36"/>
      <c r="V38" s="6"/>
      <c r="W38" s="31"/>
      <c r="X38" s="36"/>
    </row>
    <row r="39" spans="1:24" s="3" customFormat="1" x14ac:dyDescent="0.25">
      <c r="A39" s="31"/>
      <c r="B39" s="31"/>
      <c r="C39" s="31"/>
      <c r="D39" s="44"/>
      <c r="E39" s="47"/>
      <c r="F39" s="47"/>
      <c r="G39" s="47"/>
      <c r="H39" s="6"/>
      <c r="I39" s="10"/>
      <c r="K39" s="19"/>
      <c r="L39" s="19"/>
      <c r="R39" s="6"/>
      <c r="S39" s="36"/>
      <c r="T39" s="36"/>
      <c r="U39" s="36"/>
      <c r="V39" s="6"/>
      <c r="W39" s="31"/>
      <c r="X39" s="36"/>
    </row>
    <row r="40" spans="1:24" s="3" customFormat="1" x14ac:dyDescent="0.25">
      <c r="A40" s="31"/>
      <c r="B40" s="31"/>
      <c r="C40" s="31"/>
      <c r="D40" s="44"/>
      <c r="E40" s="47"/>
      <c r="F40" s="47"/>
      <c r="G40" s="47"/>
      <c r="H40" s="6"/>
      <c r="I40" s="10"/>
      <c r="K40" s="19"/>
      <c r="L40" s="19"/>
      <c r="R40" s="6"/>
      <c r="S40" s="36"/>
      <c r="T40" s="36"/>
      <c r="U40" s="36"/>
      <c r="V40" s="6"/>
      <c r="W40" s="31"/>
      <c r="X40" s="36"/>
    </row>
    <row r="41" spans="1:24" s="3" customFormat="1" x14ac:dyDescent="0.25">
      <c r="A41" s="31"/>
      <c r="B41" s="31"/>
      <c r="C41" s="31"/>
      <c r="D41" s="44"/>
      <c r="E41" s="47"/>
      <c r="F41" s="47"/>
      <c r="G41" s="47"/>
      <c r="H41" s="6"/>
      <c r="I41" s="10"/>
      <c r="K41" s="19"/>
      <c r="L41" s="19"/>
      <c r="R41" s="6"/>
      <c r="S41" s="36"/>
      <c r="T41" s="36"/>
      <c r="U41" s="36"/>
      <c r="V41" s="6"/>
      <c r="W41" s="31"/>
      <c r="X41" s="36"/>
    </row>
    <row r="42" spans="1:24" s="3" customFormat="1" x14ac:dyDescent="0.25">
      <c r="A42" s="31"/>
      <c r="B42" s="31"/>
      <c r="C42" s="31"/>
      <c r="D42" s="44"/>
      <c r="E42" s="47"/>
      <c r="F42" s="47"/>
      <c r="G42" s="47"/>
      <c r="H42" s="6"/>
      <c r="I42" s="10"/>
      <c r="K42" s="19"/>
      <c r="L42" s="19"/>
      <c r="R42" s="6"/>
      <c r="S42" s="36"/>
      <c r="T42" s="36"/>
      <c r="U42" s="36"/>
      <c r="V42" s="6"/>
      <c r="W42" s="31"/>
      <c r="X42" s="36"/>
    </row>
  </sheetData>
  <autoFilter ref="A1:X42" xr:uid="{00000000-0009-0000-0000-000007000000}"/>
  <mergeCells count="7">
    <mergeCell ref="J29:M29"/>
    <mergeCell ref="J23:M23"/>
    <mergeCell ref="J24:M24"/>
    <mergeCell ref="J25:M25"/>
    <mergeCell ref="J26:M26"/>
    <mergeCell ref="J27:M27"/>
    <mergeCell ref="J28:M28"/>
  </mergeCells>
  <conditionalFormatting sqref="N11">
    <cfRule type="expression" dxfId="23" priority="142">
      <formula>NOT(ISBLANK(I11))</formula>
    </cfRule>
  </conditionalFormatting>
  <conditionalFormatting sqref="I11">
    <cfRule type="expression" dxfId="22" priority="141">
      <formula>NOT(ISBLANK(N11))</formula>
    </cfRule>
  </conditionalFormatting>
  <conditionalFormatting sqref="C11">
    <cfRule type="expression" dxfId="21" priority="135">
      <formula>NOT(RIGHT(C11,4)="nnnn")</formula>
    </cfRule>
  </conditionalFormatting>
  <conditionalFormatting sqref="N18">
    <cfRule type="expression" dxfId="20" priority="130">
      <formula>NOT(ISBLANK(I18))</formula>
    </cfRule>
  </conditionalFormatting>
  <conditionalFormatting sqref="I18">
    <cfRule type="expression" dxfId="19" priority="129">
      <formula>NOT(ISBLANK(N18))</formula>
    </cfRule>
  </conditionalFormatting>
  <conditionalFormatting sqref="C18">
    <cfRule type="expression" dxfId="18" priority="128">
      <formula>NOT(RIGHT(C18,4)="nnnn")</formula>
    </cfRule>
  </conditionalFormatting>
  <conditionalFormatting sqref="C13:C17">
    <cfRule type="expression" dxfId="17" priority="122">
      <formula>NOT(RIGHT(C13,4)="nnnn")</formula>
    </cfRule>
  </conditionalFormatting>
  <conditionalFormatting sqref="N12">
    <cfRule type="expression" dxfId="16" priority="127">
      <formula>NOT(ISBLANK(I12))</formula>
    </cfRule>
  </conditionalFormatting>
  <conditionalFormatting sqref="I12">
    <cfRule type="expression" dxfId="15" priority="126">
      <formula>NOT(ISBLANK(N12))</formula>
    </cfRule>
  </conditionalFormatting>
  <conditionalFormatting sqref="C12">
    <cfRule type="expression" dxfId="14" priority="125">
      <formula>NOT(RIGHT(C12,4)="nnnn")</formula>
    </cfRule>
  </conditionalFormatting>
  <conditionalFormatting sqref="N13:N17">
    <cfRule type="expression" dxfId="13" priority="124">
      <formula>NOT(ISBLANK(I13))</formula>
    </cfRule>
  </conditionalFormatting>
  <conditionalFormatting sqref="I13:I17">
    <cfRule type="expression" dxfId="12" priority="123">
      <formula>NOT(ISBLANK(N13))</formula>
    </cfRule>
  </conditionalFormatting>
  <conditionalFormatting sqref="G18">
    <cfRule type="expression" dxfId="11" priority="120">
      <formula>G18="Y"</formula>
    </cfRule>
    <cfRule type="expression" dxfId="10" priority="121">
      <formula>G18="N"</formula>
    </cfRule>
  </conditionalFormatting>
  <conditionalFormatting sqref="G12">
    <cfRule type="expression" dxfId="9" priority="118">
      <formula>G12="Y"</formula>
    </cfRule>
    <cfRule type="expression" dxfId="8" priority="119">
      <formula>G12="N"</formula>
    </cfRule>
  </conditionalFormatting>
  <conditionalFormatting sqref="G13:G17">
    <cfRule type="expression" dxfId="7" priority="116">
      <formula>G13="Y"</formula>
    </cfRule>
    <cfRule type="expression" dxfId="6" priority="117">
      <formula>G13="N"</formula>
    </cfRule>
  </conditionalFormatting>
  <conditionalFormatting sqref="F11:G19">
    <cfRule type="expression" dxfId="5" priority="21">
      <formula>F11="NA"</formula>
    </cfRule>
    <cfRule type="expression" dxfId="4" priority="22">
      <formula>F11="N"</formula>
    </cfRule>
    <cfRule type="expression" dxfId="3" priority="24">
      <formula>F11="Y"</formula>
    </cfRule>
  </conditionalFormatting>
  <dataValidations count="9">
    <dataValidation type="list" allowBlank="1" sqref="E11:E18" xr:uid="{00000000-0002-0000-0700-000000000000}">
      <formula1>Status</formula1>
    </dataValidation>
    <dataValidation type="list" allowBlank="1" sqref="J11:J18" xr:uid="{00000000-0002-0000-0700-000001000000}">
      <formula1>COMPONENT</formula1>
    </dataValidation>
    <dataValidation type="list" allowBlank="1" sqref="U11:U18" xr:uid="{00000000-0002-0000-0700-000002000000}">
      <formula1>AUTHOR</formula1>
    </dataValidation>
    <dataValidation type="list" allowBlank="1" sqref="Q11:Q18" xr:uid="{00000000-0002-0000-0700-000003000000}">
      <formula1>VECTOR</formula1>
    </dataValidation>
    <dataValidation type="list" allowBlank="1" sqref="P11:P18" xr:uid="{00000000-0002-0000-0700-000004000000}">
      <formula1>IMPACT</formula1>
    </dataValidation>
    <dataValidation type="list" allowBlank="1" sqref="O11:O18" xr:uid="{00000000-0002-0000-0700-000005000000}">
      <formula1>ATTACKER</formula1>
    </dataValidation>
    <dataValidation type="list" allowBlank="1" sqref="L11:L18" xr:uid="{00000000-0002-0000-0700-000006000000}">
      <formula1>PRODUCT</formula1>
    </dataValidation>
    <dataValidation type="list" allowBlank="1" sqref="I11:I18" xr:uid="{00000000-0002-0000-0700-000007000000}">
      <formula1>VULNTYPE</formula1>
    </dataValidation>
    <dataValidation type="list" allowBlank="1" showInputMessage="1" promptTitle="Default" prompt="&quot;Intel Security&quot;" sqref="K11:K18" xr:uid="{00000000-0002-0000-0700-000008000000}">
      <formula1>VENDOR</formula1>
    </dataValidation>
  </dataValidations>
  <hyperlinks>
    <hyperlink ref="L4" r:id="rId1" xr:uid="{00000000-0004-0000-0700-000000000000}"/>
    <hyperlink ref="L5" r:id="rId2" xr:uid="{00000000-0004-0000-0700-000001000000}"/>
  </hyperlinks>
  <pageMargins left="0.7" right="0.7" top="0.75" bottom="0.75" header="0.3" footer="0.3"/>
  <pageSetup orientation="portrait" r:id="rId3"/>
  <customProperties>
    <customPr name="Guid" r:id="rId4"/>
  </customProperties>
  <extLst>
    <ext xmlns:x14="http://schemas.microsoft.com/office/spreadsheetml/2009/9/main" uri="{78C0D931-6437-407d-A8EE-F0AAD7539E65}">
      <x14:conditionalFormattings>
        <x14:conditionalFormatting xmlns:xm="http://schemas.microsoft.com/office/excel/2006/main">
          <x14:cfRule type="expression" priority="162" id="{BD14A218-B6EA-4FC3-B56C-103648ED2E37}">
            <xm:f>$E11=Drop_Downs!$A$36</xm:f>
            <x14:dxf>
              <fill>
                <patternFill>
                  <bgColor rgb="FF00B050"/>
                </patternFill>
              </fill>
            </x14:dxf>
          </x14:cfRule>
          <x14:cfRule type="expression" priority="163" id="{E452FB68-AAAC-4763-9575-A28D0269A4F8}">
            <xm:f>$E11=Drop_Downs!$A$35</xm:f>
            <x14:dxf>
              <font>
                <color auto="1"/>
              </font>
              <fill>
                <patternFill>
                  <bgColor rgb="FFFFFF00"/>
                </patternFill>
              </fill>
            </x14:dxf>
          </x14:cfRule>
          <x14:cfRule type="expression" priority="164" id="{F8BCF58F-72E3-4522-816D-F0B7B69DB97E}">
            <xm:f>$E11=Drop_Downs!$A$34</xm:f>
            <x14:dxf>
              <fill>
                <patternFill>
                  <bgColor theme="0"/>
                </patternFill>
              </fill>
            </x14:dxf>
          </x14:cfRule>
          <xm:sqref>E11:E19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workbookViewId="0"/>
  </sheetViews>
  <sheetFormatPr defaultRowHeight="15" x14ac:dyDescent="0.25"/>
  <sheetData>
    <row r="1" spans="1:256" x14ac:dyDescent="0.25">
      <c r="A1" t="s">
        <v>49</v>
      </c>
      <c r="F1" t="e">
        <f>CVEs!A:A*"8O&lt;!%"</f>
        <v>#VALUE!</v>
      </c>
      <c r="G1" t="e">
        <f>CVEs!B:B*"8O&lt;!&amp;"</f>
        <v>#VALUE!</v>
      </c>
      <c r="H1" t="e">
        <f>CVEs!C:C*"8O&lt;!'"</f>
        <v>#VALUE!</v>
      </c>
      <c r="I1" t="e">
        <f>CVEs!H:H*"8O&lt;!("</f>
        <v>#VALUE!</v>
      </c>
      <c r="J1" t="e">
        <f>CVEs!I:I*"8O&lt;!)"</f>
        <v>#VALUE!</v>
      </c>
      <c r="K1" t="e">
        <f>CVEs!J:J*"8O&lt;!."</f>
        <v>#VALUE!</v>
      </c>
      <c r="L1" t="e">
        <f>CVEs!K:K*"8O&lt;!/"</f>
        <v>#VALUE!</v>
      </c>
      <c r="M1" t="e">
        <f>CVEs!L:L*"8O&lt;!0"</f>
        <v>#VALUE!</v>
      </c>
      <c r="N1" t="e">
        <f>CVEs!M:M*"8O&lt;!1"</f>
        <v>#VALUE!</v>
      </c>
      <c r="O1" t="e">
        <f>CVEs!N:N*"8O&lt;!2"</f>
        <v>#VALUE!</v>
      </c>
      <c r="P1" t="e">
        <f>CVEs!O:O*"8O&lt;!3"</f>
        <v>#VALUE!</v>
      </c>
      <c r="Q1" t="e">
        <f>CVEs!P:P*"8O&lt;!4"</f>
        <v>#VALUE!</v>
      </c>
      <c r="R1" t="e">
        <f>CVEs!Q:Q*"8O&lt;!5"</f>
        <v>#VALUE!</v>
      </c>
      <c r="S1" t="e">
        <f>CVEs!R:R*"8O&lt;!6"</f>
        <v>#VALUE!</v>
      </c>
      <c r="T1" t="e">
        <f>CVEs!S:S*"8O&lt;!7"</f>
        <v>#VALUE!</v>
      </c>
      <c r="U1" t="e">
        <f>CVEs!U:U*"8O&lt;!8"</f>
        <v>#VALUE!</v>
      </c>
      <c r="V1" t="e">
        <f>CVEs!T:T*"8O&lt;!9"</f>
        <v>#VALUE!</v>
      </c>
      <c r="W1" t="e">
        <f>CVEs!W:W*"8O&lt;!:"</f>
        <v>#VALUE!</v>
      </c>
      <c r="X1" t="e">
        <f>CVEs!Y:Y*"8O&lt;!;"</f>
        <v>#VALUE!</v>
      </c>
      <c r="Y1" t="e">
        <f>CVEs!#REF!*"8O&lt;!&lt;"</f>
        <v>#REF!</v>
      </c>
      <c r="Z1" t="e">
        <f>CVEs!Z:Z*"8O&lt;!="</f>
        <v>#VALUE!</v>
      </c>
      <c r="AA1" t="e">
        <f>CVEs!AA:AA*"8O&lt;!&gt;"</f>
        <v>#VALUE!</v>
      </c>
      <c r="AB1" t="e">
        <f>CVEs!AB:AB*"8O&lt;!?"</f>
        <v>#VALUE!</v>
      </c>
      <c r="AC1" t="e">
        <f>CVEs!AC:AC*"8O&lt;!@"</f>
        <v>#VALUE!</v>
      </c>
      <c r="AD1" t="e">
        <f>CVEs!AD:AD*"8O&lt;!A"</f>
        <v>#VALUE!</v>
      </c>
      <c r="AE1" t="e">
        <f>CVEs!AE:AE*"8O&lt;!B"</f>
        <v>#VALUE!</v>
      </c>
      <c r="AF1" t="e">
        <f>CVEs!AF:AF*"8O&lt;!C"</f>
        <v>#VALUE!</v>
      </c>
      <c r="AG1" t="e">
        <f>CVEs!AG:AG*"8O&lt;!D"</f>
        <v>#VALUE!</v>
      </c>
      <c r="AH1" t="e">
        <f>CVEs!AH:AH*"8O&lt;!E"</f>
        <v>#VALUE!</v>
      </c>
      <c r="AI1" t="e">
        <f>CVEs!AI:AI*"8O&lt;!F"</f>
        <v>#VALUE!</v>
      </c>
      <c r="AJ1" t="e">
        <f>CVEs!AJ:AJ*"8O&lt;!G"</f>
        <v>#VALUE!</v>
      </c>
      <c r="AK1" t="e">
        <f>CVEs!AK:AK*"8O&lt;!H"</f>
        <v>#VALUE!</v>
      </c>
      <c r="AL1" t="e">
        <f>CVEs!AL:AL*"8O&lt;!I"</f>
        <v>#VALUE!</v>
      </c>
      <c r="AM1" t="e">
        <f>CVEs!AM:AM*"8O&lt;!J"</f>
        <v>#VALUE!</v>
      </c>
      <c r="AN1" t="e">
        <f>CVEs!AN:AN*"8O&lt;!K"</f>
        <v>#VALUE!</v>
      </c>
      <c r="AO1" t="e">
        <f>CVEs!AO:AO*"8O&lt;!L"</f>
        <v>#VALUE!</v>
      </c>
      <c r="AP1" t="e">
        <f>CVEs!AP:AP*"8O&lt;!M"</f>
        <v>#VALUE!</v>
      </c>
      <c r="AQ1" t="e">
        <f>CVEs!AQ:AQ*"8O&lt;!N"</f>
        <v>#VALUE!</v>
      </c>
      <c r="AR1" t="e">
        <f>CVEs!AR:AR*"8O&lt;!O"</f>
        <v>#VALUE!</v>
      </c>
      <c r="AS1" t="e">
        <f>CVEs!AS:AS*"8O&lt;!P"</f>
        <v>#VALUE!</v>
      </c>
      <c r="AT1" t="e">
        <f>CVEs!AT:AT*"8O&lt;!Q"</f>
        <v>#VALUE!</v>
      </c>
      <c r="AU1" t="e">
        <f>CVEs!AU:AU*"8O&lt;!R"</f>
        <v>#VALUE!</v>
      </c>
      <c r="AV1" t="e">
        <f>CVEs!AV:AV*"8O&lt;!S"</f>
        <v>#VALUE!</v>
      </c>
      <c r="AW1" t="e">
        <f>CVEs!AW:AW*"8O&lt;!T"</f>
        <v>#VALUE!</v>
      </c>
      <c r="AX1" t="e">
        <f>CVEs!AX:AX*"8O&lt;!U"</f>
        <v>#VALUE!</v>
      </c>
      <c r="AY1" t="e">
        <f>CVEs!AY:AY*"8O&lt;!V"</f>
        <v>#VALUE!</v>
      </c>
      <c r="AZ1" t="e">
        <f>CVEs!AZ:AZ*"8O&lt;!W"</f>
        <v>#VALUE!</v>
      </c>
      <c r="BA1" t="e">
        <f>CVEs!BA:BA*"8O&lt;!X"</f>
        <v>#VALUE!</v>
      </c>
      <c r="BB1" t="e">
        <f>CVEs!BB:BB*"8O&lt;!Y"</f>
        <v>#VALUE!</v>
      </c>
      <c r="BC1" t="e">
        <f>CVEs!BC:BC*"8O&lt;!Z"</f>
        <v>#VALUE!</v>
      </c>
      <c r="BD1" t="e">
        <f>CVEs!BD:BD*"8O&lt;!["</f>
        <v>#VALUE!</v>
      </c>
      <c r="BE1" t="e">
        <f>CVEs!BE:BE*"8O&lt;!\"</f>
        <v>#VALUE!</v>
      </c>
      <c r="BF1" t="e">
        <f>CVEs!BF:BF*"8O&lt;!]"</f>
        <v>#VALUE!</v>
      </c>
      <c r="BG1" t="e">
        <f>CVEs!BG:BG*"8O&lt;!^"</f>
        <v>#VALUE!</v>
      </c>
      <c r="BH1" t="e">
        <f>CVEs!BH:BH*"8O&lt;!_"</f>
        <v>#VALUE!</v>
      </c>
      <c r="BI1" t="e">
        <f>CVEs!BI:BI*"8O&lt;!`"</f>
        <v>#VALUE!</v>
      </c>
      <c r="BJ1" t="e">
        <f>CVEs!BJ:BJ*"8O&lt;!a"</f>
        <v>#VALUE!</v>
      </c>
      <c r="BK1" t="e">
        <f>CVEs!BK:BK*"8O&lt;!b"</f>
        <v>#VALUE!</v>
      </c>
      <c r="BL1" t="e">
        <f>CVEs!BL:BL*"8O&lt;!c"</f>
        <v>#VALUE!</v>
      </c>
      <c r="BM1" t="e">
        <f>CVEs!BM:BM*"8O&lt;!d"</f>
        <v>#VALUE!</v>
      </c>
      <c r="BN1" t="e">
        <f>CVEs!BN:BN*"8O&lt;!e"</f>
        <v>#VALUE!</v>
      </c>
      <c r="BO1" t="e">
        <f>CVEs!BO:BO*"8O&lt;!f"</f>
        <v>#VALUE!</v>
      </c>
      <c r="BP1" t="e">
        <f>CVEs!BP:BP*"8O&lt;!g"</f>
        <v>#VALUE!</v>
      </c>
      <c r="BQ1" t="e">
        <f>CVEs!BQ:BQ*"8O&lt;!h"</f>
        <v>#VALUE!</v>
      </c>
      <c r="BR1" t="e">
        <f>CVEs!BR:BR*"8O&lt;!i"</f>
        <v>#VALUE!</v>
      </c>
      <c r="BS1" t="e">
        <f>CVEs!BS:BS*"8O&lt;!j"</f>
        <v>#VALUE!</v>
      </c>
      <c r="BT1" t="e">
        <f>CVEs!2:2-"8O&lt;!k"</f>
        <v>#VALUE!</v>
      </c>
      <c r="BU1" t="e">
        <f>CVEs!3:3-"8O&lt;!l"</f>
        <v>#VALUE!</v>
      </c>
      <c r="BV1" t="e">
        <f>CVEs!4:4-"8O&lt;!m"</f>
        <v>#VALUE!</v>
      </c>
      <c r="BW1" t="e">
        <f>CVEs!5:5-"8O&lt;!n"</f>
        <v>#VALUE!</v>
      </c>
      <c r="BX1" t="e">
        <f>CVEs!6:6-"8O&lt;!o"</f>
        <v>#VALUE!</v>
      </c>
      <c r="BY1" t="e">
        <f>CVEs!7:7-"8O&lt;!p"</f>
        <v>#VALUE!</v>
      </c>
      <c r="BZ1" t="e">
        <f>CVEs!8:8-"8O&lt;!q"</f>
        <v>#VALUE!</v>
      </c>
      <c r="CA1" t="e">
        <f>CVEs!10:10-"8O&lt;!r"</f>
        <v>#VALUE!</v>
      </c>
      <c r="CB1" t="e">
        <f>CVEs!12:12-"8O&lt;!s"</f>
        <v>#VALUE!</v>
      </c>
      <c r="CC1" t="e">
        <f>CVEs!13:13-"8O&lt;!t"</f>
        <v>#VALUE!</v>
      </c>
      <c r="CD1" t="e">
        <f>CVEs!14:14-"8O&lt;!u"</f>
        <v>#VALUE!</v>
      </c>
      <c r="CE1" t="e">
        <f>CVEs!#REF!-"8O&lt;!v"</f>
        <v>#REF!</v>
      </c>
      <c r="CF1" t="e">
        <f>CVEs!16:16-"8O&lt;!w"</f>
        <v>#VALUE!</v>
      </c>
      <c r="CG1" t="e">
        <f>CVEs!18:18-"8O&lt;!x"</f>
        <v>#VALUE!</v>
      </c>
      <c r="CH1" t="e">
        <f>CVEs!#REF!-"8O&lt;!y"</f>
        <v>#REF!</v>
      </c>
      <c r="CI1" t="e">
        <f>CVEs!19:19-"8O&lt;!z"</f>
        <v>#VALUE!</v>
      </c>
      <c r="CJ1" t="e">
        <f>CVEs!#REF!-"8O&lt;!{"</f>
        <v>#REF!</v>
      </c>
      <c r="CK1" t="e">
        <f>CVEs!22:22-"8O&lt;!|"</f>
        <v>#VALUE!</v>
      </c>
      <c r="CL1" t="e">
        <f>CVEs!23:23-"8O&lt;!}"</f>
        <v>#VALUE!</v>
      </c>
      <c r="CM1" t="e">
        <f>CVEs!#REF!-"8O&lt;!~"</f>
        <v>#REF!</v>
      </c>
      <c r="CN1" t="e">
        <f>CVEs!24:24-"8O&lt;!$#"</f>
        <v>#VALUE!</v>
      </c>
      <c r="CO1" t="e">
        <f>CVEs!25:25-"8O&lt;!$$"</f>
        <v>#VALUE!</v>
      </c>
      <c r="CP1" t="e">
        <f>CVEs!#REF!-"8O&lt;!$%"</f>
        <v>#REF!</v>
      </c>
      <c r="CQ1" t="e">
        <f>CVEs!29:29-"8O&lt;!$&amp;"</f>
        <v>#VALUE!</v>
      </c>
      <c r="CR1" t="e">
        <f>CVEs!30:30-"8O&lt;!$'"</f>
        <v>#VALUE!</v>
      </c>
      <c r="CS1" t="e">
        <f>CVEs!#REF!-"8O&lt;!$("</f>
        <v>#REF!</v>
      </c>
      <c r="CT1" t="e">
        <f>CVEs!#REF!-"8O&lt;!$)"</f>
        <v>#REF!</v>
      </c>
      <c r="CU1" t="e">
        <f>CVEs!#REF!-"8O&lt;!$."</f>
        <v>#REF!</v>
      </c>
      <c r="CV1" t="e">
        <f>CVEs!#REF!-"8O&lt;!$/"</f>
        <v>#REF!</v>
      </c>
      <c r="CW1" t="e">
        <f>CVEs!46:46-"8O&lt;!$0"</f>
        <v>#VALUE!</v>
      </c>
      <c r="CX1" t="e">
        <f>CVEs!#REF!-"8O&lt;!$1"</f>
        <v>#REF!</v>
      </c>
      <c r="CY1" t="e">
        <f>CVEs!#REF!-"8O&lt;!$2"</f>
        <v>#REF!</v>
      </c>
      <c r="CZ1" t="e">
        <f>CVEs!#REF!-"8O&lt;!$3"</f>
        <v>#REF!</v>
      </c>
      <c r="DA1" t="e">
        <f>CVEs!47:47-"8O&lt;!$4"</f>
        <v>#VALUE!</v>
      </c>
      <c r="DB1" t="e">
        <f>CVEs!#REF!-"8O&lt;!$5"</f>
        <v>#REF!</v>
      </c>
      <c r="DC1" t="e">
        <f>CVEs!86:86-"8O&lt;!$6"</f>
        <v>#VALUE!</v>
      </c>
      <c r="DD1" t="e">
        <f>CVEs!#REF!-"8O&lt;!$7"</f>
        <v>#REF!</v>
      </c>
      <c r="DE1" t="e">
        <f>CVEs!49:49-"8O&lt;!$8"</f>
        <v>#VALUE!</v>
      </c>
      <c r="DF1" t="e">
        <f>CVEs!#REF!-"8O&lt;!$9"</f>
        <v>#REF!</v>
      </c>
      <c r="DG1" t="e">
        <f>CVEs!#REF!-"8O&lt;!$:"</f>
        <v>#REF!</v>
      </c>
      <c r="DH1" t="e">
        <f>CVEs!#REF!-"8O&lt;!$;"</f>
        <v>#REF!</v>
      </c>
      <c r="DI1" t="e">
        <f>CVEs!50:50-"8O&lt;!$&lt;"</f>
        <v>#VALUE!</v>
      </c>
      <c r="DJ1" t="e">
        <f>CVEs!#REF!-"8O&lt;!$="</f>
        <v>#REF!</v>
      </c>
      <c r="DK1" t="e">
        <f>CVEs!#REF!-"8O&lt;!$&gt;"</f>
        <v>#REF!</v>
      </c>
      <c r="DL1" t="e">
        <f>CVEs!51:51-"8O&lt;!$?"</f>
        <v>#VALUE!</v>
      </c>
      <c r="DM1" t="e">
        <f>CVEs!#REF!-"8O&lt;!$@"</f>
        <v>#REF!</v>
      </c>
      <c r="DN1" t="e">
        <f>CVEs!#REF!-"8O&lt;!$A"</f>
        <v>#REF!</v>
      </c>
      <c r="DO1" t="e">
        <f>CVEs!#REF!-"8O&lt;!$B"</f>
        <v>#REF!</v>
      </c>
      <c r="DP1" t="e">
        <f>CVEs!79:79-"8O&lt;!$C"</f>
        <v>#VALUE!</v>
      </c>
      <c r="DQ1" t="e">
        <f>CVEs!80:80-"8O&lt;!$D"</f>
        <v>#VALUE!</v>
      </c>
      <c r="DR1" t="e">
        <f>CVEs!81:81-"8O&lt;!$E"</f>
        <v>#VALUE!</v>
      </c>
      <c r="DS1" t="e">
        <f>CVEs!82:82-"8O&lt;!$F"</f>
        <v>#VALUE!</v>
      </c>
      <c r="DT1" t="e">
        <f>CVEs!#REF!-"8O&lt;!$G"</f>
        <v>#REF!</v>
      </c>
      <c r="DU1" t="e">
        <f>CVEs!98:98-"8O&lt;!$H"</f>
        <v>#VALUE!</v>
      </c>
      <c r="DV1" t="e">
        <f>CVEs!99:99-"8O&lt;!$I"</f>
        <v>#VALUE!</v>
      </c>
      <c r="DW1" t="e">
        <f>CVEs!100:100-"8O&lt;!$J"</f>
        <v>#VALUE!</v>
      </c>
      <c r="DX1" t="e">
        <f>CVEs!102:102-"8O&lt;!$K"</f>
        <v>#VALUE!</v>
      </c>
      <c r="DY1" t="e">
        <f>CVEs!103:103-"8O&lt;!$L"</f>
        <v>#VALUE!</v>
      </c>
      <c r="DZ1" t="e">
        <f>CVEs!104:104-"8O&lt;!$M"</f>
        <v>#VALUE!</v>
      </c>
      <c r="EA1" t="e">
        <f>CVEs!105:105-"8O&lt;!$N"</f>
        <v>#VALUE!</v>
      </c>
      <c r="EB1" t="e">
        <f>CVEs!106:106-"8O&lt;!$O"</f>
        <v>#VALUE!</v>
      </c>
      <c r="EC1" t="e">
        <f>CVEs!107:107-"8O&lt;!$P"</f>
        <v>#VALUE!</v>
      </c>
      <c r="ED1" t="e">
        <f>CVEs!109:109-"8O&lt;!$Q"</f>
        <v>#VALUE!</v>
      </c>
      <c r="EE1" t="e">
        <f>CVEs!110:110-"8O&lt;!$R"</f>
        <v>#VALUE!</v>
      </c>
      <c r="EF1" t="e">
        <f>CVEs!111:111-"8O&lt;!$S"</f>
        <v>#VALUE!</v>
      </c>
      <c r="EG1" t="e">
        <f>CVEs!112:112-"8O&lt;!$T"</f>
        <v>#VALUE!</v>
      </c>
      <c r="EH1" t="e">
        <f>CVEs!113:113-"8O&lt;!$U"</f>
        <v>#VALUE!</v>
      </c>
      <c r="EI1" t="e">
        <f>CVEs!114:114-"8O&lt;!$V"</f>
        <v>#VALUE!</v>
      </c>
      <c r="EJ1" t="e">
        <f>CVEs!115:115-"8O&lt;!$W"</f>
        <v>#VALUE!</v>
      </c>
      <c r="EK1" t="e">
        <f>CVEs!116:116-"8O&lt;!$X"</f>
        <v>#VALUE!</v>
      </c>
      <c r="EL1" t="e">
        <f>CVEs!117:117-"8O&lt;!$Y"</f>
        <v>#VALUE!</v>
      </c>
      <c r="EM1" t="e">
        <f>CVEs!118:118-"8O&lt;!$Z"</f>
        <v>#VALUE!</v>
      </c>
      <c r="EN1" t="e">
        <f>CVEs!119:119-"8O&lt;!$["</f>
        <v>#VALUE!</v>
      </c>
      <c r="EO1" t="e">
        <f>CVEs!120:120-"8O&lt;!$\"</f>
        <v>#VALUE!</v>
      </c>
      <c r="EP1" t="e">
        <f>CVEs!121:121-"8O&lt;!$]"</f>
        <v>#VALUE!</v>
      </c>
      <c r="EQ1" t="e">
        <f>CVEs!122:122-"8O&lt;!$^"</f>
        <v>#VALUE!</v>
      </c>
      <c r="ER1" t="e">
        <f>CVEs!123:123-"8O&lt;!$_"</f>
        <v>#VALUE!</v>
      </c>
      <c r="ES1" t="e">
        <f>CVEs!124:124-"8O&lt;!$`"</f>
        <v>#VALUE!</v>
      </c>
      <c r="ET1" t="e">
        <f>CVEs!125:125-"8O&lt;!$a"</f>
        <v>#VALUE!</v>
      </c>
      <c r="EU1" t="e">
        <f>CVEs!126:126-"8O&lt;!$b"</f>
        <v>#VALUE!</v>
      </c>
      <c r="EV1" t="e">
        <f>CVEs!127:127-"8O&lt;!$c"</f>
        <v>#VALUE!</v>
      </c>
      <c r="EW1" t="e">
        <f>CVEs!128:128-"8O&lt;!$d"</f>
        <v>#VALUE!</v>
      </c>
      <c r="EX1" t="e">
        <f>CVEs!129:129-"8O&lt;!$e"</f>
        <v>#VALUE!</v>
      </c>
      <c r="EY1" t="e">
        <f>CVEs!130:130-"8O&lt;!$f"</f>
        <v>#VALUE!</v>
      </c>
      <c r="EZ1" t="e">
        <f>CVEs!131:131-"8O&lt;!$g"</f>
        <v>#VALUE!</v>
      </c>
      <c r="FA1" t="e">
        <f>CVEs!132:132-"8O&lt;!$h"</f>
        <v>#VALUE!</v>
      </c>
      <c r="FB1" t="e">
        <f>CVEs!133:133-"8O&lt;!$i"</f>
        <v>#VALUE!</v>
      </c>
      <c r="FC1" t="e">
        <f>CVEs!134:134-"8O&lt;!$j"</f>
        <v>#VALUE!</v>
      </c>
      <c r="FD1" t="e">
        <f>CVEs!135:135-"8O&lt;!$k"</f>
        <v>#VALUE!</v>
      </c>
      <c r="FE1" t="e">
        <f>CVEs!136:136-"8O&lt;!$l"</f>
        <v>#VALUE!</v>
      </c>
      <c r="FF1" t="e">
        <f>CVEs!137:137-"8O&lt;!$m"</f>
        <v>#VALUE!</v>
      </c>
      <c r="FG1" t="e">
        <f>CVEs!138:138-"8O&lt;!$n"</f>
        <v>#VALUE!</v>
      </c>
      <c r="FH1" t="e">
        <f>CVEs!139:139-"8O&lt;!$o"</f>
        <v>#VALUE!</v>
      </c>
      <c r="FI1" t="e">
        <f>CVEs!140:140-"8O&lt;!$p"</f>
        <v>#VALUE!</v>
      </c>
      <c r="FJ1" t="e">
        <f>CVEs!141:141-"8O&lt;!$q"</f>
        <v>#VALUE!</v>
      </c>
      <c r="FK1" t="e">
        <f>CVEs!142:142-"8O&lt;!$r"</f>
        <v>#VALUE!</v>
      </c>
      <c r="FL1" t="e">
        <f>CVEs!143:143-"8O&lt;!$s"</f>
        <v>#VALUE!</v>
      </c>
      <c r="FM1" t="e">
        <f>CVEs!144:144-"8O&lt;!$t"</f>
        <v>#VALUE!</v>
      </c>
      <c r="FN1" t="e">
        <f>CVEs!145:145-"8O&lt;!$u"</f>
        <v>#VALUE!</v>
      </c>
      <c r="FO1" t="e">
        <f>CVEs!146:146-"8O&lt;!$v"</f>
        <v>#VALUE!</v>
      </c>
      <c r="FP1" t="e">
        <f>CVEs!147:147-"8O&lt;!$w"</f>
        <v>#VALUE!</v>
      </c>
      <c r="FQ1" t="e">
        <f>CVEs!148:148-"8O&lt;!$x"</f>
        <v>#VALUE!</v>
      </c>
      <c r="FR1" t="e">
        <f>CVEs!149:149-"8O&lt;!$y"</f>
        <v>#VALUE!</v>
      </c>
      <c r="FS1" t="e">
        <f>CVEs!150:150-"8O&lt;!$z"</f>
        <v>#VALUE!</v>
      </c>
      <c r="FT1" t="e">
        <f>CVEs!151:151-"8O&lt;!${"</f>
        <v>#VALUE!</v>
      </c>
      <c r="FU1" t="e">
        <f>CVEs!152:152-"8O&lt;!$|"</f>
        <v>#VALUE!</v>
      </c>
      <c r="FV1" t="e">
        <f>CVEs!153:153-"8O&lt;!$}"</f>
        <v>#VALUE!</v>
      </c>
      <c r="FW1" t="e">
        <f>CVEs!154:154-"8O&lt;!$~"</f>
        <v>#VALUE!</v>
      </c>
      <c r="FX1" t="e">
        <f>CVEs!155:155-"8O&lt;!%#"</f>
        <v>#VALUE!</v>
      </c>
      <c r="FY1" t="e">
        <f>CVEs!156:156-"8O&lt;!%$"</f>
        <v>#VALUE!</v>
      </c>
      <c r="FZ1" t="e">
        <f>CVEs!157:157-"8O&lt;!%%"</f>
        <v>#VALUE!</v>
      </c>
      <c r="GA1" t="e">
        <f>CVEs!158:158-"8O&lt;!%&amp;"</f>
        <v>#VALUE!</v>
      </c>
      <c r="GB1" t="e">
        <f>CVEs!159:159-"8O&lt;!%'"</f>
        <v>#VALUE!</v>
      </c>
      <c r="GC1" t="e">
        <f>CVEs!160:160-"8O&lt;!%("</f>
        <v>#VALUE!</v>
      </c>
      <c r="GD1" t="e">
        <f>CVEs!161:161-"8O&lt;!%)"</f>
        <v>#VALUE!</v>
      </c>
      <c r="GE1" t="e">
        <f>CVEs!162:162-"8O&lt;!%."</f>
        <v>#VALUE!</v>
      </c>
      <c r="GF1" t="e">
        <f>CVEs!163:163-"8O&lt;!%/"</f>
        <v>#VALUE!</v>
      </c>
      <c r="GG1" t="e">
        <f>CVEs!164:164-"8O&lt;!%0"</f>
        <v>#VALUE!</v>
      </c>
      <c r="GH1" t="e">
        <f>CVEs!165:165-"8O&lt;!%1"</f>
        <v>#VALUE!</v>
      </c>
      <c r="GI1" t="e">
        <f>CVEs!166:166-"8O&lt;!%2"</f>
        <v>#VALUE!</v>
      </c>
      <c r="GJ1" t="e">
        <f>CVEs!167:167-"8O&lt;!%3"</f>
        <v>#VALUE!</v>
      </c>
      <c r="GK1" t="e">
        <f>CVEs!168:168-"8O&lt;!%4"</f>
        <v>#VALUE!</v>
      </c>
      <c r="GL1" t="e">
        <f>CVEs!169:169-"8O&lt;!%5"</f>
        <v>#VALUE!</v>
      </c>
      <c r="GM1" t="e">
        <f>CVEs!170:170-"8O&lt;!%6"</f>
        <v>#VALUE!</v>
      </c>
      <c r="GN1" t="e">
        <f>CVEs!171:171-"8O&lt;!%7"</f>
        <v>#VALUE!</v>
      </c>
      <c r="GO1" t="e">
        <f>CVEs!172:172-"8O&lt;!%8"</f>
        <v>#VALUE!</v>
      </c>
      <c r="GP1" t="e">
        <f>CVEs!173:173-"8O&lt;!%9"</f>
        <v>#VALUE!</v>
      </c>
      <c r="GQ1" t="e">
        <f>CVEs!174:174-"8O&lt;!%:"</f>
        <v>#VALUE!</v>
      </c>
      <c r="GR1" t="e">
        <f>CVEs!175:175-"8O&lt;!%;"</f>
        <v>#VALUE!</v>
      </c>
      <c r="GS1" t="e">
        <f>CVEs!176:176-"8O&lt;!%&lt;"</f>
        <v>#VALUE!</v>
      </c>
      <c r="GT1" t="e">
        <f>CVEs!177:177-"8O&lt;!%="</f>
        <v>#VALUE!</v>
      </c>
      <c r="GU1" t="e">
        <f>CVEs!178:178-"8O&lt;!%&gt;"</f>
        <v>#VALUE!</v>
      </c>
      <c r="GV1" t="e">
        <f>CVEs!179:179-"8O&lt;!%?"</f>
        <v>#VALUE!</v>
      </c>
      <c r="GW1" t="e">
        <f>CVEs!180:180-"8O&lt;!%@"</f>
        <v>#VALUE!</v>
      </c>
      <c r="GX1" t="e">
        <f>CVEs!181:181-"8O&lt;!%A"</f>
        <v>#VALUE!</v>
      </c>
      <c r="GY1" t="e">
        <f>CVEs!182:182-"8O&lt;!%B"</f>
        <v>#VALUE!</v>
      </c>
      <c r="GZ1" t="e">
        <f>CVEs!183:183-"8O&lt;!%C"</f>
        <v>#VALUE!</v>
      </c>
      <c r="HA1" t="e">
        <f>CVEs!184:184-"8O&lt;!%D"</f>
        <v>#VALUE!</v>
      </c>
      <c r="HB1" t="e">
        <f>CVEs!185:185-"8O&lt;!%E"</f>
        <v>#VALUE!</v>
      </c>
      <c r="HC1" t="e">
        <f>CVEs!186:186-"8O&lt;!%F"</f>
        <v>#VALUE!</v>
      </c>
      <c r="HD1" t="e">
        <f>CVEs!187:187-"8O&lt;!%G"</f>
        <v>#VALUE!</v>
      </c>
      <c r="HE1" t="e">
        <f>CVEs!188:188-"8O&lt;!%H"</f>
        <v>#VALUE!</v>
      </c>
      <c r="HF1" t="e">
        <f>CVEs!189:189-"8O&lt;!%I"</f>
        <v>#VALUE!</v>
      </c>
      <c r="HG1" t="e">
        <f>CVEs!190:190-"8O&lt;!%J"</f>
        <v>#VALUE!</v>
      </c>
      <c r="HH1" t="e">
        <f>CVEs!191:191-"8O&lt;!%K"</f>
        <v>#VALUE!</v>
      </c>
      <c r="HI1" t="e">
        <f>CVEs!192:192-"8O&lt;!%L"</f>
        <v>#VALUE!</v>
      </c>
      <c r="HJ1" t="e">
        <f>CVEs!193:193-"8O&lt;!%M"</f>
        <v>#VALUE!</v>
      </c>
      <c r="HK1" t="e">
        <f>CVEs!194:194-"8O&lt;!%N"</f>
        <v>#VALUE!</v>
      </c>
      <c r="HL1" t="e">
        <f>CVEs!195:195-"8O&lt;!%O"</f>
        <v>#VALUE!</v>
      </c>
      <c r="HM1" t="e">
        <f>CVEs!196:196-"8O&lt;!%P"</f>
        <v>#VALUE!</v>
      </c>
      <c r="HN1" t="e">
        <f>CVEs!197:197-"8O&lt;!%Q"</f>
        <v>#VALUE!</v>
      </c>
      <c r="HO1" t="e">
        <f>CVEs!198:198-"8O&lt;!%R"</f>
        <v>#VALUE!</v>
      </c>
      <c r="HP1" t="e">
        <f>CVEs!199:199-"8O&lt;!%S"</f>
        <v>#VALUE!</v>
      </c>
      <c r="HQ1" t="e">
        <f>CVEs!200:200-"8O&lt;!%T"</f>
        <v>#VALUE!</v>
      </c>
      <c r="HR1" t="e">
        <f>CVEs!201:201-"8O&lt;!%U"</f>
        <v>#VALUE!</v>
      </c>
      <c r="HS1" t="e">
        <f>CVEs!202:202-"8O&lt;!%V"</f>
        <v>#VALUE!</v>
      </c>
      <c r="HT1" t="e">
        <f>CVEs!203:203-"8O&lt;!%W"</f>
        <v>#VALUE!</v>
      </c>
      <c r="HU1" t="e">
        <f>CVEs!204:204-"8O&lt;!%X"</f>
        <v>#VALUE!</v>
      </c>
      <c r="HV1" t="e">
        <f>CVEs!205:205-"8O&lt;!%Y"</f>
        <v>#VALUE!</v>
      </c>
      <c r="HW1" t="e">
        <f>CVEs!206:206-"8O&lt;!%Z"</f>
        <v>#VALUE!</v>
      </c>
      <c r="HX1" t="e">
        <f>CVEs!207:207-"8O&lt;!%["</f>
        <v>#VALUE!</v>
      </c>
      <c r="HY1" t="e">
        <f>CVEs!208:208-"8O&lt;!%\"</f>
        <v>#VALUE!</v>
      </c>
      <c r="HZ1" t="e">
        <f>CVEs!209:209-"8O&lt;!%]"</f>
        <v>#VALUE!</v>
      </c>
      <c r="IA1" t="e">
        <f>CVEs!210:210-"8O&lt;!%^"</f>
        <v>#VALUE!</v>
      </c>
      <c r="IB1" t="e">
        <f>CVEs!211:211-"8O&lt;!%_"</f>
        <v>#VALUE!</v>
      </c>
      <c r="IC1" t="e">
        <f>CVEs!212:212-"8O&lt;!%`"</f>
        <v>#VALUE!</v>
      </c>
      <c r="ID1" t="e">
        <f>CVEs!213:213-"8O&lt;!%a"</f>
        <v>#VALUE!</v>
      </c>
      <c r="IE1" t="e">
        <f>CVEs!214:214-"8O&lt;!%b"</f>
        <v>#VALUE!</v>
      </c>
      <c r="IF1" t="e">
        <f>CVEs!215:215-"8O&lt;!%c"</f>
        <v>#VALUE!</v>
      </c>
      <c r="IG1" t="e">
        <f>CVEs!216:216-"8O&lt;!%d"</f>
        <v>#VALUE!</v>
      </c>
      <c r="IH1" t="e">
        <f>CVEs!217:217-"8O&lt;!%e"</f>
        <v>#VALUE!</v>
      </c>
      <c r="II1" t="e">
        <f>CVEs!218:218-"8O&lt;!%f"</f>
        <v>#VALUE!</v>
      </c>
      <c r="IJ1" t="e">
        <f>CVEs!219:219-"8O&lt;!%g"</f>
        <v>#VALUE!</v>
      </c>
      <c r="IK1" t="e">
        <f>CVEs!220:220-"8O&lt;!%h"</f>
        <v>#VALUE!</v>
      </c>
      <c r="IL1" t="e">
        <f>CVEs!221:221-"8O&lt;!%i"</f>
        <v>#VALUE!</v>
      </c>
      <c r="IM1" t="e">
        <f>CVEs!222:222-"8O&lt;!%j"</f>
        <v>#VALUE!</v>
      </c>
      <c r="IN1" t="e">
        <f>CVEs!223:223-"8O&lt;!%k"</f>
        <v>#VALUE!</v>
      </c>
      <c r="IO1" t="e">
        <f>CVEs!224:224-"8O&lt;!%l"</f>
        <v>#VALUE!</v>
      </c>
      <c r="IP1" t="e">
        <f>CVEs!225:225-"8O&lt;!%m"</f>
        <v>#VALUE!</v>
      </c>
      <c r="IQ1" t="e">
        <f>CVEs!226:226-"8O&lt;!%n"</f>
        <v>#VALUE!</v>
      </c>
      <c r="IR1" t="e">
        <f>CVEs!227:227-"8O&lt;!%o"</f>
        <v>#VALUE!</v>
      </c>
      <c r="IS1" t="e">
        <f>CVEs!228:228-"8O&lt;!%p"</f>
        <v>#VALUE!</v>
      </c>
      <c r="IT1" t="e">
        <f>CVEs!229:229-"8O&lt;!%q"</f>
        <v>#VALUE!</v>
      </c>
      <c r="IU1" t="e">
        <f>CVEs!230:230-"8O&lt;!%r"</f>
        <v>#VALUE!</v>
      </c>
      <c r="IV1" t="e">
        <f>CVEs!231:231-"8O&lt;!%s"</f>
        <v>#VALUE!</v>
      </c>
    </row>
    <row r="2" spans="1:256" x14ac:dyDescent="0.25">
      <c r="A2" t="s">
        <v>1065</v>
      </c>
      <c r="F2" t="e">
        <f>CVEs!232:232-"8O&lt;!%t"</f>
        <v>#VALUE!</v>
      </c>
      <c r="G2" t="e">
        <f>CVEs!233:233-"8O&lt;!%u"</f>
        <v>#VALUE!</v>
      </c>
      <c r="H2" t="e">
        <f>CVEs!234:234-"8O&lt;!%v"</f>
        <v>#VALUE!</v>
      </c>
      <c r="I2" t="e">
        <f>CVEs!235:235-"8O&lt;!%w"</f>
        <v>#VALUE!</v>
      </c>
      <c r="J2" t="e">
        <f>CVEs!236:236-"8O&lt;!%x"</f>
        <v>#VALUE!</v>
      </c>
      <c r="K2" t="e">
        <f>CVEs!237:237-"8O&lt;!%y"</f>
        <v>#VALUE!</v>
      </c>
      <c r="L2" t="e">
        <f>CVEs!238:238-"8O&lt;!%z"</f>
        <v>#VALUE!</v>
      </c>
      <c r="M2" t="e">
        <f>CVEs!239:239-"8O&lt;!%{"</f>
        <v>#VALUE!</v>
      </c>
      <c r="N2" t="e">
        <f>CVEs!240:240-"8O&lt;!%|"</f>
        <v>#VALUE!</v>
      </c>
      <c r="O2" t="e">
        <f>CVEs!241:241-"8O&lt;!%}"</f>
        <v>#VALUE!</v>
      </c>
      <c r="P2" t="e">
        <f>CVEs!242:242-"8O&lt;!%~"</f>
        <v>#VALUE!</v>
      </c>
      <c r="Q2" t="e">
        <f>CVEs!243:243-"8O&lt;!&amp;#"</f>
        <v>#VALUE!</v>
      </c>
      <c r="R2" t="e">
        <f>CVEs!244:244-"8O&lt;!&amp;$"</f>
        <v>#VALUE!</v>
      </c>
      <c r="S2" t="e">
        <f>CVEs!245:245-"8O&lt;!&amp;%"</f>
        <v>#VALUE!</v>
      </c>
      <c r="T2" t="e">
        <f>CVEs!246:246-"8O&lt;!&amp;&amp;"</f>
        <v>#VALUE!</v>
      </c>
      <c r="U2" t="e">
        <f>CVEs!247:247-"8O&lt;!&amp;'"</f>
        <v>#VALUE!</v>
      </c>
      <c r="V2" t="e">
        <f>CVEs!248:248-"8O&lt;!&amp;("</f>
        <v>#VALUE!</v>
      </c>
      <c r="W2" t="e">
        <f>CVEs!249:249-"8O&lt;!&amp;)"</f>
        <v>#VALUE!</v>
      </c>
      <c r="X2" t="e">
        <f>CVEs!250:250-"8O&lt;!&amp;."</f>
        <v>#VALUE!</v>
      </c>
      <c r="Y2" t="e">
        <f>CVEs!251:251-"8O&lt;!&amp;/"</f>
        <v>#VALUE!</v>
      </c>
      <c r="Z2" t="e">
        <f>CVEs!252:252-"8O&lt;!&amp;0"</f>
        <v>#VALUE!</v>
      </c>
      <c r="AA2" t="e">
        <f>CVEs!253:253-"8O&lt;!&amp;1"</f>
        <v>#VALUE!</v>
      </c>
      <c r="AB2" t="e">
        <f>CVEs!254:254-"8O&lt;!&amp;2"</f>
        <v>#VALUE!</v>
      </c>
      <c r="AC2" t="e">
        <f>CVEs!255:255-"8O&lt;!&amp;3"</f>
        <v>#VALUE!</v>
      </c>
      <c r="AD2" t="e">
        <f>CVEs!256:256-"8O&lt;!&amp;4"</f>
        <v>#VALUE!</v>
      </c>
      <c r="AE2" t="e">
        <f>CVEs!257:257-"8O&lt;!&amp;5"</f>
        <v>#VALUE!</v>
      </c>
      <c r="AF2" t="e">
        <f>CVEs!258:258-"8O&lt;!&amp;6"</f>
        <v>#VALUE!</v>
      </c>
      <c r="AG2" t="e">
        <f>CVEs!259:259-"8O&lt;!&amp;7"</f>
        <v>#VALUE!</v>
      </c>
      <c r="AH2" t="e">
        <f>CVEs!260:260-"8O&lt;!&amp;8"</f>
        <v>#VALUE!</v>
      </c>
      <c r="AI2" t="e">
        <f>CVEs!261:261-"8O&lt;!&amp;9"</f>
        <v>#VALUE!</v>
      </c>
      <c r="AJ2" t="e">
        <f>CVEs!262:262-"8O&lt;!&amp;:"</f>
        <v>#VALUE!</v>
      </c>
      <c r="AK2" t="e">
        <f>CVEs!263:263-"8O&lt;!&amp;;"</f>
        <v>#VALUE!</v>
      </c>
      <c r="AL2" t="e">
        <f>CVEs!264:264-"8O&lt;!&amp;&lt;"</f>
        <v>#VALUE!</v>
      </c>
      <c r="AM2" t="e">
        <f>CVEs!265:265-"8O&lt;!&amp;="</f>
        <v>#VALUE!</v>
      </c>
      <c r="AN2" t="e">
        <f>CVEs!266:266-"8O&lt;!&amp;&gt;"</f>
        <v>#VALUE!</v>
      </c>
      <c r="AO2" t="e">
        <f>CVEs!267:267-"8O&lt;!&amp;?"</f>
        <v>#VALUE!</v>
      </c>
      <c r="AP2" t="e">
        <f>CVEs!268:268-"8O&lt;!&amp;@"</f>
        <v>#VALUE!</v>
      </c>
      <c r="AQ2" t="e">
        <f>CVEs!269:269-"8O&lt;!&amp;A"</f>
        <v>#VALUE!</v>
      </c>
      <c r="AR2" t="e">
        <f>CVEs!270:270-"8O&lt;!&amp;B"</f>
        <v>#VALUE!</v>
      </c>
      <c r="AS2" t="e">
        <f>CVEs!271:271-"8O&lt;!&amp;C"</f>
        <v>#VALUE!</v>
      </c>
      <c r="AT2" t="e">
        <f>CVEs!272:272-"8O&lt;!&amp;D"</f>
        <v>#VALUE!</v>
      </c>
      <c r="AU2" t="e">
        <f>CVEs!273:273-"8O&lt;!&amp;E"</f>
        <v>#VALUE!</v>
      </c>
      <c r="AV2" t="e">
        <f>CVEs!A2+"8O&lt;!&amp;F"</f>
        <v>#VALUE!</v>
      </c>
      <c r="AW2" t="e">
        <f>CVEs!B2+"8O&lt;!&amp;G"</f>
        <v>#VALUE!</v>
      </c>
      <c r="AX2" t="e">
        <f>CVEs!C2+"8O&lt;!&amp;H"</f>
        <v>#VALUE!</v>
      </c>
      <c r="AY2" t="e">
        <f>CVEs!H2+"8O&lt;!&amp;I"</f>
        <v>#VALUE!</v>
      </c>
      <c r="AZ2" t="e">
        <f>CVEs!R2+"8O&lt;!&amp;J"</f>
        <v>#VALUE!</v>
      </c>
      <c r="BA2" t="e">
        <f>CVEs!A3+"8O&lt;!&amp;K"</f>
        <v>#VALUE!</v>
      </c>
      <c r="BB2" t="e">
        <f>CVEs!B3+"8O&lt;!&amp;L"</f>
        <v>#VALUE!</v>
      </c>
      <c r="BC2" t="e">
        <f>CVEs!C3+"8O&lt;!&amp;M"</f>
        <v>#VALUE!</v>
      </c>
      <c r="BD2" t="e">
        <f>CVEs!H3+"8O&lt;!&amp;N"</f>
        <v>#VALUE!</v>
      </c>
      <c r="BE2" t="e">
        <f>CVEs!I3+"8O&lt;!&amp;O"</f>
        <v>#VALUE!</v>
      </c>
      <c r="BF2" t="e">
        <f>CVEs!R3+"8O&lt;!&amp;P"</f>
        <v>#VALUE!</v>
      </c>
      <c r="BG2" t="e">
        <f>CVEs!H4+"8O&lt;!&amp;Q"</f>
        <v>#VALUE!</v>
      </c>
      <c r="BH2" t="e">
        <f>CVEs!I4+"8O&lt;!&amp;R"</f>
        <v>#VALUE!</v>
      </c>
      <c r="BI2" t="e">
        <f>CVEs!J4+"8O&lt;!&amp;S"</f>
        <v>#VALUE!</v>
      </c>
      <c r="BJ2" t="e">
        <f>CVEs!K4+"8O&lt;!&amp;T"</f>
        <v>#VALUE!</v>
      </c>
      <c r="BK2" t="e">
        <f>CVEs!L4+"8O&lt;!&amp;U"</f>
        <v>#VALUE!</v>
      </c>
      <c r="BL2" t="e">
        <f>CVEs!M4+"8O&lt;!&amp;V"</f>
        <v>#VALUE!</v>
      </c>
      <c r="BM2" t="e">
        <f>CVEs!N4+"8O&lt;!&amp;W"</f>
        <v>#VALUE!</v>
      </c>
      <c r="BN2" t="e">
        <f>CVEs!O4+"8O&lt;!&amp;X"</f>
        <v>#VALUE!</v>
      </c>
      <c r="BO2" t="e">
        <f>CVEs!P4+"8O&lt;!&amp;Y"</f>
        <v>#VALUE!</v>
      </c>
      <c r="BP2" t="e">
        <f>CVEs!Q4+"8O&lt;!&amp;Z"</f>
        <v>#VALUE!</v>
      </c>
      <c r="BQ2" t="e">
        <f>CVEs!R4+"8O&lt;!&amp;["</f>
        <v>#VALUE!</v>
      </c>
      <c r="BR2" t="e">
        <f>CVEs!S4+"8O&lt;!&amp;\"</f>
        <v>#VALUE!</v>
      </c>
      <c r="BS2" t="e">
        <f>CVEs!H5+"8O&lt;!&amp;]"</f>
        <v>#VALUE!</v>
      </c>
      <c r="BT2" t="e">
        <f>CVEs!I5+"8O&lt;!&amp;^"</f>
        <v>#VALUE!</v>
      </c>
      <c r="BU2" t="e">
        <f>CVEs!J5+"8O&lt;!&amp;_"</f>
        <v>#VALUE!</v>
      </c>
      <c r="BV2" t="e">
        <f>CVEs!K5+"8O&lt;!&amp;`"</f>
        <v>#VALUE!</v>
      </c>
      <c r="BW2" t="e">
        <f>CVEs!L5+"8O&lt;!&amp;a"</f>
        <v>#VALUE!</v>
      </c>
      <c r="BX2" t="e">
        <f>CVEs!M5+"8O&lt;!&amp;b"</f>
        <v>#VALUE!</v>
      </c>
      <c r="BY2" t="e">
        <f>CVEs!N5+"8O&lt;!&amp;c"</f>
        <v>#VALUE!</v>
      </c>
      <c r="BZ2" t="e">
        <f>CVEs!O5+"8O&lt;!&amp;d"</f>
        <v>#VALUE!</v>
      </c>
      <c r="CA2" t="e">
        <f>CVEs!P5+"8O&lt;!&amp;e"</f>
        <v>#VALUE!</v>
      </c>
      <c r="CB2" t="e">
        <f>CVEs!Q5+"8O&lt;!&amp;f"</f>
        <v>#VALUE!</v>
      </c>
      <c r="CC2" t="e">
        <f>CVEs!R5+"8O&lt;!&amp;g"</f>
        <v>#VALUE!</v>
      </c>
      <c r="CD2" t="e">
        <f>CVEs!S5+"8O&lt;!&amp;h"</f>
        <v>#VALUE!</v>
      </c>
      <c r="CE2" t="e">
        <f>CVEs!A7+"8O&lt;!&amp;i"</f>
        <v>#VALUE!</v>
      </c>
      <c r="CF2" t="e">
        <f>CVEs!J7+"8O&lt;!&amp;j"</f>
        <v>#VALUE!</v>
      </c>
      <c r="CG2" t="e">
        <f>CVEs!J8+"8O&lt;!&amp;k"</f>
        <v>#VALUE!</v>
      </c>
      <c r="CH2" t="e">
        <f>CVEs!K8+"8O&lt;!&amp;l"</f>
        <v>#VALUE!</v>
      </c>
      <c r="CI2" t="e">
        <f>CVEs!L8+"8O&lt;!&amp;m"</f>
        <v>#VALUE!</v>
      </c>
      <c r="CJ2" t="e">
        <f>CVEs!M8+"8O&lt;!&amp;n"</f>
        <v>#VALUE!</v>
      </c>
      <c r="CK2" t="e">
        <f>CVEs!Q8+"8O&lt;!&amp;o"</f>
        <v>#VALUE!</v>
      </c>
      <c r="CL2" t="e">
        <f>CVEs!S8+"8O&lt;!&amp;p"</f>
        <v>#VALUE!</v>
      </c>
      <c r="CM2" t="e">
        <f>CVEs!A10+"8O&lt;!&amp;q"</f>
        <v>#VALUE!</v>
      </c>
      <c r="CN2" t="e">
        <f>CVEs!B10+"8O&lt;!&amp;r"</f>
        <v>#VALUE!</v>
      </c>
      <c r="CO2" t="e">
        <f>CVEs!C10+"8O&lt;!&amp;s"</f>
        <v>#VALUE!</v>
      </c>
      <c r="CP2" t="e">
        <f>CVEs!H10+"8O&lt;!&amp;t"</f>
        <v>#VALUE!</v>
      </c>
      <c r="CQ2" t="e">
        <f>CVEs!I10+"8O&lt;!&amp;u"</f>
        <v>#VALUE!</v>
      </c>
      <c r="CR2" t="e">
        <f>CVEs!J10+"8O&lt;!&amp;v"</f>
        <v>#VALUE!</v>
      </c>
      <c r="CS2" t="e">
        <f>CVEs!K10+"8O&lt;!&amp;w"</f>
        <v>#VALUE!</v>
      </c>
      <c r="CT2" t="e">
        <f>CVEs!L10+"8O&lt;!&amp;x"</f>
        <v>#VALUE!</v>
      </c>
      <c r="CU2" t="e">
        <f>CVEs!M10+"8O&lt;!&amp;y"</f>
        <v>#VALUE!</v>
      </c>
      <c r="CV2" t="e">
        <f>CVEs!N10+"8O&lt;!&amp;z"</f>
        <v>#VALUE!</v>
      </c>
      <c r="CW2" t="e">
        <f>CVEs!O10+"8O&lt;!&amp;{"</f>
        <v>#VALUE!</v>
      </c>
      <c r="CX2" t="e">
        <f>CVEs!P10+"8O&lt;!&amp;|"</f>
        <v>#VALUE!</v>
      </c>
      <c r="CY2" t="e">
        <f>CVEs!Q10+"8O&lt;!&amp;}"</f>
        <v>#VALUE!</v>
      </c>
      <c r="CZ2" t="e">
        <f>CVEs!R10+"8O&lt;!&amp;~"</f>
        <v>#VALUE!</v>
      </c>
      <c r="DA2" t="e">
        <f>CVEs!S10+"8O&lt;!'#"</f>
        <v>#VALUE!</v>
      </c>
      <c r="DB2" t="e">
        <f>CVEs!U10+"8O&lt;!'$"</f>
        <v>#VALUE!</v>
      </c>
      <c r="DC2" t="e">
        <f>CVEs!A12+"8O&lt;!'%"</f>
        <v>#VALUE!</v>
      </c>
      <c r="DD2" t="e">
        <f>CVEs!B12+"8O&lt;!'&amp;"</f>
        <v>#VALUE!</v>
      </c>
      <c r="DE2" t="e">
        <f>CVEs!C12+"8O&lt;!''"</f>
        <v>#VALUE!</v>
      </c>
      <c r="DF2" t="e">
        <f>CVEs!I12+"8O&lt;!'("</f>
        <v>#VALUE!</v>
      </c>
      <c r="DG2" t="e">
        <f>CVEs!J12+"8O&lt;!')"</f>
        <v>#VALUE!</v>
      </c>
      <c r="DH2" t="e">
        <f>CVEs!K12+"8O&lt;!'."</f>
        <v>#VALUE!</v>
      </c>
      <c r="DI2" t="e">
        <f>CVEs!L12+"8O&lt;!'/"</f>
        <v>#VALUE!</v>
      </c>
      <c r="DJ2" t="e">
        <f>CVEs!M12+"8O&lt;!'0"</f>
        <v>#VALUE!</v>
      </c>
      <c r="DK2" t="e">
        <f>CVEs!N12+"8O&lt;!'1"</f>
        <v>#VALUE!</v>
      </c>
      <c r="DL2" t="e">
        <f>CVEs!O12+"8O&lt;!'2"</f>
        <v>#VALUE!</v>
      </c>
      <c r="DM2" t="e">
        <f>CVEs!P12+"8O&lt;!'3"</f>
        <v>#VALUE!</v>
      </c>
      <c r="DN2" t="e">
        <f>CVEs!Q12+"8O&lt;!'4"</f>
        <v>#VALUE!</v>
      </c>
      <c r="DO2" t="e">
        <f>CVEs!S12+"8O&lt;!'5"</f>
        <v>#VALUE!</v>
      </c>
      <c r="DP2" t="e">
        <f>CVEs!J13+"8O&lt;!'6"</f>
        <v>#VALUE!</v>
      </c>
      <c r="DQ2" t="e">
        <f>CVEs!K13+"8O&lt;!'7"</f>
        <v>#VALUE!</v>
      </c>
      <c r="DR2" t="e">
        <f>CVEs!L13+"8O&lt;!'8"</f>
        <v>#VALUE!</v>
      </c>
      <c r="DS2" t="e">
        <f>CVEs!M13+"8O&lt;!'9"</f>
        <v>#VALUE!</v>
      </c>
      <c r="DT2" t="e">
        <f>CVEs!N13+"8O&lt;!':"</f>
        <v>#VALUE!</v>
      </c>
      <c r="DU2" t="e">
        <f>CVEs!O13+"8O&lt;!';"</f>
        <v>#VALUE!</v>
      </c>
      <c r="DV2" t="e">
        <f>CVEs!P13+"8O&lt;!'&lt;"</f>
        <v>#VALUE!</v>
      </c>
      <c r="DW2" t="e">
        <f>CVEs!Q13+"8O&lt;!'="</f>
        <v>#VALUE!</v>
      </c>
      <c r="DX2" t="e">
        <f>CVEs!S13+"8O&lt;!'&gt;"</f>
        <v>#VALUE!</v>
      </c>
      <c r="DY2" t="e">
        <f>CVEs!I14+"8O&lt;!'?"</f>
        <v>#VALUE!</v>
      </c>
      <c r="DZ2" t="e">
        <f>CVEs!J14+"8O&lt;!'@"</f>
        <v>#VALUE!</v>
      </c>
      <c r="EA2" t="e">
        <f>CVEs!K14+"8O&lt;!'A"</f>
        <v>#VALUE!</v>
      </c>
      <c r="EB2" t="e">
        <f>CVEs!L14+"8O&lt;!'B"</f>
        <v>#VALUE!</v>
      </c>
      <c r="EC2" t="e">
        <f>CVEs!M14+"8O&lt;!'C"</f>
        <v>#VALUE!</v>
      </c>
      <c r="ED2" t="e">
        <f>CVEs!O14+"8O&lt;!'D"</f>
        <v>#VALUE!</v>
      </c>
      <c r="EE2" t="e">
        <f>CVEs!P14+"8O&lt;!'E"</f>
        <v>#VALUE!</v>
      </c>
      <c r="EF2" t="e">
        <f>CVEs!Q14+"8O&lt;!'F"</f>
        <v>#VALUE!</v>
      </c>
      <c r="EG2" t="e">
        <f>CVEs!S14+"8O&lt;!'G"</f>
        <v>#VALUE!</v>
      </c>
      <c r="EH2" t="e">
        <f>CVEs!#REF!+"8O&lt;!'H"</f>
        <v>#REF!</v>
      </c>
      <c r="EI2" t="e">
        <f>CVEs!#REF!+"8O&lt;!'I"</f>
        <v>#REF!</v>
      </c>
      <c r="EJ2" t="e">
        <f>CVEs!#REF!+"8O&lt;!'J"</f>
        <v>#REF!</v>
      </c>
      <c r="EK2" t="e">
        <f>CVEs!#REF!+"8O&lt;!'K"</f>
        <v>#REF!</v>
      </c>
      <c r="EL2" t="e">
        <f>CVEs!#REF!+"8O&lt;!'L"</f>
        <v>#REF!</v>
      </c>
      <c r="EM2" t="e">
        <f>CVEs!#REF!+"8O&lt;!'M"</f>
        <v>#REF!</v>
      </c>
      <c r="EN2" t="e">
        <f>CVEs!#REF!+"8O&lt;!'N"</f>
        <v>#REF!</v>
      </c>
      <c r="EO2" t="e">
        <f>CVEs!J16+"8O&lt;!'O"</f>
        <v>#VALUE!</v>
      </c>
      <c r="EP2" t="e">
        <f>CVEs!K16+"8O&lt;!'P"</f>
        <v>#VALUE!</v>
      </c>
      <c r="EQ2" t="e">
        <f>CVEs!L16+"8O&lt;!'Q"</f>
        <v>#VALUE!</v>
      </c>
      <c r="ER2" t="e">
        <f>CVEs!M16+"8O&lt;!'R"</f>
        <v>#VALUE!</v>
      </c>
      <c r="ES2" t="e">
        <f>CVEs!O16+"8O&lt;!'S"</f>
        <v>#VALUE!</v>
      </c>
      <c r="ET2" t="e">
        <f>CVEs!P16+"8O&lt;!'T"</f>
        <v>#VALUE!</v>
      </c>
      <c r="EU2" t="e">
        <f>CVEs!Q16+"8O&lt;!'U"</f>
        <v>#VALUE!</v>
      </c>
      <c r="EV2" t="e">
        <f>CVEs!S16+"8O&lt;!'V"</f>
        <v>#VALUE!</v>
      </c>
      <c r="EW2" t="e">
        <f>CVEs!S18+"8O&lt;!'W"</f>
        <v>#VALUE!</v>
      </c>
      <c r="EX2" t="e">
        <f>CVEs!#REF!+"8O&lt;!'X"</f>
        <v>#REF!</v>
      </c>
      <c r="EY2" t="e">
        <f>CVEs!S19+"8O&lt;!'Y"</f>
        <v>#VALUE!</v>
      </c>
      <c r="EZ2" t="e">
        <f>CVEs!#REF!+"8O&lt;!'Z"</f>
        <v>#REF!</v>
      </c>
      <c r="FA2" t="e">
        <f>CVEs!S22+"8O&lt;!'["</f>
        <v>#VALUE!</v>
      </c>
      <c r="FB2" t="e">
        <f>CVEs!S23+"8O&lt;!'\"</f>
        <v>#VALUE!</v>
      </c>
      <c r="FC2" t="e">
        <f>CVEs!#REF!+"8O&lt;!']"</f>
        <v>#REF!</v>
      </c>
      <c r="FD2" t="e">
        <f>CVEs!S24+"8O&lt;!'^"</f>
        <v>#VALUE!</v>
      </c>
      <c r="FE2" t="e">
        <f>CVEs!S25+"8O&lt;!'_"</f>
        <v>#VALUE!</v>
      </c>
      <c r="FF2" t="e">
        <f>CVEs!#REF!+"8O&lt;!'`"</f>
        <v>#REF!</v>
      </c>
      <c r="FG2" t="e">
        <f>CVEs!S29+"8O&lt;!'a"</f>
        <v>#VALUE!</v>
      </c>
      <c r="FH2" t="e">
        <f>CVEs!S30+"8O&lt;!'b"</f>
        <v>#VALUE!</v>
      </c>
      <c r="FI2" t="e">
        <f>CVEs!#REF!+"8O&lt;!'c"</f>
        <v>#REF!</v>
      </c>
      <c r="FJ2" t="e">
        <f>CVEs!#REF!+"8O&lt;!'d"</f>
        <v>#REF!</v>
      </c>
      <c r="FK2" t="e">
        <f>Drop_Downs!A:A*"8O&lt;!'e"</f>
        <v>#VALUE!</v>
      </c>
      <c r="FL2" t="e">
        <f>Drop_Downs!B:B*"8O&lt;!'f"</f>
        <v>#VALUE!</v>
      </c>
      <c r="FM2" t="e">
        <f>Drop_Downs!C:C*"8O&lt;!'g"</f>
        <v>#VALUE!</v>
      </c>
      <c r="FN2" t="e">
        <f>Drop_Downs!D:D*"8O&lt;!'h"</f>
        <v>#VALUE!</v>
      </c>
      <c r="FO2" t="e">
        <f>Drop_Downs!E:E*"8O&lt;!'i"</f>
        <v>#VALUE!</v>
      </c>
      <c r="FP2" t="e">
        <f>Drop_Downs!F:F*"8O&lt;!'j"</f>
        <v>#VALUE!</v>
      </c>
      <c r="FQ2" t="e">
        <f>Drop_Downs!G:G*"8O&lt;!'k"</f>
        <v>#VALUE!</v>
      </c>
      <c r="FR2" t="e">
        <f>Drop_Downs!H:H*"8O&lt;!'l"</f>
        <v>#VALUE!</v>
      </c>
      <c r="FS2" t="e">
        <f>Drop_Downs!I:I*"8O&lt;!'m"</f>
        <v>#VALUE!</v>
      </c>
      <c r="FT2" t="e">
        <f>Drop_Downs!J:J*"8O&lt;!'n"</f>
        <v>#VALUE!</v>
      </c>
      <c r="FU2" t="e">
        <f>Drop_Downs!K:K*"8O&lt;!'o"</f>
        <v>#VALUE!</v>
      </c>
      <c r="FV2" t="e">
        <f>Drop_Downs!L:L*"8O&lt;!'p"</f>
        <v>#VALUE!</v>
      </c>
      <c r="FW2" t="e">
        <f>Drop_Downs!M:M*"8O&lt;!'q"</f>
        <v>#VALUE!</v>
      </c>
      <c r="FX2" t="e">
        <f>Drop_Downs!N:N*"8O&lt;!'r"</f>
        <v>#VALUE!</v>
      </c>
      <c r="FY2" t="e">
        <f>Drop_Downs!O:O*"8O&lt;!'s"</f>
        <v>#VALUE!</v>
      </c>
      <c r="FZ2" t="e">
        <f>Drop_Downs!P:P*"8O&lt;!'t"</f>
        <v>#VALUE!</v>
      </c>
      <c r="GA2" t="e">
        <f>Drop_Downs!Q:Q*"8O&lt;!'u"</f>
        <v>#VALUE!</v>
      </c>
      <c r="GB2" t="e">
        <f>Drop_Downs!R:R*"8O&lt;!'v"</f>
        <v>#VALUE!</v>
      </c>
      <c r="GC2" t="e">
        <f>Drop_Downs!S:S*"8O&lt;!'w"</f>
        <v>#VALUE!</v>
      </c>
      <c r="GD2" t="e">
        <f>Drop_Downs!T:T*"8O&lt;!'x"</f>
        <v>#VALUE!</v>
      </c>
      <c r="GE2" t="e">
        <f>Drop_Downs!U:U*"8O&lt;!'y"</f>
        <v>#VALUE!</v>
      </c>
      <c r="GF2" t="e">
        <f>Drop_Downs!V:V*"8O&lt;!'z"</f>
        <v>#VALUE!</v>
      </c>
      <c r="GG2" t="e">
        <f>Drop_Downs!W:W*"8O&lt;!'{"</f>
        <v>#VALUE!</v>
      </c>
      <c r="GH2" t="e">
        <f>Drop_Downs!X:X*"8O&lt;!'|"</f>
        <v>#VALUE!</v>
      </c>
      <c r="GI2" t="e">
        <f>Drop_Downs!Y:Y*"8O&lt;!'}"</f>
        <v>#VALUE!</v>
      </c>
      <c r="GJ2" t="e">
        <f>Drop_Downs!Z:Z*"8O&lt;!'~"</f>
        <v>#VALUE!</v>
      </c>
      <c r="GK2" t="e">
        <f>Drop_Downs!AA:AA*"8O&lt;!(#"</f>
        <v>#VALUE!</v>
      </c>
      <c r="GL2" t="e">
        <f>Drop_Downs!AB:AB*"8O&lt;!($"</f>
        <v>#VALUE!</v>
      </c>
      <c r="GM2" t="e">
        <f>Drop_Downs!AC:AC*"8O&lt;!(%"</f>
        <v>#VALUE!</v>
      </c>
      <c r="GN2" t="e">
        <f>Drop_Downs!AD:AD*"8O&lt;!(&amp;"</f>
        <v>#VALUE!</v>
      </c>
      <c r="GO2" t="e">
        <f>Drop_Downs!AE:AE*"8O&lt;!('"</f>
        <v>#VALUE!</v>
      </c>
      <c r="GP2" t="e">
        <f>Drop_Downs!AF:AF*"8O&lt;!(("</f>
        <v>#VALUE!</v>
      </c>
      <c r="GQ2" t="e">
        <f>Drop_Downs!AG:AG*"8O&lt;!()"</f>
        <v>#VALUE!</v>
      </c>
      <c r="GR2" t="e">
        <f>Drop_Downs!AH:AH*"8O&lt;!(."</f>
        <v>#VALUE!</v>
      </c>
      <c r="GS2" t="e">
        <f>Drop_Downs!AI:AI*"8O&lt;!(/"</f>
        <v>#VALUE!</v>
      </c>
      <c r="GT2" t="e">
        <f>Drop_Downs!AJ:AJ*"8O&lt;!(0"</f>
        <v>#VALUE!</v>
      </c>
      <c r="GU2" t="e">
        <f>Drop_Downs!AK:AK*"8O&lt;!(1"</f>
        <v>#VALUE!</v>
      </c>
      <c r="GV2" t="e">
        <f>Drop_Downs!AL:AL*"8O&lt;!(2"</f>
        <v>#VALUE!</v>
      </c>
      <c r="GW2" t="e">
        <f>Drop_Downs!AM:AM*"8O&lt;!(3"</f>
        <v>#VALUE!</v>
      </c>
      <c r="GX2" t="e">
        <f>Drop_Downs!AN:AN*"8O&lt;!(4"</f>
        <v>#VALUE!</v>
      </c>
      <c r="GY2" t="e">
        <f>Drop_Downs!AO:AO*"8O&lt;!(5"</f>
        <v>#VALUE!</v>
      </c>
      <c r="GZ2" t="e">
        <f>Drop_Downs!AP:AP*"8O&lt;!(6"</f>
        <v>#VALUE!</v>
      </c>
      <c r="HA2" t="e">
        <f>Drop_Downs!AQ:AQ*"8O&lt;!(7"</f>
        <v>#VALUE!</v>
      </c>
      <c r="HB2" t="e">
        <f>Drop_Downs!AR:AR*"8O&lt;!(8"</f>
        <v>#VALUE!</v>
      </c>
      <c r="HC2" t="e">
        <f>Drop_Downs!AS:AS*"8O&lt;!(9"</f>
        <v>#VALUE!</v>
      </c>
      <c r="HD2" t="e">
        <f>Drop_Downs!AT:AT*"8O&lt;!(:"</f>
        <v>#VALUE!</v>
      </c>
      <c r="HE2" t="e">
        <f>Drop_Downs!AU:AU*"8O&lt;!(;"</f>
        <v>#VALUE!</v>
      </c>
      <c r="HF2" t="e">
        <f>Drop_Downs!AV:AV*"8O&lt;!(&lt;"</f>
        <v>#VALUE!</v>
      </c>
      <c r="HG2" t="e">
        <f>Drop_Downs!AW:AW*"8O&lt;!(="</f>
        <v>#VALUE!</v>
      </c>
      <c r="HH2" t="e">
        <f>Drop_Downs!AX:AX*"8O&lt;!(&gt;"</f>
        <v>#VALUE!</v>
      </c>
      <c r="HI2" t="e">
        <f>Drop_Downs!AY:AY*"8O&lt;!(?"</f>
        <v>#VALUE!</v>
      </c>
      <c r="HJ2" t="e">
        <f>Drop_Downs!AZ:AZ*"8O&lt;!(@"</f>
        <v>#VALUE!</v>
      </c>
      <c r="HK2" t="e">
        <f>Drop_Downs!BA:BA*"8O&lt;!(A"</f>
        <v>#VALUE!</v>
      </c>
      <c r="HL2" t="e">
        <f>Drop_Downs!BB:BB*"8O&lt;!(B"</f>
        <v>#VALUE!</v>
      </c>
      <c r="HM2" t="e">
        <f>Drop_Downs!BC:BC*"8O&lt;!(C"</f>
        <v>#VALUE!</v>
      </c>
      <c r="HN2" t="e">
        <f>Drop_Downs!BD:BD*"8O&lt;!(D"</f>
        <v>#VALUE!</v>
      </c>
      <c r="HO2" t="e">
        <f>Drop_Downs!BE:BE*"8O&lt;!(E"</f>
        <v>#VALUE!</v>
      </c>
      <c r="HP2" t="e">
        <f>Drop_Downs!BF:BF*"8O&lt;!(F"</f>
        <v>#VALUE!</v>
      </c>
      <c r="HQ2" t="e">
        <f>Drop_Downs!BG:BG*"8O&lt;!(G"</f>
        <v>#VALUE!</v>
      </c>
      <c r="HR2" t="e">
        <f>Drop_Downs!BH:BH*"8O&lt;!(H"</f>
        <v>#VALUE!</v>
      </c>
      <c r="HS2" t="e">
        <f>Drop_Downs!1:1-"8O&lt;!(I"</f>
        <v>#VALUE!</v>
      </c>
      <c r="HT2" t="e">
        <f>Drop_Downs!2:2-"8O&lt;!(J"</f>
        <v>#VALUE!</v>
      </c>
      <c r="HU2" t="e">
        <f>Drop_Downs!3:3-"8O&lt;!(K"</f>
        <v>#VALUE!</v>
      </c>
      <c r="HV2" t="e">
        <f>Drop_Downs!4:4-"8O&lt;!(L"</f>
        <v>#VALUE!</v>
      </c>
      <c r="HW2" t="e">
        <f>Drop_Downs!6:6-"8O&lt;!(M"</f>
        <v>#VALUE!</v>
      </c>
      <c r="HX2" t="e">
        <f>Drop_Downs!7:7-"8O&lt;!(N"</f>
        <v>#VALUE!</v>
      </c>
      <c r="HY2" t="e">
        <f>Drop_Downs!8:8-"8O&lt;!(O"</f>
        <v>#VALUE!</v>
      </c>
      <c r="HZ2" t="e">
        <f>Drop_Downs!9:9-"8O&lt;!(P"</f>
        <v>#VALUE!</v>
      </c>
      <c r="IA2" t="e">
        <f>Drop_Downs!10:10-"8O&lt;!(Q"</f>
        <v>#VALUE!</v>
      </c>
      <c r="IB2" t="e">
        <f>Drop_Downs!11:11-"8O&lt;!(R"</f>
        <v>#VALUE!</v>
      </c>
      <c r="IC2" t="e">
        <f>Drop_Downs!12:12-"8O&lt;!(S"</f>
        <v>#VALUE!</v>
      </c>
      <c r="ID2" t="e">
        <f>Drop_Downs!13:13-"8O&lt;!(T"</f>
        <v>#VALUE!</v>
      </c>
      <c r="IE2" t="e">
        <f>Drop_Downs!14:14-"8O&lt;!(U"</f>
        <v>#VALUE!</v>
      </c>
      <c r="IF2" t="e">
        <f>Drop_Downs!15:15-"8O&lt;!(V"</f>
        <v>#VALUE!</v>
      </c>
      <c r="IG2" t="e">
        <f>Drop_Downs!16:16-"8O&lt;!(W"</f>
        <v>#VALUE!</v>
      </c>
      <c r="IH2" t="e">
        <f>Drop_Downs!17:17-"8O&lt;!(X"</f>
        <v>#VALUE!</v>
      </c>
      <c r="II2" t="e">
        <f>Drop_Downs!18:18-"8O&lt;!(Y"</f>
        <v>#VALUE!</v>
      </c>
      <c r="IJ2" t="e">
        <f>Drop_Downs!19:19-"8O&lt;!(Z"</f>
        <v>#VALUE!</v>
      </c>
      <c r="IK2" t="e">
        <f>Drop_Downs!20:20-"8O&lt;!(["</f>
        <v>#VALUE!</v>
      </c>
      <c r="IL2" t="e">
        <f>Drop_Downs!21:21-"8O&lt;!(\"</f>
        <v>#VALUE!</v>
      </c>
      <c r="IM2" t="e">
        <f>Drop_Downs!22:22-"8O&lt;!(]"</f>
        <v>#VALUE!</v>
      </c>
      <c r="IN2" t="e">
        <f>Drop_Downs!23:23-"8O&lt;!(^"</f>
        <v>#VALUE!</v>
      </c>
      <c r="IO2" t="e">
        <f>Drop_Downs!24:24-"8O&lt;!(_"</f>
        <v>#VALUE!</v>
      </c>
      <c r="IP2" t="e">
        <f>Drop_Downs!25:25-"8O&lt;!(`"</f>
        <v>#VALUE!</v>
      </c>
      <c r="IQ2" t="e">
        <f>Drop_Downs!26:26-"8O&lt;!(a"</f>
        <v>#VALUE!</v>
      </c>
      <c r="IR2" t="e">
        <f>Drop_Downs!27:27-"8O&lt;!(b"</f>
        <v>#VALUE!</v>
      </c>
      <c r="IS2" t="e">
        <f>Drop_Downs!28:28-"8O&lt;!(c"</f>
        <v>#VALUE!</v>
      </c>
      <c r="IT2" t="e">
        <f>Drop_Downs!29:29-"8O&lt;!(d"</f>
        <v>#VALUE!</v>
      </c>
      <c r="IU2" t="e">
        <f>Drop_Downs!30:30-"8O&lt;!(e"</f>
        <v>#VALUE!</v>
      </c>
      <c r="IV2" t="e">
        <f>Drop_Downs!31:31-"8O&lt;!(f"</f>
        <v>#VALUE!</v>
      </c>
    </row>
    <row r="3" spans="1:256" x14ac:dyDescent="0.25">
      <c r="A3" t="s">
        <v>1080</v>
      </c>
      <c r="F3" t="e">
        <f>Drop_Downs!#REF!-"8O&lt;!(g"</f>
        <v>#REF!</v>
      </c>
      <c r="G3" t="e">
        <f>Drop_Downs!#REF!-"8O&lt;!(h"</f>
        <v>#REF!</v>
      </c>
      <c r="H3" t="e">
        <f>Drop_Downs!#REF!-"8O&lt;!(i"</f>
        <v>#REF!</v>
      </c>
      <c r="I3" t="e">
        <f>Drop_Downs!#REF!-"8O&lt;!(j"</f>
        <v>#REF!</v>
      </c>
      <c r="J3" t="e">
        <f>Drop_Downs!32:32-"8O&lt;!(k"</f>
        <v>#VALUE!</v>
      </c>
      <c r="K3" t="e">
        <f>Drop_Downs!33:33-"8O&lt;!(l"</f>
        <v>#VALUE!</v>
      </c>
      <c r="L3" t="e">
        <f>Drop_Downs!34:34-"8O&lt;!(m"</f>
        <v>#VALUE!</v>
      </c>
      <c r="M3" t="e">
        <f>Drop_Downs!35:35-"8O&lt;!(n"</f>
        <v>#VALUE!</v>
      </c>
      <c r="N3" t="e">
        <f>Drop_Downs!#REF!-"8O&lt;!(o"</f>
        <v>#REF!</v>
      </c>
      <c r="O3" t="e">
        <f>Drop_Downs!36:36-"8O&lt;!(p"</f>
        <v>#VALUE!</v>
      </c>
      <c r="P3" t="e">
        <f>Drop_Downs!37:37-"8O&lt;!(q"</f>
        <v>#VALUE!</v>
      </c>
      <c r="Q3" t="e">
        <f>Drop_Downs!38:38-"8O&lt;!(r"</f>
        <v>#VALUE!</v>
      </c>
      <c r="R3" t="e">
        <f>Drop_Downs!39:39-"8O&lt;!(s"</f>
        <v>#VALUE!</v>
      </c>
      <c r="S3" t="e">
        <f>Drop_Downs!40:40-"8O&lt;!(t"</f>
        <v>#VALUE!</v>
      </c>
      <c r="T3" t="e">
        <f>Drop_Downs!41:41-"8O&lt;!(u"</f>
        <v>#VALUE!</v>
      </c>
      <c r="U3" t="e">
        <f>Drop_Downs!42:42-"8O&lt;!(v"</f>
        <v>#VALUE!</v>
      </c>
      <c r="V3" t="e">
        <f>Drop_Downs!43:43-"8O&lt;!(w"</f>
        <v>#VALUE!</v>
      </c>
      <c r="W3" t="e">
        <f>Drop_Downs!44:44-"8O&lt;!(x"</f>
        <v>#VALUE!</v>
      </c>
      <c r="X3" t="e">
        <f>Drop_Downs!45:45-"8O&lt;!(y"</f>
        <v>#VALUE!</v>
      </c>
      <c r="Y3" t="e">
        <f>Drop_Downs!46:46-"8O&lt;!(z"</f>
        <v>#VALUE!</v>
      </c>
      <c r="Z3" t="e">
        <f>Drop_Downs!47:47-"8O&lt;!({"</f>
        <v>#VALUE!</v>
      </c>
      <c r="AA3" t="e">
        <f>Drop_Downs!48:48-"8O&lt;!(|"</f>
        <v>#VALUE!</v>
      </c>
      <c r="AB3" t="e">
        <f>Drop_Downs!49:49-"8O&lt;!(}"</f>
        <v>#VALUE!</v>
      </c>
      <c r="AC3" t="e">
        <f>Drop_Downs!50:50-"8O&lt;!(~"</f>
        <v>#VALUE!</v>
      </c>
      <c r="AD3" t="e">
        <f>Drop_Downs!51:51-"8O&lt;!)#"</f>
        <v>#VALUE!</v>
      </c>
      <c r="AE3" t="e">
        <f>Drop_Downs!52:52-"8O&lt;!)$"</f>
        <v>#VALUE!</v>
      </c>
      <c r="AF3" t="e">
        <f>Drop_Downs!53:53-"8O&lt;!)%"</f>
        <v>#VALUE!</v>
      </c>
      <c r="AG3" t="e">
        <f>Drop_Downs!54:54-"8O&lt;!)&amp;"</f>
        <v>#VALUE!</v>
      </c>
      <c r="AH3" t="e">
        <f>Drop_Downs!55:55-"8O&lt;!)'"</f>
        <v>#VALUE!</v>
      </c>
      <c r="AI3" t="e">
        <f>Drop_Downs!56:56-"8O&lt;!)("</f>
        <v>#VALUE!</v>
      </c>
      <c r="AJ3" t="e">
        <f>Drop_Downs!57:57-"8O&lt;!))"</f>
        <v>#VALUE!</v>
      </c>
      <c r="AK3" t="e">
        <f>Drop_Downs!58:58-"8O&lt;!)."</f>
        <v>#VALUE!</v>
      </c>
      <c r="AL3" t="e">
        <f>Drop_Downs!59:59-"8O&lt;!)/"</f>
        <v>#VALUE!</v>
      </c>
      <c r="AM3" t="e">
        <f>Drop_Downs!60:60-"8O&lt;!)0"</f>
        <v>#VALUE!</v>
      </c>
      <c r="AN3" t="e">
        <f>Drop_Downs!61:61-"8O&lt;!)1"</f>
        <v>#VALUE!</v>
      </c>
      <c r="AO3" t="e">
        <f>Drop_Downs!62:62-"8O&lt;!)2"</f>
        <v>#VALUE!</v>
      </c>
      <c r="AP3" t="e">
        <f>Drop_Downs!63:63-"8O&lt;!)3"</f>
        <v>#VALUE!</v>
      </c>
      <c r="AQ3" t="e">
        <f>Drop_Downs!64:64-"8O&lt;!)4"</f>
        <v>#VALUE!</v>
      </c>
      <c r="AR3" t="e">
        <f>Drop_Downs!65:65-"8O&lt;!)5"</f>
        <v>#VALUE!</v>
      </c>
      <c r="AS3" t="e">
        <f>Drop_Downs!66:66-"8O&lt;!)6"</f>
        <v>#VALUE!</v>
      </c>
      <c r="AT3" t="e">
        <f>Drop_Downs!67:67-"8O&lt;!)7"</f>
        <v>#VALUE!</v>
      </c>
      <c r="AU3" t="e">
        <f>Drop_Downs!68:68-"8O&lt;!)8"</f>
        <v>#VALUE!</v>
      </c>
      <c r="AV3" t="e">
        <f>Drop_Downs!69:69-"8O&lt;!)9"</f>
        <v>#VALUE!</v>
      </c>
      <c r="AW3" t="e">
        <f>Drop_Downs!70:70-"8O&lt;!):"</f>
        <v>#VALUE!</v>
      </c>
      <c r="AX3" t="e">
        <f>Drop_Downs!71:71-"8O&lt;!);"</f>
        <v>#VALUE!</v>
      </c>
      <c r="AY3" t="e">
        <f>Drop_Downs!72:72-"8O&lt;!)&lt;"</f>
        <v>#VALUE!</v>
      </c>
      <c r="AZ3" t="e">
        <f>Drop_Downs!73:73-"8O&lt;!)="</f>
        <v>#VALUE!</v>
      </c>
      <c r="BA3" t="e">
        <f>Drop_Downs!74:74-"8O&lt;!)&gt;"</f>
        <v>#VALUE!</v>
      </c>
      <c r="BB3" t="e">
        <f>Drop_Downs!75:75-"8O&lt;!)?"</f>
        <v>#VALUE!</v>
      </c>
      <c r="BC3" t="e">
        <f>Drop_Downs!76:76-"8O&lt;!)@"</f>
        <v>#VALUE!</v>
      </c>
      <c r="BD3" t="e">
        <f>Drop_Downs!77:77-"8O&lt;!)A"</f>
        <v>#VALUE!</v>
      </c>
      <c r="BE3" t="e">
        <f>Drop_Downs!78:78-"8O&lt;!)B"</f>
        <v>#VALUE!</v>
      </c>
      <c r="BF3" t="e">
        <f>Drop_Downs!79:79-"8O&lt;!)C"</f>
        <v>#VALUE!</v>
      </c>
      <c r="BG3" t="e">
        <f>Drop_Downs!80:80-"8O&lt;!)D"</f>
        <v>#VALUE!</v>
      </c>
      <c r="BH3" t="e">
        <f>Drop_Downs!81:81-"8O&lt;!)E"</f>
        <v>#VALUE!</v>
      </c>
      <c r="BI3" t="e">
        <f>Drop_Downs!82:82-"8O&lt;!)F"</f>
        <v>#VALUE!</v>
      </c>
      <c r="BJ3" t="e">
        <f>Drop_Downs!83:83-"8O&lt;!)G"</f>
        <v>#VALUE!</v>
      </c>
      <c r="BK3" t="e">
        <f>Drop_Downs!84:84-"8O&lt;!)H"</f>
        <v>#VALUE!</v>
      </c>
      <c r="BL3" t="e">
        <f>Drop_Downs!85:85-"8O&lt;!)I"</f>
        <v>#VALUE!</v>
      </c>
      <c r="BM3" t="e">
        <f>Drop_Downs!86:86-"8O&lt;!)J"</f>
        <v>#VALUE!</v>
      </c>
      <c r="BN3" t="e">
        <f>Drop_Downs!87:87-"8O&lt;!)K"</f>
        <v>#VALUE!</v>
      </c>
      <c r="BO3" t="e">
        <f>Drop_Downs!88:88-"8O&lt;!)L"</f>
        <v>#VALUE!</v>
      </c>
      <c r="BP3" t="e">
        <f>Drop_Downs!89:89-"8O&lt;!)M"</f>
        <v>#VALUE!</v>
      </c>
      <c r="BQ3" t="e">
        <f>Drop_Downs!90:90-"8O&lt;!)N"</f>
        <v>#VALUE!</v>
      </c>
      <c r="BR3" t="e">
        <f>Drop_Downs!91:91-"8O&lt;!)O"</f>
        <v>#VALUE!</v>
      </c>
      <c r="BS3" t="e">
        <f>Drop_Downs!92:92-"8O&lt;!)P"</f>
        <v>#VALUE!</v>
      </c>
      <c r="BT3" t="e">
        <f>Drop_Downs!93:93-"8O&lt;!)Q"</f>
        <v>#VALUE!</v>
      </c>
      <c r="BU3" t="e">
        <f>Drop_Downs!94:94-"8O&lt;!)R"</f>
        <v>#VALUE!</v>
      </c>
      <c r="BV3" t="e">
        <f>Drop_Downs!95:95-"8O&lt;!)S"</f>
        <v>#VALUE!</v>
      </c>
      <c r="BW3" t="e">
        <f>Drop_Downs!96:96-"8O&lt;!)T"</f>
        <v>#VALUE!</v>
      </c>
      <c r="BX3" t="e">
        <f>Drop_Downs!97:97-"8O&lt;!)U"</f>
        <v>#VALUE!</v>
      </c>
      <c r="BY3" t="e">
        <f>Drop_Downs!98:98-"8O&lt;!)V"</f>
        <v>#VALUE!</v>
      </c>
      <c r="BZ3" t="e">
        <f>Drop_Downs!99:99-"8O&lt;!)W"</f>
        <v>#VALUE!</v>
      </c>
      <c r="CA3" t="e">
        <f>Drop_Downs!100:100-"8O&lt;!)X"</f>
        <v>#VALUE!</v>
      </c>
      <c r="CB3" t="e">
        <f>Drop_Downs!101:101-"8O&lt;!)Y"</f>
        <v>#VALUE!</v>
      </c>
      <c r="CC3" t="e">
        <f>Drop_Downs!102:102-"8O&lt;!)Z"</f>
        <v>#VALUE!</v>
      </c>
      <c r="CD3" t="e">
        <f>Drop_Downs!103:103-"8O&lt;!)["</f>
        <v>#VALUE!</v>
      </c>
      <c r="CE3" t="e">
        <f>Drop_Downs!104:104-"8O&lt;!)\"</f>
        <v>#VALUE!</v>
      </c>
      <c r="CF3" t="e">
        <f>Drop_Downs!105:105-"8O&lt;!)]"</f>
        <v>#VALUE!</v>
      </c>
      <c r="CG3" t="e">
        <f>Drop_Downs!106:106-"8O&lt;!)^"</f>
        <v>#VALUE!</v>
      </c>
      <c r="CH3" t="e">
        <f>Drop_Downs!107:107-"8O&lt;!)_"</f>
        <v>#VALUE!</v>
      </c>
      <c r="CI3" t="e">
        <f>Drop_Downs!108:108-"8O&lt;!)`"</f>
        <v>#VALUE!</v>
      </c>
      <c r="CJ3" t="e">
        <f>Drop_Downs!109:109-"8O&lt;!)a"</f>
        <v>#VALUE!</v>
      </c>
      <c r="CK3" t="e">
        <f>Drop_Downs!110:110-"8O&lt;!)b"</f>
        <v>#VALUE!</v>
      </c>
      <c r="CL3" t="e">
        <f>Drop_Downs!111:111-"8O&lt;!)c"</f>
        <v>#VALUE!</v>
      </c>
      <c r="CM3" t="e">
        <f>Drop_Downs!112:112-"8O&lt;!)d"</f>
        <v>#VALUE!</v>
      </c>
      <c r="CN3" t="e">
        <f>Drop_Downs!113:113-"8O&lt;!)e"</f>
        <v>#VALUE!</v>
      </c>
      <c r="CO3" t="e">
        <f>Drop_Downs!114:114-"8O&lt;!)f"</f>
        <v>#VALUE!</v>
      </c>
      <c r="CP3" t="e">
        <f>Drop_Downs!115:115-"8O&lt;!)g"</f>
        <v>#VALUE!</v>
      </c>
      <c r="CQ3" t="e">
        <f>Drop_Downs!116:116-"8O&lt;!)h"</f>
        <v>#VALUE!</v>
      </c>
      <c r="CR3" t="e">
        <f>Drop_Downs!117:117-"8O&lt;!)i"</f>
        <v>#VALUE!</v>
      </c>
      <c r="CS3" t="e">
        <f>Drop_Downs!118:118-"8O&lt;!)j"</f>
        <v>#VALUE!</v>
      </c>
      <c r="CT3" t="e">
        <f>Drop_Downs!119:119-"8O&lt;!)k"</f>
        <v>#VALUE!</v>
      </c>
      <c r="CU3" t="e">
        <f>Drop_Downs!120:120-"8O&lt;!)l"</f>
        <v>#VALUE!</v>
      </c>
      <c r="CV3" t="e">
        <f>Drop_Downs!121:121-"8O&lt;!)m"</f>
        <v>#VALUE!</v>
      </c>
      <c r="CW3" t="e">
        <f>Drop_Downs!122:122-"8O&lt;!)n"</f>
        <v>#VALUE!</v>
      </c>
      <c r="CX3" t="e">
        <f>Drop_Downs!123:123-"8O&lt;!)o"</f>
        <v>#VALUE!</v>
      </c>
      <c r="CY3" t="e">
        <f>Drop_Downs!124:124-"8O&lt;!)p"</f>
        <v>#VALUE!</v>
      </c>
      <c r="CZ3" t="e">
        <f>Drop_Downs!125:125-"8O&lt;!)q"</f>
        <v>#VALUE!</v>
      </c>
      <c r="DA3" t="e">
        <f>Drop_Downs!126:126-"8O&lt;!)r"</f>
        <v>#VALUE!</v>
      </c>
      <c r="DB3" t="e">
        <f>Drop_Downs!127:127-"8O&lt;!)s"</f>
        <v>#VALUE!</v>
      </c>
      <c r="DC3" t="e">
        <f>Drop_Downs!128:128-"8O&lt;!)t"</f>
        <v>#VALUE!</v>
      </c>
      <c r="DD3" t="e">
        <f>Drop_Downs!129:129-"8O&lt;!)u"</f>
        <v>#VALUE!</v>
      </c>
      <c r="DE3" t="e">
        <f>Drop_Downs!130:130-"8O&lt;!)v"</f>
        <v>#VALUE!</v>
      </c>
      <c r="DF3" t="e">
        <f>Drop_Downs!131:131-"8O&lt;!)w"</f>
        <v>#VALUE!</v>
      </c>
      <c r="DG3" t="e">
        <f>Drop_Downs!132:132-"8O&lt;!)x"</f>
        <v>#VALUE!</v>
      </c>
      <c r="DH3" t="e">
        <f>Drop_Downs!133:133-"8O&lt;!)y"</f>
        <v>#VALUE!</v>
      </c>
      <c r="DI3" t="e">
        <f>Drop_Downs!134:134-"8O&lt;!)z"</f>
        <v>#VALUE!</v>
      </c>
      <c r="DJ3" t="e">
        <f>Drop_Downs!135:135-"8O&lt;!){"</f>
        <v>#VALUE!</v>
      </c>
      <c r="DK3" t="e">
        <f>Drop_Downs!136:136-"8O&lt;!)|"</f>
        <v>#VALUE!</v>
      </c>
      <c r="DL3" t="e">
        <f>Drop_Downs!137:137-"8O&lt;!)}"</f>
        <v>#VALUE!</v>
      </c>
      <c r="DM3" t="e">
        <f>Drop_Downs!138:138-"8O&lt;!)~"</f>
        <v>#VALUE!</v>
      </c>
      <c r="DN3" t="e">
        <f>Drop_Downs!139:139-"8O&lt;!.#"</f>
        <v>#VALUE!</v>
      </c>
      <c r="DO3" t="e">
        <f>Drop_Downs!140:140-"8O&lt;!.$"</f>
        <v>#VALUE!</v>
      </c>
      <c r="DP3" t="e">
        <f>Drop_Downs!141:141-"8O&lt;!.%"</f>
        <v>#VALUE!</v>
      </c>
      <c r="DQ3" t="e">
        <f>Drop_Downs!142:142-"8O&lt;!.&amp;"</f>
        <v>#VALUE!</v>
      </c>
      <c r="DR3" t="e">
        <f>Drop_Downs!143:143-"8O&lt;!.'"</f>
        <v>#VALUE!</v>
      </c>
      <c r="DS3" t="e">
        <f>Drop_Downs!144:144-"8O&lt;!.("</f>
        <v>#VALUE!</v>
      </c>
      <c r="DT3" t="e">
        <f>Drop_Downs!145:145-"8O&lt;!.)"</f>
        <v>#VALUE!</v>
      </c>
      <c r="DU3" t="e">
        <f>Drop_Downs!146:146-"8O&lt;!.."</f>
        <v>#VALUE!</v>
      </c>
      <c r="DV3" t="e">
        <f>Drop_Downs!147:147-"8O&lt;!./"</f>
        <v>#VALUE!</v>
      </c>
      <c r="DW3" t="e">
        <f>Drop_Downs!148:148-"8O&lt;!.0"</f>
        <v>#VALUE!</v>
      </c>
      <c r="DX3" t="e">
        <f>Drop_Downs!149:149-"8O&lt;!.1"</f>
        <v>#VALUE!</v>
      </c>
      <c r="DY3" t="e">
        <f>Drop_Downs!150:150-"8O&lt;!.2"</f>
        <v>#VALUE!</v>
      </c>
      <c r="DZ3" t="e">
        <f>Drop_Downs!151:151-"8O&lt;!.3"</f>
        <v>#VALUE!</v>
      </c>
      <c r="EA3" t="e">
        <f>Drop_Downs!152:152-"8O&lt;!.4"</f>
        <v>#VALUE!</v>
      </c>
      <c r="EB3" t="e">
        <f>Drop_Downs!153:153-"8O&lt;!.5"</f>
        <v>#VALUE!</v>
      </c>
      <c r="EC3" t="e">
        <f>Drop_Downs!154:154-"8O&lt;!.6"</f>
        <v>#VALUE!</v>
      </c>
      <c r="ED3" t="e">
        <f>Drop_Downs!155:155-"8O&lt;!.7"</f>
        <v>#VALUE!</v>
      </c>
      <c r="EE3" t="e">
        <f>Drop_Downs!156:156-"8O&lt;!.8"</f>
        <v>#VALUE!</v>
      </c>
      <c r="EF3" t="e">
        <f>Drop_Downs!157:157-"8O&lt;!.9"</f>
        <v>#VALUE!</v>
      </c>
      <c r="EG3" t="e">
        <f>Drop_Downs!158:158-"8O&lt;!.:"</f>
        <v>#VALUE!</v>
      </c>
      <c r="EH3" t="e">
        <f>Drop_Downs!159:159-"8O&lt;!.;"</f>
        <v>#VALUE!</v>
      </c>
      <c r="EI3" t="e">
        <f>Drop_Downs!160:160-"8O&lt;!.&lt;"</f>
        <v>#VALUE!</v>
      </c>
      <c r="EJ3" t="e">
        <f>Drop_Downs!161:161-"8O&lt;!.="</f>
        <v>#VALUE!</v>
      </c>
      <c r="EK3" t="e">
        <f>Drop_Downs!162:162-"8O&lt;!.&gt;"</f>
        <v>#VALUE!</v>
      </c>
      <c r="EL3" t="e">
        <f>Drop_Downs!163:163-"8O&lt;!.?"</f>
        <v>#VALUE!</v>
      </c>
      <c r="EM3" t="e">
        <f>Drop_Downs!164:164-"8O&lt;!.@"</f>
        <v>#VALUE!</v>
      </c>
      <c r="EN3" t="e">
        <f>Drop_Downs!165:165-"8O&lt;!.A"</f>
        <v>#VALUE!</v>
      </c>
      <c r="EO3" t="e">
        <f>Drop_Downs!166:166-"8O&lt;!.B"</f>
        <v>#VALUE!</v>
      </c>
      <c r="EP3" t="e">
        <f>Drop_Downs!167:167-"8O&lt;!.C"</f>
        <v>#VALUE!</v>
      </c>
      <c r="EQ3" t="e">
        <f>Drop_Downs!168:168-"8O&lt;!.D"</f>
        <v>#VALUE!</v>
      </c>
      <c r="ER3" t="e">
        <f>Drop_Downs!169:169-"8O&lt;!.E"</f>
        <v>#VALUE!</v>
      </c>
      <c r="ES3" t="e">
        <f>Drop_Downs!170:170-"8O&lt;!.F"</f>
        <v>#VALUE!</v>
      </c>
      <c r="ET3" t="e">
        <f>Drop_Downs!171:171-"8O&lt;!.G"</f>
        <v>#VALUE!</v>
      </c>
      <c r="EU3" t="e">
        <f>Drop_Downs!172:172-"8O&lt;!.H"</f>
        <v>#VALUE!</v>
      </c>
      <c r="EV3" t="e">
        <f>Drop_Downs!173:173-"8O&lt;!.I"</f>
        <v>#VALUE!</v>
      </c>
      <c r="EW3" t="e">
        <f>Drop_Downs!174:174-"8O&lt;!.J"</f>
        <v>#VALUE!</v>
      </c>
      <c r="EX3" t="e">
        <f>Drop_Downs!175:175-"8O&lt;!.K"</f>
        <v>#VALUE!</v>
      </c>
      <c r="EY3" t="e">
        <f>Drop_Downs!176:176-"8O&lt;!.L"</f>
        <v>#VALUE!</v>
      </c>
      <c r="EZ3" t="e">
        <f>Drop_Downs!177:177-"8O&lt;!.M"</f>
        <v>#VALUE!</v>
      </c>
      <c r="FA3" t="e">
        <f>Drop_Downs!178:178-"8O&lt;!.N"</f>
        <v>#VALUE!</v>
      </c>
      <c r="FB3" t="e">
        <f>Drop_Downs!179:179-"8O&lt;!.O"</f>
        <v>#VALUE!</v>
      </c>
      <c r="FC3" t="e">
        <f>Drop_Downs!180:180-"8O&lt;!.P"</f>
        <v>#VALUE!</v>
      </c>
      <c r="FD3" t="e">
        <f>Drop_Downs!181:181-"8O&lt;!.Q"</f>
        <v>#VALUE!</v>
      </c>
      <c r="FE3" t="e">
        <f>Drop_Downs!182:182-"8O&lt;!.R"</f>
        <v>#VALUE!</v>
      </c>
      <c r="FF3" t="e">
        <f>Drop_Downs!183:183-"8O&lt;!.S"</f>
        <v>#VALUE!</v>
      </c>
      <c r="FG3" t="e">
        <f>Drop_Downs!184:184-"8O&lt;!.T"</f>
        <v>#VALUE!</v>
      </c>
      <c r="FH3" t="e">
        <f>Drop_Downs!185:185-"8O&lt;!.U"</f>
        <v>#VALUE!</v>
      </c>
      <c r="FI3" t="e">
        <f>Drop_Downs!186:186-"8O&lt;!.V"</f>
        <v>#VALUE!</v>
      </c>
      <c r="FJ3" t="e">
        <f>Drop_Downs!187:187-"8O&lt;!.W"</f>
        <v>#VALUE!</v>
      </c>
      <c r="FK3" t="e">
        <f>Drop_Downs!188:188-"8O&lt;!.X"</f>
        <v>#VALUE!</v>
      </c>
      <c r="FL3" t="e">
        <f>Drop_Downs!189:189-"8O&lt;!.Y"</f>
        <v>#VALUE!</v>
      </c>
      <c r="FM3" t="e">
        <f>Drop_Downs!190:190-"8O&lt;!.Z"</f>
        <v>#VALUE!</v>
      </c>
      <c r="FN3" t="e">
        <f>Drop_Downs!191:191-"8O&lt;!.["</f>
        <v>#VALUE!</v>
      </c>
      <c r="FO3" t="e">
        <f>Drop_Downs!192:192-"8O&lt;!.\"</f>
        <v>#VALUE!</v>
      </c>
      <c r="FP3" t="e">
        <f>Drop_Downs!193:193-"8O&lt;!.]"</f>
        <v>#VALUE!</v>
      </c>
      <c r="FQ3" t="e">
        <f>Drop_Downs!194:194-"8O&lt;!.^"</f>
        <v>#VALUE!</v>
      </c>
      <c r="FR3" t="e">
        <f>Drop_Downs!195:195-"8O&lt;!._"</f>
        <v>#VALUE!</v>
      </c>
      <c r="FS3" t="e">
        <f>Drop_Downs!196:196-"8O&lt;!.`"</f>
        <v>#VALUE!</v>
      </c>
      <c r="FT3" t="e">
        <f>Drop_Downs!197:197-"8O&lt;!.a"</f>
        <v>#VALUE!</v>
      </c>
      <c r="FU3" t="e">
        <f>Drop_Downs!198:198-"8O&lt;!.b"</f>
        <v>#VALUE!</v>
      </c>
      <c r="FV3" t="e">
        <f>Drop_Downs!199:199-"8O&lt;!.c"</f>
        <v>#VALUE!</v>
      </c>
      <c r="FW3" t="e">
        <f>Drop_Downs!200:200-"8O&lt;!.d"</f>
        <v>#VALUE!</v>
      </c>
      <c r="FX3" t="e">
        <f>Drop_Downs!201:201-"8O&lt;!.e"</f>
        <v>#VALUE!</v>
      </c>
      <c r="FY3" t="e">
        <f>Drop_Downs!202:202-"8O&lt;!.f"</f>
        <v>#VALUE!</v>
      </c>
      <c r="FZ3" t="e">
        <f>Drop_Downs!203:203-"8O&lt;!.g"</f>
        <v>#VALUE!</v>
      </c>
      <c r="GA3" t="e">
        <f>Drop_Downs!204:204-"8O&lt;!.h"</f>
        <v>#VALUE!</v>
      </c>
      <c r="GB3" t="e">
        <f>Drop_Downs!205:205-"8O&lt;!.i"</f>
        <v>#VALUE!</v>
      </c>
      <c r="GC3" t="e">
        <f>Drop_Downs!206:206-"8O&lt;!.j"</f>
        <v>#VALUE!</v>
      </c>
      <c r="GD3" t="e">
        <f>Drop_Downs!207:207-"8O&lt;!.k"</f>
        <v>#VALUE!</v>
      </c>
      <c r="GE3" t="e">
        <f>Drop_Downs!208:208-"8O&lt;!.l"</f>
        <v>#VALUE!</v>
      </c>
      <c r="GF3" t="e">
        <f>Drop_Downs!209:209-"8O&lt;!.m"</f>
        <v>#VALUE!</v>
      </c>
      <c r="GG3" t="e">
        <f>Drop_Downs!210:210-"8O&lt;!.n"</f>
        <v>#VALUE!</v>
      </c>
      <c r="GH3" t="e">
        <f>Drop_Downs!211:211-"8O&lt;!.o"</f>
        <v>#VALUE!</v>
      </c>
      <c r="GI3" t="e">
        <f>Drop_Downs!212:212-"8O&lt;!.p"</f>
        <v>#VALUE!</v>
      </c>
      <c r="GJ3" t="e">
        <f>Drop_Downs!213:213-"8O&lt;!.q"</f>
        <v>#VALUE!</v>
      </c>
      <c r="GK3" t="e">
        <f>Drop_Downs!A1+"8O&lt;!.r"</f>
        <v>#VALUE!</v>
      </c>
      <c r="GL3" t="e">
        <f>Drop_Downs!A7+"8O&lt;!.s"</f>
        <v>#VALUE!</v>
      </c>
      <c r="GM3" t="e">
        <f>Drop_Downs!B7+"8O&lt;!.t"</f>
        <v>#VALUE!</v>
      </c>
      <c r="GN3" t="e">
        <f>Drop_Downs!C7+"8O&lt;!.u"</f>
        <v>#VALUE!</v>
      </c>
      <c r="GO3" t="e">
        <f>Drop_Downs!D7+"8O&lt;!.v"</f>
        <v>#VALUE!</v>
      </c>
      <c r="GP3" t="e">
        <f>Drop_Downs!E7+"8O&lt;!.w"</f>
        <v>#VALUE!</v>
      </c>
      <c r="GQ3" t="e">
        <f>Drop_Downs!F7+"8O&lt;!.x"</f>
        <v>#VALUE!</v>
      </c>
      <c r="GR3" t="e">
        <f>Drop_Downs!G7+"8O&lt;!.y"</f>
        <v>#VALUE!</v>
      </c>
      <c r="GS3" t="e">
        <f>Drop_Downs!H7+"8O&lt;!.z"</f>
        <v>#VALUE!</v>
      </c>
      <c r="GT3" t="e">
        <f>Drop_Downs!I7+"8O&lt;!.{"</f>
        <v>#VALUE!</v>
      </c>
      <c r="GU3" t="e">
        <f>Drop_Downs!J7+"8O&lt;!.|"</f>
        <v>#VALUE!</v>
      </c>
      <c r="GV3" t="e">
        <f>Drop_Downs!A8+"8O&lt;!.}"</f>
        <v>#VALUE!</v>
      </c>
      <c r="GW3" t="e">
        <f>Drop_Downs!B8+"8O&lt;!.~"</f>
        <v>#VALUE!</v>
      </c>
      <c r="GX3" t="e">
        <f>Drop_Downs!C8+"8O&lt;!/#"</f>
        <v>#VALUE!</v>
      </c>
      <c r="GY3" t="e">
        <f>Drop_Downs!D8+"8O&lt;!/$"</f>
        <v>#VALUE!</v>
      </c>
      <c r="GZ3" t="e">
        <f>Drop_Downs!G19+"8O&lt;!/%"</f>
        <v>#VALUE!</v>
      </c>
      <c r="HA3" t="e">
        <f>Drop_Downs!J8+"8O&lt;!/&amp;"</f>
        <v>#VALUE!</v>
      </c>
      <c r="HB3" t="e">
        <f>Drop_Downs!A9+"8O&lt;!/'"</f>
        <v>#VALUE!</v>
      </c>
      <c r="HC3" t="e">
        <f>Drop_Downs!B9+"8O&lt;!/("</f>
        <v>#VALUE!</v>
      </c>
      <c r="HD3" t="e">
        <f>Drop_Downs!C9+"8O&lt;!/)"</f>
        <v>#VALUE!</v>
      </c>
      <c r="HE3" t="e">
        <f>Drop_Downs!G9+"8O&lt;!/."</f>
        <v>#VALUE!</v>
      </c>
      <c r="HF3" t="e">
        <f>Drop_Downs!J9+"8O&lt;!//"</f>
        <v>#VALUE!</v>
      </c>
      <c r="HG3" t="e">
        <f>Drop_Downs!A10+"8O&lt;!/0"</f>
        <v>#VALUE!</v>
      </c>
      <c r="HH3" t="e">
        <f>Drop_Downs!C10+"8O&lt;!/1"</f>
        <v>#VALUE!</v>
      </c>
      <c r="HI3" t="e">
        <f>Drop_Downs!G10+"8O&lt;!/2"</f>
        <v>#VALUE!</v>
      </c>
      <c r="HJ3" t="e">
        <f>Drop_Downs!J10+"8O&lt;!/3"</f>
        <v>#VALUE!</v>
      </c>
      <c r="HK3" t="e">
        <f>Drop_Downs!A11+"8O&lt;!/4"</f>
        <v>#VALUE!</v>
      </c>
      <c r="HL3" t="e">
        <f>Drop_Downs!G11+"8O&lt;!/5"</f>
        <v>#VALUE!</v>
      </c>
      <c r="HM3" t="e">
        <f>Drop_Downs!J11+"8O&lt;!/6"</f>
        <v>#VALUE!</v>
      </c>
      <c r="HN3" t="e">
        <f>Drop_Downs!G12+"8O&lt;!/7"</f>
        <v>#VALUE!</v>
      </c>
      <c r="HO3" t="e">
        <f>Drop_Downs!G13+"8O&lt;!/8"</f>
        <v>#VALUE!</v>
      </c>
      <c r="HP3" t="e">
        <f>Drop_Downs!G14+"8O&lt;!/9"</f>
        <v>#VALUE!</v>
      </c>
      <c r="HQ3" t="e">
        <f>Drop_Downs!G15+"8O&lt;!/:"</f>
        <v>#VALUE!</v>
      </c>
      <c r="HR3" t="e">
        <f>Drop_Downs!G16+"8O&lt;!/;"</f>
        <v>#VALUE!</v>
      </c>
      <c r="HS3" t="e">
        <f>Drop_Downs!G17+"8O&lt;!/&lt;"</f>
        <v>#VALUE!</v>
      </c>
      <c r="HT3" t="e">
        <f>Drop_Downs!G18+"8O&lt;!/="</f>
        <v>#VALUE!</v>
      </c>
      <c r="HU3" t="e">
        <f>Rules!A:A*"8O&lt;!/&gt;"</f>
        <v>#VALUE!</v>
      </c>
      <c r="HV3" t="e">
        <f>Rules!B:B*"8O&lt;!/?"</f>
        <v>#VALUE!</v>
      </c>
      <c r="HW3" t="e">
        <f>Rules!C:C*"8O&lt;!/@"</f>
        <v>#VALUE!</v>
      </c>
      <c r="HX3" t="e">
        <f>Rules!D:D*"8O&lt;!/A"</f>
        <v>#VALUE!</v>
      </c>
      <c r="HY3" t="e">
        <f>Rules!E:E*"8O&lt;!/B"</f>
        <v>#VALUE!</v>
      </c>
      <c r="HZ3" t="e">
        <f>Rules!F:F*"8O&lt;!/C"</f>
        <v>#VALUE!</v>
      </c>
      <c r="IA3" t="e">
        <f>Rules!G:G*"8O&lt;!/D"</f>
        <v>#VALUE!</v>
      </c>
      <c r="IB3" t="e">
        <f>Rules!H:H*"8O&lt;!/E"</f>
        <v>#VALUE!</v>
      </c>
      <c r="IC3" t="e">
        <f>Rules!I:I*"8O&lt;!/F"</f>
        <v>#VALUE!</v>
      </c>
      <c r="ID3" t="e">
        <f>Rules!J:J*"8O&lt;!/G"</f>
        <v>#VALUE!</v>
      </c>
      <c r="IE3" t="e">
        <f>Rules!K:K*"8O&lt;!/H"</f>
        <v>#VALUE!</v>
      </c>
      <c r="IF3" t="e">
        <f>Rules!L:L*"8O&lt;!/I"</f>
        <v>#VALUE!</v>
      </c>
      <c r="IG3" t="e">
        <f>Rules!M:M*"8O&lt;!/J"</f>
        <v>#VALUE!</v>
      </c>
      <c r="IH3" t="e">
        <f>Rules!N:N*"8O&lt;!/K"</f>
        <v>#VALUE!</v>
      </c>
      <c r="II3" t="e">
        <f>Rules!O:O*"8O&lt;!/L"</f>
        <v>#VALUE!</v>
      </c>
      <c r="IJ3" t="e">
        <f>Rules!P:P*"8O&lt;!/M"</f>
        <v>#VALUE!</v>
      </c>
      <c r="IK3" t="e">
        <f>Rules!Q:Q*"8O&lt;!/N"</f>
        <v>#VALUE!</v>
      </c>
      <c r="IL3" t="e">
        <f>Rules!R:R*"8O&lt;!/O"</f>
        <v>#VALUE!</v>
      </c>
      <c r="IM3" t="e">
        <f>Rules!S:S*"8O&lt;!/P"</f>
        <v>#VALUE!</v>
      </c>
      <c r="IN3" t="e">
        <f>Rules!T:T*"8O&lt;!/Q"</f>
        <v>#VALUE!</v>
      </c>
      <c r="IO3" t="e">
        <f>Rules!U:U*"8O&lt;!/R"</f>
        <v>#VALUE!</v>
      </c>
      <c r="IP3" t="e">
        <f>Rules!V:V*"8O&lt;!/S"</f>
        <v>#VALUE!</v>
      </c>
      <c r="IQ3" t="e">
        <f>Rules!W:W*"8O&lt;!/T"</f>
        <v>#VALUE!</v>
      </c>
      <c r="IR3" t="e">
        <f>Rules!X:X*"8O&lt;!/U"</f>
        <v>#VALUE!</v>
      </c>
      <c r="IS3" t="e">
        <f>Rules!Y:Y*"8O&lt;!/V"</f>
        <v>#VALUE!</v>
      </c>
      <c r="IT3" t="e">
        <f>Rules!Z:Z*"8O&lt;!/W"</f>
        <v>#VALUE!</v>
      </c>
      <c r="IU3" t="e">
        <f>Rules!AA:AA*"8O&lt;!/X"</f>
        <v>#VALUE!</v>
      </c>
      <c r="IV3" t="e">
        <f>Rules!AB:AB*"8O&lt;!/Y"</f>
        <v>#VALUE!</v>
      </c>
    </row>
    <row r="4" spans="1:256" x14ac:dyDescent="0.25">
      <c r="A4" t="s">
        <v>1109</v>
      </c>
      <c r="F4" t="e">
        <f>Rules!AC:AC*"8O&lt;!/Z"</f>
        <v>#VALUE!</v>
      </c>
      <c r="G4" t="e">
        <f>Rules!AD:AD*"8O&lt;!/["</f>
        <v>#VALUE!</v>
      </c>
      <c r="H4" t="e">
        <f>Rules!AE:AE*"8O&lt;!/\"</f>
        <v>#VALUE!</v>
      </c>
      <c r="I4" t="e">
        <f>Rules!AF:AF*"8O&lt;!/]"</f>
        <v>#VALUE!</v>
      </c>
      <c r="J4" t="e">
        <f>Rules!AG:AG*"8O&lt;!/^"</f>
        <v>#VALUE!</v>
      </c>
      <c r="K4" t="e">
        <f>Rules!AH:AH*"8O&lt;!/_"</f>
        <v>#VALUE!</v>
      </c>
      <c r="L4" t="e">
        <f>Rules!AI:AI*"8O&lt;!/`"</f>
        <v>#VALUE!</v>
      </c>
      <c r="M4" t="e">
        <f>Rules!AJ:AJ*"8O&lt;!/a"</f>
        <v>#VALUE!</v>
      </c>
      <c r="N4" t="e">
        <f>Rules!AK:AK*"8O&lt;!/b"</f>
        <v>#VALUE!</v>
      </c>
      <c r="O4" t="e">
        <f>Rules!AL:AL*"8O&lt;!/c"</f>
        <v>#VALUE!</v>
      </c>
      <c r="P4" t="e">
        <f>Rules!AM:AM*"8O&lt;!/d"</f>
        <v>#VALUE!</v>
      </c>
      <c r="Q4" t="e">
        <f>Rules!AN:AN*"8O&lt;!/e"</f>
        <v>#VALUE!</v>
      </c>
      <c r="R4" t="e">
        <f>Rules!AO:AO*"8O&lt;!/f"</f>
        <v>#VALUE!</v>
      </c>
      <c r="S4" t="e">
        <f>Rules!AP:AP*"8O&lt;!/g"</f>
        <v>#VALUE!</v>
      </c>
      <c r="T4" t="e">
        <f>Rules!AQ:AQ*"8O&lt;!/h"</f>
        <v>#VALUE!</v>
      </c>
      <c r="U4" t="e">
        <f>Rules!AR:AR*"8O&lt;!/i"</f>
        <v>#VALUE!</v>
      </c>
      <c r="V4" t="e">
        <f>Rules!AS:AS*"8O&lt;!/j"</f>
        <v>#VALUE!</v>
      </c>
      <c r="W4" t="e">
        <f>Rules!AT:AT*"8O&lt;!/k"</f>
        <v>#VALUE!</v>
      </c>
      <c r="X4" t="e">
        <f>Rules!AU:AU*"8O&lt;!/l"</f>
        <v>#VALUE!</v>
      </c>
      <c r="Y4" t="e">
        <f>Rules!AV:AV*"8O&lt;!/m"</f>
        <v>#VALUE!</v>
      </c>
      <c r="Z4" t="e">
        <f>Rules!AW:AW*"8O&lt;!/n"</f>
        <v>#VALUE!</v>
      </c>
      <c r="AA4" t="e">
        <f>Rules!AX:AX*"8O&lt;!/o"</f>
        <v>#VALUE!</v>
      </c>
      <c r="AB4" t="e">
        <f>Rules!AY:AY*"8O&lt;!/p"</f>
        <v>#VALUE!</v>
      </c>
      <c r="AC4" t="e">
        <f>Rules!1:1-"8O&lt;!/q"</f>
        <v>#VALUE!</v>
      </c>
      <c r="AD4" t="e">
        <f>Rules!2:2-"8O&lt;!/r"</f>
        <v>#VALUE!</v>
      </c>
      <c r="AE4" t="e">
        <f>Rules!#REF!-"8O&lt;!/s"</f>
        <v>#REF!</v>
      </c>
      <c r="AF4" t="e">
        <f>Rules!3:3-"8O&lt;!/t"</f>
        <v>#VALUE!</v>
      </c>
      <c r="AG4" t="e">
        <f>Rules!4:4-"8O&lt;!/u"</f>
        <v>#VALUE!</v>
      </c>
      <c r="AH4" t="e">
        <f>Rules!5:5-"8O&lt;!/v"</f>
        <v>#VALUE!</v>
      </c>
      <c r="AI4" t="e">
        <f>Rules!6:6-"8O&lt;!/w"</f>
        <v>#VALUE!</v>
      </c>
      <c r="AJ4" t="e">
        <f>Rules!7:7-"8O&lt;!/x"</f>
        <v>#VALUE!</v>
      </c>
      <c r="AK4" t="e">
        <f>Rules!8:8-"8O&lt;!/y"</f>
        <v>#VALUE!</v>
      </c>
      <c r="AL4" t="e">
        <f>Rules!9:9-"8O&lt;!/z"</f>
        <v>#VALUE!</v>
      </c>
      <c r="AM4" t="e">
        <f>Rules!11:11-"8O&lt;!/{"</f>
        <v>#VALUE!</v>
      </c>
      <c r="AN4" t="e">
        <f>Rules!20:20-"8O&lt;!/|"</f>
        <v>#VALUE!</v>
      </c>
      <c r="AO4" t="e">
        <f>Rules!21:21-"8O&lt;!/}"</f>
        <v>#VALUE!</v>
      </c>
      <c r="AP4" t="e">
        <f>Rules!22:22-"8O&lt;!/~"</f>
        <v>#VALUE!</v>
      </c>
      <c r="AQ4" t="e">
        <f>Rules!23:23-"8O&lt;!0#"</f>
        <v>#VALUE!</v>
      </c>
      <c r="AR4" t="e">
        <f>Rules!24:24-"8O&lt;!0$"</f>
        <v>#VALUE!</v>
      </c>
      <c r="AS4" t="e">
        <f>Rules!25:25-"8O&lt;!0%"</f>
        <v>#VALUE!</v>
      </c>
      <c r="AT4" t="e">
        <f>Rules!26:26-"8O&lt;!0&amp;"</f>
        <v>#VALUE!</v>
      </c>
      <c r="AU4" t="e">
        <f>Rules!27:27-"8O&lt;!0'"</f>
        <v>#VALUE!</v>
      </c>
      <c r="AV4" t="e">
        <f>Rules!28:28-"8O&lt;!0("</f>
        <v>#VALUE!</v>
      </c>
      <c r="AW4" t="e">
        <f>Rules!#REF!-"8O&lt;!0)"</f>
        <v>#REF!</v>
      </c>
      <c r="AX4" t="e">
        <f>Rules!29:29-"8O&lt;!0."</f>
        <v>#VALUE!</v>
      </c>
      <c r="AY4" t="e">
        <f>Rules!30:30-"8O&lt;!0/"</f>
        <v>#VALUE!</v>
      </c>
      <c r="AZ4" t="e">
        <f>Rules!31:31-"8O&lt;!00"</f>
        <v>#VALUE!</v>
      </c>
      <c r="BA4" t="e">
        <f>Rules!32:32-"8O&lt;!01"</f>
        <v>#VALUE!</v>
      </c>
      <c r="BB4" t="e">
        <f>Rules!33:33-"8O&lt;!02"</f>
        <v>#VALUE!</v>
      </c>
      <c r="BC4" t="e">
        <f>Rules!34:34-"8O&lt;!03"</f>
        <v>#VALUE!</v>
      </c>
      <c r="BD4" t="e">
        <f>Rules!35:35-"8O&lt;!04"</f>
        <v>#VALUE!</v>
      </c>
      <c r="BE4" t="e">
        <f>Rules!36:36-"8O&lt;!05"</f>
        <v>#VALUE!</v>
      </c>
      <c r="BF4" t="e">
        <f>Rules!37:37-"8O&lt;!06"</f>
        <v>#VALUE!</v>
      </c>
      <c r="BG4" t="e">
        <f>Rules!38:38-"8O&lt;!07"</f>
        <v>#VALUE!</v>
      </c>
      <c r="BH4" t="e">
        <f>Rules!39:39-"8O&lt;!08"</f>
        <v>#VALUE!</v>
      </c>
      <c r="BI4" t="e">
        <f>Rules!40:40-"8O&lt;!09"</f>
        <v>#VALUE!</v>
      </c>
      <c r="BJ4" t="e">
        <f>Rules!41:41-"8O&lt;!0:"</f>
        <v>#VALUE!</v>
      </c>
      <c r="BK4" t="e">
        <f>Rules!42:42-"8O&lt;!0;"</f>
        <v>#VALUE!</v>
      </c>
      <c r="BL4" t="e">
        <f>Rules!44:44-"8O&lt;!0&lt;"</f>
        <v>#VALUE!</v>
      </c>
      <c r="BM4" t="e">
        <f>Rules!62:62-"8O&lt;!0="</f>
        <v>#VALUE!</v>
      </c>
      <c r="BN4" t="e">
        <f>Rules!63:63-"8O&lt;!0&gt;"</f>
        <v>#VALUE!</v>
      </c>
      <c r="BO4" t="e">
        <f>Rules!64:64-"8O&lt;!0?"</f>
        <v>#VALUE!</v>
      </c>
      <c r="BP4" t="e">
        <f>Rules!65:65-"8O&lt;!0@"</f>
        <v>#VALUE!</v>
      </c>
      <c r="BQ4" t="e">
        <f>Rules!66:66-"8O&lt;!0A"</f>
        <v>#VALUE!</v>
      </c>
      <c r="BR4" t="e">
        <f>Rules!67:67-"8O&lt;!0B"</f>
        <v>#VALUE!</v>
      </c>
      <c r="BS4" t="e">
        <f>Rules!45:45-"8O&lt;!0C"</f>
        <v>#VALUE!</v>
      </c>
      <c r="BT4" t="e">
        <f>Rules!46:46-"8O&lt;!0D"</f>
        <v>#VALUE!</v>
      </c>
      <c r="BU4" t="e">
        <f>Rules!47:47-"8O&lt;!0E"</f>
        <v>#VALUE!</v>
      </c>
      <c r="BV4" t="e">
        <f>Rules!48:48-"8O&lt;!0F"</f>
        <v>#VALUE!</v>
      </c>
      <c r="BW4" t="e">
        <f>Rules!49:49-"8O&lt;!0G"</f>
        <v>#VALUE!</v>
      </c>
      <c r="BX4" t="e">
        <f>Rules!50:50-"8O&lt;!0H"</f>
        <v>#VALUE!</v>
      </c>
      <c r="BY4" t="e">
        <f>Rules!51:51-"8O&lt;!0I"</f>
        <v>#VALUE!</v>
      </c>
      <c r="BZ4" t="e">
        <f>Rules!52:52-"8O&lt;!0J"</f>
        <v>#VALUE!</v>
      </c>
      <c r="CA4" t="e">
        <f>Rules!53:53-"8O&lt;!0K"</f>
        <v>#VALUE!</v>
      </c>
      <c r="CB4" t="e">
        <f>Rules!54:54-"8O&lt;!0L"</f>
        <v>#VALUE!</v>
      </c>
      <c r="CC4" t="e">
        <f>Rules!55:55-"8O&lt;!0M"</f>
        <v>#VALUE!</v>
      </c>
      <c r="CD4" t="e">
        <f>Rules!56:56-"8O&lt;!0N"</f>
        <v>#VALUE!</v>
      </c>
      <c r="CE4" t="e">
        <f>Rules!57:57-"8O&lt;!0O"</f>
        <v>#VALUE!</v>
      </c>
      <c r="CF4" t="e">
        <f>Rules!58:58-"8O&lt;!0P"</f>
        <v>#VALUE!</v>
      </c>
      <c r="CG4" t="e">
        <f>Rules!59:59-"8O&lt;!0Q"</f>
        <v>#VALUE!</v>
      </c>
      <c r="CH4" t="e">
        <f>Rules!61:61-"8O&lt;!0R"</f>
        <v>#VALUE!</v>
      </c>
      <c r="CI4" t="e">
        <f>Rules!68:68-"8O&lt;!0S"</f>
        <v>#VALUE!</v>
      </c>
      <c r="CJ4" t="e">
        <f>Rules!69:69-"8O&lt;!0T"</f>
        <v>#VALUE!</v>
      </c>
      <c r="CK4" t="e">
        <f>Rules!#REF!-"8O&lt;!0U"</f>
        <v>#REF!</v>
      </c>
      <c r="CL4" t="e">
        <f>Rules!#REF!-"8O&lt;!0V"</f>
        <v>#REF!</v>
      </c>
      <c r="CM4" t="e">
        <f>Rules!70:70-"8O&lt;!0W"</f>
        <v>#VALUE!</v>
      </c>
      <c r="CN4" t="e">
        <f>Rules!71:71-"8O&lt;!0X"</f>
        <v>#VALUE!</v>
      </c>
      <c r="CO4" t="e">
        <f>Rules!#REF!-"8O&lt;!0Y"</f>
        <v>#REF!</v>
      </c>
      <c r="CP4" t="e">
        <f>Rules!#REF!-"8O&lt;!0Z"</f>
        <v>#REF!</v>
      </c>
      <c r="CQ4" t="e">
        <f>Rules!#REF!-"8O&lt;!0["</f>
        <v>#REF!</v>
      </c>
      <c r="CR4" t="e">
        <f>Rules!72:72-"8O&lt;!0\"</f>
        <v>#VALUE!</v>
      </c>
      <c r="CS4" t="e">
        <f>Rules!73:73-"8O&lt;!0]"</f>
        <v>#VALUE!</v>
      </c>
      <c r="CT4" t="e">
        <f>Rules!74:74-"8O&lt;!0^"</f>
        <v>#VALUE!</v>
      </c>
      <c r="CU4" t="e">
        <f>Rules!75:75-"8O&lt;!0_"</f>
        <v>#VALUE!</v>
      </c>
      <c r="CV4" t="e">
        <f>Rules!76:76-"8O&lt;!0`"</f>
        <v>#VALUE!</v>
      </c>
      <c r="CW4" t="e">
        <f>Rules!77:77-"8O&lt;!0a"</f>
        <v>#VALUE!</v>
      </c>
      <c r="CX4" t="e">
        <f>Rules!78:78-"8O&lt;!0b"</f>
        <v>#VALUE!</v>
      </c>
      <c r="CY4" t="e">
        <f>Rules!79:79-"8O&lt;!0c"</f>
        <v>#VALUE!</v>
      </c>
      <c r="CZ4" t="e">
        <f>Rules!80:80-"8O&lt;!0d"</f>
        <v>#VALUE!</v>
      </c>
      <c r="DA4" t="e">
        <f>Rules!81:81-"8O&lt;!0e"</f>
        <v>#VALUE!</v>
      </c>
      <c r="DB4" t="e">
        <f>Rules!82:82-"8O&lt;!0f"</f>
        <v>#VALUE!</v>
      </c>
      <c r="DC4" t="e">
        <f>Rules!83:83-"8O&lt;!0g"</f>
        <v>#VALUE!</v>
      </c>
      <c r="DD4" t="e">
        <f>Rules!84:84-"8O&lt;!0h"</f>
        <v>#VALUE!</v>
      </c>
      <c r="DE4" t="e">
        <f>Rules!85:85-"8O&lt;!0i"</f>
        <v>#VALUE!</v>
      </c>
      <c r="DF4" t="e">
        <f>Rules!86:86-"8O&lt;!0j"</f>
        <v>#VALUE!</v>
      </c>
      <c r="DG4" t="e">
        <f>Rules!87:87-"8O&lt;!0k"</f>
        <v>#VALUE!</v>
      </c>
      <c r="DH4" t="e">
        <f>Rules!88:88-"8O&lt;!0l"</f>
        <v>#VALUE!</v>
      </c>
      <c r="DI4" t="e">
        <f>Rules!89:89-"8O&lt;!0m"</f>
        <v>#VALUE!</v>
      </c>
      <c r="DJ4" t="e">
        <f>Rules!90:90-"8O&lt;!0n"</f>
        <v>#VALUE!</v>
      </c>
      <c r="DK4" t="e">
        <f>Rules!91:91-"8O&lt;!0o"</f>
        <v>#VALUE!</v>
      </c>
      <c r="DL4" t="e">
        <f>Rules!92:92-"8O&lt;!0p"</f>
        <v>#VALUE!</v>
      </c>
      <c r="DM4" t="e">
        <f>Rules!93:93-"8O&lt;!0q"</f>
        <v>#VALUE!</v>
      </c>
      <c r="DN4" t="e">
        <f>Rules!94:94-"8O&lt;!0r"</f>
        <v>#VALUE!</v>
      </c>
      <c r="DO4" t="e">
        <f>Rules!95:95-"8O&lt;!0s"</f>
        <v>#VALUE!</v>
      </c>
      <c r="DP4" t="e">
        <f>Rules!96:96-"8O&lt;!0t"</f>
        <v>#VALUE!</v>
      </c>
      <c r="DQ4" t="e">
        <f>Rules!97:97-"8O&lt;!0u"</f>
        <v>#VALUE!</v>
      </c>
      <c r="DR4" t="e">
        <f>Rules!98:98-"8O&lt;!0v"</f>
        <v>#VALUE!</v>
      </c>
      <c r="DS4" t="e">
        <f>Rules!99:99-"8O&lt;!0w"</f>
        <v>#VALUE!</v>
      </c>
      <c r="DT4" t="e">
        <f>Rules!100:100-"8O&lt;!0x"</f>
        <v>#VALUE!</v>
      </c>
      <c r="DU4" t="e">
        <f>Rules!101:101-"8O&lt;!0y"</f>
        <v>#VALUE!</v>
      </c>
      <c r="DV4" t="e">
        <f>Rules!102:102-"8O&lt;!0z"</f>
        <v>#VALUE!</v>
      </c>
      <c r="DW4" t="e">
        <f>Rules!103:103-"8O&lt;!0{"</f>
        <v>#VALUE!</v>
      </c>
      <c r="DX4" t="e">
        <f>Rules!104:104-"8O&lt;!0|"</f>
        <v>#VALUE!</v>
      </c>
      <c r="DY4" t="e">
        <f>Rules!105:105-"8O&lt;!0}"</f>
        <v>#VALUE!</v>
      </c>
      <c r="DZ4" t="e">
        <f>Rules!106:106-"8O&lt;!0~"</f>
        <v>#VALUE!</v>
      </c>
      <c r="EA4" t="e">
        <f>Rules!107:107-"8O&lt;!1#"</f>
        <v>#VALUE!</v>
      </c>
      <c r="EB4" t="e">
        <f>Rules!108:108-"8O&lt;!1$"</f>
        <v>#VALUE!</v>
      </c>
      <c r="EC4" t="e">
        <f>Rules!109:109-"8O&lt;!1%"</f>
        <v>#VALUE!</v>
      </c>
      <c r="ED4" t="e">
        <f>Rules!110:110-"8O&lt;!1&amp;"</f>
        <v>#VALUE!</v>
      </c>
      <c r="EE4" t="e">
        <f>Rules!111:111-"8O&lt;!1'"</f>
        <v>#VALUE!</v>
      </c>
      <c r="EF4" t="e">
        <f>Rules!112:112-"8O&lt;!1("</f>
        <v>#VALUE!</v>
      </c>
      <c r="EG4" t="e">
        <f>Rules!113:113-"8O&lt;!1)"</f>
        <v>#VALUE!</v>
      </c>
      <c r="EH4" t="e">
        <f>Rules!114:114-"8O&lt;!1."</f>
        <v>#VALUE!</v>
      </c>
      <c r="EI4" t="e">
        <f>Rules!115:115-"8O&lt;!1/"</f>
        <v>#VALUE!</v>
      </c>
      <c r="EJ4" t="e">
        <f>Rules!116:116-"8O&lt;!10"</f>
        <v>#VALUE!</v>
      </c>
      <c r="EK4" t="e">
        <f>Rules!117:117-"8O&lt;!11"</f>
        <v>#VALUE!</v>
      </c>
      <c r="EL4" t="e">
        <f>Rules!118:118-"8O&lt;!12"</f>
        <v>#VALUE!</v>
      </c>
      <c r="EM4" t="e">
        <f>Rules!119:119-"8O&lt;!13"</f>
        <v>#VALUE!</v>
      </c>
      <c r="EN4" t="e">
        <f>Rules!120:120-"8O&lt;!14"</f>
        <v>#VALUE!</v>
      </c>
      <c r="EO4" t="e">
        <f>Rules!121:121-"8O&lt;!15"</f>
        <v>#VALUE!</v>
      </c>
      <c r="EP4" t="e">
        <f>Rules!122:122-"8O&lt;!16"</f>
        <v>#VALUE!</v>
      </c>
      <c r="EQ4" t="e">
        <f>Rules!123:123-"8O&lt;!17"</f>
        <v>#VALUE!</v>
      </c>
      <c r="ER4" t="e">
        <f>Rules!124:124-"8O&lt;!18"</f>
        <v>#VALUE!</v>
      </c>
      <c r="ES4" t="e">
        <f>Rules!125:125-"8O&lt;!19"</f>
        <v>#VALUE!</v>
      </c>
      <c r="ET4" t="e">
        <f>Rules!126:126-"8O&lt;!1:"</f>
        <v>#VALUE!</v>
      </c>
      <c r="EU4" t="e">
        <f>Rules!127:127-"8O&lt;!1;"</f>
        <v>#VALUE!</v>
      </c>
      <c r="EV4" t="e">
        <f>Rules!128:128-"8O&lt;!1&lt;"</f>
        <v>#VALUE!</v>
      </c>
      <c r="EW4" t="e">
        <f>Rules!129:129-"8O&lt;!1="</f>
        <v>#VALUE!</v>
      </c>
      <c r="EX4" t="e">
        <f>Rules!130:130-"8O&lt;!1&gt;"</f>
        <v>#VALUE!</v>
      </c>
      <c r="EY4" t="e">
        <f>Rules!131:131-"8O&lt;!1?"</f>
        <v>#VALUE!</v>
      </c>
      <c r="EZ4" t="e">
        <f>Rules!132:132-"8O&lt;!1@"</f>
        <v>#VALUE!</v>
      </c>
      <c r="FA4" t="e">
        <f>Rules!133:133-"8O&lt;!1A"</f>
        <v>#VALUE!</v>
      </c>
      <c r="FB4" t="e">
        <f>Rules!134:134-"8O&lt;!1B"</f>
        <v>#VALUE!</v>
      </c>
      <c r="FC4" t="e">
        <f>Rules!135:135-"8O&lt;!1C"</f>
        <v>#VALUE!</v>
      </c>
      <c r="FD4" t="e">
        <f>Rules!136:136-"8O&lt;!1D"</f>
        <v>#VALUE!</v>
      </c>
      <c r="FE4" t="e">
        <f>Rules!137:137-"8O&lt;!1E"</f>
        <v>#VALUE!</v>
      </c>
      <c r="FF4" t="e">
        <f>Rules!138:138-"8O&lt;!1F"</f>
        <v>#VALUE!</v>
      </c>
      <c r="FG4" t="e">
        <f>Rules!139:139-"8O&lt;!1G"</f>
        <v>#VALUE!</v>
      </c>
      <c r="FH4" t="e">
        <f>Rules!140:140-"8O&lt;!1H"</f>
        <v>#VALUE!</v>
      </c>
      <c r="FI4" t="e">
        <f>Rules!141:141-"8O&lt;!1I"</f>
        <v>#VALUE!</v>
      </c>
      <c r="FJ4" t="e">
        <f>Rules!142:142-"8O&lt;!1J"</f>
        <v>#VALUE!</v>
      </c>
      <c r="FK4" t="e">
        <f>Rules!143:143-"8O&lt;!1K"</f>
        <v>#VALUE!</v>
      </c>
      <c r="FL4" t="e">
        <f>Rules!144:144-"8O&lt;!1L"</f>
        <v>#VALUE!</v>
      </c>
      <c r="FM4" t="e">
        <f>Rules!145:145-"8O&lt;!1M"</f>
        <v>#VALUE!</v>
      </c>
      <c r="FN4" t="e">
        <f>Rules!146:146-"8O&lt;!1N"</f>
        <v>#VALUE!</v>
      </c>
      <c r="FO4" t="e">
        <f>Rules!147:147-"8O&lt;!1O"</f>
        <v>#VALUE!</v>
      </c>
      <c r="FP4" t="e">
        <f>Rules!148:148-"8O&lt;!1P"</f>
        <v>#VALUE!</v>
      </c>
      <c r="FQ4" t="e">
        <f>Rules!149:149-"8O&lt;!1Q"</f>
        <v>#VALUE!</v>
      </c>
      <c r="FR4" t="e">
        <f>Rules!150:150-"8O&lt;!1R"</f>
        <v>#VALUE!</v>
      </c>
      <c r="FS4" t="e">
        <f>Rules!151:151-"8O&lt;!1S"</f>
        <v>#VALUE!</v>
      </c>
      <c r="FT4" t="e">
        <f>Rules!152:152-"8O&lt;!1T"</f>
        <v>#VALUE!</v>
      </c>
      <c r="FU4" t="e">
        <f>Rules!153:153-"8O&lt;!1U"</f>
        <v>#VALUE!</v>
      </c>
      <c r="FV4" t="e">
        <f>Rules!154:154-"8O&lt;!1V"</f>
        <v>#VALUE!</v>
      </c>
      <c r="FW4" t="e">
        <f>Rules!155:155-"8O&lt;!1W"</f>
        <v>#VALUE!</v>
      </c>
      <c r="FX4" t="e">
        <f>Rules!156:156-"8O&lt;!1X"</f>
        <v>#VALUE!</v>
      </c>
      <c r="FY4" t="e">
        <f>Rules!157:157-"8O&lt;!1Y"</f>
        <v>#VALUE!</v>
      </c>
      <c r="FZ4" t="e">
        <f>Rules!158:158-"8O&lt;!1Z"</f>
        <v>#VALUE!</v>
      </c>
      <c r="GA4" t="e">
        <f>Rules!159:159-"8O&lt;!1["</f>
        <v>#VALUE!</v>
      </c>
      <c r="GB4" t="e">
        <f>Rules!160:160-"8O&lt;!1\"</f>
        <v>#VALUE!</v>
      </c>
      <c r="GC4" t="e">
        <f>Rules!161:161-"8O&lt;!1]"</f>
        <v>#VALUE!</v>
      </c>
      <c r="GD4" t="e">
        <f>Rules!162:162-"8O&lt;!1^"</f>
        <v>#VALUE!</v>
      </c>
      <c r="GE4" t="e">
        <f>Rules!163:163-"8O&lt;!1_"</f>
        <v>#VALUE!</v>
      </c>
      <c r="GF4" t="e">
        <f>Rules!164:164-"8O&lt;!1`"</f>
        <v>#VALUE!</v>
      </c>
      <c r="GG4" t="e">
        <f>Rules!165:165-"8O&lt;!1a"</f>
        <v>#VALUE!</v>
      </c>
      <c r="GH4" t="e">
        <f>Rules!166:166-"8O&lt;!1b"</f>
        <v>#VALUE!</v>
      </c>
      <c r="GI4" t="e">
        <f>Rules!167:167-"8O&lt;!1c"</f>
        <v>#VALUE!</v>
      </c>
      <c r="GJ4" t="e">
        <f>Rules!168:168-"8O&lt;!1d"</f>
        <v>#VALUE!</v>
      </c>
      <c r="GK4" t="e">
        <f>Rules!169:169-"8O&lt;!1e"</f>
        <v>#VALUE!</v>
      </c>
      <c r="GL4" t="e">
        <f>Rules!170:170-"8O&lt;!1f"</f>
        <v>#VALUE!</v>
      </c>
      <c r="GM4" t="e">
        <f>Rules!171:171-"8O&lt;!1g"</f>
        <v>#VALUE!</v>
      </c>
      <c r="GN4" t="e">
        <f>Rules!172:172-"8O&lt;!1h"</f>
        <v>#VALUE!</v>
      </c>
      <c r="GO4" t="e">
        <f>Rules!173:173-"8O&lt;!1i"</f>
        <v>#VALUE!</v>
      </c>
      <c r="GP4" t="e">
        <f>Rules!174:174-"8O&lt;!1j"</f>
        <v>#VALUE!</v>
      </c>
      <c r="GQ4" t="e">
        <f>Rules!175:175-"8O&lt;!1k"</f>
        <v>#VALUE!</v>
      </c>
      <c r="GR4" t="e">
        <f>Rules!176:176-"8O&lt;!1l"</f>
        <v>#VALUE!</v>
      </c>
      <c r="GS4" t="e">
        <f>Rules!177:177-"8O&lt;!1m"</f>
        <v>#VALUE!</v>
      </c>
      <c r="GT4" t="e">
        <f>Rules!178:178-"8O&lt;!1n"</f>
        <v>#VALUE!</v>
      </c>
      <c r="GU4" t="e">
        <f>Rules!179:179-"8O&lt;!1o"</f>
        <v>#VALUE!</v>
      </c>
      <c r="GV4" t="e">
        <f>Rules!180:180-"8O&lt;!1p"</f>
        <v>#VALUE!</v>
      </c>
      <c r="GW4" t="e">
        <f>Rules!181:181-"8O&lt;!1q"</f>
        <v>#VALUE!</v>
      </c>
      <c r="GX4" t="e">
        <f>Rules!182:182-"8O&lt;!1r"</f>
        <v>#VALUE!</v>
      </c>
      <c r="GY4" t="e">
        <f>Rules!183:183-"8O&lt;!1s"</f>
        <v>#VALUE!</v>
      </c>
      <c r="GZ4" t="e">
        <f>Rules!184:184-"8O&lt;!1t"</f>
        <v>#VALUE!</v>
      </c>
      <c r="HA4" t="e">
        <f>Rules!185:185-"8O&lt;!1u"</f>
        <v>#VALUE!</v>
      </c>
      <c r="HB4" t="e">
        <f>Rules!186:186-"8O&lt;!1v"</f>
        <v>#VALUE!</v>
      </c>
      <c r="HC4" t="e">
        <f>Rules!187:187-"8O&lt;!1w"</f>
        <v>#VALUE!</v>
      </c>
      <c r="HD4" t="e">
        <f>Rules!188:188-"8O&lt;!1x"</f>
        <v>#VALUE!</v>
      </c>
      <c r="HE4" t="e">
        <f>Rules!189:189-"8O&lt;!1y"</f>
        <v>#VALUE!</v>
      </c>
      <c r="HF4" t="e">
        <f>Rules!190:190-"8O&lt;!1z"</f>
        <v>#VALUE!</v>
      </c>
      <c r="HG4" t="e">
        <f>Rules!191:191-"8O&lt;!1{"</f>
        <v>#VALUE!</v>
      </c>
      <c r="HH4" t="e">
        <f>Rules!192:192-"8O&lt;!1|"</f>
        <v>#VALUE!</v>
      </c>
      <c r="HI4" t="e">
        <f>Rules!193:193-"8O&lt;!1}"</f>
        <v>#VALUE!</v>
      </c>
      <c r="HJ4" t="e">
        <f>Rules!194:194-"8O&lt;!1~"</f>
        <v>#VALUE!</v>
      </c>
      <c r="HK4" t="e">
        <f>Rules!195:195-"8O&lt;!2#"</f>
        <v>#VALUE!</v>
      </c>
      <c r="HL4" t="e">
        <f>Rules!196:196-"8O&lt;!2$"</f>
        <v>#VALUE!</v>
      </c>
      <c r="HM4" t="e">
        <f>Rules!197:197-"8O&lt;!2%"</f>
        <v>#VALUE!</v>
      </c>
      <c r="HN4" t="e">
        <f>Rules!198:198-"8O&lt;!2&amp;"</f>
        <v>#VALUE!</v>
      </c>
      <c r="HO4" t="e">
        <f>Rules!199:199-"8O&lt;!2'"</f>
        <v>#VALUE!</v>
      </c>
      <c r="HP4" t="e">
        <f>Rules!200:200-"8O&lt;!2("</f>
        <v>#VALUE!</v>
      </c>
      <c r="HQ4" t="e">
        <f>Rules!201:201-"8O&lt;!2)"</f>
        <v>#VALUE!</v>
      </c>
      <c r="HR4" t="e">
        <f>Rules!202:202-"8O&lt;!2."</f>
        <v>#VALUE!</v>
      </c>
      <c r="HS4" t="e">
        <f>Rules!203:203-"8O&lt;!2/"</f>
        <v>#VALUE!</v>
      </c>
      <c r="HT4" t="e">
        <f>Rules!204:204-"8O&lt;!20"</f>
        <v>#VALUE!</v>
      </c>
      <c r="HU4" t="e">
        <f>Rules!205:205-"8O&lt;!21"</f>
        <v>#VALUE!</v>
      </c>
      <c r="HV4" t="e">
        <f>Rules!206:206-"8O&lt;!22"</f>
        <v>#VALUE!</v>
      </c>
      <c r="HW4" t="e">
        <f>Rules!207:207-"8O&lt;!23"</f>
        <v>#VALUE!</v>
      </c>
      <c r="HX4" t="e">
        <f>Rules!208:208-"8O&lt;!24"</f>
        <v>#VALUE!</v>
      </c>
      <c r="HY4" t="e">
        <f>Rules!209:209-"8O&lt;!25"</f>
        <v>#VALUE!</v>
      </c>
      <c r="HZ4" t="e">
        <f>Rules!210:210-"8O&lt;!26"</f>
        <v>#VALUE!</v>
      </c>
      <c r="IA4" t="e">
        <f>Rules!211:211-"8O&lt;!27"</f>
        <v>#VALUE!</v>
      </c>
      <c r="IB4" t="e">
        <f>Rules!212:212-"8O&lt;!28"</f>
        <v>#VALUE!</v>
      </c>
      <c r="IC4" t="e">
        <f>Rules!213:213-"8O&lt;!29"</f>
        <v>#VALUE!</v>
      </c>
      <c r="ID4" t="e">
        <f>Rules!214:214-"8O&lt;!2:"</f>
        <v>#VALUE!</v>
      </c>
      <c r="IE4" t="e">
        <f>Rules!A1+"8O&lt;!2;"</f>
        <v>#VALUE!</v>
      </c>
      <c r="IF4" t="e">
        <f>Rules!A4+"8O&lt;!2&lt;"</f>
        <v>#VALUE!</v>
      </c>
      <c r="IG4" t="e">
        <f>Rules!A5+"8O&lt;!2="</f>
        <v>#VALUE!</v>
      </c>
      <c r="IH4" t="e">
        <f>Rules!A6+"8O&lt;!2&gt;"</f>
        <v>#VALUE!</v>
      </c>
      <c r="II4" t="e">
        <f>Rules!A8+"8O&lt;!2?"</f>
        <v>#VALUE!</v>
      </c>
      <c r="IJ4" t="e">
        <f>Rules!A9+"8O&lt;!2@"</f>
        <v>#VALUE!</v>
      </c>
      <c r="IK4" t="e">
        <f>CVEs!D:D*"8O&lt;!2A"</f>
        <v>#VALUE!</v>
      </c>
      <c r="IL4" t="e">
        <f>CVEs!F:F*"8O&lt;!2B"</f>
        <v>#VALUE!</v>
      </c>
      <c r="IM4" t="e">
        <f>CVEs!V:V*"8O&lt;!2C"</f>
        <v>#VALUE!</v>
      </c>
      <c r="IN4" t="e">
        <f>CVEs!BT:BT*"8O&lt;!2D"</f>
        <v>#VALUE!</v>
      </c>
      <c r="IO4" t="e">
        <f>CVEs!BU:BU*"8O&lt;!2E"</f>
        <v>#VALUE!</v>
      </c>
      <c r="IP4" t="e">
        <f>CVEs!9:9-"8O&lt;!2F"</f>
        <v>#VALUE!</v>
      </c>
      <c r="IQ4" t="e">
        <f>CVEs!20:20-"8O&lt;!2G"</f>
        <v>#VALUE!</v>
      </c>
      <c r="IR4" t="e">
        <f>CVEs!21:21-"8O&lt;!2H"</f>
        <v>#VALUE!</v>
      </c>
      <c r="IS4" t="e">
        <f>CVEs!#REF!-"8O&lt;!2I"</f>
        <v>#REF!</v>
      </c>
      <c r="IT4" t="e">
        <f>CVEs!31:31-"8O&lt;!2J"</f>
        <v>#VALUE!</v>
      </c>
      <c r="IU4" t="e">
        <f>CVEs!32:32-"8O&lt;!2K"</f>
        <v>#VALUE!</v>
      </c>
      <c r="IV4" t="e">
        <f>CVEs!33:33-"8O&lt;!2L"</f>
        <v>#VALUE!</v>
      </c>
    </row>
    <row r="5" spans="1:256" x14ac:dyDescent="0.25">
      <c r="A5" t="s">
        <v>1110</v>
      </c>
      <c r="F5" t="e">
        <f>CVEs!35:35-"8O&lt;!2M"</f>
        <v>#VALUE!</v>
      </c>
      <c r="G5" t="e">
        <f>CVEs!38:38-"8O&lt;!2N"</f>
        <v>#VALUE!</v>
      </c>
      <c r="H5" t="e">
        <f>CVEs!#REF!-"8O&lt;!2O"</f>
        <v>#REF!</v>
      </c>
      <c r="I5" t="e">
        <f>CVEs!#REF!-"8O&lt;!2P"</f>
        <v>#REF!</v>
      </c>
      <c r="J5" t="e">
        <f>CVEs!#REF!-"8O&lt;!2Q"</f>
        <v>#REF!</v>
      </c>
      <c r="K5" t="e">
        <f>CVEs!#REF!-"8O&lt;!2R"</f>
        <v>#REF!</v>
      </c>
      <c r="L5" t="e">
        <f>CVEs!#REF!-"8O&lt;!2S"</f>
        <v>#REF!</v>
      </c>
      <c r="M5" t="e">
        <f>CVEs!#REF!-"8O&lt;!2T"</f>
        <v>#REF!</v>
      </c>
      <c r="N5" t="e">
        <f>CVEs!#REF!-"8O&lt;!2U"</f>
        <v>#REF!</v>
      </c>
      <c r="O5" t="e">
        <f>CVEs!#REF!-"8O&lt;!2V"</f>
        <v>#REF!</v>
      </c>
      <c r="P5" t="e">
        <f>CVEs!#REF!-"8O&lt;!2W"</f>
        <v>#REF!</v>
      </c>
      <c r="Q5" t="e">
        <f>CVEs!#REF!-"8O&lt;!2X"</f>
        <v>#REF!</v>
      </c>
      <c r="R5" t="e">
        <f>CVEs!#REF!-"8O&lt;!2Y"</f>
        <v>#REF!</v>
      </c>
      <c r="S5" t="e">
        <f>CVEs!#REF!-"8O&lt;!2Z"</f>
        <v>#REF!</v>
      </c>
      <c r="T5" t="e">
        <f>CVEs!#REF!-"8O&lt;!2["</f>
        <v>#REF!</v>
      </c>
      <c r="U5" t="e">
        <f>CVEs!#REF!-"8O&lt;!2\"</f>
        <v>#REF!</v>
      </c>
      <c r="V5" t="e">
        <f>CVEs!#REF!-"8O&lt;!2]"</f>
        <v>#REF!</v>
      </c>
      <c r="W5" t="e">
        <f>CVEs!#REF!-"8O&lt;!2^"</f>
        <v>#REF!</v>
      </c>
      <c r="X5" t="e">
        <f>CVEs!274:274-"8O&lt;!2_"</f>
        <v>#VALUE!</v>
      </c>
      <c r="Y5" t="e">
        <f>CVEs!275:275-"8O&lt;!2`"</f>
        <v>#VALUE!</v>
      </c>
      <c r="Z5" t="e">
        <f>CVEs!276:276-"8O&lt;!2a"</f>
        <v>#VALUE!</v>
      </c>
      <c r="AA5" s="57" t="e">
        <f>CVEs!D2+"8O&lt;!2b"</f>
        <v>#VALUE!</v>
      </c>
      <c r="AB5" s="58" t="e">
        <f>CVEs!F2+"8O&lt;!2c"</f>
        <v>#VALUE!</v>
      </c>
      <c r="AC5" t="e">
        <f>CVEs!V2+"8O&lt;!2d"</f>
        <v>#VALUE!</v>
      </c>
      <c r="AD5" t="e">
        <f>CVEs!V3+"8O&lt;!2e"</f>
        <v>#VALUE!</v>
      </c>
      <c r="AE5" t="e">
        <f>CVEs!A4+"8O&lt;!2f"</f>
        <v>#VALUE!</v>
      </c>
      <c r="AF5" t="e">
        <f>CVEs!B4+"8O&lt;!2g"</f>
        <v>#VALUE!</v>
      </c>
      <c r="AG5" t="e">
        <f>CVEs!C4+"8O&lt;!2h"</f>
        <v>#VALUE!</v>
      </c>
      <c r="AH5" s="57" t="e">
        <f>CVEs!D4+"8O&lt;!2i"</f>
        <v>#VALUE!</v>
      </c>
      <c r="AI5" s="58" t="e">
        <f>CVEs!F4+"8O&lt;!2j"</f>
        <v>#VALUE!</v>
      </c>
      <c r="AJ5" t="e">
        <f>CVEs!U4+"8O&lt;!2k"</f>
        <v>#VALUE!</v>
      </c>
      <c r="AK5" t="e">
        <f>CVEs!V4+"8O&lt;!2l"</f>
        <v>#VALUE!</v>
      </c>
      <c r="AL5" t="e">
        <f>CVEs!T4+"8O&lt;!2m"</f>
        <v>#VALUE!</v>
      </c>
      <c r="AM5" t="e">
        <f>CVEs!W4+"8O&lt;!2n"</f>
        <v>#VALUE!</v>
      </c>
      <c r="AN5" t="e">
        <f>CVEs!A5+"8O&lt;!2o"</f>
        <v>#VALUE!</v>
      </c>
      <c r="AO5" t="e">
        <f>CVEs!B5+"8O&lt;!2p"</f>
        <v>#VALUE!</v>
      </c>
      <c r="AP5" t="e">
        <f>CVEs!C5+"8O&lt;!2q"</f>
        <v>#VALUE!</v>
      </c>
      <c r="AQ5" s="57" t="e">
        <f>CVEs!D5+"8O&lt;!2r"</f>
        <v>#VALUE!</v>
      </c>
      <c r="AR5" s="58" t="e">
        <f>CVEs!F5+"8O&lt;!2s"</f>
        <v>#VALUE!</v>
      </c>
      <c r="AS5" t="e">
        <f>CVEs!U5+"8O&lt;!2t"</f>
        <v>#VALUE!</v>
      </c>
      <c r="AT5" t="e">
        <f>CVEs!V5+"8O&lt;!2u"</f>
        <v>#VALUE!</v>
      </c>
      <c r="AU5" t="e">
        <f>CVEs!T5+"8O&lt;!2v"</f>
        <v>#VALUE!</v>
      </c>
      <c r="AV5" t="e">
        <f>CVEs!W5+"8O&lt;!2w"</f>
        <v>#VALUE!</v>
      </c>
      <c r="AW5" s="57" t="e">
        <f>CVEs!D7+"8O&lt;!2x"</f>
        <v>#VALUE!</v>
      </c>
      <c r="AX5" s="58" t="e">
        <f>CVEs!F7+"8O&lt;!2y"</f>
        <v>#VALUE!</v>
      </c>
      <c r="AY5" t="e">
        <f>CVEs!H7+"8O&lt;!2z"</f>
        <v>#VALUE!</v>
      </c>
      <c r="AZ5" t="e">
        <f>CVEs!I7+"8O&lt;!2{"</f>
        <v>#VALUE!</v>
      </c>
      <c r="BA5" t="e">
        <f>CVEs!K7+"8O&lt;!2|"</f>
        <v>#VALUE!</v>
      </c>
      <c r="BB5" t="e">
        <f>CVEs!L7+"8O&lt;!2}"</f>
        <v>#VALUE!</v>
      </c>
      <c r="BC5" t="e">
        <f>CVEs!M7+"8O&lt;!2~"</f>
        <v>#VALUE!</v>
      </c>
      <c r="BD5" t="e">
        <f>CVEs!N7+"8O&lt;!3#"</f>
        <v>#VALUE!</v>
      </c>
      <c r="BE5" t="e">
        <f>CVEs!O7+"8O&lt;!3$"</f>
        <v>#VALUE!</v>
      </c>
      <c r="BF5" t="e">
        <f>CVEs!P7+"8O&lt;!3%"</f>
        <v>#VALUE!</v>
      </c>
      <c r="BG5" t="e">
        <f>CVEs!Q7+"8O&lt;!3&amp;"</f>
        <v>#VALUE!</v>
      </c>
      <c r="BH5" t="e">
        <f>CVEs!R7+"8O&lt;!3'"</f>
        <v>#VALUE!</v>
      </c>
      <c r="BI5" t="e">
        <f>CVEs!V7+"8O&lt;!3("</f>
        <v>#VALUE!</v>
      </c>
      <c r="BJ5" t="e">
        <f>CVEs!A8+"8O&lt;!3)"</f>
        <v>#VALUE!</v>
      </c>
      <c r="BK5" t="e">
        <f>CVEs!I8+"8O&lt;!3."</f>
        <v>#VALUE!</v>
      </c>
      <c r="BL5" t="e">
        <f>CVEs!N8+"8O&lt;!3/"</f>
        <v>#VALUE!</v>
      </c>
      <c r="BM5" t="e">
        <f>CVEs!O8+"8O&lt;!30"</f>
        <v>#VALUE!</v>
      </c>
      <c r="BN5" t="e">
        <f>CVEs!P8+"8O&lt;!31"</f>
        <v>#VALUE!</v>
      </c>
      <c r="BO5" t="e">
        <f>CVEs!I9+"8O&lt;!32"</f>
        <v>#VALUE!</v>
      </c>
      <c r="BP5" t="e">
        <f>CVEs!J9+"8O&lt;!33"</f>
        <v>#VALUE!</v>
      </c>
      <c r="BQ5" t="e">
        <f>CVEs!K9+"8O&lt;!34"</f>
        <v>#VALUE!</v>
      </c>
      <c r="BR5" t="e">
        <f>CVEs!L9+"8O&lt;!35"</f>
        <v>#VALUE!</v>
      </c>
      <c r="BS5" t="e">
        <f>CVEs!M9+"8O&lt;!36"</f>
        <v>#VALUE!</v>
      </c>
      <c r="BT5" t="e">
        <f>CVEs!N9+"8O&lt;!37"</f>
        <v>#VALUE!</v>
      </c>
      <c r="BU5" t="e">
        <f>CVEs!O9+"8O&lt;!38"</f>
        <v>#VALUE!</v>
      </c>
      <c r="BV5" t="e">
        <f>CVEs!P9+"8O&lt;!39"</f>
        <v>#VALUE!</v>
      </c>
      <c r="BW5" t="e">
        <f>CVEs!Q9+"8O&lt;!3:"</f>
        <v>#VALUE!</v>
      </c>
      <c r="BX5" s="57" t="e">
        <f>CVEs!D10+"8O&lt;!3;"</f>
        <v>#VALUE!</v>
      </c>
      <c r="BY5" s="58" t="e">
        <f>CVEs!F10+"8O&lt;!3&lt;"</f>
        <v>#VALUE!</v>
      </c>
      <c r="BZ5" t="e">
        <f>CVEs!V10+"8O&lt;!3="</f>
        <v>#VALUE!</v>
      </c>
      <c r="CA5" t="e">
        <f>CVEs!T10+"8O&lt;!3&gt;"</f>
        <v>#VALUE!</v>
      </c>
      <c r="CB5" t="e">
        <f>CVEs!W10+"8O&lt;!3?"</f>
        <v>#VALUE!</v>
      </c>
      <c r="CC5" s="57" t="e">
        <f>CVEs!D12+"8O&lt;!3@"</f>
        <v>#VALUE!</v>
      </c>
      <c r="CD5" s="58" t="e">
        <f>CVEs!F12+"8O&lt;!3A"</f>
        <v>#VALUE!</v>
      </c>
      <c r="CE5" t="e">
        <f>CVEs!U12+"8O&lt;!3B"</f>
        <v>#VALUE!</v>
      </c>
      <c r="CF5" t="e">
        <f>CVEs!T12+"8O&lt;!3C"</f>
        <v>#VALUE!</v>
      </c>
      <c r="CG5" t="e">
        <f>CVEs!W12+"8O&lt;!3D"</f>
        <v>#VALUE!</v>
      </c>
      <c r="CH5" t="e">
        <f>CVEs!B13+"8O&lt;!3E"</f>
        <v>#VALUE!</v>
      </c>
      <c r="CI5" t="e">
        <f>CVEs!C13+"8O&lt;!3F"</f>
        <v>#VALUE!</v>
      </c>
      <c r="CJ5" s="57" t="e">
        <f>CVEs!D13+"8O&lt;!3G"</f>
        <v>#VALUE!</v>
      </c>
      <c r="CK5" s="58" t="e">
        <f>CVEs!F13+"8O&lt;!3H"</f>
        <v>#VALUE!</v>
      </c>
      <c r="CL5" t="e">
        <f>CVEs!I13+"8O&lt;!3I"</f>
        <v>#VALUE!</v>
      </c>
      <c r="CM5" t="e">
        <f>CVEs!U13+"8O&lt;!3J"</f>
        <v>#VALUE!</v>
      </c>
      <c r="CN5" t="e">
        <f>CVEs!T13+"8O&lt;!3K"</f>
        <v>#VALUE!</v>
      </c>
      <c r="CO5" t="e">
        <f>CVEs!W13+"8O&lt;!3L"</f>
        <v>#VALUE!</v>
      </c>
      <c r="CP5" t="e">
        <f>CVEs!B14+"8O&lt;!3M"</f>
        <v>#VALUE!</v>
      </c>
      <c r="CQ5" t="e">
        <f>CVEs!C14+"8O&lt;!3N"</f>
        <v>#VALUE!</v>
      </c>
      <c r="CR5" s="57" t="e">
        <f>CVEs!D14+"8O&lt;!3O"</f>
        <v>#VALUE!</v>
      </c>
      <c r="CS5" s="58" t="e">
        <f>CVEs!F14+"8O&lt;!3P"</f>
        <v>#VALUE!</v>
      </c>
      <c r="CT5" t="e">
        <f>CVEs!N14+"8O&lt;!3Q"</f>
        <v>#VALUE!</v>
      </c>
      <c r="CU5" t="e">
        <f>CVEs!W14+"8O&lt;!3R"</f>
        <v>#VALUE!</v>
      </c>
      <c r="CV5" t="e">
        <f>CVEs!B16+"8O&lt;!3S"</f>
        <v>#VALUE!</v>
      </c>
      <c r="CW5" t="e">
        <f>CVEs!C16+"8O&lt;!3T"</f>
        <v>#VALUE!</v>
      </c>
      <c r="CX5" s="57" t="e">
        <f>CVEs!D16+"8O&lt;!3U"</f>
        <v>#VALUE!</v>
      </c>
      <c r="CY5" s="58" t="e">
        <f>CVEs!F16+"8O&lt;!3V"</f>
        <v>#VALUE!</v>
      </c>
      <c r="CZ5" t="e">
        <f>CVEs!I16+"8O&lt;!3W"</f>
        <v>#VALUE!</v>
      </c>
      <c r="DA5" t="e">
        <f>CVEs!N16+"8O&lt;!3X"</f>
        <v>#VALUE!</v>
      </c>
      <c r="DB5" t="e">
        <f>CVEs!W16+"8O&lt;!3Y"</f>
        <v>#VALUE!</v>
      </c>
      <c r="DC5" t="e">
        <f>CVEs!B18+"8O&lt;!3Z"</f>
        <v>#VALUE!</v>
      </c>
      <c r="DD5" t="e">
        <f>CVEs!C18+"8O&lt;!3["</f>
        <v>#VALUE!</v>
      </c>
      <c r="DE5" s="57" t="e">
        <f>CVEs!D18+"8O&lt;!3\"</f>
        <v>#VALUE!</v>
      </c>
      <c r="DF5" s="58" t="e">
        <f>CVEs!F18+"8O&lt;!3]"</f>
        <v>#VALUE!</v>
      </c>
      <c r="DG5" t="e">
        <f>CVEs!I18+"8O&lt;!3^"</f>
        <v>#VALUE!</v>
      </c>
      <c r="DH5" t="e">
        <f>CVEs!J18+"8O&lt;!3_"</f>
        <v>#VALUE!</v>
      </c>
      <c r="DI5" t="e">
        <f>CVEs!K18+"8O&lt;!3`"</f>
        <v>#VALUE!</v>
      </c>
      <c r="DJ5" t="e">
        <f>CVEs!L18+"8O&lt;!3a"</f>
        <v>#VALUE!</v>
      </c>
      <c r="DK5" t="e">
        <f>CVEs!M18+"8O&lt;!3b"</f>
        <v>#VALUE!</v>
      </c>
      <c r="DL5" t="e">
        <f>CVEs!N18+"8O&lt;!3c"</f>
        <v>#VALUE!</v>
      </c>
      <c r="DM5" t="e">
        <f>CVEs!O18+"8O&lt;!3d"</f>
        <v>#VALUE!</v>
      </c>
      <c r="DN5" t="e">
        <f>CVEs!P18+"8O&lt;!3e"</f>
        <v>#VALUE!</v>
      </c>
      <c r="DO5" t="e">
        <f>CVEs!Q18+"8O&lt;!3f"</f>
        <v>#VALUE!</v>
      </c>
      <c r="DP5" t="e">
        <f>CVEs!W18+"8O&lt;!3g"</f>
        <v>#VALUE!</v>
      </c>
      <c r="DQ5" t="e">
        <f>CVEs!B19+"8O&lt;!3h"</f>
        <v>#VALUE!</v>
      </c>
      <c r="DR5" t="e">
        <f>CVEs!C19+"8O&lt;!3i"</f>
        <v>#VALUE!</v>
      </c>
      <c r="DS5" s="57" t="e">
        <f>CVEs!D19+"8O&lt;!3j"</f>
        <v>#VALUE!</v>
      </c>
      <c r="DT5" s="58" t="e">
        <f>CVEs!F19+"8O&lt;!3k"</f>
        <v>#VALUE!</v>
      </c>
      <c r="DU5" t="e">
        <f>CVEs!I19+"8O&lt;!3l"</f>
        <v>#VALUE!</v>
      </c>
      <c r="DV5" t="e">
        <f>CVEs!J19+"8O&lt;!3m"</f>
        <v>#VALUE!</v>
      </c>
      <c r="DW5" t="e">
        <f>CVEs!K19+"8O&lt;!3n"</f>
        <v>#VALUE!</v>
      </c>
      <c r="DX5" t="e">
        <f>CVEs!L19+"8O&lt;!3o"</f>
        <v>#VALUE!</v>
      </c>
      <c r="DY5" t="e">
        <f>CVEs!M19+"8O&lt;!3p"</f>
        <v>#VALUE!</v>
      </c>
      <c r="DZ5" t="e">
        <f>CVEs!N19+"8O&lt;!3q"</f>
        <v>#VALUE!</v>
      </c>
      <c r="EA5" t="e">
        <f>CVEs!O19+"8O&lt;!3r"</f>
        <v>#VALUE!</v>
      </c>
      <c r="EB5" t="e">
        <f>CVEs!P19+"8O&lt;!3s"</f>
        <v>#VALUE!</v>
      </c>
      <c r="EC5" t="e">
        <f>CVEs!Q19+"8O&lt;!3t"</f>
        <v>#VALUE!</v>
      </c>
      <c r="ED5" t="e">
        <f>CVEs!W19+"8O&lt;!3u"</f>
        <v>#VALUE!</v>
      </c>
      <c r="EE5" t="e">
        <f>CVEs!B20+"8O&lt;!3v"</f>
        <v>#VALUE!</v>
      </c>
      <c r="EF5" t="e">
        <f>CVEs!C20+"8O&lt;!3w"</f>
        <v>#VALUE!</v>
      </c>
      <c r="EG5" s="57" t="e">
        <f>CVEs!D20+"8O&lt;!3x"</f>
        <v>#VALUE!</v>
      </c>
      <c r="EH5" s="58" t="e">
        <f>CVEs!F20+"8O&lt;!3y"</f>
        <v>#VALUE!</v>
      </c>
      <c r="EI5" t="e">
        <f>CVEs!I20+"8O&lt;!3z"</f>
        <v>#VALUE!</v>
      </c>
      <c r="EJ5" t="e">
        <f>CVEs!J20+"8O&lt;!3{"</f>
        <v>#VALUE!</v>
      </c>
      <c r="EK5" t="e">
        <f>CVEs!K20+"8O&lt;!3|"</f>
        <v>#VALUE!</v>
      </c>
      <c r="EL5" t="e">
        <f>CVEs!L20+"8O&lt;!3}"</f>
        <v>#VALUE!</v>
      </c>
      <c r="EM5" t="e">
        <f>CVEs!M20+"8O&lt;!3~"</f>
        <v>#VALUE!</v>
      </c>
      <c r="EN5" t="e">
        <f>CVEs!N20+"8O&lt;!4#"</f>
        <v>#VALUE!</v>
      </c>
      <c r="EO5" t="e">
        <f>CVEs!O20+"8O&lt;!4$"</f>
        <v>#VALUE!</v>
      </c>
      <c r="EP5" t="e">
        <f>CVEs!P20+"8O&lt;!4%"</f>
        <v>#VALUE!</v>
      </c>
      <c r="EQ5" t="e">
        <f>CVEs!Q20+"8O&lt;!4&amp;"</f>
        <v>#VALUE!</v>
      </c>
      <c r="ER5" t="e">
        <f>CVEs!S20+"8O&lt;!4'"</f>
        <v>#VALUE!</v>
      </c>
      <c r="ES5" t="e">
        <f>CVEs!W20+"8O&lt;!4("</f>
        <v>#VALUE!</v>
      </c>
      <c r="ET5" t="e">
        <f>CVEs!B21+"8O&lt;!4)"</f>
        <v>#VALUE!</v>
      </c>
      <c r="EU5" t="e">
        <f>CVEs!C21+"8O&lt;!4."</f>
        <v>#VALUE!</v>
      </c>
      <c r="EV5" s="57" t="e">
        <f>CVEs!D21+"8O&lt;!4/"</f>
        <v>#VALUE!</v>
      </c>
      <c r="EW5" s="58" t="e">
        <f>CVEs!F21+"8O&lt;!40"</f>
        <v>#VALUE!</v>
      </c>
      <c r="EX5" t="e">
        <f>CVEs!I21+"8O&lt;!41"</f>
        <v>#VALUE!</v>
      </c>
      <c r="EY5" t="e">
        <f>CVEs!J21+"8O&lt;!42"</f>
        <v>#VALUE!</v>
      </c>
      <c r="EZ5" t="e">
        <f>CVEs!K21+"8O&lt;!43"</f>
        <v>#VALUE!</v>
      </c>
      <c r="FA5" t="e">
        <f>CVEs!L21+"8O&lt;!44"</f>
        <v>#VALUE!</v>
      </c>
      <c r="FB5" t="e">
        <f>CVEs!M21+"8O&lt;!45"</f>
        <v>#VALUE!</v>
      </c>
      <c r="FC5" t="e">
        <f>CVEs!N21+"8O&lt;!46"</f>
        <v>#VALUE!</v>
      </c>
      <c r="FD5" t="e">
        <f>CVEs!O21+"8O&lt;!47"</f>
        <v>#VALUE!</v>
      </c>
      <c r="FE5" t="e">
        <f>CVEs!P21+"8O&lt;!48"</f>
        <v>#VALUE!</v>
      </c>
      <c r="FF5" t="e">
        <f>CVEs!Q21+"8O&lt;!49"</f>
        <v>#VALUE!</v>
      </c>
      <c r="FG5" t="e">
        <f>CVEs!S21+"8O&lt;!4:"</f>
        <v>#VALUE!</v>
      </c>
      <c r="FH5" t="e">
        <f>CVEs!W21+"8O&lt;!4;"</f>
        <v>#VALUE!</v>
      </c>
      <c r="FI5" t="e">
        <f>CVEs!#REF!+"8O&lt;!4&lt;"</f>
        <v>#REF!</v>
      </c>
      <c r="FJ5" t="e">
        <f>CVEs!#REF!+"8O&lt;!4="</f>
        <v>#REF!</v>
      </c>
      <c r="FK5" s="57" t="e">
        <f>CVEs!#REF!+"8O&lt;!4&gt;"</f>
        <v>#REF!</v>
      </c>
      <c r="FL5" s="58" t="e">
        <f>CVEs!#REF!+"8O&lt;!4?"</f>
        <v>#REF!</v>
      </c>
      <c r="FM5" t="e">
        <f>CVEs!#REF!+"8O&lt;!4@"</f>
        <v>#REF!</v>
      </c>
      <c r="FN5" t="e">
        <f>CVEs!#REF!+"8O&lt;!4A"</f>
        <v>#REF!</v>
      </c>
      <c r="FO5" t="e">
        <f>CVEs!#REF!+"8O&lt;!4B"</f>
        <v>#REF!</v>
      </c>
      <c r="FP5" t="e">
        <f>CVEs!#REF!+"8O&lt;!4C"</f>
        <v>#REF!</v>
      </c>
      <c r="FQ5" t="e">
        <f>CVEs!#REF!+"8O&lt;!4D"</f>
        <v>#REF!</v>
      </c>
      <c r="FR5" t="e">
        <f>CVEs!#REF!+"8O&lt;!4E"</f>
        <v>#REF!</v>
      </c>
      <c r="FS5" t="e">
        <f>CVEs!#REF!+"8O&lt;!4F"</f>
        <v>#REF!</v>
      </c>
      <c r="FT5" t="e">
        <f>CVEs!#REF!+"8O&lt;!4G"</f>
        <v>#REF!</v>
      </c>
      <c r="FU5" t="e">
        <f>CVEs!#REF!+"8O&lt;!4H"</f>
        <v>#REF!</v>
      </c>
      <c r="FV5" t="e">
        <f>CVEs!#REF!+"8O&lt;!4I"</f>
        <v>#REF!</v>
      </c>
      <c r="FW5" t="e">
        <f>CVEs!#REF!+"8O&lt;!4J"</f>
        <v>#REF!</v>
      </c>
      <c r="FX5" t="e">
        <f>CVEs!B22+"8O&lt;!4K"</f>
        <v>#VALUE!</v>
      </c>
      <c r="FY5" t="e">
        <f>CVEs!C22+"8O&lt;!4L"</f>
        <v>#VALUE!</v>
      </c>
      <c r="FZ5" s="57" t="e">
        <f>CVEs!D22+"8O&lt;!4M"</f>
        <v>#VALUE!</v>
      </c>
      <c r="GA5" s="58" t="e">
        <f>CVEs!F22+"8O&lt;!4N"</f>
        <v>#VALUE!</v>
      </c>
      <c r="GB5" t="e">
        <f>CVEs!I22+"8O&lt;!4O"</f>
        <v>#VALUE!</v>
      </c>
      <c r="GC5" t="e">
        <f>CVEs!J22+"8O&lt;!4P"</f>
        <v>#VALUE!</v>
      </c>
      <c r="GD5" t="e">
        <f>CVEs!K22+"8O&lt;!4Q"</f>
        <v>#VALUE!</v>
      </c>
      <c r="GE5" t="e">
        <f>CVEs!L22+"8O&lt;!4R"</f>
        <v>#VALUE!</v>
      </c>
      <c r="GF5" t="e">
        <f>CVEs!M22+"8O&lt;!4S"</f>
        <v>#VALUE!</v>
      </c>
      <c r="GG5" t="e">
        <f>CVEs!N22+"8O&lt;!4T"</f>
        <v>#VALUE!</v>
      </c>
      <c r="GH5" t="e">
        <f>CVEs!O22+"8O&lt;!4U"</f>
        <v>#VALUE!</v>
      </c>
      <c r="GI5" t="e">
        <f>CVEs!P22+"8O&lt;!4V"</f>
        <v>#VALUE!</v>
      </c>
      <c r="GJ5" t="e">
        <f>CVEs!Q22+"8O&lt;!4W"</f>
        <v>#VALUE!</v>
      </c>
      <c r="GK5" t="e">
        <f>CVEs!W22+"8O&lt;!4X"</f>
        <v>#VALUE!</v>
      </c>
      <c r="GL5" t="e">
        <f>CVEs!B23+"8O&lt;!4Y"</f>
        <v>#VALUE!</v>
      </c>
      <c r="GM5" t="e">
        <f>CVEs!C23+"8O&lt;!4Z"</f>
        <v>#VALUE!</v>
      </c>
      <c r="GN5" s="57" t="e">
        <f>CVEs!D23+"8O&lt;!4["</f>
        <v>#VALUE!</v>
      </c>
      <c r="GO5" s="58" t="e">
        <f>CVEs!F23+"8O&lt;!4\"</f>
        <v>#VALUE!</v>
      </c>
      <c r="GP5" t="e">
        <f>CVEs!I23+"8O&lt;!4]"</f>
        <v>#VALUE!</v>
      </c>
      <c r="GQ5" t="e">
        <f>CVEs!J23+"8O&lt;!4^"</f>
        <v>#VALUE!</v>
      </c>
      <c r="GR5" t="e">
        <f>CVEs!K23+"8O&lt;!4_"</f>
        <v>#VALUE!</v>
      </c>
      <c r="GS5" t="e">
        <f>CVEs!M23+"8O&lt;!4`"</f>
        <v>#VALUE!</v>
      </c>
      <c r="GT5" t="e">
        <f>CVEs!N23+"8O&lt;!4a"</f>
        <v>#VALUE!</v>
      </c>
      <c r="GU5" t="e">
        <f>CVEs!O23+"8O&lt;!4b"</f>
        <v>#VALUE!</v>
      </c>
      <c r="GV5" t="e">
        <f>CVEs!P23+"8O&lt;!4c"</f>
        <v>#VALUE!</v>
      </c>
      <c r="GW5" t="e">
        <f>CVEs!Q23+"8O&lt;!4d"</f>
        <v>#VALUE!</v>
      </c>
      <c r="GX5" t="e">
        <f>CVEs!W23+"8O&lt;!4e"</f>
        <v>#VALUE!</v>
      </c>
      <c r="GY5" t="e">
        <f>CVEs!#REF!+"8O&lt;!4f"</f>
        <v>#REF!</v>
      </c>
      <c r="GZ5" t="e">
        <f>CVEs!#REF!+"8O&lt;!4g"</f>
        <v>#REF!</v>
      </c>
      <c r="HA5" s="57" t="e">
        <f>CVEs!#REF!+"8O&lt;!4h"</f>
        <v>#REF!</v>
      </c>
      <c r="HB5" s="58" t="e">
        <f>CVEs!#REF!+"8O&lt;!4i"</f>
        <v>#REF!</v>
      </c>
      <c r="HC5" t="e">
        <f>CVEs!#REF!+"8O&lt;!4j"</f>
        <v>#REF!</v>
      </c>
      <c r="HD5" t="e">
        <f>CVEs!#REF!+"8O&lt;!4k"</f>
        <v>#REF!</v>
      </c>
      <c r="HE5" t="e">
        <f>CVEs!#REF!+"8O&lt;!4l"</f>
        <v>#REF!</v>
      </c>
      <c r="HF5" t="e">
        <f>CVEs!#REF!+"8O&lt;!4m"</f>
        <v>#REF!</v>
      </c>
      <c r="HG5" t="e">
        <f>CVEs!#REF!+"8O&lt;!4n"</f>
        <v>#REF!</v>
      </c>
      <c r="HH5" t="e">
        <f>CVEs!#REF!+"8O&lt;!4o"</f>
        <v>#REF!</v>
      </c>
      <c r="HI5" t="e">
        <f>CVEs!#REF!+"8O&lt;!4p"</f>
        <v>#REF!</v>
      </c>
      <c r="HJ5" t="e">
        <f>CVEs!#REF!+"8O&lt;!4q"</f>
        <v>#REF!</v>
      </c>
      <c r="HK5" t="e">
        <f>CVEs!#REF!+"8O&lt;!4r"</f>
        <v>#REF!</v>
      </c>
      <c r="HL5" t="e">
        <f>CVEs!B24+"8O&lt;!4s"</f>
        <v>#VALUE!</v>
      </c>
      <c r="HM5" t="e">
        <f>CVEs!C24+"8O&lt;!4t"</f>
        <v>#VALUE!</v>
      </c>
      <c r="HN5" s="57" t="e">
        <f>CVEs!D24+"8O&lt;!4u"</f>
        <v>#VALUE!</v>
      </c>
      <c r="HO5" s="58" t="e">
        <f>CVEs!F24+"8O&lt;!4v"</f>
        <v>#VALUE!</v>
      </c>
      <c r="HP5" t="e">
        <f>CVEs!I24+"8O&lt;!4w"</f>
        <v>#VALUE!</v>
      </c>
      <c r="HQ5" t="e">
        <f>CVEs!J24+"8O&lt;!4x"</f>
        <v>#VALUE!</v>
      </c>
      <c r="HR5" t="e">
        <f>CVEs!K24+"8O&lt;!4y"</f>
        <v>#VALUE!</v>
      </c>
      <c r="HS5" t="e">
        <f>CVEs!M24+"8O&lt;!4z"</f>
        <v>#VALUE!</v>
      </c>
      <c r="HT5" t="e">
        <f>CVEs!N24+"8O&lt;!4{"</f>
        <v>#VALUE!</v>
      </c>
      <c r="HU5" t="e">
        <f>CVEs!O24+"8O&lt;!4|"</f>
        <v>#VALUE!</v>
      </c>
      <c r="HV5" t="e">
        <f>CVEs!P24+"8O&lt;!4}"</f>
        <v>#VALUE!</v>
      </c>
      <c r="HW5" t="e">
        <f>CVEs!Q24+"8O&lt;!4~"</f>
        <v>#VALUE!</v>
      </c>
      <c r="HX5" t="e">
        <f>CVEs!W24+"8O&lt;!5#"</f>
        <v>#VALUE!</v>
      </c>
      <c r="HY5" t="e">
        <f>CVEs!B25+"8O&lt;!5$"</f>
        <v>#VALUE!</v>
      </c>
      <c r="HZ5" t="e">
        <f>CVEs!C25+"8O&lt;!5%"</f>
        <v>#VALUE!</v>
      </c>
      <c r="IA5" s="57" t="e">
        <f>CVEs!D25+"8O&lt;!5&amp;"</f>
        <v>#VALUE!</v>
      </c>
      <c r="IB5" s="58" t="e">
        <f>CVEs!F25+"8O&lt;!5'"</f>
        <v>#VALUE!</v>
      </c>
      <c r="IC5" t="e">
        <f>CVEs!I25+"8O&lt;!5("</f>
        <v>#VALUE!</v>
      </c>
      <c r="ID5" t="e">
        <f>CVEs!J25+"8O&lt;!5)"</f>
        <v>#VALUE!</v>
      </c>
      <c r="IE5" t="e">
        <f>CVEs!K25+"8O&lt;!5."</f>
        <v>#VALUE!</v>
      </c>
      <c r="IF5" t="e">
        <f>CVEs!M25+"8O&lt;!5/"</f>
        <v>#VALUE!</v>
      </c>
      <c r="IG5" t="e">
        <f>CVEs!N25+"8O&lt;!50"</f>
        <v>#VALUE!</v>
      </c>
      <c r="IH5" t="e">
        <f>CVEs!O25+"8O&lt;!51"</f>
        <v>#VALUE!</v>
      </c>
      <c r="II5" t="e">
        <f>CVEs!P25+"8O&lt;!52"</f>
        <v>#VALUE!</v>
      </c>
      <c r="IJ5" t="e">
        <f>CVEs!Q25+"8O&lt;!53"</f>
        <v>#VALUE!</v>
      </c>
      <c r="IK5" t="e">
        <f>CVEs!W25+"8O&lt;!54"</f>
        <v>#VALUE!</v>
      </c>
      <c r="IL5" t="e">
        <f>CVEs!#REF!+"8O&lt;!55"</f>
        <v>#REF!</v>
      </c>
      <c r="IM5" t="e">
        <f>CVEs!#REF!+"8O&lt;!56"</f>
        <v>#REF!</v>
      </c>
      <c r="IN5" s="57" t="e">
        <f>CVEs!#REF!+"8O&lt;!57"</f>
        <v>#REF!</v>
      </c>
      <c r="IO5" s="58" t="e">
        <f>CVEs!#REF!+"8O&lt;!58"</f>
        <v>#REF!</v>
      </c>
      <c r="IP5" t="e">
        <f>CVEs!#REF!+"8O&lt;!59"</f>
        <v>#REF!</v>
      </c>
      <c r="IQ5" t="e">
        <f>CVEs!#REF!+"8O&lt;!5:"</f>
        <v>#REF!</v>
      </c>
      <c r="IR5" t="e">
        <f>CVEs!#REF!+"8O&lt;!5;"</f>
        <v>#REF!</v>
      </c>
      <c r="IS5" t="e">
        <f>CVEs!#REF!+"8O&lt;!5&lt;"</f>
        <v>#REF!</v>
      </c>
      <c r="IT5" t="e">
        <f>CVEs!#REF!+"8O&lt;!5="</f>
        <v>#REF!</v>
      </c>
      <c r="IU5" t="e">
        <f>CVEs!#REF!+"8O&lt;!5&gt;"</f>
        <v>#REF!</v>
      </c>
      <c r="IV5" t="e">
        <f>CVEs!#REF!+"8O&lt;!5?"</f>
        <v>#REF!</v>
      </c>
    </row>
    <row r="6" spans="1:256" x14ac:dyDescent="0.25">
      <c r="A6" t="s">
        <v>1139</v>
      </c>
      <c r="F6" t="e">
        <f>CVEs!#REF!+"8O&lt;!5@"</f>
        <v>#REF!</v>
      </c>
      <c r="G6" t="e">
        <f>CVEs!#REF!+"8O&lt;!5A"</f>
        <v>#REF!</v>
      </c>
      <c r="H6" t="e">
        <f>CVEs!B29+"8O&lt;!5B"</f>
        <v>#VALUE!</v>
      </c>
      <c r="I6" t="e">
        <f>CVEs!C29+"8O&lt;!5C"</f>
        <v>#VALUE!</v>
      </c>
      <c r="J6" s="57" t="e">
        <f>CVEs!D29+"8O&lt;!5D"</f>
        <v>#VALUE!</v>
      </c>
      <c r="K6" s="58" t="e">
        <f>CVEs!F29+"8O&lt;!5E"</f>
        <v>#VALUE!</v>
      </c>
      <c r="L6" t="e">
        <f>CVEs!I29+"8O&lt;!5F"</f>
        <v>#VALUE!</v>
      </c>
      <c r="M6" t="e">
        <f>CVEs!J29+"8O&lt;!5G"</f>
        <v>#VALUE!</v>
      </c>
      <c r="N6" t="e">
        <f>CVEs!K29+"8O&lt;!5H"</f>
        <v>#VALUE!</v>
      </c>
      <c r="O6" t="e">
        <f>CVEs!M29+"8O&lt;!5I"</f>
        <v>#VALUE!</v>
      </c>
      <c r="P6" t="e">
        <f>CVEs!N29+"8O&lt;!5J"</f>
        <v>#VALUE!</v>
      </c>
      <c r="Q6" t="e">
        <f>CVEs!O29+"8O&lt;!5K"</f>
        <v>#VALUE!</v>
      </c>
      <c r="R6" t="e">
        <f>CVEs!P29+"8O&lt;!5L"</f>
        <v>#VALUE!</v>
      </c>
      <c r="S6" t="e">
        <f>CVEs!Q29+"8O&lt;!5M"</f>
        <v>#VALUE!</v>
      </c>
      <c r="T6" t="e">
        <f>CVEs!W29+"8O&lt;!5N"</f>
        <v>#VALUE!</v>
      </c>
      <c r="U6" t="e">
        <f>CVEs!B30+"8O&lt;!5O"</f>
        <v>#VALUE!</v>
      </c>
      <c r="V6" t="e">
        <f>CVEs!C30+"8O&lt;!5P"</f>
        <v>#VALUE!</v>
      </c>
      <c r="W6" s="57" t="e">
        <f>CVEs!D30+"8O&lt;!5Q"</f>
        <v>#VALUE!</v>
      </c>
      <c r="X6" s="58" t="e">
        <f>CVEs!F30+"8O&lt;!5R"</f>
        <v>#VALUE!</v>
      </c>
      <c r="Y6" t="e">
        <f>CVEs!I30+"8O&lt;!5S"</f>
        <v>#VALUE!</v>
      </c>
      <c r="Z6" t="e">
        <f>CVEs!J30+"8O&lt;!5T"</f>
        <v>#VALUE!</v>
      </c>
      <c r="AA6" t="e">
        <f>CVEs!K30+"8O&lt;!5U"</f>
        <v>#VALUE!</v>
      </c>
      <c r="AB6" t="e">
        <f>CVEs!M30+"8O&lt;!5V"</f>
        <v>#VALUE!</v>
      </c>
      <c r="AC6" t="e">
        <f>CVEs!N30+"8O&lt;!5W"</f>
        <v>#VALUE!</v>
      </c>
      <c r="AD6" t="e">
        <f>CVEs!O30+"8O&lt;!5X"</f>
        <v>#VALUE!</v>
      </c>
      <c r="AE6" t="e">
        <f>CVEs!P30+"8O&lt;!5Y"</f>
        <v>#VALUE!</v>
      </c>
      <c r="AF6" t="e">
        <f>CVEs!Q30+"8O&lt;!5Z"</f>
        <v>#VALUE!</v>
      </c>
      <c r="AG6" t="e">
        <f>CVEs!W30+"8O&lt;!5["</f>
        <v>#VALUE!</v>
      </c>
      <c r="AH6" t="e">
        <f>CVEs!B31+"8O&lt;!5\"</f>
        <v>#VALUE!</v>
      </c>
      <c r="AI6" t="e">
        <f>CVEs!C31+"8O&lt;!5]"</f>
        <v>#VALUE!</v>
      </c>
      <c r="AJ6" s="57" t="e">
        <f>CVEs!D31+"8O&lt;!5^"</f>
        <v>#VALUE!</v>
      </c>
      <c r="AK6" s="58" t="e">
        <f>CVEs!F31+"8O&lt;!5_"</f>
        <v>#VALUE!</v>
      </c>
      <c r="AL6" t="e">
        <f>CVEs!I31+"8O&lt;!5`"</f>
        <v>#VALUE!</v>
      </c>
      <c r="AM6" t="e">
        <f>CVEs!J31+"8O&lt;!5a"</f>
        <v>#VALUE!</v>
      </c>
      <c r="AN6" t="e">
        <f>CVEs!K31+"8O&lt;!5b"</f>
        <v>#VALUE!</v>
      </c>
      <c r="AO6" t="e">
        <f>CVEs!M31+"8O&lt;!5c"</f>
        <v>#VALUE!</v>
      </c>
      <c r="AP6" t="e">
        <f>CVEs!N31+"8O&lt;!5d"</f>
        <v>#VALUE!</v>
      </c>
      <c r="AQ6" t="e">
        <f>CVEs!O31+"8O&lt;!5e"</f>
        <v>#VALUE!</v>
      </c>
      <c r="AR6" t="e">
        <f>CVEs!P31+"8O&lt;!5f"</f>
        <v>#VALUE!</v>
      </c>
      <c r="AS6" t="e">
        <f>CVEs!Q31+"8O&lt;!5g"</f>
        <v>#VALUE!</v>
      </c>
      <c r="AT6" t="e">
        <f>CVEs!S31+"8O&lt;!5h"</f>
        <v>#VALUE!</v>
      </c>
      <c r="AU6" t="e">
        <f>CVEs!W31+"8O&lt;!5i"</f>
        <v>#VALUE!</v>
      </c>
      <c r="AV6" t="e">
        <f>CVEs!B32+"8O&lt;!5j"</f>
        <v>#VALUE!</v>
      </c>
      <c r="AW6" t="e">
        <f>CVEs!C32+"8O&lt;!5k"</f>
        <v>#VALUE!</v>
      </c>
      <c r="AX6" s="57" t="e">
        <f>CVEs!D32+"8O&lt;!5l"</f>
        <v>#VALUE!</v>
      </c>
      <c r="AY6" s="58" t="e">
        <f>CVEs!F32+"8O&lt;!5m"</f>
        <v>#VALUE!</v>
      </c>
      <c r="AZ6" t="e">
        <f>CVEs!I32+"8O&lt;!5n"</f>
        <v>#VALUE!</v>
      </c>
      <c r="BA6" t="e">
        <f>CVEs!J32+"8O&lt;!5o"</f>
        <v>#VALUE!</v>
      </c>
      <c r="BB6" t="e">
        <f>CVEs!K32+"8O&lt;!5p"</f>
        <v>#VALUE!</v>
      </c>
      <c r="BC6" t="e">
        <f>CVEs!M32+"8O&lt;!5q"</f>
        <v>#VALUE!</v>
      </c>
      <c r="BD6" t="e">
        <f>CVEs!N32+"8O&lt;!5r"</f>
        <v>#VALUE!</v>
      </c>
      <c r="BE6" t="e">
        <f>CVEs!O32+"8O&lt;!5s"</f>
        <v>#VALUE!</v>
      </c>
      <c r="BF6" t="e">
        <f>CVEs!P32+"8O&lt;!5t"</f>
        <v>#VALUE!</v>
      </c>
      <c r="BG6" t="e">
        <f>CVEs!Q32+"8O&lt;!5u"</f>
        <v>#VALUE!</v>
      </c>
      <c r="BH6" t="e">
        <f>CVEs!S32+"8O&lt;!5v"</f>
        <v>#VALUE!</v>
      </c>
      <c r="BI6" t="e">
        <f>CVEs!W32+"8O&lt;!5w"</f>
        <v>#VALUE!</v>
      </c>
      <c r="BJ6" t="e">
        <f>CVEs!B33+"8O&lt;!5x"</f>
        <v>#VALUE!</v>
      </c>
      <c r="BK6" t="e">
        <f>CVEs!C33+"8O&lt;!5y"</f>
        <v>#VALUE!</v>
      </c>
      <c r="BL6" s="57" t="e">
        <f>CVEs!D33+"8O&lt;!5z"</f>
        <v>#VALUE!</v>
      </c>
      <c r="BM6" s="58" t="e">
        <f>CVEs!F33+"8O&lt;!5{"</f>
        <v>#VALUE!</v>
      </c>
      <c r="BN6" t="e">
        <f>CVEs!I33+"8O&lt;!5|"</f>
        <v>#VALUE!</v>
      </c>
      <c r="BO6" t="e">
        <f>CVEs!J33+"8O&lt;!5}"</f>
        <v>#VALUE!</v>
      </c>
      <c r="BP6" t="e">
        <f>CVEs!K33+"8O&lt;!5~"</f>
        <v>#VALUE!</v>
      </c>
      <c r="BQ6" t="e">
        <f>CVEs!M33+"8O&lt;!6#"</f>
        <v>#VALUE!</v>
      </c>
      <c r="BR6" t="e">
        <f>CVEs!N33+"8O&lt;!6$"</f>
        <v>#VALUE!</v>
      </c>
      <c r="BS6" t="e">
        <f>CVEs!O33+"8O&lt;!6%"</f>
        <v>#VALUE!</v>
      </c>
      <c r="BT6" t="e">
        <f>CVEs!P33+"8O&lt;!6&amp;"</f>
        <v>#VALUE!</v>
      </c>
      <c r="BU6" t="e">
        <f>CVEs!Q33+"8O&lt;!6'"</f>
        <v>#VALUE!</v>
      </c>
      <c r="BV6" t="e">
        <f>CVEs!S33+"8O&lt;!6("</f>
        <v>#VALUE!</v>
      </c>
      <c r="BW6" t="e">
        <f>CVEs!W33+"8O&lt;!6)"</f>
        <v>#VALUE!</v>
      </c>
      <c r="BX6" t="e">
        <f>CVEs!B35+"8O&lt;!6."</f>
        <v>#VALUE!</v>
      </c>
      <c r="BY6" t="e">
        <f>CVEs!C35+"8O&lt;!6/"</f>
        <v>#VALUE!</v>
      </c>
      <c r="BZ6" s="57" t="e">
        <f>CVEs!D35+"8O&lt;!60"</f>
        <v>#VALUE!</v>
      </c>
      <c r="CA6" s="58" t="e">
        <f>CVEs!F35+"8O&lt;!61"</f>
        <v>#VALUE!</v>
      </c>
      <c r="CB6" t="e">
        <f>CVEs!I35+"8O&lt;!62"</f>
        <v>#VALUE!</v>
      </c>
      <c r="CC6" t="e">
        <f>CVEs!J35+"8O&lt;!63"</f>
        <v>#VALUE!</v>
      </c>
      <c r="CD6" t="e">
        <f>CVEs!K35+"8O&lt;!64"</f>
        <v>#VALUE!</v>
      </c>
      <c r="CE6" t="e">
        <f>CVEs!M35+"8O&lt;!65"</f>
        <v>#VALUE!</v>
      </c>
      <c r="CF6" t="e">
        <f>CVEs!N35+"8O&lt;!66"</f>
        <v>#VALUE!</v>
      </c>
      <c r="CG6" t="e">
        <f>CVEs!O35+"8O&lt;!67"</f>
        <v>#VALUE!</v>
      </c>
      <c r="CH6" t="e">
        <f>CVEs!P35+"8O&lt;!68"</f>
        <v>#VALUE!</v>
      </c>
      <c r="CI6" t="e">
        <f>CVEs!Q35+"8O&lt;!69"</f>
        <v>#VALUE!</v>
      </c>
      <c r="CJ6" t="e">
        <f>CVEs!S35+"8O&lt;!6:"</f>
        <v>#VALUE!</v>
      </c>
      <c r="CK6" t="e">
        <f>CVEs!W35+"8O&lt;!6;"</f>
        <v>#VALUE!</v>
      </c>
      <c r="CL6" t="e">
        <f>CVEs!B38+"8O&lt;!6&lt;"</f>
        <v>#VALUE!</v>
      </c>
      <c r="CM6" t="e">
        <f>CVEs!C38+"8O&lt;!6="</f>
        <v>#VALUE!</v>
      </c>
      <c r="CN6" s="57" t="e">
        <f>CVEs!D38+"8O&lt;!6&gt;"</f>
        <v>#VALUE!</v>
      </c>
      <c r="CO6" s="58" t="e">
        <f>CVEs!F38+"8O&lt;!6?"</f>
        <v>#VALUE!</v>
      </c>
      <c r="CP6" t="e">
        <f>CVEs!I38+"8O&lt;!6@"</f>
        <v>#VALUE!</v>
      </c>
      <c r="CQ6" t="e">
        <f>CVEs!J38+"8O&lt;!6A"</f>
        <v>#VALUE!</v>
      </c>
      <c r="CR6" t="e">
        <f>CVEs!K38+"8O&lt;!6B"</f>
        <v>#VALUE!</v>
      </c>
      <c r="CS6" t="e">
        <f>CVEs!M38+"8O&lt;!6C"</f>
        <v>#VALUE!</v>
      </c>
      <c r="CT6" t="e">
        <f>CVEs!N38+"8O&lt;!6D"</f>
        <v>#VALUE!</v>
      </c>
      <c r="CU6" t="e">
        <f>CVEs!O38+"8O&lt;!6E"</f>
        <v>#VALUE!</v>
      </c>
      <c r="CV6" t="e">
        <f>CVEs!P38+"8O&lt;!6F"</f>
        <v>#VALUE!</v>
      </c>
      <c r="CW6" t="e">
        <f>CVEs!Q38+"8O&lt;!6G"</f>
        <v>#VALUE!</v>
      </c>
      <c r="CX6" t="e">
        <f>CVEs!S38+"8O&lt;!6H"</f>
        <v>#VALUE!</v>
      </c>
      <c r="CY6" t="e">
        <f>CVEs!W38+"8O&lt;!6I"</f>
        <v>#VALUE!</v>
      </c>
      <c r="CZ6" s="58" t="e">
        <f>CVEs!#REF!+"8O&lt;!6J"</f>
        <v>#REF!</v>
      </c>
      <c r="DA6" t="e">
        <f>CVEs!#REF!+"8O&lt;!6K"</f>
        <v>#REF!</v>
      </c>
      <c r="DB6" t="e">
        <f>CVEs!#REF!+"8O&lt;!6L"</f>
        <v>#REF!</v>
      </c>
      <c r="DC6" t="e">
        <f>CVEs!#REF!+"8O&lt;!6M"</f>
        <v>#REF!</v>
      </c>
      <c r="DD6" t="e">
        <f>CVEs!#REF!+"8O&lt;!6N"</f>
        <v>#REF!</v>
      </c>
      <c r="DE6" t="e">
        <f>CVEs!#REF!+"8O&lt;!6O"</f>
        <v>#REF!</v>
      </c>
      <c r="DF6" t="e">
        <f>CVEs!#REF!+"8O&lt;!6P"</f>
        <v>#REF!</v>
      </c>
      <c r="DG6" t="e">
        <f>CVEs!#REF!+"8O&lt;!6Q"</f>
        <v>#REF!</v>
      </c>
      <c r="DH6" t="e">
        <f>CVEs!#REF!+"8O&lt;!6R"</f>
        <v>#REF!</v>
      </c>
      <c r="DI6" t="e">
        <f>CVEs!#REF!+"8O&lt;!6S"</f>
        <v>#REF!</v>
      </c>
      <c r="DJ6" s="58" t="e">
        <f>CVEs!#REF!+"8O&lt;!6T"</f>
        <v>#REF!</v>
      </c>
      <c r="DK6" t="e">
        <f>CVEs!#REF!+"8O&lt;!6U"</f>
        <v>#REF!</v>
      </c>
      <c r="DL6" t="e">
        <f>CVEs!#REF!+"8O&lt;!6V"</f>
        <v>#REF!</v>
      </c>
      <c r="DM6" t="e">
        <f>CVEs!#REF!+"8O&lt;!6W"</f>
        <v>#REF!</v>
      </c>
      <c r="DN6" t="e">
        <f>CVEs!#REF!+"8O&lt;!6X"</f>
        <v>#REF!</v>
      </c>
      <c r="DO6" t="e">
        <f>CVEs!#REF!+"8O&lt;!6Y"</f>
        <v>#REF!</v>
      </c>
      <c r="DP6" t="e">
        <f>CVEs!#REF!+"8O&lt;!6Z"</f>
        <v>#REF!</v>
      </c>
      <c r="DQ6" t="e">
        <f>CVEs!#REF!+"8O&lt;!6["</f>
        <v>#REF!</v>
      </c>
      <c r="DR6" t="e">
        <f>CVEs!#REF!+"8O&lt;!6\"</f>
        <v>#REF!</v>
      </c>
      <c r="DS6" t="e">
        <f>CVEs!#REF!+"8O&lt;!6]"</f>
        <v>#REF!</v>
      </c>
      <c r="DT6" s="58" t="e">
        <f>CVEs!#REF!+"8O&lt;!6^"</f>
        <v>#REF!</v>
      </c>
      <c r="DU6" t="e">
        <f>CVEs!#REF!+"8O&lt;!6_"</f>
        <v>#REF!</v>
      </c>
      <c r="DV6" t="e">
        <f>CVEs!#REF!+"8O&lt;!6`"</f>
        <v>#REF!</v>
      </c>
      <c r="DW6" t="e">
        <f>CVEs!#REF!+"8O&lt;!6a"</f>
        <v>#REF!</v>
      </c>
      <c r="DX6" t="e">
        <f>CVEs!#REF!+"8O&lt;!6b"</f>
        <v>#REF!</v>
      </c>
      <c r="DY6" t="e">
        <f>CVEs!#REF!+"8O&lt;!6c"</f>
        <v>#REF!</v>
      </c>
      <c r="DZ6" t="e">
        <f>CVEs!#REF!+"8O&lt;!6d"</f>
        <v>#REF!</v>
      </c>
      <c r="EA6" t="e">
        <f>CVEs!#REF!+"8O&lt;!6e"</f>
        <v>#REF!</v>
      </c>
      <c r="EB6" t="e">
        <f>CVEs!#REF!+"8O&lt;!6f"</f>
        <v>#REF!</v>
      </c>
      <c r="EC6" t="e">
        <f>CVEs!#REF!+"8O&lt;!6g"</f>
        <v>#REF!</v>
      </c>
      <c r="ED6" s="58" t="e">
        <f>CVEs!#REF!+"8O&lt;!6h"</f>
        <v>#REF!</v>
      </c>
      <c r="EE6" t="e">
        <f>CVEs!#REF!+"8O&lt;!6i"</f>
        <v>#REF!</v>
      </c>
      <c r="EF6" t="e">
        <f>CVEs!#REF!+"8O&lt;!6j"</f>
        <v>#REF!</v>
      </c>
      <c r="EG6" t="e">
        <f>CVEs!#REF!+"8O&lt;!6k"</f>
        <v>#REF!</v>
      </c>
      <c r="EH6" t="e">
        <f>CVEs!#REF!+"8O&lt;!6l"</f>
        <v>#REF!</v>
      </c>
      <c r="EI6" t="e">
        <f>CVEs!#REF!+"8O&lt;!6m"</f>
        <v>#REF!</v>
      </c>
      <c r="EJ6" t="e">
        <f>CVEs!#REF!+"8O&lt;!6n"</f>
        <v>#REF!</v>
      </c>
      <c r="EK6" t="e">
        <f>CVEs!#REF!+"8O&lt;!6o"</f>
        <v>#REF!</v>
      </c>
      <c r="EL6" t="e">
        <f>CVEs!#REF!+"8O&lt;!6p"</f>
        <v>#REF!</v>
      </c>
      <c r="EM6" t="e">
        <f>CVEs!#REF!+"8O&lt;!6q"</f>
        <v>#REF!</v>
      </c>
      <c r="EN6" s="58" t="e">
        <f>CVEs!#REF!+"8O&lt;!6r"</f>
        <v>#REF!</v>
      </c>
      <c r="EO6" t="e">
        <f>CVEs!#REF!+"8O&lt;!6s"</f>
        <v>#REF!</v>
      </c>
      <c r="EP6" t="e">
        <f>CVEs!#REF!+"8O&lt;!6t"</f>
        <v>#REF!</v>
      </c>
      <c r="EQ6" t="e">
        <f>CVEs!#REF!+"8O&lt;!6u"</f>
        <v>#REF!</v>
      </c>
      <c r="ER6" t="e">
        <f>CVEs!#REF!+"8O&lt;!6v"</f>
        <v>#REF!</v>
      </c>
      <c r="ES6" t="e">
        <f>CVEs!#REF!+"8O&lt;!6w"</f>
        <v>#REF!</v>
      </c>
      <c r="ET6" t="e">
        <f>CVEs!#REF!+"8O&lt;!6x"</f>
        <v>#REF!</v>
      </c>
      <c r="EU6" t="e">
        <f>CVEs!#REF!+"8O&lt;!6y"</f>
        <v>#REF!</v>
      </c>
      <c r="EV6" t="e">
        <f>CVEs!#REF!+"8O&lt;!6z"</f>
        <v>#REF!</v>
      </c>
      <c r="EW6" t="e">
        <f>CVEs!#REF!+"8O&lt;!6{"</f>
        <v>#REF!</v>
      </c>
      <c r="EX6" s="58" t="e">
        <f>CVEs!#REF!+"8O&lt;!6|"</f>
        <v>#REF!</v>
      </c>
      <c r="EY6" t="e">
        <f>CVEs!#REF!+"8O&lt;!6}"</f>
        <v>#REF!</v>
      </c>
      <c r="EZ6" t="e">
        <f>CVEs!#REF!+"8O&lt;!6~"</f>
        <v>#REF!</v>
      </c>
      <c r="FA6" t="e">
        <f>CVEs!#REF!+"8O&lt;!7#"</f>
        <v>#REF!</v>
      </c>
      <c r="FB6" t="e">
        <f>CVEs!#REF!+"8O&lt;!7$"</f>
        <v>#REF!</v>
      </c>
      <c r="FC6" t="e">
        <f>CVEs!#REF!+"8O&lt;!7%"</f>
        <v>#REF!</v>
      </c>
      <c r="FD6" t="e">
        <f>CVEs!#REF!+"8O&lt;!7&amp;"</f>
        <v>#REF!</v>
      </c>
      <c r="FE6" t="e">
        <f>CVEs!#REF!+"8O&lt;!7'"</f>
        <v>#REF!</v>
      </c>
      <c r="FF6" t="e">
        <f>CVEs!#REF!+"8O&lt;!7("</f>
        <v>#REF!</v>
      </c>
      <c r="FG6" t="e">
        <f>CVEs!#REF!+"8O&lt;!7)"</f>
        <v>#REF!</v>
      </c>
      <c r="FH6" s="58" t="e">
        <f>CVEs!#REF!+"8O&lt;!7."</f>
        <v>#REF!</v>
      </c>
      <c r="FI6" t="e">
        <f>CVEs!#REF!+"8O&lt;!7/"</f>
        <v>#REF!</v>
      </c>
      <c r="FJ6" t="e">
        <f>CVEs!#REF!+"8O&lt;!70"</f>
        <v>#REF!</v>
      </c>
      <c r="FK6" t="e">
        <f>CVEs!#REF!+"8O&lt;!71"</f>
        <v>#REF!</v>
      </c>
      <c r="FL6" t="e">
        <f>CVEs!#REF!+"8O&lt;!72"</f>
        <v>#REF!</v>
      </c>
      <c r="FM6" t="e">
        <f>CVEs!#REF!+"8O&lt;!73"</f>
        <v>#REF!</v>
      </c>
      <c r="FN6" t="e">
        <f>CVEs!#REF!+"8O&lt;!74"</f>
        <v>#REF!</v>
      </c>
      <c r="FO6" t="e">
        <f>CVEs!#REF!+"8O&lt;!75"</f>
        <v>#REF!</v>
      </c>
      <c r="FP6" t="e">
        <f>CVEs!#REF!+"8O&lt;!76"</f>
        <v>#REF!</v>
      </c>
      <c r="FQ6" t="e">
        <f>CVEs!#REF!+"8O&lt;!77"</f>
        <v>#REF!</v>
      </c>
      <c r="FR6" s="58" t="e">
        <f>CVEs!#REF!+"8O&lt;!78"</f>
        <v>#REF!</v>
      </c>
      <c r="FS6" t="e">
        <f>CVEs!#REF!+"8O&lt;!79"</f>
        <v>#REF!</v>
      </c>
      <c r="FT6" t="e">
        <f>CVEs!#REF!+"8O&lt;!7:"</f>
        <v>#REF!</v>
      </c>
      <c r="FU6" t="e">
        <f>CVEs!#REF!+"8O&lt;!7;"</f>
        <v>#REF!</v>
      </c>
      <c r="FV6" t="e">
        <f>CVEs!#REF!+"8O&lt;!7&lt;"</f>
        <v>#REF!</v>
      </c>
      <c r="FW6" t="e">
        <f>CVEs!#REF!+"8O&lt;!7="</f>
        <v>#REF!</v>
      </c>
      <c r="FX6" t="e">
        <f>CVEs!#REF!+"8O&lt;!7&gt;"</f>
        <v>#REF!</v>
      </c>
      <c r="FY6" t="e">
        <f>CVEs!#REF!+"8O&lt;!7?"</f>
        <v>#REF!</v>
      </c>
      <c r="FZ6" t="e">
        <f>CVEs!#REF!+"8O&lt;!7@"</f>
        <v>#REF!</v>
      </c>
      <c r="GA6" t="e">
        <f>CVEs!#REF!+"8O&lt;!7A"</f>
        <v>#REF!</v>
      </c>
      <c r="GB6" s="58" t="e">
        <f>CVEs!#REF!+"8O&lt;!7B"</f>
        <v>#REF!</v>
      </c>
      <c r="GC6" t="e">
        <f>CVEs!#REF!+"8O&lt;!7C"</f>
        <v>#REF!</v>
      </c>
      <c r="GD6" t="e">
        <f>CVEs!#REF!+"8O&lt;!7D"</f>
        <v>#REF!</v>
      </c>
      <c r="GE6" t="e">
        <f>CVEs!#REF!+"8O&lt;!7E"</f>
        <v>#REF!</v>
      </c>
      <c r="GF6" t="e">
        <f>CVEs!#REF!+"8O&lt;!7F"</f>
        <v>#REF!</v>
      </c>
      <c r="GG6" t="e">
        <f>CVEs!#REF!+"8O&lt;!7G"</f>
        <v>#REF!</v>
      </c>
      <c r="GH6" t="e">
        <f>CVEs!#REF!+"8O&lt;!7H"</f>
        <v>#REF!</v>
      </c>
      <c r="GI6" t="e">
        <f>CVEs!#REF!+"8O&lt;!7I"</f>
        <v>#REF!</v>
      </c>
      <c r="GJ6" t="e">
        <f>CVEs!#REF!+"8O&lt;!7J"</f>
        <v>#REF!</v>
      </c>
      <c r="GK6" t="e">
        <f>CVEs!#REF!+"8O&lt;!7K"</f>
        <v>#REF!</v>
      </c>
      <c r="GL6" s="58" t="e">
        <f>CVEs!#REF!+"8O&lt;!7L"</f>
        <v>#REF!</v>
      </c>
      <c r="GM6" t="e">
        <f>CVEs!#REF!+"8O&lt;!7M"</f>
        <v>#REF!</v>
      </c>
      <c r="GN6" t="e">
        <f>CVEs!#REF!+"8O&lt;!7N"</f>
        <v>#REF!</v>
      </c>
      <c r="GO6" t="e">
        <f>CVEs!#REF!+"8O&lt;!7O"</f>
        <v>#REF!</v>
      </c>
      <c r="GP6" t="e">
        <f>CVEs!#REF!+"8O&lt;!7P"</f>
        <v>#REF!</v>
      </c>
      <c r="GQ6" t="e">
        <f>CVEs!#REF!+"8O&lt;!7Q"</f>
        <v>#REF!</v>
      </c>
      <c r="GR6" t="e">
        <f>CVEs!#REF!+"8O&lt;!7R"</f>
        <v>#REF!</v>
      </c>
      <c r="GS6" t="e">
        <f>CVEs!#REF!+"8O&lt;!7S"</f>
        <v>#REF!</v>
      </c>
      <c r="GT6" t="e">
        <f>CVEs!#REF!+"8O&lt;!7T"</f>
        <v>#REF!</v>
      </c>
      <c r="GU6" t="e">
        <f>CVEs!#REF!+"8O&lt;!7U"</f>
        <v>#REF!</v>
      </c>
      <c r="GV6" s="58" t="e">
        <f>CVEs!#REF!+"8O&lt;!7V"</f>
        <v>#REF!</v>
      </c>
      <c r="GW6" t="e">
        <f>CVEs!#REF!+"8O&lt;!7W"</f>
        <v>#REF!</v>
      </c>
      <c r="GX6" t="e">
        <f>CVEs!#REF!+"8O&lt;!7X"</f>
        <v>#REF!</v>
      </c>
      <c r="GY6" t="e">
        <f>CVEs!#REF!+"8O&lt;!7Y"</f>
        <v>#REF!</v>
      </c>
      <c r="GZ6" t="e">
        <f>CVEs!#REF!+"8O&lt;!7Z"</f>
        <v>#REF!</v>
      </c>
      <c r="HA6" t="e">
        <f>CVEs!#REF!+"8O&lt;!7["</f>
        <v>#REF!</v>
      </c>
      <c r="HB6" t="e">
        <f>CVEs!#REF!+"8O&lt;!7\"</f>
        <v>#REF!</v>
      </c>
      <c r="HC6" t="e">
        <f>CVEs!#REF!+"8O&lt;!7]"</f>
        <v>#REF!</v>
      </c>
      <c r="HD6" t="e">
        <f>CVEs!#REF!+"8O&lt;!7^"</f>
        <v>#REF!</v>
      </c>
      <c r="HE6" t="e">
        <f>CVEs!#REF!+"8O&lt;!7_"</f>
        <v>#REF!</v>
      </c>
      <c r="HF6" s="58" t="e">
        <f>CVEs!#REF!+"8O&lt;!7`"</f>
        <v>#REF!</v>
      </c>
      <c r="HG6" t="e">
        <f>CVEs!#REF!+"8O&lt;!7a"</f>
        <v>#REF!</v>
      </c>
      <c r="HH6" t="e">
        <f>CVEs!#REF!+"8O&lt;!7b"</f>
        <v>#REF!</v>
      </c>
      <c r="HI6" t="e">
        <f>CVEs!#REF!+"8O&lt;!7c"</f>
        <v>#REF!</v>
      </c>
      <c r="HJ6" t="e">
        <f>CVEs!#REF!+"8O&lt;!7d"</f>
        <v>#REF!</v>
      </c>
      <c r="HK6" t="e">
        <f>CVEs!#REF!+"8O&lt;!7e"</f>
        <v>#REF!</v>
      </c>
      <c r="HL6" t="e">
        <f>CVEs!#REF!+"8O&lt;!7f"</f>
        <v>#REF!</v>
      </c>
      <c r="HM6" t="e">
        <f>CVEs!#REF!+"8O&lt;!7g"</f>
        <v>#REF!</v>
      </c>
      <c r="HN6" t="e">
        <f>CVEs!#REF!+"8O&lt;!7h"</f>
        <v>#REF!</v>
      </c>
      <c r="HO6" t="e">
        <f>CVEs!#REF!+"8O&lt;!7i"</f>
        <v>#REF!</v>
      </c>
      <c r="HP6" s="58" t="e">
        <f>CVEs!#REF!+"8O&lt;!7j"</f>
        <v>#REF!</v>
      </c>
      <c r="HQ6" t="e">
        <f>CVEs!#REF!+"8O&lt;!7k"</f>
        <v>#REF!</v>
      </c>
      <c r="HR6" t="e">
        <f>CVEs!#REF!+"8O&lt;!7l"</f>
        <v>#REF!</v>
      </c>
      <c r="HS6" t="e">
        <f>CVEs!#REF!+"8O&lt;!7m"</f>
        <v>#REF!</v>
      </c>
      <c r="HT6" t="e">
        <f>CVEs!#REF!+"8O&lt;!7n"</f>
        <v>#REF!</v>
      </c>
      <c r="HU6" t="e">
        <f>CVEs!#REF!+"8O&lt;!7o"</f>
        <v>#REF!</v>
      </c>
      <c r="HV6" t="e">
        <f>CVEs!#REF!+"8O&lt;!7p"</f>
        <v>#REF!</v>
      </c>
      <c r="HW6" t="e">
        <f>CVEs!#REF!+"8O&lt;!7q"</f>
        <v>#REF!</v>
      </c>
      <c r="HX6" t="e">
        <f>CVEs!#REF!+"8O&lt;!7r"</f>
        <v>#REF!</v>
      </c>
      <c r="HY6" t="e">
        <f>CVEs!#REF!+"8O&lt;!7s"</f>
        <v>#REF!</v>
      </c>
      <c r="HZ6" s="58" t="e">
        <f>CVEs!#REF!+"8O&lt;!7t"</f>
        <v>#REF!</v>
      </c>
      <c r="IA6" t="e">
        <f>CVEs!#REF!+"8O&lt;!7u"</f>
        <v>#REF!</v>
      </c>
      <c r="IB6" t="e">
        <f>CVEs!#REF!+"8O&lt;!7v"</f>
        <v>#REF!</v>
      </c>
      <c r="IC6" t="e">
        <f>CVEs!#REF!+"8O&lt;!7w"</f>
        <v>#REF!</v>
      </c>
      <c r="ID6" t="e">
        <f>CVEs!#REF!+"8O&lt;!7x"</f>
        <v>#REF!</v>
      </c>
      <c r="IE6" t="e">
        <f>CVEs!#REF!+"8O&lt;!7y"</f>
        <v>#REF!</v>
      </c>
      <c r="IF6" t="e">
        <f>CVEs!#REF!+"8O&lt;!7z"</f>
        <v>#REF!</v>
      </c>
      <c r="IG6" t="e">
        <f>CVEs!#REF!+"8O&lt;!7{"</f>
        <v>#REF!</v>
      </c>
      <c r="IH6" t="e">
        <f>CVEs!#REF!+"8O&lt;!7|"</f>
        <v>#REF!</v>
      </c>
      <c r="II6" t="e">
        <f>CVEs!#REF!+"8O&lt;!7}"</f>
        <v>#REF!</v>
      </c>
      <c r="IJ6" s="58" t="e">
        <f>CVEs!#REF!+"8O&lt;!7~"</f>
        <v>#REF!</v>
      </c>
      <c r="IK6" t="e">
        <f>CVEs!#REF!+"8O&lt;!8#"</f>
        <v>#REF!</v>
      </c>
      <c r="IL6" t="e">
        <f>CVEs!#REF!+"8O&lt;!8$"</f>
        <v>#REF!</v>
      </c>
      <c r="IM6" t="e">
        <f>CVEs!#REF!+"8O&lt;!8%"</f>
        <v>#REF!</v>
      </c>
      <c r="IN6" t="e">
        <f>CVEs!#REF!+"8O&lt;!8&amp;"</f>
        <v>#REF!</v>
      </c>
      <c r="IO6" t="e">
        <f>CVEs!#REF!+"8O&lt;!8'"</f>
        <v>#REF!</v>
      </c>
      <c r="IP6" t="e">
        <f>CVEs!#REF!+"8O&lt;!8("</f>
        <v>#REF!</v>
      </c>
      <c r="IQ6" t="e">
        <f>CVEs!#REF!+"8O&lt;!8)"</f>
        <v>#REF!</v>
      </c>
      <c r="IR6" t="e">
        <f>CVEs!#REF!+"8O&lt;!8."</f>
        <v>#REF!</v>
      </c>
      <c r="IS6" t="e">
        <f>CVEs!#REF!+"8O&lt;!8/"</f>
        <v>#REF!</v>
      </c>
      <c r="IT6" s="58" t="e">
        <f>CVEs!#REF!+"8O&lt;!80"</f>
        <v>#REF!</v>
      </c>
      <c r="IU6" t="e">
        <f>CVEs!#REF!+"8O&lt;!81"</f>
        <v>#REF!</v>
      </c>
      <c r="IV6" t="e">
        <f>CVEs!#REF!+"8O&lt;!82"</f>
        <v>#REF!</v>
      </c>
    </row>
    <row r="7" spans="1:256" x14ac:dyDescent="0.25">
      <c r="A7" t="s">
        <v>1145</v>
      </c>
      <c r="F7" t="e">
        <f>CVEs!#REF!+"8O&lt;!83"</f>
        <v>#REF!</v>
      </c>
      <c r="G7" t="e">
        <f>CVEs!#REF!+"8O&lt;!84"</f>
        <v>#REF!</v>
      </c>
      <c r="H7" t="e">
        <f>CVEs!#REF!+"8O&lt;!85"</f>
        <v>#REF!</v>
      </c>
      <c r="I7" t="e">
        <f>CVEs!#REF!+"8O&lt;!86"</f>
        <v>#REF!</v>
      </c>
      <c r="J7" t="e">
        <f>CVEs!#REF!+"8O&lt;!87"</f>
        <v>#REF!</v>
      </c>
      <c r="K7" t="e">
        <f>CVEs!#REF!+"8O&lt;!88"</f>
        <v>#REF!</v>
      </c>
      <c r="L7" t="e">
        <f>CVEs!#REF!+"8O&lt;!89"</f>
        <v>#REF!</v>
      </c>
      <c r="M7" t="e">
        <f>CVEs!A46+"8O&lt;!8:"</f>
        <v>#VALUE!</v>
      </c>
      <c r="N7" t="e">
        <f>CVEs!B46+"8O&lt;!8;"</f>
        <v>#VALUE!</v>
      </c>
      <c r="O7" t="e">
        <f>CVEs!C46+"8O&lt;!8&lt;"</f>
        <v>#VALUE!</v>
      </c>
      <c r="P7" s="57" t="e">
        <f>CVEs!D46+"8O&lt;!8="</f>
        <v>#VALUE!</v>
      </c>
      <c r="Q7" s="58" t="e">
        <f>CVEs!F46+"8O&lt;!8&gt;"</f>
        <v>#VALUE!</v>
      </c>
      <c r="R7" t="e">
        <f>CVEs!I46+"8O&lt;!8?"</f>
        <v>#VALUE!</v>
      </c>
      <c r="S7" t="e">
        <f>CVEs!J46+"8O&lt;!8@"</f>
        <v>#VALUE!</v>
      </c>
      <c r="T7" t="e">
        <f>CVEs!K46+"8O&lt;!8A"</f>
        <v>#VALUE!</v>
      </c>
      <c r="U7" t="e">
        <f>CVEs!L46+"8O&lt;!8B"</f>
        <v>#VALUE!</v>
      </c>
      <c r="V7" t="e">
        <f>CVEs!M46+"8O&lt;!8C"</f>
        <v>#VALUE!</v>
      </c>
      <c r="W7" t="e">
        <f>CVEs!N46+"8O&lt;!8D"</f>
        <v>#VALUE!</v>
      </c>
      <c r="X7" t="e">
        <f>CVEs!O46+"8O&lt;!8E"</f>
        <v>#VALUE!</v>
      </c>
      <c r="Y7" t="e">
        <f>CVEs!P46+"8O&lt;!8F"</f>
        <v>#VALUE!</v>
      </c>
      <c r="Z7" t="e">
        <f>CVEs!Q46+"8O&lt;!8G"</f>
        <v>#VALUE!</v>
      </c>
      <c r="AA7" t="e">
        <f>CVEs!S46+"8O&lt;!8H"</f>
        <v>#VALUE!</v>
      </c>
      <c r="AB7" t="e">
        <f>CVEs!U46+"8O&lt;!8I"</f>
        <v>#VALUE!</v>
      </c>
      <c r="AC7" t="e">
        <f>CVEs!T46+"8O&lt;!8J"</f>
        <v>#VALUE!</v>
      </c>
      <c r="AD7" t="e">
        <f>CVEs!W46+"8O&lt;!8K"</f>
        <v>#VALUE!</v>
      </c>
      <c r="AE7" t="e">
        <f>Drop_Downs!5:5-"8O&lt;!8L"</f>
        <v>#VALUE!</v>
      </c>
      <c r="AF7" t="e">
        <f>Drop_Downs!214:214-"8O&lt;!8M"</f>
        <v>#VALUE!</v>
      </c>
      <c r="AG7" t="e">
        <f>Drop_Downs!215:215-"8O&lt;!8N"</f>
        <v>#VALUE!</v>
      </c>
      <c r="AH7" t="e">
        <f>Drop_Downs!216:216-"8O&lt;!8O"</f>
        <v>#VALUE!</v>
      </c>
      <c r="AI7" t="e">
        <f>Drop_Downs!217:217-"8O&lt;!8P"</f>
        <v>#VALUE!</v>
      </c>
      <c r="AJ7" t="e">
        <f>Drop_Downs!218:218-"8O&lt;!8Q"</f>
        <v>#VALUE!</v>
      </c>
      <c r="AK7" t="e">
        <f>Drop_Downs!219:219-"8O&lt;!8R"</f>
        <v>#VALUE!</v>
      </c>
      <c r="AL7" t="e">
        <f>Drop_Downs!220:220-"8O&lt;!8S"</f>
        <v>#VALUE!</v>
      </c>
      <c r="AM7" t="e">
        <f>Drop_Downs!221:221-"8O&lt;!8T"</f>
        <v>#VALUE!</v>
      </c>
      <c r="AN7" t="e">
        <f>Drop_Downs!A2+"8O&lt;!8U"</f>
        <v>#VALUE!</v>
      </c>
      <c r="AO7" t="e">
        <f>Drop_Downs!A4+"8O&lt;!8V"</f>
        <v>#VALUE!</v>
      </c>
      <c r="AP7" t="e">
        <f>Drop_Downs!E4+"8O&lt;!8W"</f>
        <v>#VALUE!</v>
      </c>
      <c r="AQ7" t="e">
        <f>Drop_Downs!H4+"8O&lt;!8X"</f>
        <v>#VALUE!</v>
      </c>
      <c r="AR7" t="e">
        <f>Drop_Downs!I4+"8O&lt;!8Y"</f>
        <v>#VALUE!</v>
      </c>
      <c r="AS7" t="e">
        <f>Drop_Downs!B6+"8O&lt;!8Z"</f>
        <v>#VALUE!</v>
      </c>
      <c r="AT7" t="e">
        <f>Drop_Downs!C6+"8O&lt;!8["</f>
        <v>#VALUE!</v>
      </c>
      <c r="AU7" t="e">
        <f>Drop_Downs!D6+"8O&lt;!8\"</f>
        <v>#VALUE!</v>
      </c>
      <c r="AV7" t="e">
        <f>Drop_Downs!E6+"8O&lt;!8]"</f>
        <v>#VALUE!</v>
      </c>
      <c r="AW7" t="e">
        <f>Drop_Downs!F6+"8O&lt;!8^"</f>
        <v>#VALUE!</v>
      </c>
      <c r="AX7" t="e">
        <f>Drop_Downs!G6+"8O&lt;!8_"</f>
        <v>#VALUE!</v>
      </c>
      <c r="AY7" t="e">
        <f>Drop_Downs!H6+"8O&lt;!8`"</f>
        <v>#VALUE!</v>
      </c>
      <c r="AZ7" t="e">
        <f>Drop_Downs!I6+"8O&lt;!8a"</f>
        <v>#VALUE!</v>
      </c>
      <c r="BA7" t="e">
        <f>Drop_Downs!G8+"8O&lt;!8b"</f>
        <v>#VALUE!</v>
      </c>
      <c r="BB7" t="e">
        <f>Drop_Downs!H8+"8O&lt;!8c"</f>
        <v>#VALUE!</v>
      </c>
      <c r="BC7" t="e">
        <f>Drop_Downs!I8+"8O&lt;!8d"</f>
        <v>#VALUE!</v>
      </c>
      <c r="BD7" t="e">
        <f>Drop_Downs!H9+"8O&lt;!8e"</f>
        <v>#VALUE!</v>
      </c>
      <c r="BE7" t="e">
        <f>Drop_Downs!I9+"8O&lt;!8f"</f>
        <v>#VALUE!</v>
      </c>
      <c r="BF7" t="e">
        <f>Drop_Downs!B10+"8O&lt;!8g"</f>
        <v>#VALUE!</v>
      </c>
      <c r="BG7" t="e">
        <f>Drop_Downs!H10+"8O&lt;!8h"</f>
        <v>#VALUE!</v>
      </c>
      <c r="BH7" t="e">
        <f>Drop_Downs!I10+"8O&lt;!8i"</f>
        <v>#VALUE!</v>
      </c>
      <c r="BI7" t="e">
        <f>Drop_Downs!B11+"8O&lt;!8j"</f>
        <v>#VALUE!</v>
      </c>
      <c r="BJ7" t="e">
        <f>Drop_Downs!H11+"8O&lt;!8k"</f>
        <v>#VALUE!</v>
      </c>
      <c r="BK7" t="e">
        <f>Drop_Downs!I11+"8O&lt;!8l"</f>
        <v>#VALUE!</v>
      </c>
      <c r="BL7" t="e">
        <f>Drop_Downs!A12+"8O&lt;!8m"</f>
        <v>#VALUE!</v>
      </c>
      <c r="BM7" t="e">
        <f>Drop_Downs!B12+"8O&lt;!8n"</f>
        <v>#VALUE!</v>
      </c>
      <c r="BN7" t="e">
        <f>Drop_Downs!H12+"8O&lt;!8o"</f>
        <v>#VALUE!</v>
      </c>
      <c r="BO7" t="e">
        <f>Drop_Downs!I12+"8O&lt;!8p"</f>
        <v>#VALUE!</v>
      </c>
      <c r="BP7" t="e">
        <f>Drop_Downs!J12+"8O&lt;!8q"</f>
        <v>#VALUE!</v>
      </c>
      <c r="BQ7" t="e">
        <f>Drop_Downs!B13+"8O&lt;!8r"</f>
        <v>#VALUE!</v>
      </c>
      <c r="BR7" t="e">
        <f>Drop_Downs!H13+"8O&lt;!8s"</f>
        <v>#VALUE!</v>
      </c>
      <c r="BS7" t="e">
        <f>Drop_Downs!I13+"8O&lt;!8t"</f>
        <v>#VALUE!</v>
      </c>
      <c r="BT7" t="e">
        <f>Drop_Downs!B14+"8O&lt;!8u"</f>
        <v>#VALUE!</v>
      </c>
      <c r="BU7" t="e">
        <f>Drop_Downs!H14+"8O&lt;!8v"</f>
        <v>#VALUE!</v>
      </c>
      <c r="BV7" t="e">
        <f>Drop_Downs!I14+"8O&lt;!8w"</f>
        <v>#VALUE!</v>
      </c>
      <c r="BW7" t="e">
        <f>Drop_Downs!H15+"8O&lt;!8x"</f>
        <v>#VALUE!</v>
      </c>
      <c r="BX7" t="e">
        <f>Drop_Downs!I15+"8O&lt;!8y"</f>
        <v>#VALUE!</v>
      </c>
      <c r="BY7" t="e">
        <f>Drop_Downs!H16+"8O&lt;!8z"</f>
        <v>#VALUE!</v>
      </c>
      <c r="BZ7" t="e">
        <f>Drop_Downs!I16+"8O&lt;!8{"</f>
        <v>#VALUE!</v>
      </c>
      <c r="CA7" t="e">
        <f>Drop_Downs!H17+"8O&lt;!8|"</f>
        <v>#VALUE!</v>
      </c>
      <c r="CB7" t="e">
        <f>Drop_Downs!I17+"8O&lt;!8}"</f>
        <v>#VALUE!</v>
      </c>
      <c r="CC7" t="e">
        <f>Drop_Downs!H18+"8O&lt;!8~"</f>
        <v>#VALUE!</v>
      </c>
      <c r="CD7" t="e">
        <f>Drop_Downs!I18+"8O&lt;!9#"</f>
        <v>#VALUE!</v>
      </c>
      <c r="CE7" t="e">
        <f>Drop_Downs!H19+"8O&lt;!9$"</f>
        <v>#VALUE!</v>
      </c>
      <c r="CF7" t="e">
        <f>Drop_Downs!I19+"8O&lt;!9%"</f>
        <v>#VALUE!</v>
      </c>
      <c r="CG7" t="e">
        <f>Drop_Downs!H20+"8O&lt;!9&amp;"</f>
        <v>#VALUE!</v>
      </c>
      <c r="CH7" t="e">
        <f>Drop_Downs!I20+"8O&lt;!9'"</f>
        <v>#VALUE!</v>
      </c>
      <c r="CI7" t="e">
        <f>Drop_Downs!H21+"8O&lt;!9("</f>
        <v>#VALUE!</v>
      </c>
      <c r="CJ7" t="e">
        <f>Drop_Downs!I21+"8O&lt;!9)"</f>
        <v>#VALUE!</v>
      </c>
      <c r="CK7" t="e">
        <f>Drop_Downs!H22+"8O&lt;!9."</f>
        <v>#VALUE!</v>
      </c>
      <c r="CL7" t="e">
        <f>Drop_Downs!I22+"8O&lt;!9/"</f>
        <v>#VALUE!</v>
      </c>
      <c r="CM7" t="e">
        <f>Drop_Downs!H23+"8O&lt;!90"</f>
        <v>#VALUE!</v>
      </c>
      <c r="CN7" t="e">
        <f>Drop_Downs!I23+"8O&lt;!91"</f>
        <v>#VALUE!</v>
      </c>
      <c r="CO7" t="e">
        <f>Drop_Downs!H24+"8O&lt;!92"</f>
        <v>#VALUE!</v>
      </c>
      <c r="CP7" t="e">
        <f>Drop_Downs!I24+"8O&lt;!93"</f>
        <v>#VALUE!</v>
      </c>
      <c r="CQ7" t="e">
        <f>Drop_Downs!H26+"8O&lt;!94"</f>
        <v>#VALUE!</v>
      </c>
      <c r="CR7" t="e">
        <f>Drop_Downs!I26+"8O&lt;!95"</f>
        <v>#VALUE!</v>
      </c>
      <c r="CS7" t="e">
        <f>Rules!AZ:AZ*"8O&lt;!96"</f>
        <v>#VALUE!</v>
      </c>
      <c r="CT7" t="e">
        <f>Rules!BA:BA*"8O&lt;!97"</f>
        <v>#VALUE!</v>
      </c>
      <c r="CU7" t="e">
        <f>Rules!BB:BB*"8O&lt;!98"</f>
        <v>#VALUE!</v>
      </c>
      <c r="CV7" t="e">
        <f>Rules!BC:BC*"8O&lt;!99"</f>
        <v>#VALUE!</v>
      </c>
      <c r="CW7" t="e">
        <f>Rules!215:215-"8O&lt;!9:"</f>
        <v>#VALUE!</v>
      </c>
      <c r="CX7" t="e">
        <f>Rules!216:216-"8O&lt;!9;"</f>
        <v>#VALUE!</v>
      </c>
      <c r="CY7" t="e">
        <f>Rules!217:217-"8O&lt;!9&lt;"</f>
        <v>#VALUE!</v>
      </c>
      <c r="CZ7" t="e">
        <f>Rules!218:218-"8O&lt;!9="</f>
        <v>#VALUE!</v>
      </c>
      <c r="DA7" t="e">
        <f>Rules!219:219-"8O&lt;!9&gt;"</f>
        <v>#VALUE!</v>
      </c>
      <c r="DB7" t="e">
        <f>Rules!220:220-"8O&lt;!9?"</f>
        <v>#VALUE!</v>
      </c>
      <c r="DC7" t="e">
        <f>Rules!221:221-"8O&lt;!9@"</f>
        <v>#VALUE!</v>
      </c>
      <c r="DD7" t="e">
        <f>Rules!222:222-"8O&lt;!9A"</f>
        <v>#VALUE!</v>
      </c>
      <c r="DE7" t="e">
        <f>Rules!223:223-"8O&lt;!9B"</f>
        <v>#VALUE!</v>
      </c>
      <c r="DF7" t="e">
        <f>Rules!224:224-"8O&lt;!9C"</f>
        <v>#VALUE!</v>
      </c>
      <c r="DG7" t="e">
        <f>Rules!225:225-"8O&lt;!9D"</f>
        <v>#VALUE!</v>
      </c>
      <c r="DH7" t="e">
        <f>Rules!226:226-"8O&lt;!9E"</f>
        <v>#VALUE!</v>
      </c>
      <c r="DI7" t="e">
        <f>Rules!227:227-"8O&lt;!9F"</f>
        <v>#VALUE!</v>
      </c>
      <c r="DJ7" t="e">
        <f>Rules!228:228-"8O&lt;!9G"</f>
        <v>#VALUE!</v>
      </c>
      <c r="DK7" t="e">
        <f>Rules!229:229-"8O&lt;!9H"</f>
        <v>#VALUE!</v>
      </c>
      <c r="DL7" t="e">
        <f>Rules!230:230-"8O&lt;!9I"</f>
        <v>#VALUE!</v>
      </c>
      <c r="DM7" t="e">
        <f>Rules!231:231-"8O&lt;!9J"</f>
        <v>#VALUE!</v>
      </c>
      <c r="DN7" t="e">
        <f>Rules!232:232-"8O&lt;!9K"</f>
        <v>#VALUE!</v>
      </c>
      <c r="DO7" t="e">
        <f>Rules!233:233-"8O&lt;!9L"</f>
        <v>#VALUE!</v>
      </c>
      <c r="DP7" t="e">
        <f>Rules!234:234-"8O&lt;!9M"</f>
        <v>#VALUE!</v>
      </c>
      <c r="DQ7" t="e">
        <f>Rules!235:235-"8O&lt;!9N"</f>
        <v>#VALUE!</v>
      </c>
      <c r="DR7" t="e">
        <f>Rules!236:236-"8O&lt;!9O"</f>
        <v>#VALUE!</v>
      </c>
      <c r="DS7" t="e">
        <f>Rules!237:237-"8O&lt;!9P"</f>
        <v>#VALUE!</v>
      </c>
      <c r="DT7" t="e">
        <f>Rules!238:238-"8O&lt;!9Q"</f>
        <v>#VALUE!</v>
      </c>
      <c r="DU7" t="e">
        <f>Rules!239:239-"8O&lt;!9R"</f>
        <v>#VALUE!</v>
      </c>
      <c r="DV7" t="e">
        <f>Rules!A20+"8O&lt;!9S"</f>
        <v>#VALUE!</v>
      </c>
      <c r="DW7" t="e">
        <f>Rules!A21+"8O&lt;!9T"</f>
        <v>#VALUE!</v>
      </c>
      <c r="DX7" t="e">
        <f>Rules!B21+"8O&lt;!9U"</f>
        <v>#VALUE!</v>
      </c>
      <c r="DY7" t="e">
        <f>Rules!C21+"8O&lt;!9V"</f>
        <v>#VALUE!</v>
      </c>
      <c r="DZ7" t="e">
        <f>Rules!A22+"8O&lt;!9W"</f>
        <v>#VALUE!</v>
      </c>
      <c r="EA7" t="e">
        <f>Rules!B22+"8O&lt;!9X"</f>
        <v>#VALUE!</v>
      </c>
      <c r="EB7" t="e">
        <f>Rules!C22+"8O&lt;!9Y"</f>
        <v>#VALUE!</v>
      </c>
      <c r="EC7" t="e">
        <f>Rules!A23+"8O&lt;!9Z"</f>
        <v>#VALUE!</v>
      </c>
      <c r="ED7" t="e">
        <f>Rules!B23+"8O&lt;!9["</f>
        <v>#VALUE!</v>
      </c>
      <c r="EE7" t="e">
        <f>Rules!C23+"8O&lt;!9\"</f>
        <v>#VALUE!</v>
      </c>
      <c r="EF7" t="e">
        <f>Rules!A24+"8O&lt;!9]"</f>
        <v>#VALUE!</v>
      </c>
      <c r="EG7" t="e">
        <f>Rules!B24+"8O&lt;!9^"</f>
        <v>#VALUE!</v>
      </c>
      <c r="EH7" t="e">
        <f>Rules!C24+"8O&lt;!9_"</f>
        <v>#VALUE!</v>
      </c>
      <c r="EI7" t="e">
        <f>Rules!A25+"8O&lt;!9`"</f>
        <v>#VALUE!</v>
      </c>
      <c r="EJ7" t="e">
        <f>Rules!B25+"8O&lt;!9a"</f>
        <v>#VALUE!</v>
      </c>
      <c r="EK7" t="e">
        <f>Rules!C25+"8O&lt;!9b"</f>
        <v>#VALUE!</v>
      </c>
      <c r="EL7" t="e">
        <f>Rules!A26+"8O&lt;!9c"</f>
        <v>#VALUE!</v>
      </c>
      <c r="EM7" t="e">
        <f>Rules!B26+"8O&lt;!9d"</f>
        <v>#VALUE!</v>
      </c>
      <c r="EN7" t="e">
        <f>Rules!C26+"8O&lt;!9e"</f>
        <v>#VALUE!</v>
      </c>
      <c r="EO7" t="e">
        <f>Rules!A27+"8O&lt;!9f"</f>
        <v>#VALUE!</v>
      </c>
      <c r="EP7" t="e">
        <f>Rules!B27+"8O&lt;!9g"</f>
        <v>#VALUE!</v>
      </c>
      <c r="EQ7" t="e">
        <f>Rules!C27+"8O&lt;!9h"</f>
        <v>#VALUE!</v>
      </c>
      <c r="ER7" t="e">
        <f>Rules!A28+"8O&lt;!9i"</f>
        <v>#VALUE!</v>
      </c>
      <c r="ES7" t="e">
        <f>Rules!B28+"8O&lt;!9j"</f>
        <v>#VALUE!</v>
      </c>
      <c r="ET7" t="e">
        <f>Rules!C28+"8O&lt;!9k"</f>
        <v>#VALUE!</v>
      </c>
      <c r="EU7" t="e">
        <f>Rules!A29+"8O&lt;!9l"</f>
        <v>#VALUE!</v>
      </c>
      <c r="EV7" t="e">
        <f>Rules!B29+"8O&lt;!9m"</f>
        <v>#VALUE!</v>
      </c>
      <c r="EW7" t="e">
        <f>Rules!C29+"8O&lt;!9n"</f>
        <v>#VALUE!</v>
      </c>
      <c r="EX7" t="e">
        <f>Rules!A30+"8O&lt;!9o"</f>
        <v>#VALUE!</v>
      </c>
      <c r="EY7" t="e">
        <f>Rules!B30+"8O&lt;!9p"</f>
        <v>#VALUE!</v>
      </c>
      <c r="EZ7" t="e">
        <f>Rules!C30+"8O&lt;!9q"</f>
        <v>#VALUE!</v>
      </c>
      <c r="FA7" t="e">
        <f>Rules!A31+"8O&lt;!9r"</f>
        <v>#VALUE!</v>
      </c>
      <c r="FB7" t="e">
        <f>Rules!B31+"8O&lt;!9s"</f>
        <v>#VALUE!</v>
      </c>
      <c r="FC7" t="e">
        <f>Rules!C31+"8O&lt;!9t"</f>
        <v>#VALUE!</v>
      </c>
      <c r="FD7" t="e">
        <f>Rules!A33+"8O&lt;!9u"</f>
        <v>#VALUE!</v>
      </c>
      <c r="FE7" t="e">
        <f>Rules!A34+"8O&lt;!9v"</f>
        <v>#VALUE!</v>
      </c>
      <c r="FF7" t="e">
        <f>Rules!B34+"8O&lt;!9w"</f>
        <v>#VALUE!</v>
      </c>
      <c r="FG7" t="e">
        <f>Rules!C34+"8O&lt;!9x"</f>
        <v>#VALUE!</v>
      </c>
      <c r="FH7" t="e">
        <f>Rules!D34+"8O&lt;!9y"</f>
        <v>#VALUE!</v>
      </c>
      <c r="FI7" t="e">
        <f>Rules!E34+"8O&lt;!9z"</f>
        <v>#VALUE!</v>
      </c>
      <c r="FJ7" t="e">
        <f>Rules!A35+"8O&lt;!9{"</f>
        <v>#VALUE!</v>
      </c>
      <c r="FK7" t="e">
        <f>Rules!B35+"8O&lt;!9|"</f>
        <v>#VALUE!</v>
      </c>
      <c r="FL7" t="e">
        <f>Rules!C35+"8O&lt;!9}"</f>
        <v>#VALUE!</v>
      </c>
      <c r="FM7" t="e">
        <f>Rules!D35+"8O&lt;!9~"</f>
        <v>#VALUE!</v>
      </c>
      <c r="FN7" t="e">
        <f>Rules!E35+"8O&lt;!:#"</f>
        <v>#VALUE!</v>
      </c>
      <c r="FO7" t="e">
        <f>Rules!A36+"8O&lt;!:$"</f>
        <v>#VALUE!</v>
      </c>
      <c r="FP7" t="e">
        <f>Rules!B36+"8O&lt;!:%"</f>
        <v>#VALUE!</v>
      </c>
      <c r="FQ7" t="e">
        <f>Rules!C36+"8O&lt;!:&amp;"</f>
        <v>#VALUE!</v>
      </c>
      <c r="FR7" t="e">
        <f>Rules!D36+"8O&lt;!:'"</f>
        <v>#VALUE!</v>
      </c>
      <c r="FS7" t="e">
        <f>Rules!E36+"8O&lt;!:("</f>
        <v>#VALUE!</v>
      </c>
      <c r="FT7" t="e">
        <f>Rules!A37+"8O&lt;!:)"</f>
        <v>#VALUE!</v>
      </c>
      <c r="FU7" t="e">
        <f>Rules!B37+"8O&lt;!:."</f>
        <v>#VALUE!</v>
      </c>
      <c r="FV7" t="e">
        <f>Rules!C37+"8O&lt;!:/"</f>
        <v>#VALUE!</v>
      </c>
      <c r="FW7" t="e">
        <f>Rules!D37+"8O&lt;!:0"</f>
        <v>#VALUE!</v>
      </c>
      <c r="FX7" t="e">
        <f>Rules!E37+"8O&lt;!:1"</f>
        <v>#VALUE!</v>
      </c>
      <c r="FY7" t="e">
        <f>Rules!A38+"8O&lt;!:2"</f>
        <v>#VALUE!</v>
      </c>
      <c r="FZ7" t="e">
        <f>Rules!B38+"8O&lt;!:3"</f>
        <v>#VALUE!</v>
      </c>
      <c r="GA7" t="e">
        <f>Rules!C38+"8O&lt;!:4"</f>
        <v>#VALUE!</v>
      </c>
      <c r="GB7" t="e">
        <f>Rules!D38+"8O&lt;!:5"</f>
        <v>#VALUE!</v>
      </c>
      <c r="GC7" t="e">
        <f>Rules!E38+"8O&lt;!:6"</f>
        <v>#VALUE!</v>
      </c>
      <c r="GD7" t="e">
        <f>Rules!A39+"8O&lt;!:7"</f>
        <v>#VALUE!</v>
      </c>
      <c r="GE7" t="e">
        <f>Rules!B39+"8O&lt;!:8"</f>
        <v>#VALUE!</v>
      </c>
      <c r="GF7" t="e">
        <f>Rules!C39+"8O&lt;!:9"</f>
        <v>#VALUE!</v>
      </c>
      <c r="GG7" t="e">
        <f>Rules!D39+"8O&lt;!::"</f>
        <v>#VALUE!</v>
      </c>
      <c r="GH7" t="e">
        <f>Rules!E39+"8O&lt;!:;"</f>
        <v>#VALUE!</v>
      </c>
      <c r="GI7" t="e">
        <f>Rules!A40+"8O&lt;!:&lt;"</f>
        <v>#VALUE!</v>
      </c>
      <c r="GJ7" t="e">
        <f>Rules!B40+"8O&lt;!:="</f>
        <v>#VALUE!</v>
      </c>
      <c r="GK7" t="e">
        <f>Rules!C40+"8O&lt;!:&gt;"</f>
        <v>#VALUE!</v>
      </c>
      <c r="GL7" t="e">
        <f>Rules!D40+"8O&lt;!:?"</f>
        <v>#VALUE!</v>
      </c>
      <c r="GM7" t="e">
        <f>Rules!E40+"8O&lt;!:@"</f>
        <v>#VALUE!</v>
      </c>
      <c r="GN7" t="e">
        <f>Rules!A41+"8O&lt;!:A"</f>
        <v>#VALUE!</v>
      </c>
      <c r="GO7" t="e">
        <f>Rules!B41+"8O&lt;!:B"</f>
        <v>#VALUE!</v>
      </c>
      <c r="GP7" t="e">
        <f>Rules!C41+"8O&lt;!:C"</f>
        <v>#VALUE!</v>
      </c>
      <c r="GQ7" t="e">
        <f>Rules!D41+"8O&lt;!:D"</f>
        <v>#VALUE!</v>
      </c>
      <c r="GR7" t="e">
        <f>Rules!E41+"8O&lt;!:E"</f>
        <v>#VALUE!</v>
      </c>
      <c r="GS7" t="e">
        <f>Rules!A42+"8O&lt;!:F"</f>
        <v>#VALUE!</v>
      </c>
      <c r="GT7" t="e">
        <f>Rules!B42+"8O&lt;!:G"</f>
        <v>#VALUE!</v>
      </c>
      <c r="GU7" t="e">
        <f>Rules!C42+"8O&lt;!:H"</f>
        <v>#VALUE!</v>
      </c>
      <c r="GV7" t="e">
        <f>Rules!D42+"8O&lt;!:I"</f>
        <v>#VALUE!</v>
      </c>
      <c r="GW7" t="e">
        <f>Rules!E42+"8O&lt;!:J"</f>
        <v>#VALUE!</v>
      </c>
      <c r="GX7" t="e">
        <f>#REF!*"8O&lt;!:L"</f>
        <v>#REF!</v>
      </c>
      <c r="GY7" t="e">
        <f>#REF!*"8O&lt;!:M"</f>
        <v>#REF!</v>
      </c>
      <c r="GZ7" t="e">
        <f>#REF!*"8O&lt;!:N"</f>
        <v>#REF!</v>
      </c>
      <c r="HA7" t="e">
        <f>#REF!*"8O&lt;!:O"</f>
        <v>#REF!</v>
      </c>
      <c r="HB7" t="e">
        <f>#REF!*"8O&lt;!:P"</f>
        <v>#REF!</v>
      </c>
      <c r="HC7" t="e">
        <f>#REF!*"8O&lt;!:Q"</f>
        <v>#REF!</v>
      </c>
      <c r="HD7" t="e">
        <f>#REF!*"8O&lt;!:R"</f>
        <v>#REF!</v>
      </c>
      <c r="HE7" t="e">
        <f>#REF!*"8O&lt;!:S"</f>
        <v>#REF!</v>
      </c>
      <c r="HF7" t="e">
        <f>#REF!*"8O&lt;!:T"</f>
        <v>#REF!</v>
      </c>
      <c r="HG7" t="e">
        <f>#REF!*"8O&lt;!:U"</f>
        <v>#REF!</v>
      </c>
      <c r="HH7" t="e">
        <f>#REF!*"8O&lt;!:V"</f>
        <v>#REF!</v>
      </c>
      <c r="HI7" t="e">
        <f>#REF!*"8O&lt;!:W"</f>
        <v>#REF!</v>
      </c>
      <c r="HJ7" t="e">
        <f>#REF!*"8O&lt;!:X"</f>
        <v>#REF!</v>
      </c>
      <c r="HK7" t="e">
        <f>#REF!*"8O&lt;!:Y"</f>
        <v>#REF!</v>
      </c>
      <c r="HL7" t="e">
        <f>#REF!*"8O&lt;!:Z"</f>
        <v>#REF!</v>
      </c>
      <c r="HM7" t="e">
        <f>#REF!*"8O&lt;!:["</f>
        <v>#REF!</v>
      </c>
      <c r="HN7" t="e">
        <f>#REF!*"8O&lt;!:\"</f>
        <v>#REF!</v>
      </c>
      <c r="HO7" t="e">
        <f>#REF!*"8O&lt;!:]"</f>
        <v>#REF!</v>
      </c>
      <c r="HP7" t="e">
        <f>#REF!*"8O&lt;!:^"</f>
        <v>#REF!</v>
      </c>
      <c r="HQ7" t="e">
        <f>#REF!*"8O&lt;!:_"</f>
        <v>#REF!</v>
      </c>
      <c r="HR7" t="e">
        <f>#REF!*"8O&lt;!:`"</f>
        <v>#REF!</v>
      </c>
      <c r="HS7" t="e">
        <f>#REF!*"8O&lt;!:a"</f>
        <v>#REF!</v>
      </c>
      <c r="HT7" t="e">
        <f>#REF!*"8O&lt;!:b"</f>
        <v>#REF!</v>
      </c>
      <c r="HU7" t="e">
        <f>#REF!*"8O&lt;!:c"</f>
        <v>#REF!</v>
      </c>
      <c r="HV7" t="e">
        <f>#REF!*"8O&lt;!:d"</f>
        <v>#REF!</v>
      </c>
      <c r="HW7" t="e">
        <f>#REF!*"8O&lt;!:e"</f>
        <v>#REF!</v>
      </c>
      <c r="HX7" t="e">
        <f>#REF!*"8O&lt;!:f"</f>
        <v>#REF!</v>
      </c>
      <c r="HY7" t="e">
        <f>#REF!*"8O&lt;!:g"</f>
        <v>#REF!</v>
      </c>
      <c r="HZ7" t="e">
        <f>#REF!*"8O&lt;!:h"</f>
        <v>#REF!</v>
      </c>
      <c r="IA7" t="e">
        <f>#REF!*"8O&lt;!:i"</f>
        <v>#REF!</v>
      </c>
      <c r="IB7" t="e">
        <f>#REF!*"8O&lt;!:j"</f>
        <v>#REF!</v>
      </c>
      <c r="IC7" t="e">
        <f>#REF!*"8O&lt;!:k"</f>
        <v>#REF!</v>
      </c>
      <c r="ID7" t="e">
        <f>#REF!*"8O&lt;!:l"</f>
        <v>#REF!</v>
      </c>
      <c r="IE7" t="e">
        <f>#REF!*"8O&lt;!:m"</f>
        <v>#REF!</v>
      </c>
      <c r="IF7" t="e">
        <f>#REF!*"8O&lt;!:n"</f>
        <v>#REF!</v>
      </c>
      <c r="IG7" t="e">
        <f>#REF!*"8O&lt;!:o"</f>
        <v>#REF!</v>
      </c>
      <c r="IH7" t="e">
        <f>#REF!*"8O&lt;!:p"</f>
        <v>#REF!</v>
      </c>
      <c r="II7" t="e">
        <f>#REF!*"8O&lt;!:q"</f>
        <v>#REF!</v>
      </c>
      <c r="IJ7" t="e">
        <f>#REF!*"8O&lt;!:r"</f>
        <v>#REF!</v>
      </c>
      <c r="IK7" t="e">
        <f>#REF!*"8O&lt;!:s"</f>
        <v>#REF!</v>
      </c>
      <c r="IL7" t="e">
        <f>#REF!*"8O&lt;!:t"</f>
        <v>#REF!</v>
      </c>
      <c r="IM7" t="e">
        <f>#REF!*"8O&lt;!:u"</f>
        <v>#REF!</v>
      </c>
      <c r="IN7" t="e">
        <f>#REF!*"8O&lt;!:v"</f>
        <v>#REF!</v>
      </c>
      <c r="IO7" t="e">
        <f>#REF!*"8O&lt;!:w"</f>
        <v>#REF!</v>
      </c>
      <c r="IP7" t="e">
        <f>#REF!*"8O&lt;!:x"</f>
        <v>#REF!</v>
      </c>
      <c r="IQ7" t="e">
        <f>#REF!*"8O&lt;!:y"</f>
        <v>#REF!</v>
      </c>
      <c r="IR7" t="e">
        <f>#REF!*"8O&lt;!:z"</f>
        <v>#REF!</v>
      </c>
      <c r="IS7" t="e">
        <f>#REF!*"8O&lt;!:{"</f>
        <v>#REF!</v>
      </c>
      <c r="IT7" t="e">
        <f>#REF!*"8O&lt;!:|"</f>
        <v>#REF!</v>
      </c>
      <c r="IU7" t="e">
        <f>#REF!*"8O&lt;!:}"</f>
        <v>#REF!</v>
      </c>
      <c r="IV7" t="e">
        <f>#REF!*"8O&lt;!:~"</f>
        <v>#REF!</v>
      </c>
    </row>
    <row r="8" spans="1:256" x14ac:dyDescent="0.25">
      <c r="A8" t="s">
        <v>3372</v>
      </c>
      <c r="F8" t="e">
        <f>#REF!*"8O&lt;!;#"</f>
        <v>#REF!</v>
      </c>
      <c r="G8" t="e">
        <f>#REF!*"8O&lt;!;$"</f>
        <v>#REF!</v>
      </c>
      <c r="H8" t="e">
        <f>#REF!*"8O&lt;!;%"</f>
        <v>#REF!</v>
      </c>
      <c r="I8" t="e">
        <f>#REF!*"8O&lt;!;&amp;"</f>
        <v>#REF!</v>
      </c>
      <c r="J8" t="e">
        <f>#REF!*"8O&lt;!;'"</f>
        <v>#REF!</v>
      </c>
      <c r="K8" t="e">
        <f>#REF!*"8O&lt;!;("</f>
        <v>#REF!</v>
      </c>
      <c r="L8" t="e">
        <f>#REF!*"8O&lt;!;)"</f>
        <v>#REF!</v>
      </c>
      <c r="M8" t="e">
        <f>#REF!*"8O&lt;!;."</f>
        <v>#REF!</v>
      </c>
      <c r="N8" t="e">
        <f>#REF!*"8O&lt;!;/"</f>
        <v>#REF!</v>
      </c>
      <c r="O8" t="e">
        <f>#REF!*"8O&lt;!;0"</f>
        <v>#REF!</v>
      </c>
      <c r="P8" t="e">
        <f>#REF!*"8O&lt;!;1"</f>
        <v>#REF!</v>
      </c>
      <c r="Q8" t="e">
        <f>#REF!*"8O&lt;!;2"</f>
        <v>#REF!</v>
      </c>
      <c r="R8" t="e">
        <f>#REF!*"8O&lt;!;3"</f>
        <v>#REF!</v>
      </c>
      <c r="S8" t="e">
        <f>#REF!*"8O&lt;!;4"</f>
        <v>#REF!</v>
      </c>
      <c r="T8" t="e">
        <f>#REF!*"8O&lt;!;5"</f>
        <v>#REF!</v>
      </c>
      <c r="U8" t="e">
        <f>#REF!*"8O&lt;!;6"</f>
        <v>#REF!</v>
      </c>
      <c r="V8" t="e">
        <f>#REF!-"8O&lt;!;7"</f>
        <v>#REF!</v>
      </c>
      <c r="W8" t="e">
        <f>#REF!-"8O&lt;!;8"</f>
        <v>#REF!</v>
      </c>
      <c r="X8" t="e">
        <f>#REF!-"8O&lt;!;9"</f>
        <v>#REF!</v>
      </c>
      <c r="Y8" t="e">
        <f>#REF!-"8O&lt;!;:"</f>
        <v>#REF!</v>
      </c>
      <c r="Z8" t="e">
        <f>#REF!-"8O&lt;!;;"</f>
        <v>#REF!</v>
      </c>
      <c r="AA8" t="e">
        <f>#REF!-"8O&lt;!;&lt;"</f>
        <v>#REF!</v>
      </c>
      <c r="AB8" t="e">
        <f>#REF!-"8O&lt;!;="</f>
        <v>#REF!</v>
      </c>
      <c r="AC8" t="e">
        <f>#REF!-"8O&lt;!;&gt;"</f>
        <v>#REF!</v>
      </c>
      <c r="AD8" t="e">
        <f>#REF!-"8O&lt;!;?"</f>
        <v>#REF!</v>
      </c>
      <c r="AE8" t="e">
        <f>#REF!-"8O&lt;!;@"</f>
        <v>#REF!</v>
      </c>
      <c r="AF8" t="e">
        <f>#REF!-"8O&lt;!;A"</f>
        <v>#REF!</v>
      </c>
      <c r="AG8" t="e">
        <f>#REF!-"8O&lt;!;B"</f>
        <v>#REF!</v>
      </c>
      <c r="AH8" t="e">
        <f>#REF!-"8O&lt;!;C"</f>
        <v>#REF!</v>
      </c>
      <c r="AI8" t="e">
        <f>#REF!-"8O&lt;!;D"</f>
        <v>#REF!</v>
      </c>
      <c r="AJ8" t="e">
        <f>#REF!-"8O&lt;!;E"</f>
        <v>#REF!</v>
      </c>
      <c r="AK8" t="e">
        <f>#REF!-"8O&lt;!;F"</f>
        <v>#REF!</v>
      </c>
      <c r="AL8" t="e">
        <f>#REF!-"8O&lt;!;G"</f>
        <v>#REF!</v>
      </c>
      <c r="AM8" t="e">
        <f>#REF!-"8O&lt;!;H"</f>
        <v>#REF!</v>
      </c>
      <c r="AN8" t="e">
        <f>#REF!-"8O&lt;!;I"</f>
        <v>#REF!</v>
      </c>
      <c r="AO8" t="e">
        <f>#REF!-"8O&lt;!;J"</f>
        <v>#REF!</v>
      </c>
      <c r="AP8" t="e">
        <f>#REF!-"8O&lt;!;K"</f>
        <v>#REF!</v>
      </c>
      <c r="AQ8" t="e">
        <f>#REF!-"8O&lt;!;L"</f>
        <v>#REF!</v>
      </c>
      <c r="AR8" t="e">
        <f>#REF!-"8O&lt;!;M"</f>
        <v>#REF!</v>
      </c>
      <c r="AS8" t="e">
        <f>#REF!-"8O&lt;!;N"</f>
        <v>#REF!</v>
      </c>
      <c r="AT8" t="e">
        <f>#REF!-"8O&lt;!;O"</f>
        <v>#REF!</v>
      </c>
      <c r="AU8" t="e">
        <f>#REF!-"8O&lt;!;P"</f>
        <v>#REF!</v>
      </c>
      <c r="AV8" t="e">
        <f>#REF!-"8O&lt;!;Q"</f>
        <v>#REF!</v>
      </c>
      <c r="AW8" t="e">
        <f>#REF!-"8O&lt;!;R"</f>
        <v>#REF!</v>
      </c>
      <c r="AX8" t="e">
        <f>#REF!-"8O&lt;!;S"</f>
        <v>#REF!</v>
      </c>
      <c r="AY8" t="e">
        <f>#REF!-"8O&lt;!;T"</f>
        <v>#REF!</v>
      </c>
      <c r="AZ8" t="e">
        <f>#REF!-"8O&lt;!;U"</f>
        <v>#REF!</v>
      </c>
      <c r="BA8" t="e">
        <f>#REF!-"8O&lt;!;V"</f>
        <v>#REF!</v>
      </c>
      <c r="BB8" t="e">
        <f>#REF!-"8O&lt;!;W"</f>
        <v>#REF!</v>
      </c>
      <c r="BC8" t="e">
        <f>#REF!-"8O&lt;!;X"</f>
        <v>#REF!</v>
      </c>
      <c r="BD8" t="e">
        <f>#REF!-"8O&lt;!;Y"</f>
        <v>#REF!</v>
      </c>
      <c r="BE8" t="e">
        <f>#REF!-"8O&lt;!;Z"</f>
        <v>#REF!</v>
      </c>
      <c r="BF8" t="e">
        <f>#REF!-"8O&lt;!;["</f>
        <v>#REF!</v>
      </c>
      <c r="BG8" t="e">
        <f>#REF!-"8O&lt;!;\"</f>
        <v>#REF!</v>
      </c>
      <c r="BH8" t="e">
        <f>#REF!-"8O&lt;!;]"</f>
        <v>#REF!</v>
      </c>
      <c r="BI8" t="e">
        <f>#REF!-"8O&lt;!;^"</f>
        <v>#REF!</v>
      </c>
      <c r="BJ8" t="e">
        <f>#REF!-"8O&lt;!;_"</f>
        <v>#REF!</v>
      </c>
      <c r="BK8" t="e">
        <f>#REF!-"8O&lt;!;`"</f>
        <v>#REF!</v>
      </c>
      <c r="BL8" t="e">
        <f>#REF!-"8O&lt;!;a"</f>
        <v>#REF!</v>
      </c>
      <c r="BM8" t="e">
        <f>#REF!-"8O&lt;!;b"</f>
        <v>#REF!</v>
      </c>
      <c r="BN8" t="e">
        <f>#REF!-"8O&lt;!;c"</f>
        <v>#REF!</v>
      </c>
      <c r="BO8" t="e">
        <f>#REF!-"8O&lt;!;d"</f>
        <v>#REF!</v>
      </c>
      <c r="BP8" t="e">
        <f>#REF!-"8O&lt;!;e"</f>
        <v>#REF!</v>
      </c>
      <c r="BQ8" t="e">
        <f>#REF!-"8O&lt;!;f"</f>
        <v>#REF!</v>
      </c>
      <c r="BR8" t="e">
        <f>#REF!-"8O&lt;!;g"</f>
        <v>#REF!</v>
      </c>
      <c r="BS8" t="e">
        <f>#REF!-"8O&lt;!;h"</f>
        <v>#REF!</v>
      </c>
      <c r="BT8" t="e">
        <f>#REF!-"8O&lt;!;i"</f>
        <v>#REF!</v>
      </c>
      <c r="BU8" t="e">
        <f>#REF!-"8O&lt;!;j"</f>
        <v>#REF!</v>
      </c>
      <c r="BV8" t="e">
        <f>#REF!-"8O&lt;!;k"</f>
        <v>#REF!</v>
      </c>
      <c r="BW8" t="e">
        <f>#REF!-"8O&lt;!;l"</f>
        <v>#REF!</v>
      </c>
      <c r="BX8" t="e">
        <f>#REF!-"8O&lt;!;m"</f>
        <v>#REF!</v>
      </c>
      <c r="BY8" t="e">
        <f>#REF!-"8O&lt;!;n"</f>
        <v>#REF!</v>
      </c>
      <c r="BZ8" t="e">
        <f>#REF!-"8O&lt;!;o"</f>
        <v>#REF!</v>
      </c>
      <c r="CA8" t="e">
        <f>#REF!-"8O&lt;!;p"</f>
        <v>#REF!</v>
      </c>
      <c r="CB8" t="e">
        <f>#REF!-"8O&lt;!;q"</f>
        <v>#REF!</v>
      </c>
      <c r="CC8" t="e">
        <f>#REF!-"8O&lt;!;r"</f>
        <v>#REF!</v>
      </c>
      <c r="CD8" t="e">
        <f>#REF!-"8O&lt;!;s"</f>
        <v>#REF!</v>
      </c>
      <c r="CE8" t="e">
        <f>#REF!-"8O&lt;!;t"</f>
        <v>#REF!</v>
      </c>
      <c r="CF8" t="e">
        <f>#REF!-"8O&lt;!;u"</f>
        <v>#REF!</v>
      </c>
      <c r="CG8" t="e">
        <f>#REF!-"8O&lt;!;v"</f>
        <v>#REF!</v>
      </c>
      <c r="CH8" t="e">
        <f>#REF!-"8O&lt;!;w"</f>
        <v>#REF!</v>
      </c>
      <c r="CI8" t="e">
        <f>#REF!-"8O&lt;!;x"</f>
        <v>#REF!</v>
      </c>
      <c r="CJ8" t="e">
        <f>#REF!-"8O&lt;!;y"</f>
        <v>#REF!</v>
      </c>
      <c r="CK8" t="e">
        <f>#REF!-"8O&lt;!;z"</f>
        <v>#REF!</v>
      </c>
      <c r="CL8" t="e">
        <f>#REF!-"8O&lt;!;{"</f>
        <v>#REF!</v>
      </c>
      <c r="CM8" t="e">
        <f>#REF!-"8O&lt;!;|"</f>
        <v>#REF!</v>
      </c>
      <c r="CN8" t="e">
        <f>#REF!-"8O&lt;!;}"</f>
        <v>#REF!</v>
      </c>
      <c r="CO8" t="e">
        <f>#REF!-"8O&lt;!;~"</f>
        <v>#REF!</v>
      </c>
      <c r="CP8" t="e">
        <f>#REF!-"8O&lt;!&lt;#"</f>
        <v>#REF!</v>
      </c>
      <c r="CQ8" t="e">
        <f>#REF!-"8O&lt;!&lt;$"</f>
        <v>#REF!</v>
      </c>
      <c r="CR8" t="e">
        <f>#REF!-"8O&lt;!&lt;%"</f>
        <v>#REF!</v>
      </c>
      <c r="CS8" t="e">
        <f>#REF!-"8O&lt;!&lt;&amp;"</f>
        <v>#REF!</v>
      </c>
      <c r="CT8" t="e">
        <f>#REF!-"8O&lt;!&lt;'"</f>
        <v>#REF!</v>
      </c>
      <c r="CU8" t="e">
        <f>#REF!-"8O&lt;!&lt;("</f>
        <v>#REF!</v>
      </c>
      <c r="CV8" t="e">
        <f>#REF!-"8O&lt;!&lt;)"</f>
        <v>#REF!</v>
      </c>
      <c r="CW8" t="e">
        <f>#REF!-"8O&lt;!&lt;."</f>
        <v>#REF!</v>
      </c>
      <c r="CX8" t="e">
        <f>#REF!-"8O&lt;!&lt;/"</f>
        <v>#REF!</v>
      </c>
      <c r="CY8" t="e">
        <f>#REF!-"8O&lt;!&lt;0"</f>
        <v>#REF!</v>
      </c>
      <c r="CZ8" t="e">
        <f>#REF!-"8O&lt;!&lt;1"</f>
        <v>#REF!</v>
      </c>
      <c r="DA8" t="e">
        <f>#REF!-"8O&lt;!&lt;2"</f>
        <v>#REF!</v>
      </c>
      <c r="DB8" t="e">
        <f>#REF!-"8O&lt;!&lt;3"</f>
        <v>#REF!</v>
      </c>
      <c r="DC8" t="e">
        <f>#REF!-"8O&lt;!&lt;4"</f>
        <v>#REF!</v>
      </c>
      <c r="DD8" t="e">
        <f>#REF!-"8O&lt;!&lt;5"</f>
        <v>#REF!</v>
      </c>
      <c r="DE8" t="e">
        <f>#REF!-"8O&lt;!&lt;6"</f>
        <v>#REF!</v>
      </c>
      <c r="DF8" t="e">
        <f>#REF!-"8O&lt;!&lt;7"</f>
        <v>#REF!</v>
      </c>
      <c r="DG8" t="e">
        <f>#REF!-"8O&lt;!&lt;8"</f>
        <v>#REF!</v>
      </c>
      <c r="DH8" t="e">
        <f>#REF!-"8O&lt;!&lt;9"</f>
        <v>#REF!</v>
      </c>
      <c r="DI8" t="e">
        <f>#REF!-"8O&lt;!&lt;:"</f>
        <v>#REF!</v>
      </c>
      <c r="DJ8" t="e">
        <f>#REF!-"8O&lt;!&lt;;"</f>
        <v>#REF!</v>
      </c>
      <c r="DK8" t="e">
        <f>#REF!-"8O&lt;!&lt;&lt;"</f>
        <v>#REF!</v>
      </c>
      <c r="DL8" t="e">
        <f>#REF!-"8O&lt;!&lt;="</f>
        <v>#REF!</v>
      </c>
      <c r="DM8" t="e">
        <f>#REF!-"8O&lt;!&lt;&gt;"</f>
        <v>#REF!</v>
      </c>
      <c r="DN8" t="e">
        <f>#REF!-"8O&lt;!&lt;?"</f>
        <v>#REF!</v>
      </c>
      <c r="DO8" t="e">
        <f>#REF!-"8O&lt;!&lt;@"</f>
        <v>#REF!</v>
      </c>
      <c r="DP8" t="e">
        <f>#REF!-"8O&lt;!&lt;A"</f>
        <v>#REF!</v>
      </c>
      <c r="DQ8" t="e">
        <f>#REF!-"8O&lt;!&lt;B"</f>
        <v>#REF!</v>
      </c>
      <c r="DR8" t="e">
        <f>#REF!-"8O&lt;!&lt;C"</f>
        <v>#REF!</v>
      </c>
      <c r="DS8" t="e">
        <f>#REF!-"8O&lt;!&lt;D"</f>
        <v>#REF!</v>
      </c>
      <c r="DT8" t="e">
        <f>#REF!-"8O&lt;!&lt;E"</f>
        <v>#REF!</v>
      </c>
      <c r="DU8" t="e">
        <f>#REF!-"8O&lt;!&lt;F"</f>
        <v>#REF!</v>
      </c>
      <c r="DV8" t="e">
        <f>#REF!-"8O&lt;!&lt;G"</f>
        <v>#REF!</v>
      </c>
      <c r="DW8" t="e">
        <f>#REF!-"8O&lt;!&lt;H"</f>
        <v>#REF!</v>
      </c>
      <c r="DX8" t="e">
        <f>#REF!-"8O&lt;!&lt;I"</f>
        <v>#REF!</v>
      </c>
      <c r="DY8" t="e">
        <f>#REF!-"8O&lt;!&lt;J"</f>
        <v>#REF!</v>
      </c>
      <c r="DZ8" t="e">
        <f>#REF!-"8O&lt;!&lt;K"</f>
        <v>#REF!</v>
      </c>
      <c r="EA8" t="e">
        <f>#REF!-"8O&lt;!&lt;L"</f>
        <v>#REF!</v>
      </c>
      <c r="EB8" t="e">
        <f>#REF!-"8O&lt;!&lt;M"</f>
        <v>#REF!</v>
      </c>
      <c r="EC8" t="e">
        <f>#REF!-"8O&lt;!&lt;N"</f>
        <v>#REF!</v>
      </c>
      <c r="ED8" t="e">
        <f>#REF!-"8O&lt;!&lt;O"</f>
        <v>#REF!</v>
      </c>
      <c r="EE8" t="e">
        <f>#REF!-"8O&lt;!&lt;P"</f>
        <v>#REF!</v>
      </c>
      <c r="EF8" t="e">
        <f>#REF!-"8O&lt;!&lt;Q"</f>
        <v>#REF!</v>
      </c>
      <c r="EG8" t="e">
        <f>#REF!-"8O&lt;!&lt;R"</f>
        <v>#REF!</v>
      </c>
      <c r="EH8" t="e">
        <f>#REF!-"8O&lt;!&lt;S"</f>
        <v>#REF!</v>
      </c>
      <c r="EI8" t="e">
        <f>#REF!-"8O&lt;!&lt;T"</f>
        <v>#REF!</v>
      </c>
      <c r="EJ8" t="e">
        <f>#REF!-"8O&lt;!&lt;U"</f>
        <v>#REF!</v>
      </c>
      <c r="EK8" t="e">
        <f>#REF!-"8O&lt;!&lt;V"</f>
        <v>#REF!</v>
      </c>
      <c r="EL8" t="e">
        <f>#REF!-"8O&lt;!&lt;W"</f>
        <v>#REF!</v>
      </c>
      <c r="EM8" t="e">
        <f>#REF!-"8O&lt;!&lt;X"</f>
        <v>#REF!</v>
      </c>
      <c r="EN8" t="e">
        <f>#REF!-"8O&lt;!&lt;Y"</f>
        <v>#REF!</v>
      </c>
      <c r="EO8" t="e">
        <f>#REF!-"8O&lt;!&lt;Z"</f>
        <v>#REF!</v>
      </c>
      <c r="EP8" t="e">
        <f>#REF!-"8O&lt;!&lt;["</f>
        <v>#REF!</v>
      </c>
      <c r="EQ8" t="e">
        <f>#REF!-"8O&lt;!&lt;\"</f>
        <v>#REF!</v>
      </c>
      <c r="ER8" t="e">
        <f>#REF!-"8O&lt;!&lt;]"</f>
        <v>#REF!</v>
      </c>
      <c r="ES8" t="e">
        <f>#REF!-"8O&lt;!&lt;^"</f>
        <v>#REF!</v>
      </c>
      <c r="ET8" t="e">
        <f>#REF!-"8O&lt;!&lt;_"</f>
        <v>#REF!</v>
      </c>
      <c r="EU8" t="e">
        <f>#REF!-"8O&lt;!&lt;`"</f>
        <v>#REF!</v>
      </c>
      <c r="EV8" t="e">
        <f>#REF!-"8O&lt;!&lt;a"</f>
        <v>#REF!</v>
      </c>
      <c r="EW8" t="e">
        <f>#REF!-"8O&lt;!&lt;b"</f>
        <v>#REF!</v>
      </c>
      <c r="EX8" t="e">
        <f>#REF!-"8O&lt;!&lt;c"</f>
        <v>#REF!</v>
      </c>
      <c r="EY8" t="e">
        <f>#REF!-"8O&lt;!&lt;d"</f>
        <v>#REF!</v>
      </c>
      <c r="EZ8" t="e">
        <f>#REF!-"8O&lt;!&lt;e"</f>
        <v>#REF!</v>
      </c>
      <c r="FA8" t="e">
        <f>#REF!-"8O&lt;!&lt;f"</f>
        <v>#REF!</v>
      </c>
      <c r="FB8" t="e">
        <f>#REF!-"8O&lt;!&lt;g"</f>
        <v>#REF!</v>
      </c>
      <c r="FC8" t="e">
        <f>#REF!-"8O&lt;!&lt;h"</f>
        <v>#REF!</v>
      </c>
      <c r="FD8" t="e">
        <f>#REF!-"8O&lt;!&lt;i"</f>
        <v>#REF!</v>
      </c>
      <c r="FE8" t="e">
        <f>#REF!-"8O&lt;!&lt;j"</f>
        <v>#REF!</v>
      </c>
      <c r="FF8" t="e">
        <f>#REF!-"8O&lt;!&lt;k"</f>
        <v>#REF!</v>
      </c>
      <c r="FG8" t="e">
        <f>#REF!-"8O&lt;!&lt;l"</f>
        <v>#REF!</v>
      </c>
      <c r="FH8" t="e">
        <f>#REF!-"8O&lt;!&lt;m"</f>
        <v>#REF!</v>
      </c>
      <c r="FI8" t="e">
        <f>#REF!-"8O&lt;!&lt;n"</f>
        <v>#REF!</v>
      </c>
      <c r="FJ8" t="e">
        <f>#REF!-"8O&lt;!&lt;o"</f>
        <v>#REF!</v>
      </c>
      <c r="FK8" t="e">
        <f>#REF!-"8O&lt;!&lt;p"</f>
        <v>#REF!</v>
      </c>
      <c r="FL8" t="e">
        <f>#REF!-"8O&lt;!&lt;q"</f>
        <v>#REF!</v>
      </c>
      <c r="FM8" t="e">
        <f>#REF!-"8O&lt;!&lt;r"</f>
        <v>#REF!</v>
      </c>
      <c r="FN8" t="e">
        <f>#REF!-"8O&lt;!&lt;s"</f>
        <v>#REF!</v>
      </c>
      <c r="FO8" t="e">
        <f>#REF!-"8O&lt;!&lt;t"</f>
        <v>#REF!</v>
      </c>
      <c r="FP8" t="e">
        <f>#REF!-"8O&lt;!&lt;u"</f>
        <v>#REF!</v>
      </c>
      <c r="FQ8" t="e">
        <f>#REF!-"8O&lt;!&lt;v"</f>
        <v>#REF!</v>
      </c>
      <c r="FR8" t="e">
        <f>#REF!-"8O&lt;!&lt;w"</f>
        <v>#REF!</v>
      </c>
      <c r="FS8" t="e">
        <f>#REF!-"8O&lt;!&lt;x"</f>
        <v>#REF!</v>
      </c>
      <c r="FT8" t="e">
        <f>#REF!-"8O&lt;!&lt;y"</f>
        <v>#REF!</v>
      </c>
      <c r="FU8" t="e">
        <f>#REF!-"8O&lt;!&lt;z"</f>
        <v>#REF!</v>
      </c>
      <c r="FV8" t="e">
        <f>#REF!-"8O&lt;!&lt;{"</f>
        <v>#REF!</v>
      </c>
      <c r="FW8" t="e">
        <f>#REF!-"8O&lt;!&lt;|"</f>
        <v>#REF!</v>
      </c>
      <c r="FX8" t="e">
        <f>#REF!-"8O&lt;!&lt;}"</f>
        <v>#REF!</v>
      </c>
      <c r="FY8" t="e">
        <f>#REF!-"8O&lt;!&lt;~"</f>
        <v>#REF!</v>
      </c>
      <c r="FZ8" t="e">
        <f>#REF!-"8O&lt;!=#"</f>
        <v>#REF!</v>
      </c>
      <c r="GA8" t="e">
        <f>#REF!-"8O&lt;!=$"</f>
        <v>#REF!</v>
      </c>
      <c r="GB8" t="e">
        <f>#REF!-"8O&lt;!=%"</f>
        <v>#REF!</v>
      </c>
      <c r="GC8" t="e">
        <f>#REF!-"8O&lt;!=&amp;"</f>
        <v>#REF!</v>
      </c>
      <c r="GD8" t="e">
        <f>#REF!-"8O&lt;!='"</f>
        <v>#REF!</v>
      </c>
      <c r="GE8" t="e">
        <f>#REF!-"8O&lt;!=("</f>
        <v>#REF!</v>
      </c>
      <c r="GF8" t="e">
        <f>#REF!-"8O&lt;!=)"</f>
        <v>#REF!</v>
      </c>
      <c r="GG8" t="e">
        <f>#REF!-"8O&lt;!=."</f>
        <v>#REF!</v>
      </c>
      <c r="GH8" t="e">
        <f>#REF!-"8O&lt;!=/"</f>
        <v>#REF!</v>
      </c>
      <c r="GI8" t="e">
        <f>#REF!-"8O&lt;!=0"</f>
        <v>#REF!</v>
      </c>
      <c r="GJ8" t="e">
        <f>#REF!-"8O&lt;!=1"</f>
        <v>#REF!</v>
      </c>
      <c r="GK8" t="e">
        <f>#REF!-"8O&lt;!=2"</f>
        <v>#REF!</v>
      </c>
      <c r="GL8" t="e">
        <f>#REF!-"8O&lt;!=3"</f>
        <v>#REF!</v>
      </c>
      <c r="GM8" t="e">
        <f>#REF!-"8O&lt;!=4"</f>
        <v>#REF!</v>
      </c>
      <c r="GN8" t="e">
        <f>#REF!-"8O&lt;!=5"</f>
        <v>#REF!</v>
      </c>
      <c r="GO8" t="e">
        <f>#REF!-"8O&lt;!=6"</f>
        <v>#REF!</v>
      </c>
      <c r="GP8" t="e">
        <f>#REF!-"8O&lt;!=7"</f>
        <v>#REF!</v>
      </c>
      <c r="GQ8" t="e">
        <f>#REF!-"8O&lt;!=8"</f>
        <v>#REF!</v>
      </c>
      <c r="GR8" t="e">
        <f>#REF!-"8O&lt;!=9"</f>
        <v>#REF!</v>
      </c>
      <c r="GS8" t="e">
        <f>#REF!-"8O&lt;!=:"</f>
        <v>#REF!</v>
      </c>
      <c r="GT8" t="e">
        <f>#REF!-"8O&lt;!=;"</f>
        <v>#REF!</v>
      </c>
      <c r="GU8" t="e">
        <f>#REF!-"8O&lt;!=&lt;"</f>
        <v>#REF!</v>
      </c>
      <c r="GV8" t="e">
        <f>#REF!-"8O&lt;!=="</f>
        <v>#REF!</v>
      </c>
      <c r="GW8" t="e">
        <f>#REF!-"8O&lt;!=&gt;"</f>
        <v>#REF!</v>
      </c>
      <c r="GX8" t="e">
        <f>#REF!-"8O&lt;!=?"</f>
        <v>#REF!</v>
      </c>
      <c r="GY8" t="e">
        <f>#REF!-"8O&lt;!=@"</f>
        <v>#REF!</v>
      </c>
      <c r="GZ8" t="e">
        <f>#REF!-"8O&lt;!=A"</f>
        <v>#REF!</v>
      </c>
      <c r="HA8" t="e">
        <f>#REF!-"8O&lt;!=B"</f>
        <v>#REF!</v>
      </c>
      <c r="HB8" t="e">
        <f>#REF!-"8O&lt;!=C"</f>
        <v>#REF!</v>
      </c>
      <c r="HC8" t="e">
        <f>#REF!-"8O&lt;!=D"</f>
        <v>#REF!</v>
      </c>
      <c r="HD8" t="e">
        <f>#REF!-"8O&lt;!=E"</f>
        <v>#REF!</v>
      </c>
      <c r="HE8" t="e">
        <f>#REF!-"8O&lt;!=F"</f>
        <v>#REF!</v>
      </c>
      <c r="HF8" t="e">
        <f>#REF!-"8O&lt;!=G"</f>
        <v>#REF!</v>
      </c>
      <c r="HG8" t="e">
        <f>#REF!-"8O&lt;!=H"</f>
        <v>#REF!</v>
      </c>
      <c r="HH8" t="e">
        <f>#REF!-"8O&lt;!=I"</f>
        <v>#REF!</v>
      </c>
      <c r="HI8" t="e">
        <f>#REF!-"8O&lt;!=J"</f>
        <v>#REF!</v>
      </c>
      <c r="HJ8" t="e">
        <f>#REF!-"8O&lt;!=K"</f>
        <v>#REF!</v>
      </c>
      <c r="HK8" t="e">
        <f>#REF!-"8O&lt;!=L"</f>
        <v>#REF!</v>
      </c>
      <c r="HL8" t="e">
        <f>#REF!-"8O&lt;!=M"</f>
        <v>#REF!</v>
      </c>
      <c r="HM8" t="e">
        <f>#REF!-"8O&lt;!=N"</f>
        <v>#REF!</v>
      </c>
      <c r="HN8" t="e">
        <f>#REF!-"8O&lt;!=O"</f>
        <v>#REF!</v>
      </c>
      <c r="HO8" t="e">
        <f>#REF!-"8O&lt;!=P"</f>
        <v>#REF!</v>
      </c>
      <c r="HP8" t="e">
        <f>#REF!-"8O&lt;!=Q"</f>
        <v>#REF!</v>
      </c>
      <c r="HQ8" t="e">
        <f>#REF!-"8O&lt;!=R"</f>
        <v>#REF!</v>
      </c>
      <c r="HR8" t="e">
        <f>#REF!-"8O&lt;!=S"</f>
        <v>#REF!</v>
      </c>
      <c r="HS8" t="e">
        <f>#REF!-"8O&lt;!=T"</f>
        <v>#REF!</v>
      </c>
      <c r="HT8" t="e">
        <f>#REF!-"8O&lt;!=U"</f>
        <v>#REF!</v>
      </c>
      <c r="HU8" t="e">
        <f>#REF!-"8O&lt;!=V"</f>
        <v>#REF!</v>
      </c>
      <c r="HV8" t="e">
        <f>#REF!-"8O&lt;!=W"</f>
        <v>#REF!</v>
      </c>
      <c r="HW8" t="e">
        <f>#REF!-"8O&lt;!=X"</f>
        <v>#REF!</v>
      </c>
      <c r="HX8" t="e">
        <f>#REF!-"8O&lt;!=Y"</f>
        <v>#REF!</v>
      </c>
      <c r="HY8" t="e">
        <f>#REF!-"8O&lt;!=Z"</f>
        <v>#REF!</v>
      </c>
      <c r="HZ8" t="e">
        <f>#REF!-"8O&lt;!=["</f>
        <v>#REF!</v>
      </c>
      <c r="IA8" t="e">
        <f>#REF!-"8O&lt;!=\"</f>
        <v>#REF!</v>
      </c>
      <c r="IB8" t="e">
        <f>#REF!-"8O&lt;!=]"</f>
        <v>#REF!</v>
      </c>
      <c r="IC8" t="e">
        <f>#REF!-"8O&lt;!=^"</f>
        <v>#REF!</v>
      </c>
      <c r="ID8" t="e">
        <f>#REF!-"8O&lt;!=_"</f>
        <v>#REF!</v>
      </c>
      <c r="IE8" t="e">
        <f>#REF!-"8O&lt;!=`"</f>
        <v>#REF!</v>
      </c>
      <c r="IF8" t="e">
        <f>#REF!-"8O&lt;!=a"</f>
        <v>#REF!</v>
      </c>
      <c r="IG8" t="e">
        <f>#REF!-"8O&lt;!=b"</f>
        <v>#REF!</v>
      </c>
      <c r="IH8" t="e">
        <f>#REF!-"8O&lt;!=c"</f>
        <v>#REF!</v>
      </c>
      <c r="II8" t="e">
        <f>#REF!-"8O&lt;!=d"</f>
        <v>#REF!</v>
      </c>
      <c r="IJ8" t="e">
        <f>#REF!-"8O&lt;!=e"</f>
        <v>#REF!</v>
      </c>
      <c r="IK8" t="e">
        <f>#REF!-"8O&lt;!=f"</f>
        <v>#REF!</v>
      </c>
      <c r="IL8" t="e">
        <f>#REF!-"8O&lt;!=g"</f>
        <v>#REF!</v>
      </c>
      <c r="IM8" t="e">
        <f>#REF!-"8O&lt;!=h"</f>
        <v>#REF!</v>
      </c>
      <c r="IN8" t="e">
        <f>#REF!-"8O&lt;!=i"</f>
        <v>#REF!</v>
      </c>
      <c r="IO8" t="e">
        <f>#REF!-"8O&lt;!=j"</f>
        <v>#REF!</v>
      </c>
      <c r="IP8" t="e">
        <f>#REF!-"8O&lt;!=k"</f>
        <v>#REF!</v>
      </c>
      <c r="IQ8" t="e">
        <f>#REF!-"8O&lt;!=l"</f>
        <v>#REF!</v>
      </c>
      <c r="IR8" t="e">
        <f>#REF!-"8O&lt;!=m"</f>
        <v>#REF!</v>
      </c>
      <c r="IS8" t="e">
        <f>#REF!-"8O&lt;!=n"</f>
        <v>#REF!</v>
      </c>
      <c r="IT8" t="e">
        <f>#REF!-"8O&lt;!=o"</f>
        <v>#REF!</v>
      </c>
      <c r="IU8" t="e">
        <f>#REF!-"8O&lt;!=p"</f>
        <v>#REF!</v>
      </c>
      <c r="IV8" t="e">
        <f>#REF!-"8O&lt;!=q"</f>
        <v>#REF!</v>
      </c>
    </row>
    <row r="9" spans="1:256" x14ac:dyDescent="0.25">
      <c r="A9" t="s">
        <v>3373</v>
      </c>
      <c r="F9" t="e">
        <f>#REF!-"8O&lt;!=r"</f>
        <v>#REF!</v>
      </c>
      <c r="G9" t="e">
        <f>#REF!-"8O&lt;!=s"</f>
        <v>#REF!</v>
      </c>
      <c r="H9" t="e">
        <f>#REF!-"8O&lt;!=t"</f>
        <v>#REF!</v>
      </c>
      <c r="I9" t="e">
        <f>#REF!-"8O&lt;!=u"</f>
        <v>#REF!</v>
      </c>
      <c r="J9" t="e">
        <f>#REF!-"8O&lt;!=v"</f>
        <v>#REF!</v>
      </c>
      <c r="K9" t="e">
        <f>#REF!-"8O&lt;!=w"</f>
        <v>#REF!</v>
      </c>
      <c r="L9" t="e">
        <f>#REF!-"8O&lt;!=x"</f>
        <v>#REF!</v>
      </c>
      <c r="M9" t="e">
        <f>#REF!-"8O&lt;!=y"</f>
        <v>#REF!</v>
      </c>
      <c r="N9" t="e">
        <f>#REF!-"8O&lt;!=z"</f>
        <v>#REF!</v>
      </c>
      <c r="O9" t="e">
        <f>#REF!-"8O&lt;!={"</f>
        <v>#REF!</v>
      </c>
      <c r="P9" t="e">
        <f>#REF!-"8O&lt;!=|"</f>
        <v>#REF!</v>
      </c>
      <c r="Q9" t="e">
        <f>#REF!-"8O&lt;!=}"</f>
        <v>#REF!</v>
      </c>
      <c r="R9" t="e">
        <f>#REF!-"8O&lt;!=~"</f>
        <v>#REF!</v>
      </c>
      <c r="S9" t="e">
        <f>#REF!-"8O&lt;!&gt;#"</f>
        <v>#REF!</v>
      </c>
      <c r="T9" t="e">
        <f>#REF!-"8O&lt;!&gt;$"</f>
        <v>#REF!</v>
      </c>
      <c r="U9" t="e">
        <f>#REF!-"8O&lt;!&gt;%"</f>
        <v>#REF!</v>
      </c>
      <c r="V9" t="e">
        <f>#REF!-"8O&lt;!&gt;&amp;"</f>
        <v>#REF!</v>
      </c>
      <c r="W9" t="e">
        <f>#REF!-"8O&lt;!&gt;'"</f>
        <v>#REF!</v>
      </c>
      <c r="X9" t="e">
        <f>#REF!-"8O&lt;!&gt;("</f>
        <v>#REF!</v>
      </c>
      <c r="Y9" t="e">
        <f>#REF!-"8O&lt;!&gt;)"</f>
        <v>#REF!</v>
      </c>
      <c r="Z9" t="e">
        <f>#REF!-"8O&lt;!&gt;."</f>
        <v>#REF!</v>
      </c>
      <c r="AA9" t="e">
        <f>#REF!-"8O&lt;!&gt;/"</f>
        <v>#REF!</v>
      </c>
      <c r="AB9" t="e">
        <f>#REF!-"8O&lt;!&gt;0"</f>
        <v>#REF!</v>
      </c>
      <c r="AC9" t="e">
        <f>#REF!-"8O&lt;!&gt;1"</f>
        <v>#REF!</v>
      </c>
      <c r="AD9" t="e">
        <f>#REF!-"8O&lt;!&gt;2"</f>
        <v>#REF!</v>
      </c>
      <c r="AE9" t="e">
        <f>#REF!-"8O&lt;!&gt;3"</f>
        <v>#REF!</v>
      </c>
      <c r="AF9" t="e">
        <f>#REF!-"8O&lt;!&gt;4"</f>
        <v>#REF!</v>
      </c>
      <c r="AG9" t="e">
        <f>#REF!-"8O&lt;!&gt;5"</f>
        <v>#REF!</v>
      </c>
      <c r="AH9" t="e">
        <f>#REF!-"8O&lt;!&gt;6"</f>
        <v>#REF!</v>
      </c>
      <c r="AI9" t="e">
        <f>#REF!-"8O&lt;!&gt;7"</f>
        <v>#REF!</v>
      </c>
      <c r="AJ9" t="e">
        <f>#REF!-"8O&lt;!&gt;8"</f>
        <v>#REF!</v>
      </c>
      <c r="AK9" t="e">
        <f>#REF!-"8O&lt;!&gt;9"</f>
        <v>#REF!</v>
      </c>
      <c r="AL9" t="e">
        <f>#REF!-"8O&lt;!&gt;:"</f>
        <v>#REF!</v>
      </c>
      <c r="AM9" t="e">
        <f>#REF!-"8O&lt;!&gt;;"</f>
        <v>#REF!</v>
      </c>
      <c r="AN9" t="e">
        <f>#REF!-"8O&lt;!&gt;&lt;"</f>
        <v>#REF!</v>
      </c>
      <c r="AO9" t="e">
        <f>#REF!-"8O&lt;!&gt;="</f>
        <v>#REF!</v>
      </c>
      <c r="AP9" t="e">
        <f>#REF!-"8O&lt;!&gt;&gt;"</f>
        <v>#REF!</v>
      </c>
      <c r="AQ9" t="e">
        <f>#REF!-"8O&lt;!&gt;?"</f>
        <v>#REF!</v>
      </c>
      <c r="AR9" t="e">
        <f>#REF!-"8O&lt;!&gt;@"</f>
        <v>#REF!</v>
      </c>
      <c r="AS9" t="e">
        <f>#REF!-"8O&lt;!&gt;A"</f>
        <v>#REF!</v>
      </c>
      <c r="AT9" t="e">
        <f>#REF!-"8O&lt;!&gt;B"</f>
        <v>#REF!</v>
      </c>
      <c r="AU9" t="e">
        <f>#REF!-"8O&lt;!&gt;C"</f>
        <v>#REF!</v>
      </c>
      <c r="AV9" t="e">
        <f>#REF!-"8O&lt;!&gt;D"</f>
        <v>#REF!</v>
      </c>
      <c r="AW9" t="e">
        <f>#REF!-"8O&lt;!&gt;E"</f>
        <v>#REF!</v>
      </c>
      <c r="AX9" t="e">
        <f>#REF!-"8O&lt;!&gt;F"</f>
        <v>#REF!</v>
      </c>
      <c r="AY9" t="e">
        <f>#REF!-"8O&lt;!&gt;G"</f>
        <v>#REF!</v>
      </c>
      <c r="AZ9" t="e">
        <f>#REF!-"8O&lt;!&gt;H"</f>
        <v>#REF!</v>
      </c>
      <c r="BA9" t="e">
        <f>#REF!-"8O&lt;!&gt;I"</f>
        <v>#REF!</v>
      </c>
      <c r="BB9" t="e">
        <f>#REF!-"8O&lt;!&gt;J"</f>
        <v>#REF!</v>
      </c>
      <c r="BC9" t="e">
        <f>#REF!-"8O&lt;!&gt;K"</f>
        <v>#REF!</v>
      </c>
      <c r="BD9" t="e">
        <f>#REF!-"8O&lt;!&gt;L"</f>
        <v>#REF!</v>
      </c>
      <c r="BE9" t="e">
        <f>#REF!-"8O&lt;!&gt;M"</f>
        <v>#REF!</v>
      </c>
      <c r="BF9" t="e">
        <f>#REF!-"8O&lt;!&gt;N"</f>
        <v>#REF!</v>
      </c>
      <c r="BG9" t="e">
        <f>#REF!-"8O&lt;!&gt;O"</f>
        <v>#REF!</v>
      </c>
      <c r="BH9" t="e">
        <f>#REF!-"8O&lt;!&gt;P"</f>
        <v>#REF!</v>
      </c>
      <c r="BI9" t="e">
        <f>#REF!-"8O&lt;!&gt;Q"</f>
        <v>#REF!</v>
      </c>
      <c r="BJ9" t="e">
        <f>#REF!-"8O&lt;!&gt;R"</f>
        <v>#REF!</v>
      </c>
      <c r="BK9" t="e">
        <f>#REF!-"8O&lt;!&gt;S"</f>
        <v>#REF!</v>
      </c>
      <c r="BL9" t="e">
        <f>#REF!-"8O&lt;!&gt;T"</f>
        <v>#REF!</v>
      </c>
      <c r="BM9" t="e">
        <f>#REF!-"8O&lt;!&gt;U"</f>
        <v>#REF!</v>
      </c>
      <c r="BN9" t="e">
        <f>#REF!-"8O&lt;!&gt;V"</f>
        <v>#REF!</v>
      </c>
      <c r="BO9" t="e">
        <f>#REF!-"8O&lt;!&gt;W"</f>
        <v>#REF!</v>
      </c>
      <c r="BP9" t="e">
        <f>#REF!-"8O&lt;!&gt;X"</f>
        <v>#REF!</v>
      </c>
      <c r="BQ9" t="e">
        <f>#REF!-"8O&lt;!&gt;Y"</f>
        <v>#REF!</v>
      </c>
      <c r="BR9" t="e">
        <f>#REF!-"8O&lt;!&gt;Z"</f>
        <v>#REF!</v>
      </c>
      <c r="BS9" t="e">
        <f>#REF!-"8O&lt;!&gt;["</f>
        <v>#REF!</v>
      </c>
      <c r="BT9" t="e">
        <f>#REF!-"8O&lt;!&gt;\"</f>
        <v>#REF!</v>
      </c>
      <c r="BU9" t="e">
        <f>#REF!-"8O&lt;!&gt;]"</f>
        <v>#REF!</v>
      </c>
      <c r="BV9" t="e">
        <f>#REF!-"8O&lt;!&gt;^"</f>
        <v>#REF!</v>
      </c>
      <c r="BW9" t="e">
        <f>#REF!-"8O&lt;!&gt;_"</f>
        <v>#REF!</v>
      </c>
      <c r="BX9" t="e">
        <f>#REF!-"8O&lt;!&gt;`"</f>
        <v>#REF!</v>
      </c>
      <c r="BY9" t="e">
        <f>#REF!-"8O&lt;!&gt;a"</f>
        <v>#REF!</v>
      </c>
      <c r="BZ9" t="e">
        <f>#REF!-"8O&lt;!&gt;b"</f>
        <v>#REF!</v>
      </c>
      <c r="CA9" t="e">
        <f>#REF!-"8O&lt;!&gt;c"</f>
        <v>#REF!</v>
      </c>
      <c r="CB9" t="e">
        <f>#REF!-"8O&lt;!&gt;d"</f>
        <v>#REF!</v>
      </c>
      <c r="CC9" t="e">
        <f>#REF!-"8O&lt;!&gt;e"</f>
        <v>#REF!</v>
      </c>
      <c r="CD9" t="e">
        <f>#REF!-"8O&lt;!&gt;f"</f>
        <v>#REF!</v>
      </c>
      <c r="CE9" t="e">
        <f>#REF!-"8O&lt;!&gt;g"</f>
        <v>#REF!</v>
      </c>
      <c r="CF9" t="e">
        <f>#REF!-"8O&lt;!&gt;h"</f>
        <v>#REF!</v>
      </c>
      <c r="CG9" t="e">
        <f>#REF!-"8O&lt;!&gt;i"</f>
        <v>#REF!</v>
      </c>
      <c r="CH9" t="e">
        <f>#REF!-"8O&lt;!&gt;j"</f>
        <v>#REF!</v>
      </c>
      <c r="CI9" t="e">
        <f>#REF!-"8O&lt;!&gt;k"</f>
        <v>#REF!</v>
      </c>
      <c r="CJ9" t="e">
        <f>#REF!-"8O&lt;!&gt;l"</f>
        <v>#REF!</v>
      </c>
      <c r="CK9" t="e">
        <f>#REF!-"8O&lt;!&gt;m"</f>
        <v>#REF!</v>
      </c>
      <c r="CL9" t="e">
        <f>#REF!-"8O&lt;!&gt;n"</f>
        <v>#REF!</v>
      </c>
      <c r="CM9" t="e">
        <f>#REF!-"8O&lt;!&gt;o"</f>
        <v>#REF!</v>
      </c>
      <c r="CN9" t="e">
        <f>#REF!-"8O&lt;!&gt;p"</f>
        <v>#REF!</v>
      </c>
      <c r="CO9" t="e">
        <f>#REF!-"8O&lt;!&gt;q"</f>
        <v>#REF!</v>
      </c>
      <c r="CP9" t="e">
        <f>#REF!-"8O&lt;!&gt;r"</f>
        <v>#REF!</v>
      </c>
      <c r="CQ9" t="e">
        <f>#REF!-"8O&lt;!&gt;s"</f>
        <v>#REF!</v>
      </c>
      <c r="CR9" t="e">
        <f>#REF!-"8O&lt;!&gt;t"</f>
        <v>#REF!</v>
      </c>
      <c r="CS9" t="e">
        <f>#REF!-"8O&lt;!&gt;u"</f>
        <v>#REF!</v>
      </c>
      <c r="CT9" t="e">
        <f>#REF!-"8O&lt;!&gt;v"</f>
        <v>#REF!</v>
      </c>
      <c r="CU9" t="e">
        <f>#REF!-"8O&lt;!&gt;w"</f>
        <v>#REF!</v>
      </c>
      <c r="CV9" t="e">
        <f>#REF!-"8O&lt;!&gt;x"</f>
        <v>#REF!</v>
      </c>
      <c r="CW9" t="e">
        <f>#REF!-"8O&lt;!&gt;y"</f>
        <v>#REF!</v>
      </c>
      <c r="CX9" t="e">
        <f>#REF!-"8O&lt;!&gt;z"</f>
        <v>#REF!</v>
      </c>
      <c r="CY9" t="e">
        <f>#REF!-"8O&lt;!&gt;{"</f>
        <v>#REF!</v>
      </c>
      <c r="CZ9" t="e">
        <f>#REF!-"8O&lt;!&gt;|"</f>
        <v>#REF!</v>
      </c>
      <c r="DA9" t="e">
        <f>#REF!-"8O&lt;!&gt;}"</f>
        <v>#REF!</v>
      </c>
      <c r="DB9" t="e">
        <f>#REF!-"8O&lt;!&gt;~"</f>
        <v>#REF!</v>
      </c>
      <c r="DC9" t="e">
        <f>#REF!-"8O&lt;!?#"</f>
        <v>#REF!</v>
      </c>
      <c r="DD9" t="e">
        <f>#REF!-"8O&lt;!?$"</f>
        <v>#REF!</v>
      </c>
      <c r="DE9" t="e">
        <f>#REF!-"8O&lt;!?%"</f>
        <v>#REF!</v>
      </c>
      <c r="DF9" t="e">
        <f>#REF!-"8O&lt;!?&amp;"</f>
        <v>#REF!</v>
      </c>
      <c r="DG9" t="e">
        <f>#REF!-"8O&lt;!?'"</f>
        <v>#REF!</v>
      </c>
      <c r="DH9" t="e">
        <f>#REF!-"8O&lt;!?("</f>
        <v>#REF!</v>
      </c>
      <c r="DI9" t="e">
        <f>#REF!-"8O&lt;!?)"</f>
        <v>#REF!</v>
      </c>
      <c r="DJ9" t="e">
        <f>#REF!-"8O&lt;!?."</f>
        <v>#REF!</v>
      </c>
      <c r="DK9" t="e">
        <f>#REF!-"8O&lt;!?/"</f>
        <v>#REF!</v>
      </c>
      <c r="DL9" t="e">
        <f>#REF!-"8O&lt;!?0"</f>
        <v>#REF!</v>
      </c>
      <c r="DM9" t="e">
        <f>#REF!-"8O&lt;!?1"</f>
        <v>#REF!</v>
      </c>
      <c r="DN9" t="e">
        <f>#REF!-"8O&lt;!?2"</f>
        <v>#REF!</v>
      </c>
      <c r="DO9" t="e">
        <f>#REF!-"8O&lt;!?3"</f>
        <v>#REF!</v>
      </c>
      <c r="DP9" t="e">
        <f>#REF!-"8O&lt;!?4"</f>
        <v>#REF!</v>
      </c>
      <c r="DQ9" t="e">
        <f>#REF!-"8O&lt;!?5"</f>
        <v>#REF!</v>
      </c>
      <c r="DR9" t="e">
        <f>#REF!-"8O&lt;!?6"</f>
        <v>#REF!</v>
      </c>
      <c r="DS9" t="e">
        <f>#REF!-"8O&lt;!?7"</f>
        <v>#REF!</v>
      </c>
      <c r="DT9" t="e">
        <f>#REF!-"8O&lt;!?8"</f>
        <v>#REF!</v>
      </c>
      <c r="DU9" t="e">
        <f>#REF!-"8O&lt;!?9"</f>
        <v>#REF!</v>
      </c>
      <c r="DV9" t="e">
        <f>#REF!-"8O&lt;!?:"</f>
        <v>#REF!</v>
      </c>
      <c r="DW9" t="e">
        <f>#REF!-"8O&lt;!?;"</f>
        <v>#REF!</v>
      </c>
      <c r="DX9" t="e">
        <f>#REF!-"8O&lt;!?&lt;"</f>
        <v>#REF!</v>
      </c>
      <c r="DY9" t="e">
        <f>#REF!-"8O&lt;!?="</f>
        <v>#REF!</v>
      </c>
      <c r="DZ9" t="e">
        <f>#REF!-"8O&lt;!?&gt;"</f>
        <v>#REF!</v>
      </c>
      <c r="EA9" t="e">
        <f>#REF!-"8O&lt;!??"</f>
        <v>#REF!</v>
      </c>
      <c r="EB9" t="e">
        <f>#REF!-"8O&lt;!?@"</f>
        <v>#REF!</v>
      </c>
      <c r="EC9" t="e">
        <f>#REF!-"8O&lt;!?A"</f>
        <v>#REF!</v>
      </c>
      <c r="ED9" t="e">
        <f>#REF!-"8O&lt;!?B"</f>
        <v>#REF!</v>
      </c>
      <c r="EE9" t="e">
        <f>#REF!-"8O&lt;!?C"</f>
        <v>#REF!</v>
      </c>
      <c r="EF9" t="e">
        <f>#REF!-"8O&lt;!?D"</f>
        <v>#REF!</v>
      </c>
      <c r="EG9" t="e">
        <f>#REF!-"8O&lt;!?E"</f>
        <v>#REF!</v>
      </c>
      <c r="EH9" t="e">
        <f>#REF!-"8O&lt;!?F"</f>
        <v>#REF!</v>
      </c>
      <c r="EI9" t="e">
        <f>#REF!-"8O&lt;!?G"</f>
        <v>#REF!</v>
      </c>
      <c r="EJ9" t="e">
        <f>#REF!-"8O&lt;!?H"</f>
        <v>#REF!</v>
      </c>
      <c r="EK9" t="e">
        <f>#REF!-"8O&lt;!?I"</f>
        <v>#REF!</v>
      </c>
      <c r="EL9" t="e">
        <f>#REF!-"8O&lt;!?J"</f>
        <v>#REF!</v>
      </c>
      <c r="EM9" t="e">
        <f>#REF!-"8O&lt;!?K"</f>
        <v>#REF!</v>
      </c>
      <c r="EN9" t="e">
        <f>#REF!-"8O&lt;!?L"</f>
        <v>#REF!</v>
      </c>
      <c r="EO9" t="e">
        <f>#REF!-"8O&lt;!?M"</f>
        <v>#REF!</v>
      </c>
      <c r="EP9" t="e">
        <f>#REF!-"8O&lt;!?N"</f>
        <v>#REF!</v>
      </c>
      <c r="EQ9" t="e">
        <f>#REF!-"8O&lt;!?O"</f>
        <v>#REF!</v>
      </c>
      <c r="ER9" t="e">
        <f>#REF!-"8O&lt;!?P"</f>
        <v>#REF!</v>
      </c>
      <c r="ES9" t="e">
        <f>#REF!-"8O&lt;!?Q"</f>
        <v>#REF!</v>
      </c>
      <c r="ET9" t="e">
        <f>#REF!-"8O&lt;!?R"</f>
        <v>#REF!</v>
      </c>
      <c r="EU9" t="e">
        <f>#REF!-"8O&lt;!?S"</f>
        <v>#REF!</v>
      </c>
      <c r="EV9" t="e">
        <f>#REF!-"8O&lt;!?T"</f>
        <v>#REF!</v>
      </c>
      <c r="EW9" t="e">
        <f>#REF!-"8O&lt;!?U"</f>
        <v>#REF!</v>
      </c>
      <c r="EX9" t="e">
        <f>#REF!-"8O&lt;!?V"</f>
        <v>#REF!</v>
      </c>
      <c r="EY9" t="e">
        <f>#REF!-"8O&lt;!?W"</f>
        <v>#REF!</v>
      </c>
      <c r="EZ9" t="e">
        <f>#REF!-"8O&lt;!?X"</f>
        <v>#REF!</v>
      </c>
      <c r="FA9" t="e">
        <f>#REF!-"8O&lt;!?Y"</f>
        <v>#REF!</v>
      </c>
      <c r="FB9" t="e">
        <f>#REF!-"8O&lt;!?Z"</f>
        <v>#REF!</v>
      </c>
      <c r="FC9" t="e">
        <f>#REF!-"8O&lt;!?["</f>
        <v>#REF!</v>
      </c>
      <c r="FD9" t="e">
        <f>#REF!-"8O&lt;!?\"</f>
        <v>#REF!</v>
      </c>
      <c r="FE9" t="e">
        <f>#REF!-"8O&lt;!?]"</f>
        <v>#REF!</v>
      </c>
      <c r="FF9" t="e">
        <f>#REF!-"8O&lt;!?^"</f>
        <v>#REF!</v>
      </c>
      <c r="FG9" t="e">
        <f>#REF!-"8O&lt;!?_"</f>
        <v>#REF!</v>
      </c>
      <c r="FH9" t="e">
        <f>#REF!-"8O&lt;!?`"</f>
        <v>#REF!</v>
      </c>
      <c r="FI9" t="e">
        <f>#REF!-"8O&lt;!?a"</f>
        <v>#REF!</v>
      </c>
      <c r="FJ9" t="e">
        <f>#REF!-"8O&lt;!?b"</f>
        <v>#REF!</v>
      </c>
      <c r="FK9" t="e">
        <f>#REF!-"8O&lt;!?c"</f>
        <v>#REF!</v>
      </c>
      <c r="FL9" t="e">
        <f>#REF!-"8O&lt;!?d"</f>
        <v>#REF!</v>
      </c>
      <c r="FM9" t="e">
        <f>#REF!-"8O&lt;!?e"</f>
        <v>#REF!</v>
      </c>
      <c r="FN9" t="e">
        <f>#REF!-"8O&lt;!?f"</f>
        <v>#REF!</v>
      </c>
      <c r="FO9" t="e">
        <f>#REF!-"8O&lt;!?g"</f>
        <v>#REF!</v>
      </c>
      <c r="FP9" t="e">
        <f>#REF!-"8O&lt;!?h"</f>
        <v>#REF!</v>
      </c>
      <c r="FQ9" t="e">
        <f>#REF!-"8O&lt;!?i"</f>
        <v>#REF!</v>
      </c>
      <c r="FR9" t="e">
        <f>#REF!-"8O&lt;!?j"</f>
        <v>#REF!</v>
      </c>
      <c r="FS9" t="e">
        <f>#REF!-"8O&lt;!?k"</f>
        <v>#REF!</v>
      </c>
      <c r="FT9" t="e">
        <f>#REF!-"8O&lt;!?l"</f>
        <v>#REF!</v>
      </c>
      <c r="FU9" t="e">
        <f>#REF!-"8O&lt;!?m"</f>
        <v>#REF!</v>
      </c>
      <c r="FV9" t="e">
        <f>#REF!-"8O&lt;!?n"</f>
        <v>#REF!</v>
      </c>
      <c r="FW9" t="e">
        <f>#REF!-"8O&lt;!?o"</f>
        <v>#REF!</v>
      </c>
      <c r="FX9" t="e">
        <f>#REF!-"8O&lt;!?p"</f>
        <v>#REF!</v>
      </c>
      <c r="FY9" t="e">
        <f>#REF!-"8O&lt;!?q"</f>
        <v>#REF!</v>
      </c>
      <c r="FZ9" t="e">
        <f>#REF!-"8O&lt;!?r"</f>
        <v>#REF!</v>
      </c>
      <c r="GA9" t="e">
        <f>#REF!-"8O&lt;!?s"</f>
        <v>#REF!</v>
      </c>
      <c r="GB9" t="e">
        <f>#REF!-"8O&lt;!?t"</f>
        <v>#REF!</v>
      </c>
      <c r="GC9" t="e">
        <f>#REF!-"8O&lt;!?u"</f>
        <v>#REF!</v>
      </c>
      <c r="GD9" t="e">
        <f>#REF!-"8O&lt;!?v"</f>
        <v>#REF!</v>
      </c>
      <c r="GE9" t="e">
        <f>#REF!-"8O&lt;!?w"</f>
        <v>#REF!</v>
      </c>
      <c r="GF9" t="e">
        <f>#REF!-"8O&lt;!?x"</f>
        <v>#REF!</v>
      </c>
      <c r="GG9" t="e">
        <f>#REF!-"8O&lt;!?y"</f>
        <v>#REF!</v>
      </c>
      <c r="GH9" t="e">
        <f>#REF!-"8O&lt;!?z"</f>
        <v>#REF!</v>
      </c>
      <c r="GI9" t="e">
        <f>#REF!-"8O&lt;!?{"</f>
        <v>#REF!</v>
      </c>
      <c r="GJ9" t="e">
        <f>#REF!-"8O&lt;!?|"</f>
        <v>#REF!</v>
      </c>
      <c r="GK9" t="e">
        <f>#REF!-"8O&lt;!?}"</f>
        <v>#REF!</v>
      </c>
      <c r="GL9" t="e">
        <f>#REF!-"8O&lt;!?~"</f>
        <v>#REF!</v>
      </c>
      <c r="GM9" t="e">
        <f>#REF!-"8O&lt;!@#"</f>
        <v>#REF!</v>
      </c>
      <c r="GN9" t="e">
        <f>#REF!-"8O&lt;!@$"</f>
        <v>#REF!</v>
      </c>
      <c r="GO9" t="e">
        <f>#REF!-"8O&lt;!@%"</f>
        <v>#REF!</v>
      </c>
      <c r="GP9" t="e">
        <f>#REF!-"8O&lt;!@&amp;"</f>
        <v>#REF!</v>
      </c>
      <c r="GQ9" t="e">
        <f>#REF!-"8O&lt;!@'"</f>
        <v>#REF!</v>
      </c>
      <c r="GR9" t="e">
        <f>#REF!-"8O&lt;!@("</f>
        <v>#REF!</v>
      </c>
      <c r="GS9" t="e">
        <f>#REF!-"8O&lt;!@)"</f>
        <v>#REF!</v>
      </c>
      <c r="GT9" t="e">
        <f>#REF!-"8O&lt;!@."</f>
        <v>#REF!</v>
      </c>
      <c r="GU9" t="e">
        <f>#REF!-"8O&lt;!@/"</f>
        <v>#REF!</v>
      </c>
      <c r="GV9" t="e">
        <f>#REF!-"8O&lt;!@0"</f>
        <v>#REF!</v>
      </c>
      <c r="GW9" t="e">
        <f>#REF!-"8O&lt;!@1"</f>
        <v>#REF!</v>
      </c>
      <c r="GX9" t="e">
        <f>#REF!-"8O&lt;!@2"</f>
        <v>#REF!</v>
      </c>
      <c r="GY9" t="e">
        <f>#REF!-"8O&lt;!@3"</f>
        <v>#REF!</v>
      </c>
      <c r="GZ9" t="e">
        <f>#REF!-"8O&lt;!@4"</f>
        <v>#REF!</v>
      </c>
      <c r="HA9" t="e">
        <f>#REF!-"8O&lt;!@5"</f>
        <v>#REF!</v>
      </c>
      <c r="HB9" t="e">
        <f>#REF!-"8O&lt;!@6"</f>
        <v>#REF!</v>
      </c>
      <c r="HC9" t="e">
        <f>#REF!-"8O&lt;!@7"</f>
        <v>#REF!</v>
      </c>
      <c r="HD9" t="e">
        <f>#REF!-"8O&lt;!@8"</f>
        <v>#REF!</v>
      </c>
      <c r="HE9" t="e">
        <f>#REF!-"8O&lt;!@9"</f>
        <v>#REF!</v>
      </c>
      <c r="HF9" t="e">
        <f>#REF!-"8O&lt;!@:"</f>
        <v>#REF!</v>
      </c>
      <c r="HG9" t="e">
        <f>#REF!-"8O&lt;!@;"</f>
        <v>#REF!</v>
      </c>
      <c r="HH9" t="e">
        <f>#REF!-"8O&lt;!@&lt;"</f>
        <v>#REF!</v>
      </c>
      <c r="HI9" t="e">
        <f>#REF!-"8O&lt;!@="</f>
        <v>#REF!</v>
      </c>
      <c r="HJ9" t="e">
        <f>#REF!-"8O&lt;!@&gt;"</f>
        <v>#REF!</v>
      </c>
      <c r="HK9" t="e">
        <f>#REF!-"8O&lt;!@?"</f>
        <v>#REF!</v>
      </c>
      <c r="HL9" t="e">
        <f>#REF!-"8O&lt;!@@"</f>
        <v>#REF!</v>
      </c>
      <c r="HM9" t="e">
        <f>#REF!-"8O&lt;!@A"</f>
        <v>#REF!</v>
      </c>
      <c r="HN9" t="e">
        <f>#REF!-"8O&lt;!@B"</f>
        <v>#REF!</v>
      </c>
      <c r="HO9" t="e">
        <f>#REF!-"8O&lt;!@C"</f>
        <v>#REF!</v>
      </c>
      <c r="HP9" t="e">
        <f>#REF!-"8O&lt;!@D"</f>
        <v>#REF!</v>
      </c>
      <c r="HQ9" t="e">
        <f>#REF!-"8O&lt;!@E"</f>
        <v>#REF!</v>
      </c>
      <c r="HR9" t="e">
        <f>#REF!-"8O&lt;!@F"</f>
        <v>#REF!</v>
      </c>
      <c r="HS9" t="e">
        <f>#REF!-"8O&lt;!@G"</f>
        <v>#REF!</v>
      </c>
      <c r="HT9" t="e">
        <f>#REF!-"8O&lt;!@H"</f>
        <v>#REF!</v>
      </c>
      <c r="HU9" t="e">
        <f>#REF!-"8O&lt;!@I"</f>
        <v>#REF!</v>
      </c>
      <c r="HV9" t="e">
        <f>#REF!-"8O&lt;!@J"</f>
        <v>#REF!</v>
      </c>
      <c r="HW9" t="e">
        <f>#REF!-"8O&lt;!@K"</f>
        <v>#REF!</v>
      </c>
      <c r="HX9" t="e">
        <f>#REF!-"8O&lt;!@L"</f>
        <v>#REF!</v>
      </c>
      <c r="HY9" t="e">
        <f>#REF!-"8O&lt;!@M"</f>
        <v>#REF!</v>
      </c>
      <c r="HZ9" t="e">
        <f>#REF!-"8O&lt;!@N"</f>
        <v>#REF!</v>
      </c>
      <c r="IA9" t="e">
        <f>#REF!-"8O&lt;!@O"</f>
        <v>#REF!</v>
      </c>
      <c r="IB9" t="e">
        <f>#REF!-"8O&lt;!@P"</f>
        <v>#REF!</v>
      </c>
      <c r="IC9" t="e">
        <f>#REF!-"8O&lt;!@Q"</f>
        <v>#REF!</v>
      </c>
      <c r="ID9" t="e">
        <f>#REF!-"8O&lt;!@R"</f>
        <v>#REF!</v>
      </c>
      <c r="IE9" t="e">
        <f>#REF!-"8O&lt;!@S"</f>
        <v>#REF!</v>
      </c>
      <c r="IF9" t="e">
        <f>#REF!-"8O&lt;!@T"</f>
        <v>#REF!</v>
      </c>
      <c r="IG9" t="e">
        <f>#REF!-"8O&lt;!@U"</f>
        <v>#REF!</v>
      </c>
      <c r="IH9" t="e">
        <f>#REF!-"8O&lt;!@V"</f>
        <v>#REF!</v>
      </c>
      <c r="II9" t="e">
        <f>#REF!-"8O&lt;!@W"</f>
        <v>#REF!</v>
      </c>
      <c r="IJ9" t="e">
        <f>#REF!-"8O&lt;!@X"</f>
        <v>#REF!</v>
      </c>
      <c r="IK9" t="e">
        <f>#REF!-"8O&lt;!@Y"</f>
        <v>#REF!</v>
      </c>
      <c r="IL9" t="e">
        <f>#REF!-"8O&lt;!@Z"</f>
        <v>#REF!</v>
      </c>
      <c r="IM9" t="e">
        <f>#REF!-"8O&lt;!@["</f>
        <v>#REF!</v>
      </c>
      <c r="IN9" t="e">
        <f>#REF!-"8O&lt;!@\"</f>
        <v>#REF!</v>
      </c>
      <c r="IO9" t="e">
        <f>#REF!-"8O&lt;!@]"</f>
        <v>#REF!</v>
      </c>
      <c r="IP9" t="e">
        <f>#REF!-"8O&lt;!@^"</f>
        <v>#REF!</v>
      </c>
      <c r="IQ9" t="e">
        <f>#REF!-"8O&lt;!@_"</f>
        <v>#REF!</v>
      </c>
      <c r="IR9" t="e">
        <f>#REF!-"8O&lt;!@`"</f>
        <v>#REF!</v>
      </c>
      <c r="IS9" t="e">
        <f>#REF!-"8O&lt;!@a"</f>
        <v>#REF!</v>
      </c>
      <c r="IT9" t="e">
        <f>#REF!-"8O&lt;!@b"</f>
        <v>#REF!</v>
      </c>
      <c r="IU9" t="e">
        <f>#REF!-"8O&lt;!@c"</f>
        <v>#REF!</v>
      </c>
      <c r="IV9" t="e">
        <f>#REF!-"8O&lt;!@d"</f>
        <v>#REF!</v>
      </c>
    </row>
    <row r="10" spans="1:256" x14ac:dyDescent="0.25">
      <c r="F10" t="e">
        <f>#REF!-"8O&lt;!@e"</f>
        <v>#REF!</v>
      </c>
      <c r="G10" t="e">
        <f>#REF!-"8O&lt;!@f"</f>
        <v>#REF!</v>
      </c>
      <c r="H10" t="e">
        <f>#REF!-"8O&lt;!@g"</f>
        <v>#REF!</v>
      </c>
      <c r="I10" t="e">
        <f>#REF!-"8O&lt;!@h"</f>
        <v>#REF!</v>
      </c>
      <c r="J10" t="e">
        <f>#REF!-"8O&lt;!@i"</f>
        <v>#REF!</v>
      </c>
      <c r="K10" t="e">
        <f>#REF!-"8O&lt;!@j"</f>
        <v>#REF!</v>
      </c>
      <c r="L10" t="e">
        <f>#REF!-"8O&lt;!@k"</f>
        <v>#REF!</v>
      </c>
      <c r="M10" t="e">
        <f>#REF!-"8O&lt;!@l"</f>
        <v>#REF!</v>
      </c>
      <c r="N10" t="e">
        <f>#REF!-"8O&lt;!@m"</f>
        <v>#REF!</v>
      </c>
      <c r="O10" t="e">
        <f>#REF!-"8O&lt;!@n"</f>
        <v>#REF!</v>
      </c>
      <c r="P10" t="e">
        <f>#REF!-"8O&lt;!@o"</f>
        <v>#REF!</v>
      </c>
      <c r="Q10" t="e">
        <f>#REF!-"8O&lt;!@p"</f>
        <v>#REF!</v>
      </c>
      <c r="R10" t="e">
        <f>#REF!-"8O&lt;!@q"</f>
        <v>#REF!</v>
      </c>
      <c r="S10" t="e">
        <f>#REF!-"8O&lt;!@r"</f>
        <v>#REF!</v>
      </c>
      <c r="T10" t="e">
        <f>#REF!-"8O&lt;!@s"</f>
        <v>#REF!</v>
      </c>
      <c r="U10" t="e">
        <f>#REF!-"8O&lt;!@t"</f>
        <v>#REF!</v>
      </c>
      <c r="V10" t="e">
        <f>#REF!-"8O&lt;!@u"</f>
        <v>#REF!</v>
      </c>
      <c r="W10" t="e">
        <f>#REF!-"8O&lt;!@v"</f>
        <v>#REF!</v>
      </c>
      <c r="X10" t="e">
        <f>#REF!-"8O&lt;!@w"</f>
        <v>#REF!</v>
      </c>
      <c r="Y10" t="e">
        <f>#REF!-"8O&lt;!@x"</f>
        <v>#REF!</v>
      </c>
      <c r="Z10" t="e">
        <f>#REF!-"8O&lt;!@y"</f>
        <v>#REF!</v>
      </c>
      <c r="AA10" t="e">
        <f>#REF!-"8O&lt;!@z"</f>
        <v>#REF!</v>
      </c>
      <c r="AB10" t="e">
        <f>#REF!-"8O&lt;!@{"</f>
        <v>#REF!</v>
      </c>
      <c r="AC10" t="e">
        <f>#REF!-"8O&lt;!@|"</f>
        <v>#REF!</v>
      </c>
      <c r="AD10" t="e">
        <f>#REF!-"8O&lt;!@}"</f>
        <v>#REF!</v>
      </c>
      <c r="AE10" t="e">
        <f>#REF!-"8O&lt;!@~"</f>
        <v>#REF!</v>
      </c>
      <c r="AF10" t="e">
        <f>#REF!-"8O&lt;!A#"</f>
        <v>#REF!</v>
      </c>
      <c r="AG10" t="e">
        <f>#REF!-"8O&lt;!A$"</f>
        <v>#REF!</v>
      </c>
      <c r="AH10" t="e">
        <f>#REF!-"8O&lt;!A%"</f>
        <v>#REF!</v>
      </c>
      <c r="AI10" t="e">
        <f>#REF!-"8O&lt;!A&amp;"</f>
        <v>#REF!</v>
      </c>
      <c r="AJ10" t="e">
        <f>#REF!-"8O&lt;!A'"</f>
        <v>#REF!</v>
      </c>
      <c r="AK10" t="e">
        <f>#REF!-"8O&lt;!A("</f>
        <v>#REF!</v>
      </c>
      <c r="AL10" t="e">
        <f>#REF!-"8O&lt;!A)"</f>
        <v>#REF!</v>
      </c>
      <c r="AM10" t="e">
        <f>#REF!-"8O&lt;!A."</f>
        <v>#REF!</v>
      </c>
      <c r="AN10" t="e">
        <f>#REF!-"8O&lt;!A/"</f>
        <v>#REF!</v>
      </c>
      <c r="AO10" t="e">
        <f>#REF!-"8O&lt;!A0"</f>
        <v>#REF!</v>
      </c>
      <c r="AP10" t="e">
        <f>#REF!-"8O&lt;!A1"</f>
        <v>#REF!</v>
      </c>
      <c r="AQ10" t="e">
        <f>#REF!-"8O&lt;!A2"</f>
        <v>#REF!</v>
      </c>
      <c r="AR10" t="e">
        <f>#REF!-"8O&lt;!A3"</f>
        <v>#REF!</v>
      </c>
      <c r="AS10" t="e">
        <f>#REF!-"8O&lt;!A4"</f>
        <v>#REF!</v>
      </c>
      <c r="AT10" t="e">
        <f>#REF!-"8O&lt;!A5"</f>
        <v>#REF!</v>
      </c>
      <c r="AU10" t="e">
        <f>#REF!-"8O&lt;!A6"</f>
        <v>#REF!</v>
      </c>
      <c r="AV10" t="e">
        <f>#REF!-"8O&lt;!A7"</f>
        <v>#REF!</v>
      </c>
      <c r="AW10" t="e">
        <f>#REF!-"8O&lt;!A8"</f>
        <v>#REF!</v>
      </c>
      <c r="AX10" t="e">
        <f>#REF!-"8O&lt;!A9"</f>
        <v>#REF!</v>
      </c>
      <c r="AY10" t="e">
        <f>#REF!-"8O&lt;!A:"</f>
        <v>#REF!</v>
      </c>
      <c r="AZ10" t="e">
        <f>#REF!-"8O&lt;!A;"</f>
        <v>#REF!</v>
      </c>
      <c r="BA10" t="e">
        <f>#REF!-"8O&lt;!A&lt;"</f>
        <v>#REF!</v>
      </c>
      <c r="BB10" t="e">
        <f>#REF!-"8O&lt;!A="</f>
        <v>#REF!</v>
      </c>
      <c r="BC10" t="e">
        <f>#REF!-"8O&lt;!A&gt;"</f>
        <v>#REF!</v>
      </c>
      <c r="BD10" t="e">
        <f>#REF!-"8O&lt;!A?"</f>
        <v>#REF!</v>
      </c>
      <c r="BE10" t="e">
        <f>#REF!-"8O&lt;!A@"</f>
        <v>#REF!</v>
      </c>
      <c r="BF10" t="e">
        <f>#REF!-"8O&lt;!AA"</f>
        <v>#REF!</v>
      </c>
      <c r="BG10" t="e">
        <f>#REF!-"8O&lt;!AB"</f>
        <v>#REF!</v>
      </c>
      <c r="BH10" t="e">
        <f>#REF!-"8O&lt;!AC"</f>
        <v>#REF!</v>
      </c>
      <c r="BI10" t="e">
        <f>#REF!-"8O&lt;!AD"</f>
        <v>#REF!</v>
      </c>
      <c r="BJ10" t="e">
        <f>#REF!-"8O&lt;!AE"</f>
        <v>#REF!</v>
      </c>
      <c r="BK10" t="e">
        <f>#REF!-"8O&lt;!AF"</f>
        <v>#REF!</v>
      </c>
      <c r="BL10" t="e">
        <f>#REF!-"8O&lt;!AG"</f>
        <v>#REF!</v>
      </c>
      <c r="BM10" t="e">
        <f>#REF!-"8O&lt;!AH"</f>
        <v>#REF!</v>
      </c>
      <c r="BN10" t="e">
        <f>#REF!-"8O&lt;!AI"</f>
        <v>#REF!</v>
      </c>
      <c r="BO10" t="e">
        <f>#REF!-"8O&lt;!AJ"</f>
        <v>#REF!</v>
      </c>
      <c r="BP10" t="e">
        <f>#REF!-"8O&lt;!AK"</f>
        <v>#REF!</v>
      </c>
      <c r="BQ10" t="e">
        <f>#REF!-"8O&lt;!AL"</f>
        <v>#REF!</v>
      </c>
      <c r="BR10" t="e">
        <f>#REF!-"8O&lt;!AM"</f>
        <v>#REF!</v>
      </c>
      <c r="BS10" t="e">
        <f>#REF!-"8O&lt;!AN"</f>
        <v>#REF!</v>
      </c>
      <c r="BT10" t="e">
        <f>#REF!-"8O&lt;!AO"</f>
        <v>#REF!</v>
      </c>
      <c r="BU10" t="e">
        <f>#REF!-"8O&lt;!AP"</f>
        <v>#REF!</v>
      </c>
      <c r="BV10" t="e">
        <f>#REF!-"8O&lt;!AQ"</f>
        <v>#REF!</v>
      </c>
      <c r="BW10" t="e">
        <f>#REF!-"8O&lt;!AR"</f>
        <v>#REF!</v>
      </c>
      <c r="BX10" t="e">
        <f>#REF!-"8O&lt;!AS"</f>
        <v>#REF!</v>
      </c>
      <c r="BY10" t="e">
        <f>#REF!-"8O&lt;!AT"</f>
        <v>#REF!</v>
      </c>
      <c r="BZ10" t="e">
        <f>#REF!-"8O&lt;!AU"</f>
        <v>#REF!</v>
      </c>
      <c r="CA10" t="e">
        <f>#REF!-"8O&lt;!AV"</f>
        <v>#REF!</v>
      </c>
      <c r="CB10" t="e">
        <f>#REF!-"8O&lt;!AW"</f>
        <v>#REF!</v>
      </c>
      <c r="CC10" t="e">
        <f>#REF!-"8O&lt;!AX"</f>
        <v>#REF!</v>
      </c>
      <c r="CD10" t="e">
        <f>#REF!-"8O&lt;!AY"</f>
        <v>#REF!</v>
      </c>
      <c r="CE10" t="e">
        <f>#REF!-"8O&lt;!AZ"</f>
        <v>#REF!</v>
      </c>
      <c r="CF10" t="e">
        <f>#REF!-"8O&lt;!A["</f>
        <v>#REF!</v>
      </c>
      <c r="CG10" t="e">
        <f>#REF!-"8O&lt;!A\"</f>
        <v>#REF!</v>
      </c>
      <c r="CH10" t="e">
        <f>#REF!-"8O&lt;!A]"</f>
        <v>#REF!</v>
      </c>
      <c r="CI10" t="e">
        <f>#REF!-"8O&lt;!A^"</f>
        <v>#REF!</v>
      </c>
      <c r="CJ10" t="e">
        <f>#REF!-"8O&lt;!A_"</f>
        <v>#REF!</v>
      </c>
      <c r="CK10" t="e">
        <f>#REF!-"8O&lt;!A`"</f>
        <v>#REF!</v>
      </c>
      <c r="CL10" t="e">
        <f>#REF!-"8O&lt;!Aa"</f>
        <v>#REF!</v>
      </c>
      <c r="CM10" t="e">
        <f>#REF!-"8O&lt;!Ab"</f>
        <v>#REF!</v>
      </c>
      <c r="CN10" t="e">
        <f>#REF!-"8O&lt;!Ac"</f>
        <v>#REF!</v>
      </c>
      <c r="CO10" t="e">
        <f>#REF!-"8O&lt;!Ad"</f>
        <v>#REF!</v>
      </c>
      <c r="CP10" t="e">
        <f>#REF!-"8O&lt;!Ae"</f>
        <v>#REF!</v>
      </c>
      <c r="CQ10" t="e">
        <f>#REF!-"8O&lt;!Af"</f>
        <v>#REF!</v>
      </c>
      <c r="CR10" t="e">
        <f>#REF!-"8O&lt;!Ag"</f>
        <v>#REF!</v>
      </c>
      <c r="CS10" t="e">
        <f>#REF!-"8O&lt;!Ah"</f>
        <v>#REF!</v>
      </c>
      <c r="CT10" t="e">
        <f>#REF!-"8O&lt;!Ai"</f>
        <v>#REF!</v>
      </c>
      <c r="CU10" t="e">
        <f>#REF!-"8O&lt;!Aj"</f>
        <v>#REF!</v>
      </c>
      <c r="CV10" t="e">
        <f>#REF!-"8O&lt;!Ak"</f>
        <v>#REF!</v>
      </c>
      <c r="CW10" t="e">
        <f>#REF!-"8O&lt;!Al"</f>
        <v>#REF!</v>
      </c>
      <c r="CX10" t="e">
        <f>#REF!-"8O&lt;!Am"</f>
        <v>#REF!</v>
      </c>
      <c r="CY10" t="e">
        <f>#REF!-"8O&lt;!An"</f>
        <v>#REF!</v>
      </c>
      <c r="CZ10" t="e">
        <f>#REF!-"8O&lt;!Ao"</f>
        <v>#REF!</v>
      </c>
      <c r="DA10" t="e">
        <f>#REF!-"8O&lt;!Ap"</f>
        <v>#REF!</v>
      </c>
      <c r="DB10" t="e">
        <f>#REF!-"8O&lt;!Aq"</f>
        <v>#REF!</v>
      </c>
      <c r="DC10" t="e">
        <f>#REF!-"8O&lt;!Ar"</f>
        <v>#REF!</v>
      </c>
      <c r="DD10" t="e">
        <f>#REF!-"8O&lt;!As"</f>
        <v>#REF!</v>
      </c>
      <c r="DE10" t="e">
        <f>#REF!-"8O&lt;!At"</f>
        <v>#REF!</v>
      </c>
      <c r="DF10" t="e">
        <f>#REF!-"8O&lt;!Au"</f>
        <v>#REF!</v>
      </c>
      <c r="DG10" t="e">
        <f>#REF!-"8O&lt;!Av"</f>
        <v>#REF!</v>
      </c>
      <c r="DH10" t="e">
        <f>#REF!-"8O&lt;!Aw"</f>
        <v>#REF!</v>
      </c>
      <c r="DI10" t="e">
        <f>#REF!-"8O&lt;!Ax"</f>
        <v>#REF!</v>
      </c>
      <c r="DJ10" t="e">
        <f>#REF!-"8O&lt;!Ay"</f>
        <v>#REF!</v>
      </c>
      <c r="DK10" t="e">
        <f>#REF!-"8O&lt;!Az"</f>
        <v>#REF!</v>
      </c>
      <c r="DL10" t="e">
        <f>#REF!-"8O&lt;!A{"</f>
        <v>#REF!</v>
      </c>
      <c r="DM10" t="e">
        <f>#REF!-"8O&lt;!A|"</f>
        <v>#REF!</v>
      </c>
      <c r="DN10" t="e">
        <f>#REF!-"8O&lt;!A}"</f>
        <v>#REF!</v>
      </c>
      <c r="DO10" t="e">
        <f>#REF!-"8O&lt;!A~"</f>
        <v>#REF!</v>
      </c>
      <c r="DP10" t="e">
        <f>#REF!-"8O&lt;!B#"</f>
        <v>#REF!</v>
      </c>
      <c r="DQ10" t="e">
        <f>#REF!-"8O&lt;!B$"</f>
        <v>#REF!</v>
      </c>
      <c r="DR10" t="e">
        <f>#REF!-"8O&lt;!B%"</f>
        <v>#REF!</v>
      </c>
      <c r="DS10" t="e">
        <f>#REF!-"8O&lt;!B&amp;"</f>
        <v>#REF!</v>
      </c>
      <c r="DT10" t="e">
        <f>#REF!-"8O&lt;!B'"</f>
        <v>#REF!</v>
      </c>
      <c r="DU10" t="e">
        <f>#REF!-"8O&lt;!B("</f>
        <v>#REF!</v>
      </c>
      <c r="DV10" t="e">
        <f>#REF!-"8O&lt;!B)"</f>
        <v>#REF!</v>
      </c>
      <c r="DW10" t="e">
        <f>#REF!-"8O&lt;!B."</f>
        <v>#REF!</v>
      </c>
      <c r="DX10" t="e">
        <f>#REF!-"8O&lt;!B/"</f>
        <v>#REF!</v>
      </c>
      <c r="DY10" t="e">
        <f>#REF!-"8O&lt;!B0"</f>
        <v>#REF!</v>
      </c>
      <c r="DZ10" t="e">
        <f>#REF!-"8O&lt;!B1"</f>
        <v>#REF!</v>
      </c>
      <c r="EA10" t="e">
        <f>#REF!-"8O&lt;!B2"</f>
        <v>#REF!</v>
      </c>
      <c r="EB10" t="e">
        <f>#REF!-"8O&lt;!B3"</f>
        <v>#REF!</v>
      </c>
      <c r="EC10" t="e">
        <f>#REF!-"8O&lt;!B4"</f>
        <v>#REF!</v>
      </c>
      <c r="ED10" t="e">
        <f>#REF!-"8O&lt;!B5"</f>
        <v>#REF!</v>
      </c>
      <c r="EE10" t="e">
        <f>#REF!-"8O&lt;!B6"</f>
        <v>#REF!</v>
      </c>
      <c r="EF10" t="e">
        <f>#REF!-"8O&lt;!B7"</f>
        <v>#REF!</v>
      </c>
      <c r="EG10" t="e">
        <f>#REF!-"8O&lt;!B8"</f>
        <v>#REF!</v>
      </c>
      <c r="EH10" t="e">
        <f>#REF!-"8O&lt;!B9"</f>
        <v>#REF!</v>
      </c>
      <c r="EI10" t="e">
        <f>#REF!-"8O&lt;!B:"</f>
        <v>#REF!</v>
      </c>
      <c r="EJ10" t="e">
        <f>#REF!-"8O&lt;!B;"</f>
        <v>#REF!</v>
      </c>
      <c r="EK10" t="e">
        <f>#REF!-"8O&lt;!B&lt;"</f>
        <v>#REF!</v>
      </c>
      <c r="EL10" t="e">
        <f>#REF!-"8O&lt;!B="</f>
        <v>#REF!</v>
      </c>
      <c r="EM10" t="e">
        <f>#REF!-"8O&lt;!B&gt;"</f>
        <v>#REF!</v>
      </c>
      <c r="EN10" t="e">
        <f>#REF!-"8O&lt;!B?"</f>
        <v>#REF!</v>
      </c>
      <c r="EO10" t="e">
        <f>#REF!-"8O&lt;!B@"</f>
        <v>#REF!</v>
      </c>
      <c r="EP10" t="e">
        <f>#REF!-"8O&lt;!BA"</f>
        <v>#REF!</v>
      </c>
      <c r="EQ10" t="e">
        <f>#REF!-"8O&lt;!BB"</f>
        <v>#REF!</v>
      </c>
      <c r="ER10" t="e">
        <f>#REF!-"8O&lt;!BC"</f>
        <v>#REF!</v>
      </c>
      <c r="ES10" t="e">
        <f>#REF!-"8O&lt;!BD"</f>
        <v>#REF!</v>
      </c>
      <c r="ET10" t="e">
        <f>#REF!-"8O&lt;!BE"</f>
        <v>#REF!</v>
      </c>
      <c r="EU10" t="e">
        <f>#REF!-"8O&lt;!BF"</f>
        <v>#REF!</v>
      </c>
      <c r="EV10" t="e">
        <f>#REF!-"8O&lt;!BG"</f>
        <v>#REF!</v>
      </c>
      <c r="EW10" t="e">
        <f>#REF!-"8O&lt;!BH"</f>
        <v>#REF!</v>
      </c>
      <c r="EX10" t="e">
        <f>#REF!-"8O&lt;!BI"</f>
        <v>#REF!</v>
      </c>
      <c r="EY10" t="e">
        <f>#REF!-"8O&lt;!BJ"</f>
        <v>#REF!</v>
      </c>
      <c r="EZ10" t="e">
        <f>#REF!-"8O&lt;!BK"</f>
        <v>#REF!</v>
      </c>
      <c r="FA10" t="e">
        <f>#REF!-"8O&lt;!BL"</f>
        <v>#REF!</v>
      </c>
      <c r="FB10" t="e">
        <f>#REF!-"8O&lt;!BM"</f>
        <v>#REF!</v>
      </c>
      <c r="FC10" t="e">
        <f>#REF!-"8O&lt;!BN"</f>
        <v>#REF!</v>
      </c>
      <c r="FD10" t="e">
        <f>#REF!-"8O&lt;!BO"</f>
        <v>#REF!</v>
      </c>
      <c r="FE10" t="e">
        <f>#REF!-"8O&lt;!BP"</f>
        <v>#REF!</v>
      </c>
      <c r="FF10" t="e">
        <f>#REF!-"8O&lt;!BQ"</f>
        <v>#REF!</v>
      </c>
      <c r="FG10" t="e">
        <f>#REF!-"8O&lt;!BR"</f>
        <v>#REF!</v>
      </c>
      <c r="FH10" t="e">
        <f>#REF!-"8O&lt;!BS"</f>
        <v>#REF!</v>
      </c>
      <c r="FI10" t="e">
        <f>#REF!-"8O&lt;!BT"</f>
        <v>#REF!</v>
      </c>
      <c r="FJ10" t="e">
        <f>#REF!-"8O&lt;!BU"</f>
        <v>#REF!</v>
      </c>
      <c r="FK10" t="e">
        <f>#REF!-"8O&lt;!BV"</f>
        <v>#REF!</v>
      </c>
      <c r="FL10" t="e">
        <f>#REF!-"8O&lt;!BW"</f>
        <v>#REF!</v>
      </c>
      <c r="FM10" t="e">
        <f>#REF!-"8O&lt;!BX"</f>
        <v>#REF!</v>
      </c>
      <c r="FN10" t="e">
        <f>#REF!-"8O&lt;!BY"</f>
        <v>#REF!</v>
      </c>
      <c r="FO10" t="e">
        <f>#REF!-"8O&lt;!BZ"</f>
        <v>#REF!</v>
      </c>
      <c r="FP10" t="e">
        <f>#REF!-"8O&lt;!B["</f>
        <v>#REF!</v>
      </c>
      <c r="FQ10" t="e">
        <f>#REF!-"8O&lt;!B\"</f>
        <v>#REF!</v>
      </c>
      <c r="FR10" t="e">
        <f>#REF!-"8O&lt;!B]"</f>
        <v>#REF!</v>
      </c>
      <c r="FS10" t="e">
        <f>#REF!-"8O&lt;!B^"</f>
        <v>#REF!</v>
      </c>
      <c r="FT10" t="e">
        <f>#REF!-"8O&lt;!B_"</f>
        <v>#REF!</v>
      </c>
      <c r="FU10" t="e">
        <f>#REF!-"8O&lt;!B`"</f>
        <v>#REF!</v>
      </c>
      <c r="FV10" t="e">
        <f>#REF!-"8O&lt;!Ba"</f>
        <v>#REF!</v>
      </c>
      <c r="FW10" t="e">
        <f>#REF!-"8O&lt;!Bb"</f>
        <v>#REF!</v>
      </c>
      <c r="FX10" t="e">
        <f>#REF!-"8O&lt;!Bc"</f>
        <v>#REF!</v>
      </c>
      <c r="FY10" t="e">
        <f>#REF!-"8O&lt;!Bd"</f>
        <v>#REF!</v>
      </c>
      <c r="FZ10" t="e">
        <f>#REF!-"8O&lt;!Be"</f>
        <v>#REF!</v>
      </c>
      <c r="GA10" t="e">
        <f>#REF!-"8O&lt;!Bf"</f>
        <v>#REF!</v>
      </c>
      <c r="GB10" t="e">
        <f>#REF!-"8O&lt;!Bg"</f>
        <v>#REF!</v>
      </c>
      <c r="GC10" t="e">
        <f>#REF!-"8O&lt;!Bh"</f>
        <v>#REF!</v>
      </c>
      <c r="GD10" t="e">
        <f>#REF!-"8O&lt;!Bi"</f>
        <v>#REF!</v>
      </c>
      <c r="GE10" t="e">
        <f>#REF!-"8O&lt;!Bj"</f>
        <v>#REF!</v>
      </c>
      <c r="GF10" t="e">
        <f>#REF!-"8O&lt;!Bk"</f>
        <v>#REF!</v>
      </c>
      <c r="GG10" t="e">
        <f>#REF!-"8O&lt;!Bl"</f>
        <v>#REF!</v>
      </c>
      <c r="GH10" t="e">
        <f>#REF!-"8O&lt;!Bm"</f>
        <v>#REF!</v>
      </c>
      <c r="GI10" t="e">
        <f>#REF!-"8O&lt;!Bn"</f>
        <v>#REF!</v>
      </c>
      <c r="GJ10" t="e">
        <f>#REF!-"8O&lt;!Bo"</f>
        <v>#REF!</v>
      </c>
      <c r="GK10" t="e">
        <f>#REF!-"8O&lt;!Bp"</f>
        <v>#REF!</v>
      </c>
      <c r="GL10" t="e">
        <f>#REF!-"8O&lt;!Bq"</f>
        <v>#REF!</v>
      </c>
      <c r="GM10" t="e">
        <f>#REF!-"8O&lt;!Br"</f>
        <v>#REF!</v>
      </c>
      <c r="GN10" t="e">
        <f>#REF!-"8O&lt;!Bs"</f>
        <v>#REF!</v>
      </c>
      <c r="GO10" t="e">
        <f>#REF!-"8O&lt;!Bt"</f>
        <v>#REF!</v>
      </c>
      <c r="GP10" t="e">
        <f>#REF!-"8O&lt;!Bu"</f>
        <v>#REF!</v>
      </c>
      <c r="GQ10" t="e">
        <f>#REF!-"8O&lt;!Bv"</f>
        <v>#REF!</v>
      </c>
      <c r="GR10" t="e">
        <f>#REF!-"8O&lt;!Bw"</f>
        <v>#REF!</v>
      </c>
      <c r="GS10" t="e">
        <f>#REF!-"8O&lt;!Bx"</f>
        <v>#REF!</v>
      </c>
      <c r="GT10" t="e">
        <f>#REF!-"8O&lt;!By"</f>
        <v>#REF!</v>
      </c>
      <c r="GU10" t="e">
        <f>#REF!-"8O&lt;!Bz"</f>
        <v>#REF!</v>
      </c>
      <c r="GV10" t="e">
        <f>#REF!-"8O&lt;!B{"</f>
        <v>#REF!</v>
      </c>
      <c r="GW10" t="e">
        <f>#REF!-"8O&lt;!B|"</f>
        <v>#REF!</v>
      </c>
      <c r="GX10" t="e">
        <f>#REF!-"8O&lt;!B}"</f>
        <v>#REF!</v>
      </c>
      <c r="GY10" t="e">
        <f>#REF!-"8O&lt;!B~"</f>
        <v>#REF!</v>
      </c>
      <c r="GZ10" t="e">
        <f>#REF!-"8O&lt;!C#"</f>
        <v>#REF!</v>
      </c>
      <c r="HA10" t="e">
        <f>#REF!-"8O&lt;!C$"</f>
        <v>#REF!</v>
      </c>
      <c r="HB10" t="e">
        <f>#REF!-"8O&lt;!C%"</f>
        <v>#REF!</v>
      </c>
      <c r="HC10" t="e">
        <f>#REF!-"8O&lt;!C&amp;"</f>
        <v>#REF!</v>
      </c>
      <c r="HD10" t="e">
        <f>#REF!-"8O&lt;!C'"</f>
        <v>#REF!</v>
      </c>
      <c r="HE10" t="e">
        <f>#REF!-"8O&lt;!C("</f>
        <v>#REF!</v>
      </c>
      <c r="HF10" t="e">
        <f>#REF!-"8O&lt;!C)"</f>
        <v>#REF!</v>
      </c>
      <c r="HG10" t="e">
        <f>#REF!-"8O&lt;!C."</f>
        <v>#REF!</v>
      </c>
      <c r="HH10" t="e">
        <f>#REF!-"8O&lt;!C/"</f>
        <v>#REF!</v>
      </c>
      <c r="HI10" t="e">
        <f>#REF!-"8O&lt;!C0"</f>
        <v>#REF!</v>
      </c>
      <c r="HJ10" t="e">
        <f>#REF!-"8O&lt;!C1"</f>
        <v>#REF!</v>
      </c>
      <c r="HK10" t="e">
        <f>#REF!-"8O&lt;!C2"</f>
        <v>#REF!</v>
      </c>
      <c r="HL10" t="e">
        <f>#REF!-"8O&lt;!C3"</f>
        <v>#REF!</v>
      </c>
      <c r="HM10" t="e">
        <f>#REF!-"8O&lt;!C4"</f>
        <v>#REF!</v>
      </c>
      <c r="HN10" t="e">
        <f>#REF!-"8O&lt;!C5"</f>
        <v>#REF!</v>
      </c>
      <c r="HO10" t="e">
        <f>#REF!-"8O&lt;!C6"</f>
        <v>#REF!</v>
      </c>
      <c r="HP10" t="e">
        <f>#REF!-"8O&lt;!C7"</f>
        <v>#REF!</v>
      </c>
      <c r="HQ10" t="e">
        <f>#REF!-"8O&lt;!C8"</f>
        <v>#REF!</v>
      </c>
      <c r="HR10" t="e">
        <f>#REF!-"8O&lt;!C9"</f>
        <v>#REF!</v>
      </c>
      <c r="HS10" t="e">
        <f>#REF!-"8O&lt;!C:"</f>
        <v>#REF!</v>
      </c>
      <c r="HT10" t="e">
        <f>#REF!-"8O&lt;!C;"</f>
        <v>#REF!</v>
      </c>
      <c r="HU10" t="e">
        <f>#REF!-"8O&lt;!C&lt;"</f>
        <v>#REF!</v>
      </c>
      <c r="HV10" t="e">
        <f>#REF!-"8O&lt;!C="</f>
        <v>#REF!</v>
      </c>
      <c r="HW10" t="e">
        <f>#REF!-"8O&lt;!C&gt;"</f>
        <v>#REF!</v>
      </c>
      <c r="HX10" t="e">
        <f>#REF!-"8O&lt;!C?"</f>
        <v>#REF!</v>
      </c>
      <c r="HY10" t="e">
        <f>#REF!-"8O&lt;!C@"</f>
        <v>#REF!</v>
      </c>
      <c r="HZ10" t="e">
        <f>#REF!-"8O&lt;!CA"</f>
        <v>#REF!</v>
      </c>
      <c r="IA10" t="e">
        <f>#REF!-"8O&lt;!CB"</f>
        <v>#REF!</v>
      </c>
      <c r="IB10" t="e">
        <f>#REF!-"8O&lt;!CC"</f>
        <v>#REF!</v>
      </c>
      <c r="IC10" t="e">
        <f>#REF!-"8O&lt;!CD"</f>
        <v>#REF!</v>
      </c>
      <c r="ID10" t="e">
        <f>#REF!-"8O&lt;!CE"</f>
        <v>#REF!</v>
      </c>
      <c r="IE10" t="e">
        <f>#REF!-"8O&lt;!CF"</f>
        <v>#REF!</v>
      </c>
      <c r="IF10" t="e">
        <f>#REF!-"8O&lt;!CG"</f>
        <v>#REF!</v>
      </c>
      <c r="IG10" t="e">
        <f>#REF!-"8O&lt;!CH"</f>
        <v>#REF!</v>
      </c>
      <c r="IH10" t="e">
        <f>#REF!-"8O&lt;!CI"</f>
        <v>#REF!</v>
      </c>
      <c r="II10" t="e">
        <f>#REF!-"8O&lt;!CJ"</f>
        <v>#REF!</v>
      </c>
      <c r="IJ10" t="e">
        <f>#REF!-"8O&lt;!CK"</f>
        <v>#REF!</v>
      </c>
      <c r="IK10" t="e">
        <f>#REF!-"8O&lt;!CL"</f>
        <v>#REF!</v>
      </c>
      <c r="IL10" t="e">
        <f>#REF!-"8O&lt;!CM"</f>
        <v>#REF!</v>
      </c>
      <c r="IM10" t="e">
        <f>#REF!-"8O&lt;!CN"</f>
        <v>#REF!</v>
      </c>
      <c r="IN10" t="e">
        <f>#REF!-"8O&lt;!CO"</f>
        <v>#REF!</v>
      </c>
      <c r="IO10" t="e">
        <f>#REF!-"8O&lt;!CP"</f>
        <v>#REF!</v>
      </c>
      <c r="IP10" t="e">
        <f>#REF!-"8O&lt;!CQ"</f>
        <v>#REF!</v>
      </c>
      <c r="IQ10" t="e">
        <f>#REF!-"8O&lt;!CR"</f>
        <v>#REF!</v>
      </c>
      <c r="IR10" t="e">
        <f>#REF!-"8O&lt;!CS"</f>
        <v>#REF!</v>
      </c>
      <c r="IS10" t="e">
        <f>#REF!-"8O&lt;!CT"</f>
        <v>#REF!</v>
      </c>
      <c r="IT10" t="e">
        <f>#REF!-"8O&lt;!CU"</f>
        <v>#REF!</v>
      </c>
      <c r="IU10" t="e">
        <f>#REF!-"8O&lt;!CV"</f>
        <v>#REF!</v>
      </c>
      <c r="IV10" t="e">
        <f>#REF!-"8O&lt;!CW"</f>
        <v>#REF!</v>
      </c>
    </row>
    <row r="11" spans="1:256" x14ac:dyDescent="0.25">
      <c r="F11" t="e">
        <f>#REF!-"8O&lt;!CX"</f>
        <v>#REF!</v>
      </c>
      <c r="G11" t="e">
        <f>#REF!-"8O&lt;!CY"</f>
        <v>#REF!</v>
      </c>
      <c r="H11" t="e">
        <f>#REF!-"8O&lt;!CZ"</f>
        <v>#REF!</v>
      </c>
      <c r="I11" t="e">
        <f>#REF!-"8O&lt;!C["</f>
        <v>#REF!</v>
      </c>
      <c r="J11" t="e">
        <f>#REF!-"8O&lt;!C\"</f>
        <v>#REF!</v>
      </c>
      <c r="K11" t="e">
        <f>#REF!-"8O&lt;!C]"</f>
        <v>#REF!</v>
      </c>
      <c r="L11" t="e">
        <f>#REF!-"8O&lt;!C^"</f>
        <v>#REF!</v>
      </c>
      <c r="M11" t="e">
        <f>#REF!-"8O&lt;!C_"</f>
        <v>#REF!</v>
      </c>
      <c r="N11" t="e">
        <f>#REF!-"8O&lt;!C`"</f>
        <v>#REF!</v>
      </c>
      <c r="O11" t="e">
        <f>#REF!-"8O&lt;!Ca"</f>
        <v>#REF!</v>
      </c>
      <c r="P11" t="e">
        <f>#REF!-"8O&lt;!Cb"</f>
        <v>#REF!</v>
      </c>
      <c r="Q11" t="e">
        <f>#REF!-"8O&lt;!Cc"</f>
        <v>#REF!</v>
      </c>
      <c r="R11" t="e">
        <f>#REF!-"8O&lt;!Cd"</f>
        <v>#REF!</v>
      </c>
      <c r="S11" t="e">
        <f>#REF!-"8O&lt;!Ce"</f>
        <v>#REF!</v>
      </c>
      <c r="T11" t="e">
        <f>#REF!-"8O&lt;!Cf"</f>
        <v>#REF!</v>
      </c>
      <c r="U11" t="e">
        <f>#REF!-"8O&lt;!Cg"</f>
        <v>#REF!</v>
      </c>
      <c r="V11" t="e">
        <f>#REF!-"8O&lt;!Ch"</f>
        <v>#REF!</v>
      </c>
      <c r="W11" t="e">
        <f>#REF!-"8O&lt;!Ci"</f>
        <v>#REF!</v>
      </c>
      <c r="X11" t="e">
        <f>#REF!-"8O&lt;!Cj"</f>
        <v>#REF!</v>
      </c>
      <c r="Y11" t="e">
        <f>#REF!-"8O&lt;!Ck"</f>
        <v>#REF!</v>
      </c>
      <c r="Z11" t="e">
        <f>#REF!-"8O&lt;!Cl"</f>
        <v>#REF!</v>
      </c>
      <c r="AA11" t="e">
        <f>#REF!-"8O&lt;!Cm"</f>
        <v>#REF!</v>
      </c>
      <c r="AB11" t="e">
        <f>#REF!-"8O&lt;!Cn"</f>
        <v>#REF!</v>
      </c>
      <c r="AC11" t="e">
        <f>#REF!-"8O&lt;!Co"</f>
        <v>#REF!</v>
      </c>
      <c r="AD11" t="e">
        <f>#REF!-"8O&lt;!Cp"</f>
        <v>#REF!</v>
      </c>
      <c r="AE11" t="e">
        <f>#REF!-"8O&lt;!Cq"</f>
        <v>#REF!</v>
      </c>
      <c r="AF11" t="e">
        <f>#REF!-"8O&lt;!Cr"</f>
        <v>#REF!</v>
      </c>
      <c r="AG11" t="e">
        <f>#REF!-"8O&lt;!Cs"</f>
        <v>#REF!</v>
      </c>
      <c r="AH11" t="e">
        <f>#REF!-"8O&lt;!Ct"</f>
        <v>#REF!</v>
      </c>
      <c r="AI11" t="e">
        <f>#REF!-"8O&lt;!Cu"</f>
        <v>#REF!</v>
      </c>
      <c r="AJ11" t="e">
        <f>#REF!-"8O&lt;!Cv"</f>
        <v>#REF!</v>
      </c>
      <c r="AK11" t="e">
        <f>#REF!-"8O&lt;!Cw"</f>
        <v>#REF!</v>
      </c>
      <c r="AL11" t="e">
        <f>#REF!-"8O&lt;!Cx"</f>
        <v>#REF!</v>
      </c>
      <c r="AM11" t="e">
        <f>#REF!-"8O&lt;!Cy"</f>
        <v>#REF!</v>
      </c>
      <c r="AN11" t="e">
        <f>#REF!-"8O&lt;!Cz"</f>
        <v>#REF!</v>
      </c>
      <c r="AO11" t="e">
        <f>#REF!-"8O&lt;!C{"</f>
        <v>#REF!</v>
      </c>
      <c r="AP11" t="e">
        <f>#REF!-"8O&lt;!C|"</f>
        <v>#REF!</v>
      </c>
      <c r="AQ11" t="e">
        <f>#REF!-"8O&lt;!C}"</f>
        <v>#REF!</v>
      </c>
      <c r="AR11" t="e">
        <f>#REF!-"8O&lt;!C~"</f>
        <v>#REF!</v>
      </c>
      <c r="AS11" t="e">
        <f>#REF!-"8O&lt;!D#"</f>
        <v>#REF!</v>
      </c>
      <c r="AT11" t="e">
        <f>#REF!-"8O&lt;!D$"</f>
        <v>#REF!</v>
      </c>
      <c r="AU11" t="e">
        <f>#REF!-"8O&lt;!D%"</f>
        <v>#REF!</v>
      </c>
      <c r="AV11" t="e">
        <f>#REF!-"8O&lt;!D&amp;"</f>
        <v>#REF!</v>
      </c>
      <c r="AW11" t="e">
        <f>#REF!-"8O&lt;!D'"</f>
        <v>#REF!</v>
      </c>
      <c r="AX11" t="e">
        <f>#REF!-"8O&lt;!D("</f>
        <v>#REF!</v>
      </c>
      <c r="AY11" t="e">
        <f>#REF!-"8O&lt;!D)"</f>
        <v>#REF!</v>
      </c>
      <c r="AZ11" t="e">
        <f>#REF!-"8O&lt;!D."</f>
        <v>#REF!</v>
      </c>
      <c r="BA11" t="e">
        <f>#REF!-"8O&lt;!D/"</f>
        <v>#REF!</v>
      </c>
      <c r="BB11" t="e">
        <f>#REF!-"8O&lt;!D0"</f>
        <v>#REF!</v>
      </c>
      <c r="BC11" t="e">
        <f>#REF!-"8O&lt;!D1"</f>
        <v>#REF!</v>
      </c>
      <c r="BD11" t="e">
        <f>#REF!-"8O&lt;!D2"</f>
        <v>#REF!</v>
      </c>
      <c r="BE11" t="e">
        <f>#REF!-"8O&lt;!D3"</f>
        <v>#REF!</v>
      </c>
      <c r="BF11" t="e">
        <f>#REF!-"8O&lt;!D4"</f>
        <v>#REF!</v>
      </c>
      <c r="BG11" t="e">
        <f>#REF!-"8O&lt;!D5"</f>
        <v>#REF!</v>
      </c>
      <c r="BH11" t="e">
        <f>#REF!-"8O&lt;!D6"</f>
        <v>#REF!</v>
      </c>
      <c r="BI11" t="e">
        <f>#REF!-"8O&lt;!D7"</f>
        <v>#REF!</v>
      </c>
      <c r="BJ11" t="e">
        <f>#REF!-"8O&lt;!D8"</f>
        <v>#REF!</v>
      </c>
      <c r="BK11" t="e">
        <f>#REF!-"8O&lt;!D9"</f>
        <v>#REF!</v>
      </c>
      <c r="BL11" t="e">
        <f>#REF!-"8O&lt;!D:"</f>
        <v>#REF!</v>
      </c>
      <c r="BM11" t="e">
        <f>#REF!-"8O&lt;!D;"</f>
        <v>#REF!</v>
      </c>
      <c r="BN11" t="e">
        <f>#REF!-"8O&lt;!D&lt;"</f>
        <v>#REF!</v>
      </c>
      <c r="BO11" t="e">
        <f>#REF!-"8O&lt;!D="</f>
        <v>#REF!</v>
      </c>
      <c r="BP11" t="e">
        <f>#REF!-"8O&lt;!D&gt;"</f>
        <v>#REF!</v>
      </c>
      <c r="BQ11" t="e">
        <f>#REF!-"8O&lt;!D?"</f>
        <v>#REF!</v>
      </c>
      <c r="BR11" t="e">
        <f>#REF!-"8O&lt;!D@"</f>
        <v>#REF!</v>
      </c>
      <c r="BS11" t="e">
        <f>#REF!-"8O&lt;!DA"</f>
        <v>#REF!</v>
      </c>
      <c r="BT11" t="e">
        <f>#REF!-"8O&lt;!DB"</f>
        <v>#REF!</v>
      </c>
      <c r="BU11" t="e">
        <f>#REF!-"8O&lt;!DC"</f>
        <v>#REF!</v>
      </c>
      <c r="BV11" t="e">
        <f>#REF!-"8O&lt;!DD"</f>
        <v>#REF!</v>
      </c>
      <c r="BW11" t="e">
        <f>#REF!-"8O&lt;!DE"</f>
        <v>#REF!</v>
      </c>
      <c r="BX11" t="e">
        <f>#REF!-"8O&lt;!DF"</f>
        <v>#REF!</v>
      </c>
      <c r="BY11" t="e">
        <f>#REF!-"8O&lt;!DG"</f>
        <v>#REF!</v>
      </c>
      <c r="BZ11" t="e">
        <f>#REF!-"8O&lt;!DH"</f>
        <v>#REF!</v>
      </c>
      <c r="CA11" t="e">
        <f>#REF!-"8O&lt;!DI"</f>
        <v>#REF!</v>
      </c>
      <c r="CB11" t="e">
        <f>#REF!-"8O&lt;!DJ"</f>
        <v>#REF!</v>
      </c>
      <c r="CC11" t="e">
        <f>#REF!-"8O&lt;!DK"</f>
        <v>#REF!</v>
      </c>
      <c r="CD11" t="e">
        <f>#REF!-"8O&lt;!DL"</f>
        <v>#REF!</v>
      </c>
      <c r="CE11" t="e">
        <f>#REF!-"8O&lt;!DM"</f>
        <v>#REF!</v>
      </c>
      <c r="CF11" t="e">
        <f>#REF!-"8O&lt;!DN"</f>
        <v>#REF!</v>
      </c>
      <c r="CG11" t="e">
        <f>#REF!-"8O&lt;!DO"</f>
        <v>#REF!</v>
      </c>
      <c r="CH11" t="e">
        <f>#REF!-"8O&lt;!DP"</f>
        <v>#REF!</v>
      </c>
      <c r="CI11" t="e">
        <f>#REF!-"8O&lt;!DQ"</f>
        <v>#REF!</v>
      </c>
      <c r="CJ11" t="e">
        <f>#REF!-"8O&lt;!DR"</f>
        <v>#REF!</v>
      </c>
      <c r="CK11" t="e">
        <f>#REF!-"8O&lt;!DS"</f>
        <v>#REF!</v>
      </c>
      <c r="CL11" t="e">
        <f>#REF!-"8O&lt;!DT"</f>
        <v>#REF!</v>
      </c>
      <c r="CM11" t="e">
        <f>#REF!-"8O&lt;!DU"</f>
        <v>#REF!</v>
      </c>
      <c r="CN11" t="e">
        <f>#REF!-"8O&lt;!DV"</f>
        <v>#REF!</v>
      </c>
      <c r="CO11" t="e">
        <f>#REF!-"8O&lt;!DW"</f>
        <v>#REF!</v>
      </c>
      <c r="CP11" t="e">
        <f>#REF!-"8O&lt;!DX"</f>
        <v>#REF!</v>
      </c>
      <c r="CQ11" t="e">
        <f>#REF!-"8O&lt;!DY"</f>
        <v>#REF!</v>
      </c>
      <c r="CR11" t="e">
        <f>#REF!-"8O&lt;!DZ"</f>
        <v>#REF!</v>
      </c>
      <c r="CS11" t="e">
        <f>#REF!-"8O&lt;!D["</f>
        <v>#REF!</v>
      </c>
      <c r="CT11" t="e">
        <f>#REF!-"8O&lt;!D\"</f>
        <v>#REF!</v>
      </c>
      <c r="CU11" t="e">
        <f>#REF!-"8O&lt;!D]"</f>
        <v>#REF!</v>
      </c>
      <c r="CV11" t="e">
        <f>#REF!-"8O&lt;!D^"</f>
        <v>#REF!</v>
      </c>
      <c r="CW11" t="e">
        <f>#REF!-"8O&lt;!D_"</f>
        <v>#REF!</v>
      </c>
      <c r="CX11" t="e">
        <f>#REF!-"8O&lt;!D`"</f>
        <v>#REF!</v>
      </c>
      <c r="CY11" t="e">
        <f>#REF!-"8O&lt;!Da"</f>
        <v>#REF!</v>
      </c>
      <c r="CZ11" t="e">
        <f>#REF!+"8O&lt;!Db"</f>
        <v>#REF!</v>
      </c>
      <c r="DA11" t="e">
        <f>#REF!+"8O&lt;!Dc"</f>
        <v>#REF!</v>
      </c>
      <c r="DB11" t="e">
        <f>#REF!+"8O&lt;!Dd"</f>
        <v>#REF!</v>
      </c>
      <c r="DC11" t="e">
        <f>#REF!+"8O&lt;!De"</f>
        <v>#REF!</v>
      </c>
      <c r="DD11" t="e">
        <f>#REF!+"8O&lt;!Df"</f>
        <v>#REF!</v>
      </c>
      <c r="DE11" t="e">
        <f>#REF!+"8O&lt;!Dg"</f>
        <v>#REF!</v>
      </c>
      <c r="DF11" t="e">
        <f>#REF!+"8O&lt;!Dh"</f>
        <v>#REF!</v>
      </c>
      <c r="DG11" t="e">
        <f>#REF!+"8O&lt;!Di"</f>
        <v>#REF!</v>
      </c>
      <c r="DH11" t="e">
        <f>#REF!+"8O&lt;!Dj"</f>
        <v>#REF!</v>
      </c>
      <c r="DI11" t="e">
        <f>#REF!+"8O&lt;!Dk"</f>
        <v>#REF!</v>
      </c>
      <c r="DJ11" t="e">
        <f>#REF!+"8O&lt;!Dl"</f>
        <v>#REF!</v>
      </c>
      <c r="DK11" t="e">
        <f>#REF!+"8O&lt;!Dm"</f>
        <v>#REF!</v>
      </c>
      <c r="DL11" t="e">
        <f>#REF!+"8O&lt;!Dn"</f>
        <v>#REF!</v>
      </c>
      <c r="DM11" t="e">
        <f>#REF!+"8O&lt;!Do"</f>
        <v>#REF!</v>
      </c>
      <c r="DN11" t="e">
        <f>#REF!+"8O&lt;!Dp"</f>
        <v>#REF!</v>
      </c>
      <c r="DO11" t="e">
        <f>#REF!+"8O&lt;!Dq"</f>
        <v>#REF!</v>
      </c>
      <c r="DP11" t="e">
        <f>#REF!+"8O&lt;!Dr"</f>
        <v>#REF!</v>
      </c>
      <c r="DQ11" t="e">
        <f>#REF!+"8O&lt;!Ds"</f>
        <v>#REF!</v>
      </c>
      <c r="DR11" t="e">
        <f>#REF!+"8O&lt;!Dt"</f>
        <v>#REF!</v>
      </c>
      <c r="DS11" t="e">
        <f>#REF!+"8O&lt;!Du"</f>
        <v>#REF!</v>
      </c>
      <c r="DT11" t="e">
        <f>#REF!+"8O&lt;!Dv"</f>
        <v>#REF!</v>
      </c>
      <c r="DU11" t="e">
        <f>#REF!+"8O&lt;!Dw"</f>
        <v>#REF!</v>
      </c>
      <c r="DV11" t="e">
        <f>#REF!+"8O&lt;!Dx"</f>
        <v>#REF!</v>
      </c>
      <c r="DW11" t="e">
        <f>#REF!+"8O&lt;!Dy"</f>
        <v>#REF!</v>
      </c>
      <c r="DX11" t="e">
        <f>#REF!+"8O&lt;!Dz"</f>
        <v>#REF!</v>
      </c>
      <c r="DY11" t="e">
        <f>#REF!+"8O&lt;!D{"</f>
        <v>#REF!</v>
      </c>
      <c r="DZ11" t="e">
        <f>#REF!+"8O&lt;!D|"</f>
        <v>#REF!</v>
      </c>
      <c r="EA11" t="e">
        <f>#REF!+"8O&lt;!D}"</f>
        <v>#REF!</v>
      </c>
      <c r="EB11" t="e">
        <f>#REF!+"8O&lt;!D~"</f>
        <v>#REF!</v>
      </c>
      <c r="EC11" t="e">
        <f>#REF!+"8O&lt;!E#"</f>
        <v>#REF!</v>
      </c>
      <c r="ED11" t="e">
        <f>#REF!+"8O&lt;!E$"</f>
        <v>#REF!</v>
      </c>
      <c r="EE11" t="e">
        <f>#REF!+"8O&lt;!E%"</f>
        <v>#REF!</v>
      </c>
      <c r="EF11" t="e">
        <f>#REF!+"8O&lt;!E&amp;"</f>
        <v>#REF!</v>
      </c>
      <c r="EG11" t="e">
        <f>#REF!+"8O&lt;!E'"</f>
        <v>#REF!</v>
      </c>
      <c r="EH11" t="e">
        <f>#REF!+"8O&lt;!E("</f>
        <v>#REF!</v>
      </c>
      <c r="EI11" t="e">
        <f>#REF!+"8O&lt;!E)"</f>
        <v>#REF!</v>
      </c>
      <c r="EJ11" t="e">
        <f>#REF!+"8O&lt;!E."</f>
        <v>#REF!</v>
      </c>
      <c r="EK11" t="e">
        <f>#REF!+"8O&lt;!E/"</f>
        <v>#REF!</v>
      </c>
      <c r="EL11" t="e">
        <f>#REF!+"8O&lt;!E0"</f>
        <v>#REF!</v>
      </c>
      <c r="EM11" t="e">
        <f>#REF!+"8O&lt;!E1"</f>
        <v>#REF!</v>
      </c>
      <c r="EN11" t="e">
        <f>#REF!+"8O&lt;!E2"</f>
        <v>#REF!</v>
      </c>
      <c r="EO11" t="e">
        <f>#REF!+"8O&lt;!E3"</f>
        <v>#REF!</v>
      </c>
      <c r="EP11" t="e">
        <f>#REF!+"8O&lt;!E4"</f>
        <v>#REF!</v>
      </c>
      <c r="EQ11" t="e">
        <f>#REF!+"8O&lt;!E5"</f>
        <v>#REF!</v>
      </c>
      <c r="ER11" t="e">
        <f>#REF!+"8O&lt;!E6"</f>
        <v>#REF!</v>
      </c>
      <c r="ES11" t="e">
        <f>#REF!+"8O&lt;!E7"</f>
        <v>#REF!</v>
      </c>
      <c r="ET11" t="e">
        <f>#REF!+"8O&lt;!E8"</f>
        <v>#REF!</v>
      </c>
      <c r="EU11" t="e">
        <f>#REF!+"8O&lt;!E9"</f>
        <v>#REF!</v>
      </c>
      <c r="EV11" t="e">
        <f>#REF!+"8O&lt;!E:"</f>
        <v>#REF!</v>
      </c>
      <c r="EW11" t="e">
        <f>#REF!+"8O&lt;!E;"</f>
        <v>#REF!</v>
      </c>
      <c r="EX11" t="e">
        <f>#REF!+"8O&lt;!E&lt;"</f>
        <v>#REF!</v>
      </c>
      <c r="EY11" t="e">
        <f>#REF!+"8O&lt;!E="</f>
        <v>#REF!</v>
      </c>
      <c r="EZ11" t="e">
        <f>#REF!+"8O&lt;!E&gt;"</f>
        <v>#REF!</v>
      </c>
      <c r="FA11" t="e">
        <f>#REF!+"8O&lt;!E?"</f>
        <v>#REF!</v>
      </c>
      <c r="FB11" t="e">
        <f>#REF!+"8O&lt;!E@"</f>
        <v>#REF!</v>
      </c>
      <c r="FC11" t="e">
        <f>#REF!+"8O&lt;!EA"</f>
        <v>#REF!</v>
      </c>
      <c r="FD11" t="e">
        <f>#REF!+"8O&lt;!EB"</f>
        <v>#REF!</v>
      </c>
      <c r="FE11" t="e">
        <f>#REF!+"8O&lt;!EC"</f>
        <v>#REF!</v>
      </c>
      <c r="FF11" t="e">
        <f>#REF!+"8O&lt;!ED"</f>
        <v>#REF!</v>
      </c>
      <c r="FG11" t="e">
        <f>#REF!+"8O&lt;!EE"</f>
        <v>#REF!</v>
      </c>
      <c r="FH11" t="e">
        <f>#REF!+"8O&lt;!EF"</f>
        <v>#REF!</v>
      </c>
      <c r="FI11" t="e">
        <f>#REF!+"8O&lt;!EG"</f>
        <v>#REF!</v>
      </c>
      <c r="FJ11" t="e">
        <f>#REF!+"8O&lt;!EH"</f>
        <v>#REF!</v>
      </c>
      <c r="FK11" t="e">
        <f>#REF!+"8O&lt;!EI"</f>
        <v>#REF!</v>
      </c>
      <c r="FL11" t="e">
        <f>#REF!+"8O&lt;!EJ"</f>
        <v>#REF!</v>
      </c>
      <c r="FM11" t="e">
        <f>#REF!+"8O&lt;!EK"</f>
        <v>#REF!</v>
      </c>
      <c r="FN11" t="e">
        <f>#REF!+"8O&lt;!EL"</f>
        <v>#REF!</v>
      </c>
      <c r="FO11" t="e">
        <f>#REF!+"8O&lt;!EM"</f>
        <v>#REF!</v>
      </c>
      <c r="FP11" t="e">
        <f>#REF!+"8O&lt;!EN"</f>
        <v>#REF!</v>
      </c>
      <c r="FQ11" t="e">
        <f>#REF!+"8O&lt;!EO"</f>
        <v>#REF!</v>
      </c>
      <c r="FR11" t="e">
        <f>#REF!+"8O&lt;!EP"</f>
        <v>#REF!</v>
      </c>
      <c r="FS11" t="e">
        <f>#REF!+"8O&lt;!EQ"</f>
        <v>#REF!</v>
      </c>
      <c r="FT11" t="e">
        <f>#REF!+"8O&lt;!ER"</f>
        <v>#REF!</v>
      </c>
      <c r="FU11" t="e">
        <f>#REF!+"8O&lt;!ES"</f>
        <v>#REF!</v>
      </c>
      <c r="FV11" t="e">
        <f>#REF!+"8O&lt;!ET"</f>
        <v>#REF!</v>
      </c>
      <c r="FW11" t="e">
        <f>#REF!+"8O&lt;!EU"</f>
        <v>#REF!</v>
      </c>
      <c r="FX11" t="e">
        <f>#REF!+"8O&lt;!EV"</f>
        <v>#REF!</v>
      </c>
      <c r="FY11" t="e">
        <f>#REF!+"8O&lt;!EW"</f>
        <v>#REF!</v>
      </c>
      <c r="FZ11" t="e">
        <f>#REF!+"8O&lt;!EX"</f>
        <v>#REF!</v>
      </c>
      <c r="GA11" t="e">
        <f>#REF!+"8O&lt;!EY"</f>
        <v>#REF!</v>
      </c>
      <c r="GB11" t="e">
        <f>#REF!+"8O&lt;!EZ"</f>
        <v>#REF!</v>
      </c>
      <c r="GC11" t="e">
        <f>#REF!+"8O&lt;!E["</f>
        <v>#REF!</v>
      </c>
      <c r="GD11" t="e">
        <f>#REF!+"8O&lt;!E\"</f>
        <v>#REF!</v>
      </c>
      <c r="GE11" t="e">
        <f>#REF!+"8O&lt;!E]"</f>
        <v>#REF!</v>
      </c>
      <c r="GF11" t="e">
        <f>#REF!+"8O&lt;!E^"</f>
        <v>#REF!</v>
      </c>
      <c r="GG11" t="e">
        <f>#REF!+"8O&lt;!E_"</f>
        <v>#REF!</v>
      </c>
      <c r="GH11" t="e">
        <f>#REF!+"8O&lt;!E`"</f>
        <v>#REF!</v>
      </c>
      <c r="GI11" t="e">
        <f>#REF!+"8O&lt;!Ea"</f>
        <v>#REF!</v>
      </c>
      <c r="GJ11" t="e">
        <f>#REF!+"8O&lt;!Eb"</f>
        <v>#REF!</v>
      </c>
      <c r="GK11" t="e">
        <f>#REF!+"8O&lt;!Ec"</f>
        <v>#REF!</v>
      </c>
      <c r="GL11" t="e">
        <f>#REF!+"8O&lt;!Ed"</f>
        <v>#REF!</v>
      </c>
      <c r="GM11" t="e">
        <f>#REF!+"8O&lt;!Ee"</f>
        <v>#REF!</v>
      </c>
      <c r="GN11" t="e">
        <f>#REF!+"8O&lt;!Ef"</f>
        <v>#REF!</v>
      </c>
      <c r="GO11" t="e">
        <f>#REF!+"8O&lt;!Eg"</f>
        <v>#REF!</v>
      </c>
      <c r="GP11" t="e">
        <f>#REF!+"8O&lt;!Eh"</f>
        <v>#REF!</v>
      </c>
      <c r="GQ11" t="e">
        <f>#REF!+"8O&lt;!Ei"</f>
        <v>#REF!</v>
      </c>
      <c r="GR11" t="e">
        <f>#REF!+"8O&lt;!Ej"</f>
        <v>#REF!</v>
      </c>
      <c r="GS11" t="e">
        <f>#REF!+"8O&lt;!Ek"</f>
        <v>#REF!</v>
      </c>
      <c r="GT11" t="e">
        <f>#REF!+"8O&lt;!El"</f>
        <v>#REF!</v>
      </c>
      <c r="GU11" t="e">
        <f>#REF!+"8O&lt;!Em"</f>
        <v>#REF!</v>
      </c>
      <c r="GV11" t="e">
        <f>#REF!+"8O&lt;!En"</f>
        <v>#REF!</v>
      </c>
      <c r="GW11" t="e">
        <f>#REF!+"8O&lt;!Eo"</f>
        <v>#REF!</v>
      </c>
      <c r="GX11" t="e">
        <f>#REF!+"8O&lt;!Ep"</f>
        <v>#REF!</v>
      </c>
      <c r="GY11" t="e">
        <f>#REF!+"8O&lt;!Eq"</f>
        <v>#REF!</v>
      </c>
      <c r="GZ11" t="e">
        <f>#REF!+"8O&lt;!Er"</f>
        <v>#REF!</v>
      </c>
      <c r="HA11" t="e">
        <f>#REF!+"8O&lt;!Es"</f>
        <v>#REF!</v>
      </c>
      <c r="HB11" t="e">
        <f>#REF!+"8O&lt;!Et"</f>
        <v>#REF!</v>
      </c>
      <c r="HC11" t="e">
        <f>#REF!+"8O&lt;!Eu"</f>
        <v>#REF!</v>
      </c>
      <c r="HD11" t="e">
        <f>#REF!+"8O&lt;!Ev"</f>
        <v>#REF!</v>
      </c>
      <c r="HE11" t="e">
        <f>#REF!+"8O&lt;!Ew"</f>
        <v>#REF!</v>
      </c>
      <c r="HF11" t="e">
        <f>#REF!+"8O&lt;!Ex"</f>
        <v>#REF!</v>
      </c>
      <c r="HG11" t="e">
        <f>#REF!+"8O&lt;!Ey"</f>
        <v>#REF!</v>
      </c>
      <c r="HH11" t="e">
        <f>#REF!+"8O&lt;!Ez"</f>
        <v>#REF!</v>
      </c>
      <c r="HI11" t="e">
        <f>#REF!+"8O&lt;!E{"</f>
        <v>#REF!</v>
      </c>
      <c r="HJ11" t="e">
        <f>#REF!+"8O&lt;!E|"</f>
        <v>#REF!</v>
      </c>
      <c r="HK11" t="e">
        <f>#REF!+"8O&lt;!E}"</f>
        <v>#REF!</v>
      </c>
      <c r="HL11" t="e">
        <f>#REF!+"8O&lt;!E~"</f>
        <v>#REF!</v>
      </c>
      <c r="HM11" t="e">
        <f>#REF!+"8O&lt;!F#"</f>
        <v>#REF!</v>
      </c>
      <c r="HN11" t="e">
        <f>#REF!+"8O&lt;!F$"</f>
        <v>#REF!</v>
      </c>
      <c r="HO11" t="e">
        <f>#REF!+"8O&lt;!F%"</f>
        <v>#REF!</v>
      </c>
      <c r="HP11" t="e">
        <f>#REF!+"8O&lt;!F&amp;"</f>
        <v>#REF!</v>
      </c>
      <c r="HQ11" t="e">
        <f>#REF!+"8O&lt;!F'"</f>
        <v>#REF!</v>
      </c>
      <c r="HR11" t="e">
        <f>#REF!+"8O&lt;!F("</f>
        <v>#REF!</v>
      </c>
      <c r="HS11" t="e">
        <f>#REF!+"8O&lt;!F)"</f>
        <v>#REF!</v>
      </c>
      <c r="HT11" t="e">
        <f>#REF!+"8O&lt;!F."</f>
        <v>#REF!</v>
      </c>
      <c r="HU11" t="e">
        <f>#REF!+"8O&lt;!F/"</f>
        <v>#REF!</v>
      </c>
      <c r="HV11" t="e">
        <f>#REF!+"8O&lt;!F0"</f>
        <v>#REF!</v>
      </c>
      <c r="HW11" t="e">
        <f>#REF!+"8O&lt;!F1"</f>
        <v>#REF!</v>
      </c>
      <c r="HX11" t="e">
        <f>#REF!+"8O&lt;!F2"</f>
        <v>#REF!</v>
      </c>
      <c r="HY11" t="e">
        <f>#REF!+"8O&lt;!F3"</f>
        <v>#REF!</v>
      </c>
      <c r="HZ11" t="e">
        <f>#REF!+"8O&lt;!F4"</f>
        <v>#REF!</v>
      </c>
      <c r="IA11" t="e">
        <f>#REF!+"8O&lt;!F5"</f>
        <v>#REF!</v>
      </c>
      <c r="IB11" t="e">
        <f>#REF!+"8O&lt;!F6"</f>
        <v>#REF!</v>
      </c>
      <c r="IC11" t="e">
        <f>#REF!+"8O&lt;!F7"</f>
        <v>#REF!</v>
      </c>
      <c r="ID11" t="e">
        <f>#REF!+"8O&lt;!F8"</f>
        <v>#REF!</v>
      </c>
      <c r="IE11" t="e">
        <f>#REF!+"8O&lt;!F9"</f>
        <v>#REF!</v>
      </c>
      <c r="IF11" t="e">
        <f>#REF!+"8O&lt;!F:"</f>
        <v>#REF!</v>
      </c>
      <c r="IG11" t="e">
        <f>#REF!+"8O&lt;!F;"</f>
        <v>#REF!</v>
      </c>
      <c r="IH11" t="e">
        <f>#REF!+"8O&lt;!F&lt;"</f>
        <v>#REF!</v>
      </c>
      <c r="II11" t="e">
        <f>#REF!+"8O&lt;!F="</f>
        <v>#REF!</v>
      </c>
      <c r="IJ11" t="e">
        <f>#REF!+"8O&lt;!F&gt;"</f>
        <v>#REF!</v>
      </c>
      <c r="IK11" t="e">
        <f>#REF!+"8O&lt;!F?"</f>
        <v>#REF!</v>
      </c>
      <c r="IL11" t="e">
        <f>#REF!+"8O&lt;!F@"</f>
        <v>#REF!</v>
      </c>
      <c r="IM11" t="e">
        <f>#REF!+"8O&lt;!FA"</f>
        <v>#REF!</v>
      </c>
      <c r="IN11" t="e">
        <f>#REF!+"8O&lt;!FB"</f>
        <v>#REF!</v>
      </c>
      <c r="IO11" t="e">
        <f>#REF!+"8O&lt;!FC"</f>
        <v>#REF!</v>
      </c>
      <c r="IP11" t="e">
        <f>#REF!+"8O&lt;!FD"</f>
        <v>#REF!</v>
      </c>
      <c r="IQ11" t="e">
        <f>#REF!+"8O&lt;!FE"</f>
        <v>#REF!</v>
      </c>
      <c r="IR11" t="e">
        <f>#REF!+"8O&lt;!FF"</f>
        <v>#REF!</v>
      </c>
      <c r="IS11" t="e">
        <f>#REF!+"8O&lt;!FG"</f>
        <v>#REF!</v>
      </c>
      <c r="IT11" t="e">
        <f>#REF!+"8O&lt;!FH"</f>
        <v>#REF!</v>
      </c>
      <c r="IU11" t="e">
        <f>#REF!+"8O&lt;!FI"</f>
        <v>#REF!</v>
      </c>
      <c r="IV11" t="e">
        <f>#REF!+"8O&lt;!FJ"</f>
        <v>#REF!</v>
      </c>
    </row>
    <row r="12" spans="1:256" x14ac:dyDescent="0.25">
      <c r="F12" t="e">
        <f>#REF!+"8O&lt;!FK"</f>
        <v>#REF!</v>
      </c>
      <c r="G12" t="e">
        <f>#REF!+"8O&lt;!FL"</f>
        <v>#REF!</v>
      </c>
      <c r="H12" t="e">
        <f>#REF!+"8O&lt;!FM"</f>
        <v>#REF!</v>
      </c>
      <c r="I12" t="e">
        <f>#REF!+"8O&lt;!FN"</f>
        <v>#REF!</v>
      </c>
      <c r="J12" t="e">
        <f>#REF!+"8O&lt;!FO"</f>
        <v>#REF!</v>
      </c>
      <c r="K12" t="e">
        <f>#REF!+"8O&lt;!FP"</f>
        <v>#REF!</v>
      </c>
      <c r="L12" t="e">
        <f>#REF!+"8O&lt;!FQ"</f>
        <v>#REF!</v>
      </c>
      <c r="M12" t="e">
        <f>#REF!+"8O&lt;!FR"</f>
        <v>#REF!</v>
      </c>
      <c r="N12" t="e">
        <f>#REF!+"8O&lt;!FS"</f>
        <v>#REF!</v>
      </c>
      <c r="O12" t="e">
        <f>#REF!+"8O&lt;!FT"</f>
        <v>#REF!</v>
      </c>
      <c r="P12" t="e">
        <f>#REF!+"8O&lt;!FU"</f>
        <v>#REF!</v>
      </c>
      <c r="Q12" t="e">
        <f>#REF!+"8O&lt;!FV"</f>
        <v>#REF!</v>
      </c>
      <c r="R12" t="e">
        <f>#REF!+"8O&lt;!FW"</f>
        <v>#REF!</v>
      </c>
      <c r="S12" t="e">
        <f>#REF!+"8O&lt;!FX"</f>
        <v>#REF!</v>
      </c>
      <c r="T12" t="e">
        <f>#REF!+"8O&lt;!FY"</f>
        <v>#REF!</v>
      </c>
      <c r="U12" t="e">
        <f>#REF!+"8O&lt;!FZ"</f>
        <v>#REF!</v>
      </c>
      <c r="V12" t="e">
        <f>#REF!+"8O&lt;!F["</f>
        <v>#REF!</v>
      </c>
      <c r="W12" t="e">
        <f>#REF!+"8O&lt;!F\"</f>
        <v>#REF!</v>
      </c>
      <c r="X12" t="e">
        <f>#REF!+"8O&lt;!F]"</f>
        <v>#REF!</v>
      </c>
      <c r="Y12" t="e">
        <f>#REF!+"8O&lt;!F^"</f>
        <v>#REF!</v>
      </c>
      <c r="Z12" t="e">
        <f>#REF!+"8O&lt;!F_"</f>
        <v>#REF!</v>
      </c>
      <c r="AA12" t="e">
        <f>#REF!+"8O&lt;!F`"</f>
        <v>#REF!</v>
      </c>
      <c r="AB12" t="e">
        <f>#REF!+"8O&lt;!Fa"</f>
        <v>#REF!</v>
      </c>
      <c r="AC12" t="e">
        <f>#REF!+"8O&lt;!Fb"</f>
        <v>#REF!</v>
      </c>
      <c r="AD12" t="e">
        <f>#REF!+"8O&lt;!Fc"</f>
        <v>#REF!</v>
      </c>
      <c r="AE12" t="e">
        <f>#REF!+"8O&lt;!Fd"</f>
        <v>#REF!</v>
      </c>
      <c r="AF12" t="e">
        <f>#REF!+"8O&lt;!Fe"</f>
        <v>#REF!</v>
      </c>
      <c r="AG12" t="e">
        <f>#REF!+"8O&lt;!Ff"</f>
        <v>#REF!</v>
      </c>
      <c r="AH12" t="e">
        <f>#REF!+"8O&lt;!Fg"</f>
        <v>#REF!</v>
      </c>
      <c r="AI12" t="e">
        <f>#REF!+"8O&lt;!Fh"</f>
        <v>#REF!</v>
      </c>
      <c r="AJ12" t="e">
        <f>#REF!+"8O&lt;!Fi"</f>
        <v>#REF!</v>
      </c>
      <c r="AK12" t="e">
        <f>#REF!+"8O&lt;!Fj"</f>
        <v>#REF!</v>
      </c>
      <c r="AL12" t="e">
        <f>#REF!+"8O&lt;!Fk"</f>
        <v>#REF!</v>
      </c>
      <c r="AM12" t="e">
        <f>#REF!+"8O&lt;!Fl"</f>
        <v>#REF!</v>
      </c>
      <c r="AN12" t="e">
        <f>#REF!+"8O&lt;!Fm"</f>
        <v>#REF!</v>
      </c>
      <c r="AO12" t="e">
        <f>#REF!+"8O&lt;!Fn"</f>
        <v>#REF!</v>
      </c>
      <c r="AP12" t="e">
        <f>#REF!+"8O&lt;!Fo"</f>
        <v>#REF!</v>
      </c>
      <c r="AQ12" t="e">
        <f>#REF!+"8O&lt;!Fp"</f>
        <v>#REF!</v>
      </c>
      <c r="AR12" t="e">
        <f>#REF!+"8O&lt;!Fq"</f>
        <v>#REF!</v>
      </c>
      <c r="AS12" t="e">
        <f>#REF!+"8O&lt;!Fr"</f>
        <v>#REF!</v>
      </c>
      <c r="AT12" t="e">
        <f>#REF!+"8O&lt;!Fs"</f>
        <v>#REF!</v>
      </c>
      <c r="AU12" t="e">
        <f>#REF!+"8O&lt;!Ft"</f>
        <v>#REF!</v>
      </c>
      <c r="AV12" t="e">
        <f>#REF!+"8O&lt;!Fu"</f>
        <v>#REF!</v>
      </c>
      <c r="AW12" t="e">
        <f>#REF!+"8O&lt;!Fv"</f>
        <v>#REF!</v>
      </c>
      <c r="AX12" t="e">
        <f>#REF!+"8O&lt;!Fw"</f>
        <v>#REF!</v>
      </c>
      <c r="AY12" t="e">
        <f>#REF!+"8O&lt;!Fx"</f>
        <v>#REF!</v>
      </c>
      <c r="AZ12" t="e">
        <f>#REF!+"8O&lt;!Fy"</f>
        <v>#REF!</v>
      </c>
      <c r="BA12" t="e">
        <f>#REF!+"8O&lt;!Fz"</f>
        <v>#REF!</v>
      </c>
      <c r="BB12" t="e">
        <f>#REF!+"8O&lt;!F{"</f>
        <v>#REF!</v>
      </c>
      <c r="BC12" t="e">
        <f>#REF!+"8O&lt;!F|"</f>
        <v>#REF!</v>
      </c>
      <c r="BD12" t="e">
        <f>#REF!+"8O&lt;!F}"</f>
        <v>#REF!</v>
      </c>
      <c r="BE12" t="e">
        <f>#REF!+"8O&lt;!F~"</f>
        <v>#REF!</v>
      </c>
      <c r="BF12" t="e">
        <f>#REF!+"8O&lt;!G#"</f>
        <v>#REF!</v>
      </c>
      <c r="BG12" t="e">
        <f>#REF!+"8O&lt;!G$"</f>
        <v>#REF!</v>
      </c>
      <c r="BH12" t="e">
        <f>#REF!+"8O&lt;!G%"</f>
        <v>#REF!</v>
      </c>
      <c r="BI12" t="e">
        <f>#REF!+"8O&lt;!G&amp;"</f>
        <v>#REF!</v>
      </c>
      <c r="BJ12" t="e">
        <f>#REF!+"8O&lt;!G'"</f>
        <v>#REF!</v>
      </c>
      <c r="BK12" t="e">
        <f>#REF!+"8O&lt;!G("</f>
        <v>#REF!</v>
      </c>
      <c r="BL12" t="e">
        <f>#REF!+"8O&lt;!G)"</f>
        <v>#REF!</v>
      </c>
      <c r="BM12" t="e">
        <f>#REF!+"8O&lt;!G."</f>
        <v>#REF!</v>
      </c>
      <c r="BN12" t="e">
        <f>#REF!+"8O&lt;!G/"</f>
        <v>#REF!</v>
      </c>
      <c r="BO12" t="e">
        <f>#REF!+"8O&lt;!G0"</f>
        <v>#REF!</v>
      </c>
      <c r="BP12" t="e">
        <f>#REF!+"8O&lt;!G1"</f>
        <v>#REF!</v>
      </c>
      <c r="BQ12" t="e">
        <f>#REF!+"8O&lt;!G2"</f>
        <v>#REF!</v>
      </c>
      <c r="BR12" t="e">
        <f>#REF!+"8O&lt;!G3"</f>
        <v>#REF!</v>
      </c>
      <c r="BS12" t="e">
        <f>#REF!+"8O&lt;!G4"</f>
        <v>#REF!</v>
      </c>
      <c r="BT12" t="e">
        <f>#REF!+"8O&lt;!G5"</f>
        <v>#REF!</v>
      </c>
      <c r="BU12" t="e">
        <f>#REF!+"8O&lt;!G6"</f>
        <v>#REF!</v>
      </c>
      <c r="BV12" t="e">
        <f>#REF!+"8O&lt;!G7"</f>
        <v>#REF!</v>
      </c>
      <c r="BW12" t="e">
        <f>#REF!+"8O&lt;!G8"</f>
        <v>#REF!</v>
      </c>
      <c r="BX12" t="e">
        <f>#REF!+"8O&lt;!G9"</f>
        <v>#REF!</v>
      </c>
      <c r="BY12" t="e">
        <f>#REF!+"8O&lt;!G:"</f>
        <v>#REF!</v>
      </c>
      <c r="BZ12" t="e">
        <f>#REF!+"8O&lt;!G;"</f>
        <v>#REF!</v>
      </c>
      <c r="CA12" t="e">
        <f>#REF!+"8O&lt;!G&lt;"</f>
        <v>#REF!</v>
      </c>
      <c r="CB12" t="e">
        <f>#REF!+"8O&lt;!G="</f>
        <v>#REF!</v>
      </c>
      <c r="CC12" t="e">
        <f>#REF!+"8O&lt;!G&gt;"</f>
        <v>#REF!</v>
      </c>
      <c r="CD12" t="e">
        <f>#REF!+"8O&lt;!G?"</f>
        <v>#REF!</v>
      </c>
      <c r="CE12" t="e">
        <f>#REF!+"8O&lt;!G@"</f>
        <v>#REF!</v>
      </c>
      <c r="CF12" t="e">
        <f>#REF!+"8O&lt;!GA"</f>
        <v>#REF!</v>
      </c>
      <c r="CG12" t="e">
        <f>#REF!+"8O&lt;!GB"</f>
        <v>#REF!</v>
      </c>
      <c r="CH12" t="e">
        <f>#REF!+"8O&lt;!GC"</f>
        <v>#REF!</v>
      </c>
      <c r="CI12" t="e">
        <f>#REF!+"8O&lt;!GD"</f>
        <v>#REF!</v>
      </c>
      <c r="CJ12" t="e">
        <f>#REF!+"8O&lt;!GE"</f>
        <v>#REF!</v>
      </c>
      <c r="CK12" t="e">
        <f>#REF!+"8O&lt;!GF"</f>
        <v>#REF!</v>
      </c>
      <c r="CL12" t="e">
        <f>#REF!+"8O&lt;!GG"</f>
        <v>#REF!</v>
      </c>
      <c r="CM12" t="e">
        <f>#REF!+"8O&lt;!GH"</f>
        <v>#REF!</v>
      </c>
      <c r="CN12" t="e">
        <f>#REF!+"8O&lt;!GI"</f>
        <v>#REF!</v>
      </c>
      <c r="CO12" t="e">
        <f>#REF!+"8O&lt;!GJ"</f>
        <v>#REF!</v>
      </c>
      <c r="CP12" t="e">
        <f>#REF!+"8O&lt;!GK"</f>
        <v>#REF!</v>
      </c>
      <c r="CQ12" t="e">
        <f>#REF!+"8O&lt;!GL"</f>
        <v>#REF!</v>
      </c>
      <c r="CR12" t="e">
        <f>#REF!+"8O&lt;!GM"</f>
        <v>#REF!</v>
      </c>
      <c r="CS12" t="e">
        <f>#REF!+"8O&lt;!GN"</f>
        <v>#REF!</v>
      </c>
      <c r="CT12" t="e">
        <f>#REF!+"8O&lt;!GO"</f>
        <v>#REF!</v>
      </c>
      <c r="CU12" t="e">
        <f>#REF!+"8O&lt;!GP"</f>
        <v>#REF!</v>
      </c>
      <c r="CV12" t="e">
        <f>#REF!+"8O&lt;!GQ"</f>
        <v>#REF!</v>
      </c>
      <c r="CW12" t="e">
        <f>#REF!+"8O&lt;!GR"</f>
        <v>#REF!</v>
      </c>
      <c r="CX12" t="e">
        <f>#REF!+"8O&lt;!GS"</f>
        <v>#REF!</v>
      </c>
      <c r="CY12" t="e">
        <f>#REF!+"8O&lt;!GT"</f>
        <v>#REF!</v>
      </c>
      <c r="CZ12" t="e">
        <f>#REF!+"8O&lt;!GU"</f>
        <v>#REF!</v>
      </c>
      <c r="DA12" t="e">
        <f>#REF!+"8O&lt;!GV"</f>
        <v>#REF!</v>
      </c>
      <c r="DB12" t="e">
        <f>#REF!+"8O&lt;!GW"</f>
        <v>#REF!</v>
      </c>
      <c r="DC12" t="e">
        <f>#REF!+"8O&lt;!GX"</f>
        <v>#REF!</v>
      </c>
      <c r="DD12" t="e">
        <f>#REF!+"8O&lt;!GY"</f>
        <v>#REF!</v>
      </c>
      <c r="DE12" t="e">
        <f>#REF!+"8O&lt;!GZ"</f>
        <v>#REF!</v>
      </c>
      <c r="DF12" t="e">
        <f>#REF!+"8O&lt;!G["</f>
        <v>#REF!</v>
      </c>
      <c r="DG12" t="e">
        <f>#REF!+"8O&lt;!G\"</f>
        <v>#REF!</v>
      </c>
      <c r="DH12" t="e">
        <f>#REF!+"8O&lt;!G]"</f>
        <v>#REF!</v>
      </c>
      <c r="DI12" t="e">
        <f>#REF!+"8O&lt;!G^"</f>
        <v>#REF!</v>
      </c>
      <c r="DJ12" t="e">
        <f>#REF!+"8O&lt;!G_"</f>
        <v>#REF!</v>
      </c>
      <c r="DK12" t="e">
        <f>#REF!+"8O&lt;!G`"</f>
        <v>#REF!</v>
      </c>
      <c r="DL12" t="e">
        <f>#REF!+"8O&lt;!Ga"</f>
        <v>#REF!</v>
      </c>
      <c r="DM12" t="e">
        <f>#REF!+"8O&lt;!Gb"</f>
        <v>#REF!</v>
      </c>
      <c r="DN12" t="e">
        <f>#REF!+"8O&lt;!Gc"</f>
        <v>#REF!</v>
      </c>
      <c r="DO12" t="e">
        <f>#REF!+"8O&lt;!Gd"</f>
        <v>#REF!</v>
      </c>
      <c r="DP12" t="e">
        <f>#REF!+"8O&lt;!Ge"</f>
        <v>#REF!</v>
      </c>
      <c r="DQ12" t="e">
        <f>#REF!+"8O&lt;!Gf"</f>
        <v>#REF!</v>
      </c>
      <c r="DR12" t="e">
        <f>#REF!+"8O&lt;!Gg"</f>
        <v>#REF!</v>
      </c>
      <c r="DS12" t="e">
        <f>#REF!+"8O&lt;!Gh"</f>
        <v>#REF!</v>
      </c>
      <c r="DT12" t="e">
        <f>#REF!+"8O&lt;!Gi"</f>
        <v>#REF!</v>
      </c>
      <c r="DU12" t="e">
        <f>#REF!+"8O&lt;!Gj"</f>
        <v>#REF!</v>
      </c>
      <c r="DV12" t="e">
        <f>#REF!+"8O&lt;!Gk"</f>
        <v>#REF!</v>
      </c>
      <c r="DW12" t="e">
        <f>#REF!+"8O&lt;!Gl"</f>
        <v>#REF!</v>
      </c>
      <c r="DX12" t="e">
        <f>#REF!+"8O&lt;!Gm"</f>
        <v>#REF!</v>
      </c>
      <c r="DY12" t="e">
        <f>#REF!+"8O&lt;!Gn"</f>
        <v>#REF!</v>
      </c>
      <c r="DZ12" t="e">
        <f>#REF!+"8O&lt;!Go"</f>
        <v>#REF!</v>
      </c>
      <c r="EA12" t="e">
        <f>#REF!+"8O&lt;!Gp"</f>
        <v>#REF!</v>
      </c>
      <c r="EB12" t="e">
        <f>#REF!+"8O&lt;!Gq"</f>
        <v>#REF!</v>
      </c>
      <c r="EC12" t="e">
        <f>#REF!+"8O&lt;!Gr"</f>
        <v>#REF!</v>
      </c>
      <c r="ED12" t="e">
        <f>#REF!+"8O&lt;!Gs"</f>
        <v>#REF!</v>
      </c>
      <c r="EE12" t="e">
        <f>#REF!+"8O&lt;!Gt"</f>
        <v>#REF!</v>
      </c>
      <c r="EF12" t="e">
        <f>#REF!+"8O&lt;!Gu"</f>
        <v>#REF!</v>
      </c>
      <c r="EG12" t="e">
        <f>#REF!+"8O&lt;!Gv"</f>
        <v>#REF!</v>
      </c>
      <c r="EH12" t="e">
        <f>#REF!+"8O&lt;!Gw"</f>
        <v>#REF!</v>
      </c>
      <c r="EI12" t="e">
        <f>#REF!+"8O&lt;!Gx"</f>
        <v>#REF!</v>
      </c>
      <c r="EJ12" t="e">
        <f>#REF!+"8O&lt;!Gy"</f>
        <v>#REF!</v>
      </c>
      <c r="EK12" t="e">
        <f>#REF!+"8O&lt;!Gz"</f>
        <v>#REF!</v>
      </c>
      <c r="EL12" t="e">
        <f>#REF!+"8O&lt;!G{"</f>
        <v>#REF!</v>
      </c>
      <c r="EM12" t="e">
        <f>#REF!+"8O&lt;!G|"</f>
        <v>#REF!</v>
      </c>
      <c r="EN12" t="e">
        <f>#REF!+"8O&lt;!G}"</f>
        <v>#REF!</v>
      </c>
      <c r="EO12" t="e">
        <f>#REF!+"8O&lt;!G~"</f>
        <v>#REF!</v>
      </c>
      <c r="EP12" t="e">
        <f>#REF!+"8O&lt;!H#"</f>
        <v>#REF!</v>
      </c>
      <c r="EQ12" t="e">
        <f>#REF!+"8O&lt;!H$"</f>
        <v>#REF!</v>
      </c>
      <c r="ER12" t="e">
        <f>#REF!+"8O&lt;!H%"</f>
        <v>#REF!</v>
      </c>
      <c r="ES12" t="e">
        <f>#REF!+"8O&lt;!H&amp;"</f>
        <v>#REF!</v>
      </c>
      <c r="ET12" t="e">
        <f>#REF!+"8O&lt;!H'"</f>
        <v>#REF!</v>
      </c>
      <c r="EU12" t="e">
        <f>#REF!+"8O&lt;!H("</f>
        <v>#REF!</v>
      </c>
      <c r="EV12" t="e">
        <f>#REF!+"8O&lt;!H)"</f>
        <v>#REF!</v>
      </c>
      <c r="EW12" t="e">
        <f>#REF!+"8O&lt;!H."</f>
        <v>#REF!</v>
      </c>
      <c r="EX12" t="e">
        <f>#REF!+"8O&lt;!H/"</f>
        <v>#REF!</v>
      </c>
      <c r="EY12" t="e">
        <f>#REF!+"8O&lt;!H0"</f>
        <v>#REF!</v>
      </c>
      <c r="EZ12" t="e">
        <f>#REF!+"8O&lt;!H1"</f>
        <v>#REF!</v>
      </c>
      <c r="FA12" t="e">
        <f>#REF!+"8O&lt;!H2"</f>
        <v>#REF!</v>
      </c>
      <c r="FB12" t="e">
        <f>#REF!+"8O&lt;!H3"</f>
        <v>#REF!</v>
      </c>
      <c r="FC12" t="e">
        <f>#REF!+"8O&lt;!H4"</f>
        <v>#REF!</v>
      </c>
      <c r="FD12" t="e">
        <f>#REF!+"8O&lt;!H5"</f>
        <v>#REF!</v>
      </c>
      <c r="FE12" t="e">
        <f>#REF!+"8O&lt;!H6"</f>
        <v>#REF!</v>
      </c>
      <c r="FF12" t="e">
        <f>#REF!+"8O&lt;!H7"</f>
        <v>#REF!</v>
      </c>
      <c r="FG12" t="e">
        <f>#REF!+"8O&lt;!H8"</f>
        <v>#REF!</v>
      </c>
      <c r="FH12" t="e">
        <f>#REF!+"8O&lt;!H9"</f>
        <v>#REF!</v>
      </c>
      <c r="FI12" t="e">
        <f>#REF!+"8O&lt;!H:"</f>
        <v>#REF!</v>
      </c>
      <c r="FJ12" t="e">
        <f>#REF!+"8O&lt;!H;"</f>
        <v>#REF!</v>
      </c>
      <c r="FK12" t="e">
        <f>#REF!+"8O&lt;!H&lt;"</f>
        <v>#REF!</v>
      </c>
      <c r="FL12" t="e">
        <f>#REF!+"8O&lt;!H="</f>
        <v>#REF!</v>
      </c>
      <c r="FM12" t="e">
        <f>#REF!+"8O&lt;!H&gt;"</f>
        <v>#REF!</v>
      </c>
      <c r="FN12" t="e">
        <f>#REF!+"8O&lt;!H?"</f>
        <v>#REF!</v>
      </c>
      <c r="FO12" t="e">
        <f>#REF!+"8O&lt;!H@"</f>
        <v>#REF!</v>
      </c>
      <c r="FP12" t="e">
        <f>#REF!+"8O&lt;!HA"</f>
        <v>#REF!</v>
      </c>
      <c r="FQ12" t="e">
        <f>#REF!+"8O&lt;!HB"</f>
        <v>#REF!</v>
      </c>
      <c r="FR12" t="e">
        <f>#REF!+"8O&lt;!HC"</f>
        <v>#REF!</v>
      </c>
      <c r="FS12" t="e">
        <f>#REF!+"8O&lt;!HD"</f>
        <v>#REF!</v>
      </c>
      <c r="FT12" t="e">
        <f>#REF!+"8O&lt;!HE"</f>
        <v>#REF!</v>
      </c>
      <c r="FU12" t="e">
        <f>#REF!+"8O&lt;!HF"</f>
        <v>#REF!</v>
      </c>
      <c r="FV12" t="e">
        <f>#REF!+"8O&lt;!HG"</f>
        <v>#REF!</v>
      </c>
      <c r="FW12" t="e">
        <f>#REF!+"8O&lt;!HH"</f>
        <v>#REF!</v>
      </c>
      <c r="FX12" t="e">
        <f>#REF!+"8O&lt;!HI"</f>
        <v>#REF!</v>
      </c>
      <c r="FY12" t="e">
        <f>#REF!+"8O&lt;!HJ"</f>
        <v>#REF!</v>
      </c>
      <c r="FZ12" t="e">
        <f>#REF!+"8O&lt;!HK"</f>
        <v>#REF!</v>
      </c>
      <c r="GA12" t="e">
        <f>#REF!+"8O&lt;!HL"</f>
        <v>#REF!</v>
      </c>
      <c r="GB12" t="e">
        <f>#REF!+"8O&lt;!HM"</f>
        <v>#REF!</v>
      </c>
      <c r="GC12" t="e">
        <f>#REF!+"8O&lt;!HN"</f>
        <v>#REF!</v>
      </c>
      <c r="GD12" t="e">
        <f>#REF!+"8O&lt;!HO"</f>
        <v>#REF!</v>
      </c>
      <c r="GE12" t="e">
        <f>#REF!+"8O&lt;!HP"</f>
        <v>#REF!</v>
      </c>
      <c r="GF12" t="e">
        <f>#REF!+"8O&lt;!HQ"</f>
        <v>#REF!</v>
      </c>
      <c r="GG12" t="e">
        <f>#REF!+"8O&lt;!HR"</f>
        <v>#REF!</v>
      </c>
      <c r="GH12" t="e">
        <f>#REF!+"8O&lt;!HS"</f>
        <v>#REF!</v>
      </c>
      <c r="GI12" t="e">
        <f>#REF!+"8O&lt;!HT"</f>
        <v>#REF!</v>
      </c>
      <c r="GJ12" t="e">
        <f>#REF!+"8O&lt;!HU"</f>
        <v>#REF!</v>
      </c>
      <c r="GK12" t="e">
        <f>#REF!+"8O&lt;!HV"</f>
        <v>#REF!</v>
      </c>
      <c r="GL12" t="e">
        <f>#REF!+"8O&lt;!HW"</f>
        <v>#REF!</v>
      </c>
      <c r="GM12" t="e">
        <f>#REF!+"8O&lt;!HX"</f>
        <v>#REF!</v>
      </c>
      <c r="GN12" t="e">
        <f>#REF!+"8O&lt;!HY"</f>
        <v>#REF!</v>
      </c>
      <c r="GO12" t="e">
        <f>#REF!+"8O&lt;!HZ"</f>
        <v>#REF!</v>
      </c>
      <c r="GP12" t="e">
        <f>#REF!+"8O&lt;!H["</f>
        <v>#REF!</v>
      </c>
      <c r="GQ12" t="e">
        <f>#REF!+"8O&lt;!H\"</f>
        <v>#REF!</v>
      </c>
      <c r="GR12" t="e">
        <f>#REF!+"8O&lt;!H]"</f>
        <v>#REF!</v>
      </c>
      <c r="GS12" t="e">
        <f>#REF!+"8O&lt;!H^"</f>
        <v>#REF!</v>
      </c>
      <c r="GT12" t="e">
        <f>#REF!+"8O&lt;!H_"</f>
        <v>#REF!</v>
      </c>
      <c r="GU12" t="e">
        <f>#REF!+"8O&lt;!H`"</f>
        <v>#REF!</v>
      </c>
      <c r="GV12" t="e">
        <f>#REF!+"8O&lt;!Ha"</f>
        <v>#REF!</v>
      </c>
      <c r="GW12" t="e">
        <f>#REF!+"8O&lt;!Hb"</f>
        <v>#REF!</v>
      </c>
      <c r="GX12" t="e">
        <f>#REF!+"8O&lt;!Hc"</f>
        <v>#REF!</v>
      </c>
      <c r="GY12" t="e">
        <f>#REF!+"8O&lt;!Hd"</f>
        <v>#REF!</v>
      </c>
      <c r="GZ12" t="e">
        <f>#REF!+"8O&lt;!He"</f>
        <v>#REF!</v>
      </c>
      <c r="HA12" t="e">
        <f>#REF!+"8O&lt;!Hf"</f>
        <v>#REF!</v>
      </c>
      <c r="HB12" t="e">
        <f>#REF!+"8O&lt;!Hg"</f>
        <v>#REF!</v>
      </c>
      <c r="HC12" t="e">
        <f>#REF!+"8O&lt;!Hh"</f>
        <v>#REF!</v>
      </c>
      <c r="HD12" t="e">
        <f>#REF!+"8O&lt;!Hi"</f>
        <v>#REF!</v>
      </c>
      <c r="HE12" t="e">
        <f>#REF!+"8O&lt;!Hj"</f>
        <v>#REF!</v>
      </c>
      <c r="HF12" t="e">
        <f>#REF!+"8O&lt;!Hk"</f>
        <v>#REF!</v>
      </c>
      <c r="HG12" t="e">
        <f>#REF!+"8O&lt;!Hl"</f>
        <v>#REF!</v>
      </c>
      <c r="HH12" t="e">
        <f>#REF!+"8O&lt;!Hm"</f>
        <v>#REF!</v>
      </c>
      <c r="HI12" t="e">
        <f>#REF!+"8O&lt;!Hn"</f>
        <v>#REF!</v>
      </c>
      <c r="HJ12" t="e">
        <f>#REF!+"8O&lt;!Ho"</f>
        <v>#REF!</v>
      </c>
      <c r="HK12" t="e">
        <f>#REF!+"8O&lt;!Hp"</f>
        <v>#REF!</v>
      </c>
      <c r="HL12" t="e">
        <f>#REF!+"8O&lt;!Hq"</f>
        <v>#REF!</v>
      </c>
      <c r="HM12" t="e">
        <f>#REF!+"8O&lt;!Hr"</f>
        <v>#REF!</v>
      </c>
      <c r="HN12" t="e">
        <f>#REF!+"8O&lt;!Hs"</f>
        <v>#REF!</v>
      </c>
      <c r="HO12" t="e">
        <f>#REF!+"8O&lt;!Ht"</f>
        <v>#REF!</v>
      </c>
      <c r="HP12" t="e">
        <f>#REF!+"8O&lt;!Hu"</f>
        <v>#REF!</v>
      </c>
      <c r="HQ12" t="e">
        <f>#REF!+"8O&lt;!Hv"</f>
        <v>#REF!</v>
      </c>
      <c r="HR12" t="e">
        <f>#REF!+"8O&lt;!Hw"</f>
        <v>#REF!</v>
      </c>
      <c r="HS12" t="e">
        <f>#REF!+"8O&lt;!Hx"</f>
        <v>#REF!</v>
      </c>
      <c r="HT12" t="e">
        <f>#REF!+"8O&lt;!Hy"</f>
        <v>#REF!</v>
      </c>
      <c r="HU12" t="e">
        <f>#REF!+"8O&lt;!Hz"</f>
        <v>#REF!</v>
      </c>
      <c r="HV12" t="e">
        <f>#REF!+"8O&lt;!H{"</f>
        <v>#REF!</v>
      </c>
      <c r="HW12" t="e">
        <f>#REF!+"8O&lt;!H|"</f>
        <v>#REF!</v>
      </c>
      <c r="HX12" t="e">
        <f>#REF!+"8O&lt;!H}"</f>
        <v>#REF!</v>
      </c>
      <c r="HY12" t="e">
        <f>#REF!+"8O&lt;!H~"</f>
        <v>#REF!</v>
      </c>
      <c r="HZ12" t="e">
        <f>#REF!+"8O&lt;!I#"</f>
        <v>#REF!</v>
      </c>
      <c r="IA12" t="e">
        <f>#REF!+"8O&lt;!I$"</f>
        <v>#REF!</v>
      </c>
      <c r="IB12" t="e">
        <f>#REF!+"8O&lt;!I%"</f>
        <v>#REF!</v>
      </c>
      <c r="IC12" t="e">
        <f>#REF!+"8O&lt;!I&amp;"</f>
        <v>#REF!</v>
      </c>
      <c r="ID12" t="e">
        <f>#REF!+"8O&lt;!I'"</f>
        <v>#REF!</v>
      </c>
      <c r="IE12" t="e">
        <f>#REF!+"8O&lt;!I("</f>
        <v>#REF!</v>
      </c>
      <c r="IF12" t="e">
        <f>#REF!+"8O&lt;!I)"</f>
        <v>#REF!</v>
      </c>
      <c r="IG12" t="e">
        <f>#REF!+"8O&lt;!I."</f>
        <v>#REF!</v>
      </c>
      <c r="IH12" t="e">
        <f>#REF!+"8O&lt;!I/"</f>
        <v>#REF!</v>
      </c>
      <c r="II12" t="e">
        <f>#REF!+"8O&lt;!I0"</f>
        <v>#REF!</v>
      </c>
      <c r="IJ12" t="e">
        <f>#REF!+"8O&lt;!I1"</f>
        <v>#REF!</v>
      </c>
      <c r="IK12" t="e">
        <f>#REF!+"8O&lt;!I2"</f>
        <v>#REF!</v>
      </c>
      <c r="IL12" t="e">
        <f>#REF!+"8O&lt;!I3"</f>
        <v>#REF!</v>
      </c>
      <c r="IM12" t="e">
        <f>#REF!+"8O&lt;!I4"</f>
        <v>#REF!</v>
      </c>
      <c r="IN12" t="e">
        <f>#REF!+"8O&lt;!I5"</f>
        <v>#REF!</v>
      </c>
      <c r="IO12" t="e">
        <f>#REF!+"8O&lt;!I6"</f>
        <v>#REF!</v>
      </c>
      <c r="IP12" t="e">
        <f>#REF!+"8O&lt;!I7"</f>
        <v>#REF!</v>
      </c>
      <c r="IQ12" t="e">
        <f>#REF!+"8O&lt;!I8"</f>
        <v>#REF!</v>
      </c>
      <c r="IR12" t="e">
        <f>#REF!+"8O&lt;!I9"</f>
        <v>#REF!</v>
      </c>
      <c r="IS12" t="e">
        <f>#REF!+"8O&lt;!I:"</f>
        <v>#REF!</v>
      </c>
      <c r="IT12" t="e">
        <f>#REF!+"8O&lt;!I;"</f>
        <v>#REF!</v>
      </c>
      <c r="IU12" t="e">
        <f>#REF!+"8O&lt;!I&lt;"</f>
        <v>#REF!</v>
      </c>
      <c r="IV12" t="e">
        <f>#REF!+"8O&lt;!I="</f>
        <v>#REF!</v>
      </c>
    </row>
    <row r="13" spans="1:256" x14ac:dyDescent="0.25">
      <c r="F13" t="e">
        <f>#REF!+"8O&lt;!I&gt;"</f>
        <v>#REF!</v>
      </c>
      <c r="G13" t="e">
        <f>#REF!+"8O&lt;!I?"</f>
        <v>#REF!</v>
      </c>
      <c r="H13" t="e">
        <f>#REF!+"8O&lt;!I@"</f>
        <v>#REF!</v>
      </c>
      <c r="I13" t="e">
        <f>#REF!+"8O&lt;!IA"</f>
        <v>#REF!</v>
      </c>
      <c r="J13" t="e">
        <f>#REF!+"8O&lt;!IB"</f>
        <v>#REF!</v>
      </c>
      <c r="K13" t="e">
        <f>#REF!+"8O&lt;!IC"</f>
        <v>#REF!</v>
      </c>
      <c r="L13" t="e">
        <f>#REF!+"8O&lt;!ID"</f>
        <v>#REF!</v>
      </c>
      <c r="M13" t="e">
        <f>#REF!+"8O&lt;!IE"</f>
        <v>#REF!</v>
      </c>
      <c r="N13" t="e">
        <f>#REF!+"8O&lt;!IF"</f>
        <v>#REF!</v>
      </c>
      <c r="O13" t="e">
        <f>#REF!+"8O&lt;!IG"</f>
        <v>#REF!</v>
      </c>
      <c r="P13" t="e">
        <f>#REF!+"8O&lt;!IH"</f>
        <v>#REF!</v>
      </c>
      <c r="Q13" t="e">
        <f>#REF!+"8O&lt;!II"</f>
        <v>#REF!</v>
      </c>
      <c r="R13" t="e">
        <f>#REF!+"8O&lt;!IJ"</f>
        <v>#REF!</v>
      </c>
      <c r="S13" t="e">
        <f>#REF!+"8O&lt;!IK"</f>
        <v>#REF!</v>
      </c>
      <c r="T13" t="e">
        <f>#REF!+"8O&lt;!IL"</f>
        <v>#REF!</v>
      </c>
      <c r="U13" t="e">
        <f>#REF!+"8O&lt;!IM"</f>
        <v>#REF!</v>
      </c>
      <c r="V13" t="e">
        <f>#REF!+"8O&lt;!IN"</f>
        <v>#REF!</v>
      </c>
      <c r="W13" t="e">
        <f>#REF!+"8O&lt;!IO"</f>
        <v>#REF!</v>
      </c>
      <c r="X13" t="e">
        <f>#REF!+"8O&lt;!IP"</f>
        <v>#REF!</v>
      </c>
      <c r="Y13" t="e">
        <f>#REF!+"8O&lt;!IQ"</f>
        <v>#REF!</v>
      </c>
      <c r="Z13" t="e">
        <f>#REF!+"8O&lt;!IR"</f>
        <v>#REF!</v>
      </c>
      <c r="AA13" t="e">
        <f>#REF!+"8O&lt;!IS"</f>
        <v>#REF!</v>
      </c>
      <c r="AB13" t="e">
        <f>#REF!+"8O&lt;!IT"</f>
        <v>#REF!</v>
      </c>
      <c r="AC13" t="e">
        <f>#REF!+"8O&lt;!IU"</f>
        <v>#REF!</v>
      </c>
      <c r="AD13" t="e">
        <f>#REF!+"8O&lt;!IV"</f>
        <v>#REF!</v>
      </c>
      <c r="AE13" t="e">
        <f>#REF!+"8O&lt;!IW"</f>
        <v>#REF!</v>
      </c>
      <c r="AF13" t="e">
        <f>#REF!+"8O&lt;!IX"</f>
        <v>#REF!</v>
      </c>
      <c r="AG13" t="e">
        <f>#REF!+"8O&lt;!IY"</f>
        <v>#REF!</v>
      </c>
      <c r="AH13" t="e">
        <f>#REF!+"8O&lt;!IZ"</f>
        <v>#REF!</v>
      </c>
      <c r="AI13" t="e">
        <f>#REF!+"8O&lt;!I["</f>
        <v>#REF!</v>
      </c>
      <c r="AJ13" t="e">
        <f>#REF!+"8O&lt;!I\"</f>
        <v>#REF!</v>
      </c>
      <c r="AK13" t="e">
        <f>#REF!+"8O&lt;!I]"</f>
        <v>#REF!</v>
      </c>
      <c r="AL13" t="e">
        <f>#REF!+"8O&lt;!I^"</f>
        <v>#REF!</v>
      </c>
      <c r="AM13" t="e">
        <f>#REF!+"8O&lt;!I_"</f>
        <v>#REF!</v>
      </c>
      <c r="AN13" t="e">
        <f>#REF!+"8O&lt;!I`"</f>
        <v>#REF!</v>
      </c>
      <c r="AO13" t="e">
        <f>#REF!+"8O&lt;!Ia"</f>
        <v>#REF!</v>
      </c>
      <c r="AP13" t="e">
        <f>#REF!+"8O&lt;!Ib"</f>
        <v>#REF!</v>
      </c>
      <c r="AQ13" t="e">
        <f>#REF!+"8O&lt;!Ic"</f>
        <v>#REF!</v>
      </c>
      <c r="AR13" t="e">
        <f>#REF!+"8O&lt;!Id"</f>
        <v>#REF!</v>
      </c>
      <c r="AS13" t="e">
        <f>#REF!+"8O&lt;!Ie"</f>
        <v>#REF!</v>
      </c>
      <c r="AT13" t="e">
        <f>#REF!+"8O&lt;!If"</f>
        <v>#REF!</v>
      </c>
      <c r="AU13" t="e">
        <f>#REF!+"8O&lt;!Ig"</f>
        <v>#REF!</v>
      </c>
      <c r="AV13" t="e">
        <f>#REF!+"8O&lt;!Ih"</f>
        <v>#REF!</v>
      </c>
      <c r="AW13" t="e">
        <f>#REF!+"8O&lt;!Ii"</f>
        <v>#REF!</v>
      </c>
      <c r="AX13" t="e">
        <f>#REF!+"8O&lt;!Ij"</f>
        <v>#REF!</v>
      </c>
      <c r="AY13" t="e">
        <f>#REF!+"8O&lt;!Ik"</f>
        <v>#REF!</v>
      </c>
      <c r="AZ13" t="e">
        <f>#REF!+"8O&lt;!Il"</f>
        <v>#REF!</v>
      </c>
      <c r="BA13" t="e">
        <f>#REF!+"8O&lt;!Im"</f>
        <v>#REF!</v>
      </c>
      <c r="BB13" t="e">
        <f>#REF!+"8O&lt;!In"</f>
        <v>#REF!</v>
      </c>
      <c r="BC13" t="e">
        <f>#REF!+"8O&lt;!Io"</f>
        <v>#REF!</v>
      </c>
      <c r="BD13" t="e">
        <f>#REF!+"8O&lt;!Ip"</f>
        <v>#REF!</v>
      </c>
      <c r="BE13" t="e">
        <f>#REF!+"8O&lt;!Iq"</f>
        <v>#REF!</v>
      </c>
      <c r="BF13" t="e">
        <f>#REF!+"8O&lt;!Ir"</f>
        <v>#REF!</v>
      </c>
      <c r="BG13" t="e">
        <f>#REF!+"8O&lt;!Is"</f>
        <v>#REF!</v>
      </c>
      <c r="BH13" t="e">
        <f>#REF!+"8O&lt;!It"</f>
        <v>#REF!</v>
      </c>
      <c r="BI13" t="e">
        <f>#REF!+"8O&lt;!Iu"</f>
        <v>#REF!</v>
      </c>
      <c r="BJ13" t="e">
        <f>#REF!+"8O&lt;!Iv"</f>
        <v>#REF!</v>
      </c>
      <c r="BK13" t="e">
        <f>#REF!+"8O&lt;!Iw"</f>
        <v>#REF!</v>
      </c>
      <c r="BL13" t="e">
        <f>#REF!+"8O&lt;!Ix"</f>
        <v>#REF!</v>
      </c>
      <c r="BM13" t="e">
        <f>#REF!+"8O&lt;!Iy"</f>
        <v>#REF!</v>
      </c>
      <c r="BN13" t="e">
        <f>#REF!+"8O&lt;!Iz"</f>
        <v>#REF!</v>
      </c>
      <c r="BO13" t="e">
        <f>#REF!+"8O&lt;!I{"</f>
        <v>#REF!</v>
      </c>
      <c r="BP13" t="e">
        <f>#REF!+"8O&lt;!I|"</f>
        <v>#REF!</v>
      </c>
      <c r="BQ13" t="e">
        <f>#REF!+"8O&lt;!I}"</f>
        <v>#REF!</v>
      </c>
      <c r="BR13" t="e">
        <f>#REF!+"8O&lt;!I~"</f>
        <v>#REF!</v>
      </c>
      <c r="BS13" t="e">
        <f>#REF!+"8O&lt;!J#"</f>
        <v>#REF!</v>
      </c>
      <c r="BT13" t="e">
        <f>#REF!+"8O&lt;!J$"</f>
        <v>#REF!</v>
      </c>
      <c r="BU13" t="e">
        <f>#REF!+"8O&lt;!J%"</f>
        <v>#REF!</v>
      </c>
      <c r="BV13" t="e">
        <f>#REF!+"8O&lt;!J&amp;"</f>
        <v>#REF!</v>
      </c>
      <c r="BW13" t="e">
        <f>#REF!+"8O&lt;!J'"</f>
        <v>#REF!</v>
      </c>
      <c r="BX13" t="e">
        <f>#REF!+"8O&lt;!J("</f>
        <v>#REF!</v>
      </c>
      <c r="BY13" t="e">
        <f>#REF!+"8O&lt;!J)"</f>
        <v>#REF!</v>
      </c>
      <c r="BZ13" t="e">
        <f>#REF!+"8O&lt;!J."</f>
        <v>#REF!</v>
      </c>
      <c r="CA13" t="e">
        <f>#REF!+"8O&lt;!J/"</f>
        <v>#REF!</v>
      </c>
      <c r="CB13" t="e">
        <f>#REF!+"8O&lt;!J0"</f>
        <v>#REF!</v>
      </c>
      <c r="CC13" t="e">
        <f>#REF!+"8O&lt;!J1"</f>
        <v>#REF!</v>
      </c>
      <c r="CD13" t="e">
        <f>#REF!+"8O&lt;!J2"</f>
        <v>#REF!</v>
      </c>
      <c r="CE13" t="e">
        <f>#REF!+"8O&lt;!J3"</f>
        <v>#REF!</v>
      </c>
      <c r="CF13" t="e">
        <f>#REF!+"8O&lt;!J4"</f>
        <v>#REF!</v>
      </c>
      <c r="CG13" t="e">
        <f>#REF!+"8O&lt;!J5"</f>
        <v>#REF!</v>
      </c>
      <c r="CH13" t="e">
        <f>#REF!+"8O&lt;!J6"</f>
        <v>#REF!</v>
      </c>
      <c r="CI13" t="e">
        <f>#REF!+"8O&lt;!J7"</f>
        <v>#REF!</v>
      </c>
      <c r="CJ13" t="e">
        <f>#REF!+"8O&lt;!J8"</f>
        <v>#REF!</v>
      </c>
      <c r="CK13" t="e">
        <f>#REF!+"8O&lt;!J9"</f>
        <v>#REF!</v>
      </c>
      <c r="CL13" t="e">
        <f>#REF!+"8O&lt;!J:"</f>
        <v>#REF!</v>
      </c>
      <c r="CM13" t="e">
        <f>#REF!+"8O&lt;!J;"</f>
        <v>#REF!</v>
      </c>
      <c r="CN13" t="e">
        <f>#REF!+"8O&lt;!J&lt;"</f>
        <v>#REF!</v>
      </c>
      <c r="CO13" t="e">
        <f>#REF!+"8O&lt;!J="</f>
        <v>#REF!</v>
      </c>
      <c r="CP13" t="e">
        <f>#REF!+"8O&lt;!J&gt;"</f>
        <v>#REF!</v>
      </c>
      <c r="CQ13" t="e">
        <f>#REF!+"8O&lt;!J?"</f>
        <v>#REF!</v>
      </c>
      <c r="CR13" t="e">
        <f>#REF!+"8O&lt;!J@"</f>
        <v>#REF!</v>
      </c>
      <c r="CS13" t="e">
        <f>#REF!+"8O&lt;!JA"</f>
        <v>#REF!</v>
      </c>
      <c r="CT13" t="e">
        <f>#REF!+"8O&lt;!JB"</f>
        <v>#REF!</v>
      </c>
      <c r="CU13" t="e">
        <f>#REF!+"8O&lt;!JC"</f>
        <v>#REF!</v>
      </c>
      <c r="CV13" t="e">
        <f>#REF!+"8O&lt;!JD"</f>
        <v>#REF!</v>
      </c>
      <c r="CW13" t="e">
        <f>#REF!+"8O&lt;!JE"</f>
        <v>#REF!</v>
      </c>
      <c r="CX13" t="e">
        <f>#REF!+"8O&lt;!JF"</f>
        <v>#REF!</v>
      </c>
      <c r="CY13" t="e">
        <f>#REF!+"8O&lt;!JG"</f>
        <v>#REF!</v>
      </c>
      <c r="CZ13" t="e">
        <f>#REF!+"8O&lt;!JH"</f>
        <v>#REF!</v>
      </c>
      <c r="DA13" t="e">
        <f>#REF!+"8O&lt;!JI"</f>
        <v>#REF!</v>
      </c>
      <c r="DB13" t="e">
        <f>#REF!+"8O&lt;!JJ"</f>
        <v>#REF!</v>
      </c>
      <c r="DC13" t="e">
        <f>#REF!+"8O&lt;!JK"</f>
        <v>#REF!</v>
      </c>
      <c r="DD13" t="e">
        <f>#REF!+"8O&lt;!JL"</f>
        <v>#REF!</v>
      </c>
      <c r="DE13" t="e">
        <f>#REF!+"8O&lt;!JM"</f>
        <v>#REF!</v>
      </c>
      <c r="DF13" t="e">
        <f>#REF!+"8O&lt;!JN"</f>
        <v>#REF!</v>
      </c>
      <c r="DG13" t="e">
        <f>#REF!+"8O&lt;!JO"</f>
        <v>#REF!</v>
      </c>
      <c r="DH13" t="e">
        <f>#REF!+"8O&lt;!JP"</f>
        <v>#REF!</v>
      </c>
      <c r="DI13" t="e">
        <f>#REF!+"8O&lt;!JQ"</f>
        <v>#REF!</v>
      </c>
      <c r="DJ13" t="e">
        <f>#REF!+"8O&lt;!JR"</f>
        <v>#REF!</v>
      </c>
      <c r="DK13" t="e">
        <f>#REF!+"8O&lt;!JS"</f>
        <v>#REF!</v>
      </c>
      <c r="DL13" t="e">
        <f>#REF!+"8O&lt;!JT"</f>
        <v>#REF!</v>
      </c>
      <c r="DM13" t="e">
        <f>#REF!+"8O&lt;!JU"</f>
        <v>#REF!</v>
      </c>
      <c r="DN13" t="e">
        <f>#REF!+"8O&lt;!JV"</f>
        <v>#REF!</v>
      </c>
      <c r="DO13" t="e">
        <f>#REF!+"8O&lt;!JW"</f>
        <v>#REF!</v>
      </c>
      <c r="DP13" t="e">
        <f>#REF!+"8O&lt;!JX"</f>
        <v>#REF!</v>
      </c>
      <c r="DQ13" t="e">
        <f>#REF!+"8O&lt;!JY"</f>
        <v>#REF!</v>
      </c>
      <c r="DR13" t="e">
        <f>#REF!+"8O&lt;!JZ"</f>
        <v>#REF!</v>
      </c>
      <c r="DS13" t="e">
        <f>#REF!+"8O&lt;!J["</f>
        <v>#REF!</v>
      </c>
      <c r="DT13" t="e">
        <f>#REF!+"8O&lt;!J\"</f>
        <v>#REF!</v>
      </c>
      <c r="DU13" t="e">
        <f>#REF!+"8O&lt;!J]"</f>
        <v>#REF!</v>
      </c>
      <c r="DV13" t="e">
        <f>#REF!+"8O&lt;!J^"</f>
        <v>#REF!</v>
      </c>
      <c r="DW13" t="e">
        <f>#REF!+"8O&lt;!J_"</f>
        <v>#REF!</v>
      </c>
      <c r="DX13" t="e">
        <f>#REF!+"8O&lt;!J`"</f>
        <v>#REF!</v>
      </c>
      <c r="DY13" t="e">
        <f>#REF!+"8O&lt;!Ja"</f>
        <v>#REF!</v>
      </c>
      <c r="DZ13" t="e">
        <f>#REF!+"8O&lt;!Jb"</f>
        <v>#REF!</v>
      </c>
      <c r="EA13" t="e">
        <f>#REF!+"8O&lt;!Jc"</f>
        <v>#REF!</v>
      </c>
      <c r="EB13" t="e">
        <f>#REF!+"8O&lt;!Jd"</f>
        <v>#REF!</v>
      </c>
      <c r="EC13" t="e">
        <f>#REF!+"8O&lt;!Je"</f>
        <v>#REF!</v>
      </c>
      <c r="ED13" t="e">
        <f>#REF!+"8O&lt;!Jf"</f>
        <v>#REF!</v>
      </c>
      <c r="EE13" t="e">
        <f>#REF!+"8O&lt;!Jg"</f>
        <v>#REF!</v>
      </c>
      <c r="EF13" t="e">
        <f>#REF!+"8O&lt;!Jh"</f>
        <v>#REF!</v>
      </c>
      <c r="EG13" t="e">
        <f>#REF!+"8O&lt;!Ji"</f>
        <v>#REF!</v>
      </c>
      <c r="EH13" t="e">
        <f>#REF!+"8O&lt;!Jj"</f>
        <v>#REF!</v>
      </c>
      <c r="EI13" t="e">
        <f>#REF!+"8O&lt;!Jk"</f>
        <v>#REF!</v>
      </c>
      <c r="EJ13" t="e">
        <f>#REF!+"8O&lt;!Jl"</f>
        <v>#REF!</v>
      </c>
      <c r="EK13" t="e">
        <f>#REF!+"8O&lt;!Jm"</f>
        <v>#REF!</v>
      </c>
      <c r="EL13" t="e">
        <f>#REF!+"8O&lt;!Jn"</f>
        <v>#REF!</v>
      </c>
      <c r="EM13" t="e">
        <f>#REF!+"8O&lt;!Jo"</f>
        <v>#REF!</v>
      </c>
      <c r="EN13" t="e">
        <f>#REF!+"8O&lt;!Jp"</f>
        <v>#REF!</v>
      </c>
      <c r="EO13" t="e">
        <f>#REF!+"8O&lt;!Jq"</f>
        <v>#REF!</v>
      </c>
      <c r="EP13" t="e">
        <f>#REF!+"8O&lt;!Jr"</f>
        <v>#REF!</v>
      </c>
      <c r="EQ13" t="e">
        <f>#REF!+"8O&lt;!Js"</f>
        <v>#REF!</v>
      </c>
      <c r="ER13" t="e">
        <f>#REF!+"8O&lt;!Jt"</f>
        <v>#REF!</v>
      </c>
      <c r="ES13" t="e">
        <f>#REF!+"8O&lt;!Ju"</f>
        <v>#REF!</v>
      </c>
      <c r="ET13" t="e">
        <f>#REF!+"8O&lt;!Jv"</f>
        <v>#REF!</v>
      </c>
      <c r="EU13" t="e">
        <f>#REF!+"8O&lt;!Jw"</f>
        <v>#REF!</v>
      </c>
      <c r="EV13" t="e">
        <f>#REF!+"8O&lt;!Jx"</f>
        <v>#REF!</v>
      </c>
      <c r="EW13" t="e">
        <f>#REF!+"8O&lt;!Jy"</f>
        <v>#REF!</v>
      </c>
      <c r="EX13" t="e">
        <f>#REF!+"8O&lt;!Jz"</f>
        <v>#REF!</v>
      </c>
      <c r="EY13" t="e">
        <f>#REF!+"8O&lt;!J{"</f>
        <v>#REF!</v>
      </c>
      <c r="EZ13" t="e">
        <f>#REF!+"8O&lt;!J|"</f>
        <v>#REF!</v>
      </c>
      <c r="FA13" t="e">
        <f>#REF!+"8O&lt;!J}"</f>
        <v>#REF!</v>
      </c>
      <c r="FB13" t="e">
        <f>#REF!+"8O&lt;!J~"</f>
        <v>#REF!</v>
      </c>
      <c r="FC13" t="e">
        <f>#REF!+"8O&lt;!K#"</f>
        <v>#REF!</v>
      </c>
      <c r="FD13" t="e">
        <f>#REF!+"8O&lt;!K$"</f>
        <v>#REF!</v>
      </c>
      <c r="FE13" t="e">
        <f>#REF!+"8O&lt;!K%"</f>
        <v>#REF!</v>
      </c>
      <c r="FF13" t="e">
        <f>#REF!+"8O&lt;!K&amp;"</f>
        <v>#REF!</v>
      </c>
      <c r="FG13" t="e">
        <f>#REF!+"8O&lt;!K'"</f>
        <v>#REF!</v>
      </c>
      <c r="FH13" t="e">
        <f>#REF!+"8O&lt;!K("</f>
        <v>#REF!</v>
      </c>
      <c r="FI13" t="e">
        <f>#REF!+"8O&lt;!K)"</f>
        <v>#REF!</v>
      </c>
      <c r="FJ13" t="e">
        <f>#REF!+"8O&lt;!K."</f>
        <v>#REF!</v>
      </c>
      <c r="FK13" t="e">
        <f>#REF!+"8O&lt;!K/"</f>
        <v>#REF!</v>
      </c>
      <c r="FL13" t="e">
        <f>#REF!+"8O&lt;!K0"</f>
        <v>#REF!</v>
      </c>
      <c r="FM13" t="e">
        <f>#REF!+"8O&lt;!K1"</f>
        <v>#REF!</v>
      </c>
      <c r="FN13" t="e">
        <f>#REF!+"8O&lt;!K2"</f>
        <v>#REF!</v>
      </c>
      <c r="FO13" t="e">
        <f>#REF!+"8O&lt;!K3"</f>
        <v>#REF!</v>
      </c>
      <c r="FP13" t="e">
        <f>#REF!+"8O&lt;!K4"</f>
        <v>#REF!</v>
      </c>
      <c r="FQ13" t="e">
        <f>#REF!+"8O&lt;!K5"</f>
        <v>#REF!</v>
      </c>
      <c r="FR13" t="e">
        <f>#REF!+"8O&lt;!K6"</f>
        <v>#REF!</v>
      </c>
      <c r="FS13" t="e">
        <f>#REF!+"8O&lt;!K7"</f>
        <v>#REF!</v>
      </c>
      <c r="FT13" t="e">
        <f>#REF!+"8O&lt;!K8"</f>
        <v>#REF!</v>
      </c>
      <c r="FU13" t="e">
        <f>#REF!+"8O&lt;!K9"</f>
        <v>#REF!</v>
      </c>
      <c r="FV13" t="e">
        <f>#REF!+"8O&lt;!K:"</f>
        <v>#REF!</v>
      </c>
      <c r="FW13" t="e">
        <f>#REF!+"8O&lt;!K;"</f>
        <v>#REF!</v>
      </c>
      <c r="FX13" t="e">
        <f>#REF!+"8O&lt;!K&lt;"</f>
        <v>#REF!</v>
      </c>
      <c r="FY13" t="e">
        <f>#REF!+"8O&lt;!K="</f>
        <v>#REF!</v>
      </c>
      <c r="FZ13" t="e">
        <f>#REF!+"8O&lt;!K&gt;"</f>
        <v>#REF!</v>
      </c>
      <c r="GA13" t="e">
        <f>#REF!+"8O&lt;!K?"</f>
        <v>#REF!</v>
      </c>
      <c r="GB13" t="e">
        <f>#REF!+"8O&lt;!K@"</f>
        <v>#REF!</v>
      </c>
      <c r="GC13" t="e">
        <f>#REF!+"8O&lt;!KA"</f>
        <v>#REF!</v>
      </c>
      <c r="GD13" t="e">
        <f>#REF!+"8O&lt;!KB"</f>
        <v>#REF!</v>
      </c>
      <c r="GE13" t="e">
        <f>#REF!+"8O&lt;!KC"</f>
        <v>#REF!</v>
      </c>
      <c r="GF13" t="e">
        <f>#REF!+"8O&lt;!KD"</f>
        <v>#REF!</v>
      </c>
      <c r="GG13" t="e">
        <f>#REF!+"8O&lt;!KE"</f>
        <v>#REF!</v>
      </c>
      <c r="GH13" t="e">
        <f>#REF!+"8O&lt;!KF"</f>
        <v>#REF!</v>
      </c>
      <c r="GI13" t="e">
        <f>#REF!+"8O&lt;!KG"</f>
        <v>#REF!</v>
      </c>
      <c r="GJ13" t="e">
        <f>#REF!+"8O&lt;!KH"</f>
        <v>#REF!</v>
      </c>
      <c r="GK13" t="e">
        <f>#REF!+"8O&lt;!KI"</f>
        <v>#REF!</v>
      </c>
      <c r="GL13" t="e">
        <f>#REF!+"8O&lt;!KJ"</f>
        <v>#REF!</v>
      </c>
      <c r="GM13" t="e">
        <f>#REF!+"8O&lt;!KK"</f>
        <v>#REF!</v>
      </c>
      <c r="GN13" t="e">
        <f>#REF!+"8O&lt;!KL"</f>
        <v>#REF!</v>
      </c>
      <c r="GO13" t="e">
        <f>#REF!+"8O&lt;!KM"</f>
        <v>#REF!</v>
      </c>
      <c r="GP13" t="e">
        <f>#REF!+"8O&lt;!KN"</f>
        <v>#REF!</v>
      </c>
      <c r="GQ13" t="e">
        <f>#REF!+"8O&lt;!KO"</f>
        <v>#REF!</v>
      </c>
      <c r="GR13" t="e">
        <f>#REF!+"8O&lt;!KP"</f>
        <v>#REF!</v>
      </c>
      <c r="GS13" t="e">
        <f>#REF!+"8O&lt;!KQ"</f>
        <v>#REF!</v>
      </c>
      <c r="GT13" t="e">
        <f>#REF!+"8O&lt;!KR"</f>
        <v>#REF!</v>
      </c>
      <c r="GU13" t="e">
        <f>#REF!+"8O&lt;!KS"</f>
        <v>#REF!</v>
      </c>
      <c r="GV13" t="e">
        <f>#REF!+"8O&lt;!KT"</f>
        <v>#REF!</v>
      </c>
      <c r="GW13" t="e">
        <f>#REF!+"8O&lt;!KU"</f>
        <v>#REF!</v>
      </c>
      <c r="GX13" t="e">
        <f>#REF!+"8O&lt;!KV"</f>
        <v>#REF!</v>
      </c>
      <c r="GY13" t="e">
        <f>#REF!+"8O&lt;!KW"</f>
        <v>#REF!</v>
      </c>
      <c r="GZ13" t="e">
        <f>#REF!+"8O&lt;!KX"</f>
        <v>#REF!</v>
      </c>
      <c r="HA13" t="e">
        <f>#REF!+"8O&lt;!KY"</f>
        <v>#REF!</v>
      </c>
      <c r="HB13" t="e">
        <f>#REF!+"8O&lt;!KZ"</f>
        <v>#REF!</v>
      </c>
      <c r="HC13" t="e">
        <f>#REF!+"8O&lt;!K["</f>
        <v>#REF!</v>
      </c>
      <c r="HD13" t="e">
        <f>#REF!+"8O&lt;!K\"</f>
        <v>#REF!</v>
      </c>
      <c r="HE13" t="e">
        <f>#REF!+"8O&lt;!K]"</f>
        <v>#REF!</v>
      </c>
      <c r="HF13" t="e">
        <f>#REF!+"8O&lt;!K^"</f>
        <v>#REF!</v>
      </c>
      <c r="HG13" t="e">
        <f>#REF!+"8O&lt;!K_"</f>
        <v>#REF!</v>
      </c>
      <c r="HH13" t="e">
        <f>#REF!+"8O&lt;!K`"</f>
        <v>#REF!</v>
      </c>
      <c r="HI13" t="e">
        <f>#REF!+"8O&lt;!Ka"</f>
        <v>#REF!</v>
      </c>
      <c r="HJ13" t="e">
        <f>#REF!+"8O&lt;!Kb"</f>
        <v>#REF!</v>
      </c>
      <c r="HK13" t="e">
        <f>#REF!+"8O&lt;!Kc"</f>
        <v>#REF!</v>
      </c>
      <c r="HL13" t="e">
        <f>#REF!+"8O&lt;!Kd"</f>
        <v>#REF!</v>
      </c>
      <c r="HM13" t="e">
        <f>#REF!+"8O&lt;!Ke"</f>
        <v>#REF!</v>
      </c>
      <c r="HN13" t="e">
        <f>#REF!+"8O&lt;!Kf"</f>
        <v>#REF!</v>
      </c>
      <c r="HO13" t="e">
        <f>#REF!+"8O&lt;!Kg"</f>
        <v>#REF!</v>
      </c>
      <c r="HP13" t="e">
        <f>#REF!+"8O&lt;!Kh"</f>
        <v>#REF!</v>
      </c>
      <c r="HQ13" t="e">
        <f>#REF!+"8O&lt;!Ki"</f>
        <v>#REF!</v>
      </c>
      <c r="HR13" t="e">
        <f>#REF!+"8O&lt;!Kj"</f>
        <v>#REF!</v>
      </c>
      <c r="HS13" t="e">
        <f>#REF!+"8O&lt;!Kk"</f>
        <v>#REF!</v>
      </c>
      <c r="HT13" t="e">
        <f>#REF!+"8O&lt;!Kl"</f>
        <v>#REF!</v>
      </c>
      <c r="HU13" t="e">
        <f>#REF!+"8O&lt;!Km"</f>
        <v>#REF!</v>
      </c>
      <c r="HV13" t="e">
        <f>#REF!+"8O&lt;!Kn"</f>
        <v>#REF!</v>
      </c>
      <c r="HW13" t="e">
        <f>#REF!+"8O&lt;!Ko"</f>
        <v>#REF!</v>
      </c>
      <c r="HX13" t="e">
        <f>#REF!+"8O&lt;!Kp"</f>
        <v>#REF!</v>
      </c>
      <c r="HY13" t="e">
        <f>#REF!+"8O&lt;!Kq"</f>
        <v>#REF!</v>
      </c>
      <c r="HZ13" t="e">
        <f>#REF!+"8O&lt;!Kr"</f>
        <v>#REF!</v>
      </c>
      <c r="IA13" t="e">
        <f>#REF!+"8O&lt;!Ks"</f>
        <v>#REF!</v>
      </c>
      <c r="IB13" t="e">
        <f>#REF!+"8O&lt;!Kt"</f>
        <v>#REF!</v>
      </c>
      <c r="IC13" t="e">
        <f>#REF!+"8O&lt;!Ku"</f>
        <v>#REF!</v>
      </c>
      <c r="ID13" t="e">
        <f>#REF!+"8O&lt;!Kv"</f>
        <v>#REF!</v>
      </c>
      <c r="IE13" t="e">
        <f>#REF!+"8O&lt;!Kw"</f>
        <v>#REF!</v>
      </c>
      <c r="IF13" t="e">
        <f>#REF!+"8O&lt;!Kx"</f>
        <v>#REF!</v>
      </c>
      <c r="IG13" t="e">
        <f>#REF!+"8O&lt;!Ky"</f>
        <v>#REF!</v>
      </c>
      <c r="IH13" t="e">
        <f>#REF!+"8O&lt;!Kz"</f>
        <v>#REF!</v>
      </c>
      <c r="II13" t="e">
        <f>#REF!+"8O&lt;!K{"</f>
        <v>#REF!</v>
      </c>
      <c r="IJ13" t="e">
        <f>#REF!+"8O&lt;!K|"</f>
        <v>#REF!</v>
      </c>
      <c r="IK13" t="e">
        <f>#REF!+"8O&lt;!K}"</f>
        <v>#REF!</v>
      </c>
      <c r="IL13" t="e">
        <f>#REF!+"8O&lt;!K~"</f>
        <v>#REF!</v>
      </c>
      <c r="IM13" t="e">
        <f>#REF!+"8O&lt;!L#"</f>
        <v>#REF!</v>
      </c>
      <c r="IN13" t="e">
        <f>#REF!+"8O&lt;!L$"</f>
        <v>#REF!</v>
      </c>
      <c r="IO13" t="e">
        <f>#REF!+"8O&lt;!L%"</f>
        <v>#REF!</v>
      </c>
      <c r="IP13" t="e">
        <f>#REF!+"8O&lt;!L&amp;"</f>
        <v>#REF!</v>
      </c>
      <c r="IQ13" t="e">
        <f>#REF!+"8O&lt;!L'"</f>
        <v>#REF!</v>
      </c>
      <c r="IR13" t="e">
        <f>#REF!+"8O&lt;!L("</f>
        <v>#REF!</v>
      </c>
      <c r="IS13" t="e">
        <f>#REF!+"8O&lt;!L)"</f>
        <v>#REF!</v>
      </c>
      <c r="IT13" t="e">
        <f>#REF!+"8O&lt;!L."</f>
        <v>#REF!</v>
      </c>
      <c r="IU13" t="e">
        <f>#REF!+"8O&lt;!L/"</f>
        <v>#REF!</v>
      </c>
      <c r="IV13" t="e">
        <f>#REF!+"8O&lt;!L0"</f>
        <v>#REF!</v>
      </c>
    </row>
    <row r="14" spans="1:256" x14ac:dyDescent="0.25">
      <c r="F14" t="e">
        <f>#REF!+"8O&lt;!L1"</f>
        <v>#REF!</v>
      </c>
      <c r="G14" t="e">
        <f>#REF!+"8O&lt;!L2"</f>
        <v>#REF!</v>
      </c>
      <c r="H14" t="e">
        <f>#REF!+"8O&lt;!L3"</f>
        <v>#REF!</v>
      </c>
      <c r="I14" t="e">
        <f>#REF!+"8O&lt;!L4"</f>
        <v>#REF!</v>
      </c>
      <c r="J14" t="e">
        <f>#REF!+"8O&lt;!L5"</f>
        <v>#REF!</v>
      </c>
      <c r="K14" t="e">
        <f>#REF!+"8O&lt;!L6"</f>
        <v>#REF!</v>
      </c>
      <c r="L14" t="e">
        <f>#REF!+"8O&lt;!L7"</f>
        <v>#REF!</v>
      </c>
      <c r="M14" t="e">
        <f>#REF!+"8O&lt;!L8"</f>
        <v>#REF!</v>
      </c>
      <c r="N14" t="e">
        <f>#REF!+"8O&lt;!L9"</f>
        <v>#REF!</v>
      </c>
      <c r="O14" t="e">
        <f>#REF!+"8O&lt;!L:"</f>
        <v>#REF!</v>
      </c>
      <c r="P14" t="e">
        <f>#REF!+"8O&lt;!L;"</f>
        <v>#REF!</v>
      </c>
      <c r="Q14" t="e">
        <f>#REF!+"8O&lt;!L&lt;"</f>
        <v>#REF!</v>
      </c>
      <c r="R14" t="e">
        <f>#REF!+"8O&lt;!L="</f>
        <v>#REF!</v>
      </c>
      <c r="S14" t="e">
        <f>#REF!+"8O&lt;!L&gt;"</f>
        <v>#REF!</v>
      </c>
      <c r="T14" t="e">
        <f>#REF!+"8O&lt;!L?"</f>
        <v>#REF!</v>
      </c>
      <c r="U14" t="e">
        <f>#REF!+"8O&lt;!L@"</f>
        <v>#REF!</v>
      </c>
      <c r="V14" t="e">
        <f>#REF!+"8O&lt;!LA"</f>
        <v>#REF!</v>
      </c>
      <c r="W14" t="e">
        <f>#REF!+"8O&lt;!LB"</f>
        <v>#REF!</v>
      </c>
      <c r="X14" t="e">
        <f>#REF!+"8O&lt;!LC"</f>
        <v>#REF!</v>
      </c>
      <c r="Y14" t="e">
        <f>#REF!+"8O&lt;!LD"</f>
        <v>#REF!</v>
      </c>
      <c r="Z14" t="e">
        <f>#REF!+"8O&lt;!LE"</f>
        <v>#REF!</v>
      </c>
      <c r="AA14" t="e">
        <f>#REF!+"8O&lt;!LF"</f>
        <v>#REF!</v>
      </c>
      <c r="AB14" t="e">
        <f>#REF!+"8O&lt;!LG"</f>
        <v>#REF!</v>
      </c>
      <c r="AC14" t="e">
        <f>#REF!+"8O&lt;!LH"</f>
        <v>#REF!</v>
      </c>
      <c r="AD14" t="e">
        <f>#REF!+"8O&lt;!LI"</f>
        <v>#REF!</v>
      </c>
      <c r="AE14" t="e">
        <f>#REF!+"8O&lt;!LJ"</f>
        <v>#REF!</v>
      </c>
      <c r="AF14" t="e">
        <f>#REF!+"8O&lt;!LK"</f>
        <v>#REF!</v>
      </c>
      <c r="AG14" t="e">
        <f>#REF!+"8O&lt;!LL"</f>
        <v>#REF!</v>
      </c>
      <c r="AH14" t="e">
        <f>#REF!+"8O&lt;!LM"</f>
        <v>#REF!</v>
      </c>
      <c r="AI14" t="e">
        <f>#REF!+"8O&lt;!LN"</f>
        <v>#REF!</v>
      </c>
      <c r="AJ14" t="e">
        <f>#REF!+"8O&lt;!LO"</f>
        <v>#REF!</v>
      </c>
      <c r="AK14" t="e">
        <f>#REF!+"8O&lt;!LP"</f>
        <v>#REF!</v>
      </c>
      <c r="AL14" t="e">
        <f>#REF!+"8O&lt;!LQ"</f>
        <v>#REF!</v>
      </c>
      <c r="AM14" t="e">
        <f>#REF!+"8O&lt;!LR"</f>
        <v>#REF!</v>
      </c>
      <c r="AN14" t="e">
        <f>#REF!+"8O&lt;!LS"</f>
        <v>#REF!</v>
      </c>
      <c r="AO14" t="e">
        <f>#REF!+"8O&lt;!LT"</f>
        <v>#REF!</v>
      </c>
      <c r="AP14" t="e">
        <f>#REF!+"8O&lt;!LU"</f>
        <v>#REF!</v>
      </c>
      <c r="AQ14" t="e">
        <f>#REF!+"8O&lt;!LV"</f>
        <v>#REF!</v>
      </c>
      <c r="AR14" t="e">
        <f>#REF!+"8O&lt;!LW"</f>
        <v>#REF!</v>
      </c>
      <c r="AS14" t="e">
        <f>#REF!+"8O&lt;!LX"</f>
        <v>#REF!</v>
      </c>
      <c r="AT14" t="e">
        <f>#REF!+"8O&lt;!LY"</f>
        <v>#REF!</v>
      </c>
      <c r="AU14" t="e">
        <f>#REF!+"8O&lt;!LZ"</f>
        <v>#REF!</v>
      </c>
      <c r="AV14" t="e">
        <f>#REF!+"8O&lt;!L["</f>
        <v>#REF!</v>
      </c>
      <c r="AW14" t="e">
        <f>#REF!+"8O&lt;!L\"</f>
        <v>#REF!</v>
      </c>
      <c r="AX14" t="e">
        <f>#REF!+"8O&lt;!L]"</f>
        <v>#REF!</v>
      </c>
      <c r="AY14" t="e">
        <f>#REF!+"8O&lt;!L^"</f>
        <v>#REF!</v>
      </c>
      <c r="AZ14" t="e">
        <f>#REF!+"8O&lt;!L_"</f>
        <v>#REF!</v>
      </c>
      <c r="BA14" t="e">
        <f>#REF!+"8O&lt;!L`"</f>
        <v>#REF!</v>
      </c>
      <c r="BB14" t="e">
        <f>#REF!+"8O&lt;!La"</f>
        <v>#REF!</v>
      </c>
      <c r="BC14" t="e">
        <f>#REF!+"8O&lt;!Lb"</f>
        <v>#REF!</v>
      </c>
      <c r="BD14" t="e">
        <f>#REF!+"8O&lt;!Lc"</f>
        <v>#REF!</v>
      </c>
      <c r="BE14" t="e">
        <f>#REF!+"8O&lt;!Ld"</f>
        <v>#REF!</v>
      </c>
      <c r="BF14" t="e">
        <f>#REF!+"8O&lt;!Le"</f>
        <v>#REF!</v>
      </c>
      <c r="BG14" t="e">
        <f>#REF!+"8O&lt;!Lf"</f>
        <v>#REF!</v>
      </c>
      <c r="BH14" t="e">
        <f>#REF!+"8O&lt;!Lg"</f>
        <v>#REF!</v>
      </c>
      <c r="BI14" t="e">
        <f>#REF!+"8O&lt;!Lh"</f>
        <v>#REF!</v>
      </c>
      <c r="BJ14" t="e">
        <f>#REF!+"8O&lt;!Li"</f>
        <v>#REF!</v>
      </c>
      <c r="BK14" t="e">
        <f>#REF!+"8O&lt;!Lj"</f>
        <v>#REF!</v>
      </c>
      <c r="BL14" t="e">
        <f>#REF!+"8O&lt;!Lk"</f>
        <v>#REF!</v>
      </c>
      <c r="BM14" t="e">
        <f>#REF!+"8O&lt;!Ll"</f>
        <v>#REF!</v>
      </c>
      <c r="BN14" t="e">
        <f>#REF!+"8O&lt;!Lm"</f>
        <v>#REF!</v>
      </c>
      <c r="BO14" t="e">
        <f>#REF!+"8O&lt;!Ln"</f>
        <v>#REF!</v>
      </c>
      <c r="BP14" t="e">
        <f>#REF!+"8O&lt;!Lo"</f>
        <v>#REF!</v>
      </c>
      <c r="BQ14" t="e">
        <f>#REF!+"8O&lt;!Lp"</f>
        <v>#REF!</v>
      </c>
      <c r="BR14" t="e">
        <f>#REF!+"8O&lt;!Lq"</f>
        <v>#REF!</v>
      </c>
      <c r="BS14" t="e">
        <f>#REF!+"8O&lt;!Lr"</f>
        <v>#REF!</v>
      </c>
      <c r="BT14" t="e">
        <f>#REF!+"8O&lt;!Ls"</f>
        <v>#REF!</v>
      </c>
      <c r="BU14" t="e">
        <f>#REF!+"8O&lt;!Lt"</f>
        <v>#REF!</v>
      </c>
      <c r="BV14" t="e">
        <f>#REF!+"8O&lt;!Lu"</f>
        <v>#REF!</v>
      </c>
      <c r="BW14" t="e">
        <f>#REF!+"8O&lt;!Lv"</f>
        <v>#REF!</v>
      </c>
      <c r="BX14" t="e">
        <f>#REF!+"8O&lt;!Lw"</f>
        <v>#REF!</v>
      </c>
      <c r="BY14" t="e">
        <f>#REF!+"8O&lt;!Lx"</f>
        <v>#REF!</v>
      </c>
      <c r="BZ14" t="e">
        <f>#REF!+"8O&lt;!Ly"</f>
        <v>#REF!</v>
      </c>
      <c r="CA14" t="e">
        <f>#REF!+"8O&lt;!Lz"</f>
        <v>#REF!</v>
      </c>
      <c r="CB14" t="e">
        <f>#REF!+"8O&lt;!L{"</f>
        <v>#REF!</v>
      </c>
      <c r="CC14" t="e">
        <f>#REF!+"8O&lt;!L|"</f>
        <v>#REF!</v>
      </c>
      <c r="CD14" t="e">
        <f>#REF!+"8O&lt;!L}"</f>
        <v>#REF!</v>
      </c>
      <c r="CE14" t="e">
        <f>#REF!+"8O&lt;!L~"</f>
        <v>#REF!</v>
      </c>
      <c r="CF14" t="e">
        <f>#REF!+"8O&lt;!M#"</f>
        <v>#REF!</v>
      </c>
      <c r="CG14" t="e">
        <f>#REF!+"8O&lt;!M$"</f>
        <v>#REF!</v>
      </c>
      <c r="CH14" t="e">
        <f>#REF!+"8O&lt;!M%"</f>
        <v>#REF!</v>
      </c>
      <c r="CI14" t="e">
        <f>#REF!+"8O&lt;!M&amp;"</f>
        <v>#REF!</v>
      </c>
      <c r="CJ14" t="e">
        <f>#REF!+"8O&lt;!M'"</f>
        <v>#REF!</v>
      </c>
      <c r="CK14" t="e">
        <f>#REF!+"8O&lt;!M("</f>
        <v>#REF!</v>
      </c>
      <c r="CL14" t="e">
        <f>#REF!+"8O&lt;!M)"</f>
        <v>#REF!</v>
      </c>
      <c r="CM14" t="e">
        <f>#REF!+"8O&lt;!M."</f>
        <v>#REF!</v>
      </c>
      <c r="CN14" t="e">
        <f>#REF!+"8O&lt;!M/"</f>
        <v>#REF!</v>
      </c>
      <c r="CO14" t="e">
        <f>#REF!+"8O&lt;!M0"</f>
        <v>#REF!</v>
      </c>
      <c r="CP14" t="e">
        <f>#REF!+"8O&lt;!M1"</f>
        <v>#REF!</v>
      </c>
      <c r="CQ14" t="e">
        <f>#REF!+"8O&lt;!M2"</f>
        <v>#REF!</v>
      </c>
      <c r="CR14" t="e">
        <f>#REF!+"8O&lt;!M3"</f>
        <v>#REF!</v>
      </c>
      <c r="CS14" t="e">
        <f>#REF!+"8O&lt;!M4"</f>
        <v>#REF!</v>
      </c>
      <c r="CT14" t="e">
        <f>#REF!+"8O&lt;!M5"</f>
        <v>#REF!</v>
      </c>
      <c r="CU14" t="e">
        <f>#REF!+"8O&lt;!M6"</f>
        <v>#REF!</v>
      </c>
      <c r="CV14" t="e">
        <f>#REF!+"8O&lt;!M7"</f>
        <v>#REF!</v>
      </c>
      <c r="CW14" t="e">
        <f>#REF!+"8O&lt;!M8"</f>
        <v>#REF!</v>
      </c>
      <c r="CX14" t="e">
        <f>#REF!+"8O&lt;!M9"</f>
        <v>#REF!</v>
      </c>
      <c r="CY14" t="e">
        <f>#REF!+"8O&lt;!M:"</f>
        <v>#REF!</v>
      </c>
      <c r="CZ14" t="e">
        <f>#REF!+"8O&lt;!M;"</f>
        <v>#REF!</v>
      </c>
      <c r="DA14" t="e">
        <f>#REF!+"8O&lt;!M&lt;"</f>
        <v>#REF!</v>
      </c>
      <c r="DB14" t="e">
        <f>#REF!+"8O&lt;!M="</f>
        <v>#REF!</v>
      </c>
      <c r="DC14" t="e">
        <f>#REF!+"8O&lt;!M&gt;"</f>
        <v>#REF!</v>
      </c>
      <c r="DD14" t="e">
        <f>#REF!+"8O&lt;!M?"</f>
        <v>#REF!</v>
      </c>
      <c r="DE14" t="e">
        <f>#REF!+"8O&lt;!M@"</f>
        <v>#REF!</v>
      </c>
      <c r="DF14" t="e">
        <f>#REF!+"8O&lt;!MA"</f>
        <v>#REF!</v>
      </c>
      <c r="DG14" t="e">
        <f>#REF!+"8O&lt;!MB"</f>
        <v>#REF!</v>
      </c>
      <c r="DH14" t="e">
        <f>#REF!+"8O&lt;!MC"</f>
        <v>#REF!</v>
      </c>
      <c r="DI14" t="e">
        <f>#REF!+"8O&lt;!MD"</f>
        <v>#REF!</v>
      </c>
      <c r="DJ14" t="e">
        <f>#REF!+"8O&lt;!ME"</f>
        <v>#REF!</v>
      </c>
      <c r="DK14" t="e">
        <f>#REF!+"8O&lt;!MF"</f>
        <v>#REF!</v>
      </c>
      <c r="DL14" t="e">
        <f>#REF!+"8O&lt;!MG"</f>
        <v>#REF!</v>
      </c>
      <c r="DM14" t="e">
        <f>#REF!+"8O&lt;!MH"</f>
        <v>#REF!</v>
      </c>
      <c r="DN14" t="e">
        <f>#REF!+"8O&lt;!MI"</f>
        <v>#REF!</v>
      </c>
      <c r="DO14" t="e">
        <f>#REF!+"8O&lt;!MJ"</f>
        <v>#REF!</v>
      </c>
      <c r="DP14" t="e">
        <f>#REF!+"8O&lt;!MK"</f>
        <v>#REF!</v>
      </c>
      <c r="DQ14" t="e">
        <f>#REF!+"8O&lt;!ML"</f>
        <v>#REF!</v>
      </c>
      <c r="DR14" t="e">
        <f>#REF!+"8O&lt;!MM"</f>
        <v>#REF!</v>
      </c>
      <c r="DS14" t="e">
        <f>#REF!+"8O&lt;!MN"</f>
        <v>#REF!</v>
      </c>
      <c r="DT14" t="e">
        <f>#REF!+"8O&lt;!MO"</f>
        <v>#REF!</v>
      </c>
      <c r="DU14" t="e">
        <f>#REF!+"8O&lt;!MP"</f>
        <v>#REF!</v>
      </c>
      <c r="DV14" t="e">
        <f>#REF!+"8O&lt;!MQ"</f>
        <v>#REF!</v>
      </c>
      <c r="DW14" t="e">
        <f>#REF!+"8O&lt;!MR"</f>
        <v>#REF!</v>
      </c>
      <c r="DX14" t="e">
        <f>#REF!+"8O&lt;!MS"</f>
        <v>#REF!</v>
      </c>
      <c r="DY14" t="e">
        <f>#REF!+"8O&lt;!MT"</f>
        <v>#REF!</v>
      </c>
      <c r="DZ14" t="e">
        <f>#REF!+"8O&lt;!MU"</f>
        <v>#REF!</v>
      </c>
      <c r="EA14" t="e">
        <f>#REF!+"8O&lt;!MV"</f>
        <v>#REF!</v>
      </c>
      <c r="EB14" t="e">
        <f>#REF!+"8O&lt;!MW"</f>
        <v>#REF!</v>
      </c>
      <c r="EC14" t="e">
        <f>#REF!+"8O&lt;!MX"</f>
        <v>#REF!</v>
      </c>
      <c r="ED14" t="e">
        <f>#REF!+"8O&lt;!MY"</f>
        <v>#REF!</v>
      </c>
      <c r="EE14" t="e">
        <f>#REF!+"8O&lt;!MZ"</f>
        <v>#REF!</v>
      </c>
      <c r="EF14" t="e">
        <f>#REF!+"8O&lt;!M["</f>
        <v>#REF!</v>
      </c>
      <c r="EG14" t="e">
        <f>#REF!+"8O&lt;!M\"</f>
        <v>#REF!</v>
      </c>
      <c r="EH14" t="e">
        <f>#REF!+"8O&lt;!M]"</f>
        <v>#REF!</v>
      </c>
      <c r="EI14" t="e">
        <f>#REF!+"8O&lt;!M^"</f>
        <v>#REF!</v>
      </c>
      <c r="EJ14" t="e">
        <f>#REF!+"8O&lt;!M_"</f>
        <v>#REF!</v>
      </c>
      <c r="EK14" t="e">
        <f>#REF!+"8O&lt;!M`"</f>
        <v>#REF!</v>
      </c>
      <c r="EL14" t="e">
        <f>#REF!+"8O&lt;!Ma"</f>
        <v>#REF!</v>
      </c>
      <c r="EM14" t="e">
        <f>#REF!+"8O&lt;!Mb"</f>
        <v>#REF!</v>
      </c>
      <c r="EN14" t="e">
        <f>#REF!+"8O&lt;!Mc"</f>
        <v>#REF!</v>
      </c>
      <c r="EO14" t="e">
        <f>#REF!+"8O&lt;!Md"</f>
        <v>#REF!</v>
      </c>
      <c r="EP14" t="e">
        <f>#REF!+"8O&lt;!Me"</f>
        <v>#REF!</v>
      </c>
      <c r="EQ14" t="e">
        <f>#REF!+"8O&lt;!Mf"</f>
        <v>#REF!</v>
      </c>
      <c r="ER14" t="e">
        <f>#REF!+"8O&lt;!Mg"</f>
        <v>#REF!</v>
      </c>
      <c r="ES14" t="e">
        <f>#REF!+"8O&lt;!Mh"</f>
        <v>#REF!</v>
      </c>
      <c r="ET14" t="e">
        <f>#REF!+"8O&lt;!Mi"</f>
        <v>#REF!</v>
      </c>
      <c r="EU14" t="e">
        <f>#REF!+"8O&lt;!Mj"</f>
        <v>#REF!</v>
      </c>
      <c r="EV14" t="e">
        <f>#REF!+"8O&lt;!Mk"</f>
        <v>#REF!</v>
      </c>
      <c r="EW14" t="e">
        <f>#REF!+"8O&lt;!Ml"</f>
        <v>#REF!</v>
      </c>
      <c r="EX14" t="e">
        <f>#REF!+"8O&lt;!Mm"</f>
        <v>#REF!</v>
      </c>
      <c r="EY14" t="e">
        <f>#REF!+"8O&lt;!Mn"</f>
        <v>#REF!</v>
      </c>
      <c r="EZ14" t="e">
        <f>#REF!+"8O&lt;!Mo"</f>
        <v>#REF!</v>
      </c>
      <c r="FA14" t="e">
        <f>#REF!+"8O&lt;!Mp"</f>
        <v>#REF!</v>
      </c>
      <c r="FB14" t="e">
        <f>#REF!+"8O&lt;!Mq"</f>
        <v>#REF!</v>
      </c>
      <c r="FC14" t="e">
        <f>#REF!+"8O&lt;!Mr"</f>
        <v>#REF!</v>
      </c>
      <c r="FD14" t="e">
        <f>#REF!+"8O&lt;!Ms"</f>
        <v>#REF!</v>
      </c>
      <c r="FE14" t="e">
        <f>#REF!+"8O&lt;!Mt"</f>
        <v>#REF!</v>
      </c>
      <c r="FF14" t="e">
        <f>#REF!+"8O&lt;!Mu"</f>
        <v>#REF!</v>
      </c>
      <c r="FG14" t="e">
        <f>#REF!+"8O&lt;!Mv"</f>
        <v>#REF!</v>
      </c>
      <c r="FH14" t="e">
        <f>#REF!+"8O&lt;!Mw"</f>
        <v>#REF!</v>
      </c>
      <c r="FI14" t="e">
        <f>#REF!+"8O&lt;!Mx"</f>
        <v>#REF!</v>
      </c>
      <c r="FJ14" t="e">
        <f>#REF!+"8O&lt;!My"</f>
        <v>#REF!</v>
      </c>
      <c r="FK14" t="e">
        <f>#REF!+"8O&lt;!Mz"</f>
        <v>#REF!</v>
      </c>
      <c r="FL14" t="e">
        <f>#REF!+"8O&lt;!M{"</f>
        <v>#REF!</v>
      </c>
      <c r="FM14" t="e">
        <f>#REF!+"8O&lt;!M|"</f>
        <v>#REF!</v>
      </c>
      <c r="FN14" t="e">
        <f>#REF!+"8O&lt;!M}"</f>
        <v>#REF!</v>
      </c>
      <c r="FO14" t="e">
        <f>#REF!+"8O&lt;!M~"</f>
        <v>#REF!</v>
      </c>
      <c r="FP14" t="e">
        <f>#REF!+"8O&lt;!N#"</f>
        <v>#REF!</v>
      </c>
      <c r="FQ14" t="e">
        <f>#REF!+"8O&lt;!N$"</f>
        <v>#REF!</v>
      </c>
      <c r="FR14" t="e">
        <f>#REF!+"8O&lt;!N%"</f>
        <v>#REF!</v>
      </c>
      <c r="FS14" t="e">
        <f>#REF!+"8O&lt;!N&amp;"</f>
        <v>#REF!</v>
      </c>
      <c r="FT14" t="e">
        <f>#REF!+"8O&lt;!N'"</f>
        <v>#REF!</v>
      </c>
      <c r="FU14" t="e">
        <f>#REF!+"8O&lt;!N("</f>
        <v>#REF!</v>
      </c>
      <c r="FV14" t="e">
        <f>#REF!+"8O&lt;!N)"</f>
        <v>#REF!</v>
      </c>
      <c r="FW14" t="e">
        <f>#REF!+"8O&lt;!N."</f>
        <v>#REF!</v>
      </c>
      <c r="FX14" t="e">
        <f>#REF!+"8O&lt;!N/"</f>
        <v>#REF!</v>
      </c>
      <c r="FY14" t="e">
        <f>#REF!+"8O&lt;!N0"</f>
        <v>#REF!</v>
      </c>
      <c r="FZ14" t="e">
        <f>#REF!+"8O&lt;!N1"</f>
        <v>#REF!</v>
      </c>
      <c r="GA14" t="e">
        <f>#REF!+"8O&lt;!N2"</f>
        <v>#REF!</v>
      </c>
      <c r="GB14" t="e">
        <f>#REF!+"8O&lt;!N3"</f>
        <v>#REF!</v>
      </c>
      <c r="GC14" t="e">
        <f>#REF!+"8O&lt;!N4"</f>
        <v>#REF!</v>
      </c>
      <c r="GD14" t="e">
        <f>#REF!+"8O&lt;!N5"</f>
        <v>#REF!</v>
      </c>
      <c r="GE14" t="e">
        <f>#REF!+"8O&lt;!N6"</f>
        <v>#REF!</v>
      </c>
      <c r="GF14" t="e">
        <f>#REF!+"8O&lt;!N7"</f>
        <v>#REF!</v>
      </c>
      <c r="GG14" t="e">
        <f>#REF!+"8O&lt;!N8"</f>
        <v>#REF!</v>
      </c>
      <c r="GH14" t="e">
        <f>#REF!+"8O&lt;!N9"</f>
        <v>#REF!</v>
      </c>
      <c r="GI14" t="e">
        <f>#REF!+"8O&lt;!N:"</f>
        <v>#REF!</v>
      </c>
      <c r="GJ14" t="e">
        <f>#REF!+"8O&lt;!N;"</f>
        <v>#REF!</v>
      </c>
      <c r="GK14" t="e">
        <f>#REF!+"8O&lt;!N&lt;"</f>
        <v>#REF!</v>
      </c>
      <c r="GL14" t="e">
        <f>#REF!+"8O&lt;!N="</f>
        <v>#REF!</v>
      </c>
      <c r="GM14" t="e">
        <f>#REF!+"8O&lt;!N&gt;"</f>
        <v>#REF!</v>
      </c>
      <c r="GN14" t="e">
        <f>#REF!+"8O&lt;!N?"</f>
        <v>#REF!</v>
      </c>
      <c r="GO14" t="e">
        <f>#REF!+"8O&lt;!N@"</f>
        <v>#REF!</v>
      </c>
      <c r="GP14" t="e">
        <f>#REF!+"8O&lt;!NA"</f>
        <v>#REF!</v>
      </c>
      <c r="GQ14" t="e">
        <f>#REF!+"8O&lt;!NB"</f>
        <v>#REF!</v>
      </c>
      <c r="GR14" t="e">
        <f>#REF!+"8O&lt;!NC"</f>
        <v>#REF!</v>
      </c>
      <c r="GS14" t="e">
        <f>#REF!+"8O&lt;!ND"</f>
        <v>#REF!</v>
      </c>
      <c r="GT14" t="e">
        <f>#REF!+"8O&lt;!NE"</f>
        <v>#REF!</v>
      </c>
      <c r="GU14" t="e">
        <f>#REF!+"8O&lt;!NF"</f>
        <v>#REF!</v>
      </c>
      <c r="GV14" t="e">
        <f>#REF!+"8O&lt;!NG"</f>
        <v>#REF!</v>
      </c>
      <c r="GW14" t="e">
        <f>#REF!+"8O&lt;!NH"</f>
        <v>#REF!</v>
      </c>
      <c r="GX14" t="e">
        <f>#REF!+"8O&lt;!NI"</f>
        <v>#REF!</v>
      </c>
      <c r="GY14" t="e">
        <f>#REF!+"8O&lt;!NJ"</f>
        <v>#REF!</v>
      </c>
      <c r="GZ14" t="e">
        <f>#REF!+"8O&lt;!NK"</f>
        <v>#REF!</v>
      </c>
      <c r="HA14" t="e">
        <f>#REF!+"8O&lt;!NL"</f>
        <v>#REF!</v>
      </c>
      <c r="HB14" t="e">
        <f>#REF!+"8O&lt;!NM"</f>
        <v>#REF!</v>
      </c>
      <c r="HC14" t="e">
        <f>#REF!+"8O&lt;!NN"</f>
        <v>#REF!</v>
      </c>
      <c r="HD14" t="e">
        <f>#REF!+"8O&lt;!NO"</f>
        <v>#REF!</v>
      </c>
      <c r="HE14" t="e">
        <f>#REF!+"8O&lt;!NP"</f>
        <v>#REF!</v>
      </c>
      <c r="HF14" t="e">
        <f>#REF!+"8O&lt;!NQ"</f>
        <v>#REF!</v>
      </c>
      <c r="HG14" t="e">
        <f>#REF!+"8O&lt;!NR"</f>
        <v>#REF!</v>
      </c>
      <c r="HH14" t="e">
        <f>#REF!+"8O&lt;!NS"</f>
        <v>#REF!</v>
      </c>
      <c r="HI14" t="e">
        <f>#REF!+"8O&lt;!NT"</f>
        <v>#REF!</v>
      </c>
      <c r="HJ14" t="e">
        <f>#REF!+"8O&lt;!NU"</f>
        <v>#REF!</v>
      </c>
      <c r="HK14" t="e">
        <f>#REF!+"8O&lt;!NV"</f>
        <v>#REF!</v>
      </c>
      <c r="HL14" t="e">
        <f>#REF!+"8O&lt;!NW"</f>
        <v>#REF!</v>
      </c>
      <c r="HM14" t="e">
        <f>#REF!+"8O&lt;!NX"</f>
        <v>#REF!</v>
      </c>
      <c r="HN14" t="e">
        <f>#REF!+"8O&lt;!NY"</f>
        <v>#REF!</v>
      </c>
      <c r="HO14" t="e">
        <f>#REF!+"8O&lt;!NZ"</f>
        <v>#REF!</v>
      </c>
      <c r="HP14" t="e">
        <f>#REF!+"8O&lt;!N["</f>
        <v>#REF!</v>
      </c>
      <c r="HQ14" t="e">
        <f>#REF!+"8O&lt;!N\"</f>
        <v>#REF!</v>
      </c>
      <c r="HR14" t="e">
        <f>#REF!+"8O&lt;!N]"</f>
        <v>#REF!</v>
      </c>
      <c r="HS14" t="e">
        <f>#REF!+"8O&lt;!N^"</f>
        <v>#REF!</v>
      </c>
      <c r="HT14" t="e">
        <f>#REF!+"8O&lt;!N_"</f>
        <v>#REF!</v>
      </c>
      <c r="HU14" t="e">
        <f>#REF!+"8O&lt;!N`"</f>
        <v>#REF!</v>
      </c>
      <c r="HV14" t="e">
        <f>#REF!+"8O&lt;!Na"</f>
        <v>#REF!</v>
      </c>
      <c r="HW14" t="e">
        <f>#REF!+"8O&lt;!Nb"</f>
        <v>#REF!</v>
      </c>
      <c r="HX14" t="e">
        <f>#REF!+"8O&lt;!Nc"</f>
        <v>#REF!</v>
      </c>
      <c r="HY14" t="e">
        <f>#REF!+"8O&lt;!Nd"</f>
        <v>#REF!</v>
      </c>
      <c r="HZ14" t="e">
        <f>#REF!+"8O&lt;!Ne"</f>
        <v>#REF!</v>
      </c>
      <c r="IA14" t="e">
        <f>#REF!+"8O&lt;!Nf"</f>
        <v>#REF!</v>
      </c>
      <c r="IB14" t="e">
        <f>#REF!+"8O&lt;!Ng"</f>
        <v>#REF!</v>
      </c>
      <c r="IC14" t="e">
        <f>#REF!+"8O&lt;!Nh"</f>
        <v>#REF!</v>
      </c>
      <c r="ID14" t="e">
        <f>#REF!+"8O&lt;!Ni"</f>
        <v>#REF!</v>
      </c>
      <c r="IE14" t="e">
        <f>#REF!+"8O&lt;!Nj"</f>
        <v>#REF!</v>
      </c>
      <c r="IF14" t="e">
        <f>#REF!+"8O&lt;!Nk"</f>
        <v>#REF!</v>
      </c>
      <c r="IG14" t="e">
        <f>#REF!+"8O&lt;!Nl"</f>
        <v>#REF!</v>
      </c>
      <c r="IH14" t="e">
        <f>#REF!+"8O&lt;!Nm"</f>
        <v>#REF!</v>
      </c>
      <c r="II14" t="e">
        <f>#REF!+"8O&lt;!Nn"</f>
        <v>#REF!</v>
      </c>
      <c r="IJ14" t="e">
        <f>#REF!+"8O&lt;!No"</f>
        <v>#REF!</v>
      </c>
      <c r="IK14" t="e">
        <f>#REF!+"8O&lt;!Np"</f>
        <v>#REF!</v>
      </c>
      <c r="IL14" t="e">
        <f>#REF!+"8O&lt;!Nq"</f>
        <v>#REF!</v>
      </c>
      <c r="IM14" t="e">
        <f>#REF!+"8O&lt;!Nr"</f>
        <v>#REF!</v>
      </c>
      <c r="IN14" t="e">
        <f>#REF!+"8O&lt;!Ns"</f>
        <v>#REF!</v>
      </c>
      <c r="IO14" t="e">
        <f>#REF!+"8O&lt;!Nt"</f>
        <v>#REF!</v>
      </c>
      <c r="IP14" t="e">
        <f>#REF!+"8O&lt;!Nu"</f>
        <v>#REF!</v>
      </c>
      <c r="IQ14" t="e">
        <f>#REF!+"8O&lt;!Nv"</f>
        <v>#REF!</v>
      </c>
      <c r="IR14" t="e">
        <f>#REF!+"8O&lt;!Nw"</f>
        <v>#REF!</v>
      </c>
      <c r="IS14" t="e">
        <f>#REF!+"8O&lt;!Nx"</f>
        <v>#REF!</v>
      </c>
      <c r="IT14" t="e">
        <f>#REF!+"8O&lt;!Ny"</f>
        <v>#REF!</v>
      </c>
      <c r="IU14" t="e">
        <f>#REF!+"8O&lt;!Nz"</f>
        <v>#REF!</v>
      </c>
      <c r="IV14" t="e">
        <f>#REF!+"8O&lt;!N{"</f>
        <v>#REF!</v>
      </c>
    </row>
    <row r="15" spans="1:256" x14ac:dyDescent="0.25">
      <c r="F15" t="e">
        <f>#REF!+"8O&lt;!N|"</f>
        <v>#REF!</v>
      </c>
      <c r="G15" t="e">
        <f>#REF!+"8O&lt;!N}"</f>
        <v>#REF!</v>
      </c>
      <c r="H15" t="e">
        <f>#REF!+"8O&lt;!N~"</f>
        <v>#REF!</v>
      </c>
      <c r="I15" t="e">
        <f>#REF!+"8O&lt;!O#"</f>
        <v>#REF!</v>
      </c>
      <c r="J15" t="e">
        <f>#REF!+"8O&lt;!O$"</f>
        <v>#REF!</v>
      </c>
      <c r="K15" t="e">
        <f>#REF!+"8O&lt;!O%"</f>
        <v>#REF!</v>
      </c>
      <c r="L15" t="e">
        <f>#REF!+"8O&lt;!O&amp;"</f>
        <v>#REF!</v>
      </c>
      <c r="M15" t="e">
        <f>#REF!+"8O&lt;!O'"</f>
        <v>#REF!</v>
      </c>
      <c r="N15" t="e">
        <f>#REF!+"8O&lt;!O("</f>
        <v>#REF!</v>
      </c>
      <c r="O15" t="e">
        <f>#REF!+"8O&lt;!O)"</f>
        <v>#REF!</v>
      </c>
      <c r="P15" t="e">
        <f>#REF!+"8O&lt;!O."</f>
        <v>#REF!</v>
      </c>
      <c r="Q15" t="e">
        <f>#REF!+"8O&lt;!O/"</f>
        <v>#REF!</v>
      </c>
      <c r="R15" t="e">
        <f>#REF!+"8O&lt;!O0"</f>
        <v>#REF!</v>
      </c>
      <c r="S15" t="e">
        <f>#REF!+"8O&lt;!O1"</f>
        <v>#REF!</v>
      </c>
      <c r="T15" t="e">
        <f>#REF!+"8O&lt;!O2"</f>
        <v>#REF!</v>
      </c>
      <c r="U15" t="e">
        <f>#REF!+"8O&lt;!O3"</f>
        <v>#REF!</v>
      </c>
      <c r="V15" t="e">
        <f>#REF!+"8O&lt;!O4"</f>
        <v>#REF!</v>
      </c>
      <c r="W15" t="e">
        <f>#REF!+"8O&lt;!O5"</f>
        <v>#REF!</v>
      </c>
      <c r="X15" t="e">
        <f>#REF!+"8O&lt;!O6"</f>
        <v>#REF!</v>
      </c>
      <c r="Y15" t="e">
        <f>#REF!+"8O&lt;!O7"</f>
        <v>#REF!</v>
      </c>
      <c r="Z15" t="e">
        <f>#REF!+"8O&lt;!O8"</f>
        <v>#REF!</v>
      </c>
      <c r="AA15" t="e">
        <f>#REF!+"8O&lt;!O9"</f>
        <v>#REF!</v>
      </c>
      <c r="AB15" t="e">
        <f>#REF!+"8O&lt;!O:"</f>
        <v>#REF!</v>
      </c>
      <c r="AC15" t="e">
        <f>#REF!+"8O&lt;!O;"</f>
        <v>#REF!</v>
      </c>
      <c r="AD15" t="e">
        <f>#REF!+"8O&lt;!O&lt;"</f>
        <v>#REF!</v>
      </c>
      <c r="AE15" t="e">
        <f>#REF!+"8O&lt;!O="</f>
        <v>#REF!</v>
      </c>
      <c r="AF15" t="e">
        <f>#REF!+"8O&lt;!O&gt;"</f>
        <v>#REF!</v>
      </c>
      <c r="AG15" t="e">
        <f>#REF!+"8O&lt;!O?"</f>
        <v>#REF!</v>
      </c>
      <c r="AH15" t="e">
        <f>#REF!+"8O&lt;!O@"</f>
        <v>#REF!</v>
      </c>
      <c r="AI15" t="e">
        <f>#REF!+"8O&lt;!OA"</f>
        <v>#REF!</v>
      </c>
      <c r="AJ15" t="e">
        <f>#REF!+"8O&lt;!OB"</f>
        <v>#REF!</v>
      </c>
      <c r="AK15" t="e">
        <f>#REF!+"8O&lt;!OC"</f>
        <v>#REF!</v>
      </c>
      <c r="AL15" t="e">
        <f>#REF!+"8O&lt;!OD"</f>
        <v>#REF!</v>
      </c>
      <c r="AM15" t="e">
        <f>#REF!+"8O&lt;!OE"</f>
        <v>#REF!</v>
      </c>
      <c r="AN15" t="e">
        <f>#REF!+"8O&lt;!OF"</f>
        <v>#REF!</v>
      </c>
      <c r="AO15" t="e">
        <f>#REF!+"8O&lt;!OG"</f>
        <v>#REF!</v>
      </c>
      <c r="AP15" t="e">
        <f>#REF!+"8O&lt;!OH"</f>
        <v>#REF!</v>
      </c>
      <c r="AQ15" t="e">
        <f>#REF!+"8O&lt;!OI"</f>
        <v>#REF!</v>
      </c>
      <c r="AR15" t="e">
        <f>#REF!+"8O&lt;!OJ"</f>
        <v>#REF!</v>
      </c>
      <c r="AS15" t="e">
        <f>#REF!+"8O&lt;!OK"</f>
        <v>#REF!</v>
      </c>
      <c r="AT15" t="e">
        <f>#REF!+"8O&lt;!OL"</f>
        <v>#REF!</v>
      </c>
      <c r="AU15" t="e">
        <f>#REF!+"8O&lt;!OM"</f>
        <v>#REF!</v>
      </c>
      <c r="AV15" t="e">
        <f>#REF!+"8O&lt;!ON"</f>
        <v>#REF!</v>
      </c>
      <c r="AW15" t="e">
        <f>#REF!+"8O&lt;!OO"</f>
        <v>#REF!</v>
      </c>
      <c r="AX15" t="e">
        <f>#REF!+"8O&lt;!OP"</f>
        <v>#REF!</v>
      </c>
      <c r="AY15" t="e">
        <f>#REF!+"8O&lt;!OQ"</f>
        <v>#REF!</v>
      </c>
      <c r="AZ15" t="e">
        <f>#REF!+"8O&lt;!OR"</f>
        <v>#REF!</v>
      </c>
      <c r="BA15" t="e">
        <f>#REF!+"8O&lt;!OS"</f>
        <v>#REF!</v>
      </c>
      <c r="BB15" t="e">
        <f>#REF!+"8O&lt;!OT"</f>
        <v>#REF!</v>
      </c>
      <c r="BC15" t="e">
        <f>#REF!+"8O&lt;!OU"</f>
        <v>#REF!</v>
      </c>
      <c r="BD15" t="e">
        <f>#REF!+"8O&lt;!OV"</f>
        <v>#REF!</v>
      </c>
      <c r="BE15" t="e">
        <f>#REF!+"8O&lt;!OW"</f>
        <v>#REF!</v>
      </c>
      <c r="BF15" t="e">
        <f>#REF!+"8O&lt;!OX"</f>
        <v>#REF!</v>
      </c>
      <c r="BG15" t="e">
        <f>#REF!+"8O&lt;!OY"</f>
        <v>#REF!</v>
      </c>
      <c r="BH15" t="e">
        <f>#REF!+"8O&lt;!OZ"</f>
        <v>#REF!</v>
      </c>
      <c r="BI15" t="e">
        <f>#REF!+"8O&lt;!O["</f>
        <v>#REF!</v>
      </c>
      <c r="BJ15" t="e">
        <f>#REF!+"8O&lt;!O\"</f>
        <v>#REF!</v>
      </c>
      <c r="BK15" t="e">
        <f>#REF!+"8O&lt;!O]"</f>
        <v>#REF!</v>
      </c>
      <c r="BL15" t="e">
        <f>#REF!+"8O&lt;!O^"</f>
        <v>#REF!</v>
      </c>
      <c r="BM15" t="e">
        <f>#REF!+"8O&lt;!O_"</f>
        <v>#REF!</v>
      </c>
      <c r="BN15" t="e">
        <f>#REF!+"8O&lt;!O`"</f>
        <v>#REF!</v>
      </c>
      <c r="BO15" t="e">
        <f>#REF!+"8O&lt;!Oa"</f>
        <v>#REF!</v>
      </c>
      <c r="BP15" t="e">
        <f>#REF!+"8O&lt;!Ob"</f>
        <v>#REF!</v>
      </c>
      <c r="BQ15" t="e">
        <f>#REF!+"8O&lt;!Oc"</f>
        <v>#REF!</v>
      </c>
      <c r="BR15" t="e">
        <f>#REF!+"8O&lt;!Od"</f>
        <v>#REF!</v>
      </c>
      <c r="BS15" t="e">
        <f>#REF!+"8O&lt;!Oe"</f>
        <v>#REF!</v>
      </c>
      <c r="BT15" t="e">
        <f>#REF!+"8O&lt;!Of"</f>
        <v>#REF!</v>
      </c>
      <c r="BU15" t="e">
        <f>#REF!+"8O&lt;!Og"</f>
        <v>#REF!</v>
      </c>
      <c r="BV15" t="e">
        <f>#REF!+"8O&lt;!Oh"</f>
        <v>#REF!</v>
      </c>
      <c r="BW15" t="e">
        <f>#REF!+"8O&lt;!Oi"</f>
        <v>#REF!</v>
      </c>
      <c r="BX15" t="e">
        <f>#REF!+"8O&lt;!Oj"</f>
        <v>#REF!</v>
      </c>
      <c r="BY15" t="e">
        <f>#REF!+"8O&lt;!Ok"</f>
        <v>#REF!</v>
      </c>
      <c r="BZ15" t="e">
        <f>#REF!+"8O&lt;!Ol"</f>
        <v>#REF!</v>
      </c>
      <c r="CA15" t="e">
        <f>#REF!+"8O&lt;!Om"</f>
        <v>#REF!</v>
      </c>
      <c r="CB15" t="e">
        <f>#REF!+"8O&lt;!On"</f>
        <v>#REF!</v>
      </c>
      <c r="CC15" t="e">
        <f>#REF!+"8O&lt;!Oo"</f>
        <v>#REF!</v>
      </c>
      <c r="CD15" t="e">
        <f>#REF!+"8O&lt;!Op"</f>
        <v>#REF!</v>
      </c>
      <c r="CE15" t="e">
        <f>#REF!+"8O&lt;!Oq"</f>
        <v>#REF!</v>
      </c>
      <c r="CF15" t="e">
        <f>#REF!+"8O&lt;!Or"</f>
        <v>#REF!</v>
      </c>
      <c r="CG15" t="e">
        <f>#REF!+"8O&lt;!Os"</f>
        <v>#REF!</v>
      </c>
      <c r="CH15" t="e">
        <f>#REF!+"8O&lt;!Ot"</f>
        <v>#REF!</v>
      </c>
      <c r="CI15" t="e">
        <f>#REF!+"8O&lt;!Ou"</f>
        <v>#REF!</v>
      </c>
      <c r="CJ15" t="e">
        <f>#REF!+"8O&lt;!Ov"</f>
        <v>#REF!</v>
      </c>
      <c r="CK15" t="e">
        <f>#REF!+"8O&lt;!Ow"</f>
        <v>#REF!</v>
      </c>
      <c r="CL15" t="e">
        <f>#REF!+"8O&lt;!Ox"</f>
        <v>#REF!</v>
      </c>
      <c r="CM15" t="e">
        <f>#REF!+"8O&lt;!Oy"</f>
        <v>#REF!</v>
      </c>
      <c r="CN15" t="e">
        <f>#REF!+"8O&lt;!Oz"</f>
        <v>#REF!</v>
      </c>
      <c r="CO15" t="e">
        <f>#REF!+"8O&lt;!O{"</f>
        <v>#REF!</v>
      </c>
      <c r="CP15" t="e">
        <f>#REF!+"8O&lt;!O|"</f>
        <v>#REF!</v>
      </c>
      <c r="CQ15" t="e">
        <f>#REF!+"8O&lt;!O}"</f>
        <v>#REF!</v>
      </c>
      <c r="CR15" t="e">
        <f>#REF!+"8O&lt;!O~"</f>
        <v>#REF!</v>
      </c>
      <c r="CS15" t="e">
        <f>#REF!+"8O&lt;!P#"</f>
        <v>#REF!</v>
      </c>
      <c r="CT15" t="e">
        <f>#REF!+"8O&lt;!P$"</f>
        <v>#REF!</v>
      </c>
      <c r="CU15" t="e">
        <f>#REF!+"8O&lt;!P%"</f>
        <v>#REF!</v>
      </c>
      <c r="CV15" t="e">
        <f>#REF!+"8O&lt;!P&amp;"</f>
        <v>#REF!</v>
      </c>
      <c r="CW15" t="e">
        <f>#REF!+"8O&lt;!P'"</f>
        <v>#REF!</v>
      </c>
      <c r="CX15" t="e">
        <f>#REF!+"8O&lt;!P("</f>
        <v>#REF!</v>
      </c>
      <c r="CY15" t="e">
        <f>#REF!+"8O&lt;!P)"</f>
        <v>#REF!</v>
      </c>
      <c r="CZ15" t="e">
        <f>#REF!+"8O&lt;!P."</f>
        <v>#REF!</v>
      </c>
      <c r="DA15" t="e">
        <f>#REF!+"8O&lt;!P/"</f>
        <v>#REF!</v>
      </c>
      <c r="DB15" t="e">
        <f>#REF!+"8O&lt;!P0"</f>
        <v>#REF!</v>
      </c>
      <c r="DC15" t="e">
        <f>#REF!+"8O&lt;!P1"</f>
        <v>#REF!</v>
      </c>
      <c r="DD15" t="e">
        <f>#REF!+"8O&lt;!P2"</f>
        <v>#REF!</v>
      </c>
      <c r="DE15" t="e">
        <f>#REF!+"8O&lt;!P3"</f>
        <v>#REF!</v>
      </c>
      <c r="DF15" t="e">
        <f>#REF!+"8O&lt;!P4"</f>
        <v>#REF!</v>
      </c>
      <c r="DG15" t="e">
        <f>#REF!+"8O&lt;!P5"</f>
        <v>#REF!</v>
      </c>
      <c r="DH15" t="e">
        <f>#REF!+"8O&lt;!P6"</f>
        <v>#REF!</v>
      </c>
      <c r="DI15" t="e">
        <f>#REF!+"8O&lt;!P7"</f>
        <v>#REF!</v>
      </c>
      <c r="DJ15" t="e">
        <f>#REF!+"8O&lt;!P8"</f>
        <v>#REF!</v>
      </c>
      <c r="DK15" t="e">
        <f>#REF!+"8O&lt;!P9"</f>
        <v>#REF!</v>
      </c>
      <c r="DL15" t="e">
        <f>#REF!+"8O&lt;!P:"</f>
        <v>#REF!</v>
      </c>
      <c r="DM15" t="e">
        <f>#REF!+"8O&lt;!P;"</f>
        <v>#REF!</v>
      </c>
      <c r="DN15" t="e">
        <f>#REF!+"8O&lt;!P&lt;"</f>
        <v>#REF!</v>
      </c>
      <c r="DO15" t="e">
        <f>#REF!+"8O&lt;!P="</f>
        <v>#REF!</v>
      </c>
      <c r="DP15" t="e">
        <f>#REF!+"8O&lt;!P&gt;"</f>
        <v>#REF!</v>
      </c>
      <c r="DQ15" t="e">
        <f>#REF!+"8O&lt;!P?"</f>
        <v>#REF!</v>
      </c>
      <c r="DR15" t="e">
        <f>#REF!+"8O&lt;!P@"</f>
        <v>#REF!</v>
      </c>
      <c r="DS15" t="e">
        <f>#REF!+"8O&lt;!PA"</f>
        <v>#REF!</v>
      </c>
      <c r="DT15" t="e">
        <f>#REF!+"8O&lt;!PB"</f>
        <v>#REF!</v>
      </c>
      <c r="DU15" t="e">
        <f>#REF!+"8O&lt;!PC"</f>
        <v>#REF!</v>
      </c>
      <c r="DV15" t="e">
        <f>#REF!+"8O&lt;!PD"</f>
        <v>#REF!</v>
      </c>
      <c r="DW15" t="e">
        <f>#REF!+"8O&lt;!PE"</f>
        <v>#REF!</v>
      </c>
      <c r="DX15" t="e">
        <f>#REF!+"8O&lt;!PF"</f>
        <v>#REF!</v>
      </c>
      <c r="DY15" t="e">
        <f>#REF!+"8O&lt;!PG"</f>
        <v>#REF!</v>
      </c>
      <c r="DZ15" t="e">
        <f>#REF!+"8O&lt;!PH"</f>
        <v>#REF!</v>
      </c>
      <c r="EA15" t="e">
        <f>#REF!+"8O&lt;!PI"</f>
        <v>#REF!</v>
      </c>
      <c r="EB15" t="e">
        <f>#REF!+"8O&lt;!PJ"</f>
        <v>#REF!</v>
      </c>
      <c r="EC15" t="e">
        <f>#REF!+"8O&lt;!PK"</f>
        <v>#REF!</v>
      </c>
      <c r="ED15" t="e">
        <f>#REF!+"8O&lt;!PL"</f>
        <v>#REF!</v>
      </c>
      <c r="EE15" t="e">
        <f>#REF!+"8O&lt;!PM"</f>
        <v>#REF!</v>
      </c>
      <c r="EF15" t="e">
        <f>#REF!+"8O&lt;!PN"</f>
        <v>#REF!</v>
      </c>
      <c r="EG15" t="e">
        <f>#REF!+"8O&lt;!PO"</f>
        <v>#REF!</v>
      </c>
      <c r="EH15" t="e">
        <f>#REF!+"8O&lt;!PP"</f>
        <v>#REF!</v>
      </c>
      <c r="EI15" t="e">
        <f>#REF!+"8O&lt;!PQ"</f>
        <v>#REF!</v>
      </c>
      <c r="EJ15" t="e">
        <f>#REF!+"8O&lt;!PR"</f>
        <v>#REF!</v>
      </c>
      <c r="EK15" t="e">
        <f>#REF!+"8O&lt;!PS"</f>
        <v>#REF!</v>
      </c>
      <c r="EL15" t="e">
        <f>#REF!+"8O&lt;!PT"</f>
        <v>#REF!</v>
      </c>
      <c r="EM15" t="e">
        <f>#REF!+"8O&lt;!PU"</f>
        <v>#REF!</v>
      </c>
      <c r="EN15" t="e">
        <f>#REF!+"8O&lt;!PV"</f>
        <v>#REF!</v>
      </c>
      <c r="EO15" t="e">
        <f>#REF!+"8O&lt;!PW"</f>
        <v>#REF!</v>
      </c>
      <c r="EP15" t="e">
        <f>#REF!+"8O&lt;!PX"</f>
        <v>#REF!</v>
      </c>
      <c r="EQ15" t="e">
        <f>#REF!+"8O&lt;!PY"</f>
        <v>#REF!</v>
      </c>
      <c r="ER15" t="e">
        <f>#REF!+"8O&lt;!PZ"</f>
        <v>#REF!</v>
      </c>
      <c r="ES15" t="e">
        <f>#REF!+"8O&lt;!P["</f>
        <v>#REF!</v>
      </c>
      <c r="ET15" t="e">
        <f>#REF!+"8O&lt;!P\"</f>
        <v>#REF!</v>
      </c>
      <c r="EU15" t="e">
        <f>#REF!+"8O&lt;!P]"</f>
        <v>#REF!</v>
      </c>
      <c r="EV15" t="e">
        <f>#REF!+"8O&lt;!P^"</f>
        <v>#REF!</v>
      </c>
      <c r="EW15" t="e">
        <f>#REF!+"8O&lt;!P_"</f>
        <v>#REF!</v>
      </c>
      <c r="EX15" t="e">
        <f>#REF!+"8O&lt;!P`"</f>
        <v>#REF!</v>
      </c>
      <c r="EY15" t="e">
        <f>#REF!+"8O&lt;!Pa"</f>
        <v>#REF!</v>
      </c>
      <c r="EZ15" t="e">
        <f>#REF!+"8O&lt;!Pb"</f>
        <v>#REF!</v>
      </c>
      <c r="FA15" t="e">
        <f>#REF!+"8O&lt;!Pc"</f>
        <v>#REF!</v>
      </c>
      <c r="FB15" t="e">
        <f>#REF!+"8O&lt;!Pd"</f>
        <v>#REF!</v>
      </c>
      <c r="FC15" t="e">
        <f>#REF!+"8O&lt;!Pe"</f>
        <v>#REF!</v>
      </c>
      <c r="FD15" t="e">
        <f>#REF!+"8O&lt;!Pf"</f>
        <v>#REF!</v>
      </c>
      <c r="FE15" t="e">
        <f>#REF!+"8O&lt;!Pg"</f>
        <v>#REF!</v>
      </c>
      <c r="FF15" t="e">
        <f>#REF!+"8O&lt;!Ph"</f>
        <v>#REF!</v>
      </c>
      <c r="FG15" t="e">
        <f>#REF!+"8O&lt;!Pi"</f>
        <v>#REF!</v>
      </c>
      <c r="FH15" t="e">
        <f>#REF!+"8O&lt;!Pj"</f>
        <v>#REF!</v>
      </c>
      <c r="FI15" t="e">
        <f>#REF!+"8O&lt;!Pk"</f>
        <v>#REF!</v>
      </c>
      <c r="FJ15" t="e">
        <f>#REF!+"8O&lt;!Pl"</f>
        <v>#REF!</v>
      </c>
      <c r="FK15" t="e">
        <f>#REF!+"8O&lt;!Pm"</f>
        <v>#REF!</v>
      </c>
      <c r="FL15" t="e">
        <f>#REF!+"8O&lt;!Pn"</f>
        <v>#REF!</v>
      </c>
      <c r="FM15" t="e">
        <f>#REF!+"8O&lt;!Po"</f>
        <v>#REF!</v>
      </c>
      <c r="FN15" t="e">
        <f>#REF!+"8O&lt;!Pp"</f>
        <v>#REF!</v>
      </c>
      <c r="FO15" t="e">
        <f>#REF!+"8O&lt;!Pq"</f>
        <v>#REF!</v>
      </c>
      <c r="FP15" t="e">
        <f>#REF!+"8O&lt;!Pr"</f>
        <v>#REF!</v>
      </c>
      <c r="FQ15" t="e">
        <f>#REF!+"8O&lt;!Ps"</f>
        <v>#REF!</v>
      </c>
      <c r="FR15" t="e">
        <f>#REF!+"8O&lt;!Pt"</f>
        <v>#REF!</v>
      </c>
      <c r="FS15" t="e">
        <f>#REF!+"8O&lt;!Pu"</f>
        <v>#REF!</v>
      </c>
      <c r="FT15" t="e">
        <f>#REF!+"8O&lt;!Pv"</f>
        <v>#REF!</v>
      </c>
      <c r="FU15" t="e">
        <f>#REF!+"8O&lt;!Pw"</f>
        <v>#REF!</v>
      </c>
      <c r="FV15" t="e">
        <f>#REF!+"8O&lt;!Px"</f>
        <v>#REF!</v>
      </c>
      <c r="FW15" t="e">
        <f>#REF!+"8O&lt;!Py"</f>
        <v>#REF!</v>
      </c>
      <c r="FX15" t="e">
        <f>#REF!+"8O&lt;!Pz"</f>
        <v>#REF!</v>
      </c>
      <c r="FY15" t="e">
        <f>#REF!+"8O&lt;!P{"</f>
        <v>#REF!</v>
      </c>
      <c r="FZ15" t="e">
        <f>#REF!+"8O&lt;!P|"</f>
        <v>#REF!</v>
      </c>
      <c r="GA15" t="e">
        <f>#REF!+"8O&lt;!P}"</f>
        <v>#REF!</v>
      </c>
      <c r="GB15" t="e">
        <f>#REF!+"8O&lt;!P~"</f>
        <v>#REF!</v>
      </c>
      <c r="GC15" t="e">
        <f>#REF!+"8O&lt;!Q#"</f>
        <v>#REF!</v>
      </c>
      <c r="GD15" t="e">
        <f>#REF!+"8O&lt;!Q$"</f>
        <v>#REF!</v>
      </c>
      <c r="GE15" t="e">
        <f>#REF!+"8O&lt;!Q%"</f>
        <v>#REF!</v>
      </c>
      <c r="GF15" t="e">
        <f>#REF!+"8O&lt;!Q&amp;"</f>
        <v>#REF!</v>
      </c>
      <c r="GG15" t="e">
        <f>#REF!+"8O&lt;!Q'"</f>
        <v>#REF!</v>
      </c>
      <c r="GH15" t="e">
        <f>#REF!+"8O&lt;!Q("</f>
        <v>#REF!</v>
      </c>
      <c r="GI15" t="e">
        <f>#REF!+"8O&lt;!Q)"</f>
        <v>#REF!</v>
      </c>
      <c r="GJ15" t="e">
        <f>#REF!+"8O&lt;!Q."</f>
        <v>#REF!</v>
      </c>
      <c r="GK15" t="e">
        <f>#REF!+"8O&lt;!Q/"</f>
        <v>#REF!</v>
      </c>
      <c r="GL15" t="e">
        <f>#REF!+"8O&lt;!Q0"</f>
        <v>#REF!</v>
      </c>
      <c r="GM15" t="e">
        <f>#REF!+"8O&lt;!Q1"</f>
        <v>#REF!</v>
      </c>
      <c r="GN15" t="e">
        <f>#REF!+"8O&lt;!Q2"</f>
        <v>#REF!</v>
      </c>
      <c r="GO15" t="e">
        <f>#REF!+"8O&lt;!Q3"</f>
        <v>#REF!</v>
      </c>
      <c r="GP15" t="e">
        <f>#REF!+"8O&lt;!Q4"</f>
        <v>#REF!</v>
      </c>
      <c r="GQ15" t="e">
        <f>#REF!+"8O&lt;!Q5"</f>
        <v>#REF!</v>
      </c>
      <c r="GR15" t="e">
        <f>#REF!+"8O&lt;!Q6"</f>
        <v>#REF!</v>
      </c>
      <c r="GS15" t="e">
        <f>#REF!+"8O&lt;!Q7"</f>
        <v>#REF!</v>
      </c>
      <c r="GT15" t="e">
        <f>#REF!+"8O&lt;!Q8"</f>
        <v>#REF!</v>
      </c>
      <c r="GU15" t="e">
        <f>#REF!+"8O&lt;!Q9"</f>
        <v>#REF!</v>
      </c>
      <c r="GV15" t="e">
        <f>#REF!+"8O&lt;!Q:"</f>
        <v>#REF!</v>
      </c>
      <c r="GW15" t="e">
        <f>#REF!+"8O&lt;!Q;"</f>
        <v>#REF!</v>
      </c>
      <c r="GX15" t="e">
        <f>#REF!+"8O&lt;!Q&lt;"</f>
        <v>#REF!</v>
      </c>
      <c r="GY15" t="e">
        <f>#REF!+"8O&lt;!Q="</f>
        <v>#REF!</v>
      </c>
      <c r="GZ15" t="e">
        <f>#REF!+"8O&lt;!Q&gt;"</f>
        <v>#REF!</v>
      </c>
      <c r="HA15" t="e">
        <f>#REF!+"8O&lt;!Q?"</f>
        <v>#REF!</v>
      </c>
      <c r="HB15" t="e">
        <f>#REF!+"8O&lt;!Q@"</f>
        <v>#REF!</v>
      </c>
      <c r="HC15" t="e">
        <f>#REF!+"8O&lt;!QA"</f>
        <v>#REF!</v>
      </c>
      <c r="HD15" t="e">
        <f>#REF!+"8O&lt;!QB"</f>
        <v>#REF!</v>
      </c>
      <c r="HE15" t="e">
        <f>#REF!+"8O&lt;!QC"</f>
        <v>#REF!</v>
      </c>
      <c r="HF15" t="e">
        <f>#REF!+"8O&lt;!QD"</f>
        <v>#REF!</v>
      </c>
      <c r="HG15" t="e">
        <f>#REF!+"8O&lt;!QE"</f>
        <v>#REF!</v>
      </c>
      <c r="HH15" t="e">
        <f>#REF!+"8O&lt;!QF"</f>
        <v>#REF!</v>
      </c>
      <c r="HI15" t="e">
        <f>#REF!+"8O&lt;!QG"</f>
        <v>#REF!</v>
      </c>
      <c r="HJ15" t="e">
        <f>#REF!+"8O&lt;!QH"</f>
        <v>#REF!</v>
      </c>
      <c r="HK15" t="e">
        <f>#REF!+"8O&lt;!QI"</f>
        <v>#REF!</v>
      </c>
      <c r="HL15" t="e">
        <f>#REF!+"8O&lt;!QJ"</f>
        <v>#REF!</v>
      </c>
      <c r="HM15" t="e">
        <f>#REF!+"8O&lt;!QK"</f>
        <v>#REF!</v>
      </c>
      <c r="HN15" t="e">
        <f>#REF!+"8O&lt;!QL"</f>
        <v>#REF!</v>
      </c>
      <c r="HO15" t="e">
        <f>#REF!+"8O&lt;!QM"</f>
        <v>#REF!</v>
      </c>
      <c r="HP15" t="e">
        <f>#REF!+"8O&lt;!QN"</f>
        <v>#REF!</v>
      </c>
      <c r="HQ15" t="e">
        <f>#REF!+"8O&lt;!QO"</f>
        <v>#REF!</v>
      </c>
      <c r="HR15" t="e">
        <f>#REF!+"8O&lt;!QP"</f>
        <v>#REF!</v>
      </c>
      <c r="HS15" t="e">
        <f>#REF!+"8O&lt;!QQ"</f>
        <v>#REF!</v>
      </c>
      <c r="HT15" t="e">
        <f>#REF!+"8O&lt;!QR"</f>
        <v>#REF!</v>
      </c>
      <c r="HU15" t="e">
        <f>#REF!+"8O&lt;!QS"</f>
        <v>#REF!</v>
      </c>
      <c r="HV15" t="e">
        <f>#REF!+"8O&lt;!QT"</f>
        <v>#REF!</v>
      </c>
      <c r="HW15" t="e">
        <f>#REF!+"8O&lt;!QU"</f>
        <v>#REF!</v>
      </c>
      <c r="HX15" t="e">
        <f>#REF!+"8O&lt;!QV"</f>
        <v>#REF!</v>
      </c>
      <c r="HY15" t="e">
        <f>#REF!+"8O&lt;!QW"</f>
        <v>#REF!</v>
      </c>
      <c r="HZ15" t="e">
        <f>#REF!+"8O&lt;!QX"</f>
        <v>#REF!</v>
      </c>
      <c r="IA15" t="e">
        <f>#REF!+"8O&lt;!QY"</f>
        <v>#REF!</v>
      </c>
      <c r="IB15" t="e">
        <f>#REF!+"8O&lt;!QZ"</f>
        <v>#REF!</v>
      </c>
      <c r="IC15" t="e">
        <f>#REF!+"8O&lt;!Q["</f>
        <v>#REF!</v>
      </c>
      <c r="ID15" t="e">
        <f>#REF!+"8O&lt;!Q\"</f>
        <v>#REF!</v>
      </c>
      <c r="IE15" t="e">
        <f>#REF!+"8O&lt;!Q]"</f>
        <v>#REF!</v>
      </c>
      <c r="IF15" t="e">
        <f>#REF!+"8O&lt;!Q^"</f>
        <v>#REF!</v>
      </c>
      <c r="IG15" t="e">
        <f>#REF!+"8O&lt;!Q_"</f>
        <v>#REF!</v>
      </c>
      <c r="IH15" t="e">
        <f>#REF!+"8O&lt;!Q`"</f>
        <v>#REF!</v>
      </c>
      <c r="II15" t="e">
        <f>#REF!+"8O&lt;!Qa"</f>
        <v>#REF!</v>
      </c>
      <c r="IJ15" t="e">
        <f>#REF!+"8O&lt;!Qb"</f>
        <v>#REF!</v>
      </c>
      <c r="IK15" t="e">
        <f>#REF!+"8O&lt;!Qc"</f>
        <v>#REF!</v>
      </c>
      <c r="IL15" t="e">
        <f>#REF!+"8O&lt;!Qd"</f>
        <v>#REF!</v>
      </c>
      <c r="IM15" t="e">
        <f>#REF!+"8O&lt;!Qe"</f>
        <v>#REF!</v>
      </c>
      <c r="IN15" t="e">
        <f>#REF!+"8O&lt;!Qf"</f>
        <v>#REF!</v>
      </c>
      <c r="IO15" t="e">
        <f>#REF!+"8O&lt;!Qg"</f>
        <v>#REF!</v>
      </c>
      <c r="IP15" t="e">
        <f>#REF!+"8O&lt;!Qh"</f>
        <v>#REF!</v>
      </c>
      <c r="IQ15" t="e">
        <f>#REF!+"8O&lt;!Qi"</f>
        <v>#REF!</v>
      </c>
      <c r="IR15" t="e">
        <f>#REF!+"8O&lt;!Qj"</f>
        <v>#REF!</v>
      </c>
      <c r="IS15" t="e">
        <f>#REF!+"8O&lt;!Qk"</f>
        <v>#REF!</v>
      </c>
      <c r="IT15" t="e">
        <f>#REF!+"8O&lt;!Ql"</f>
        <v>#REF!</v>
      </c>
      <c r="IU15" t="e">
        <f>#REF!+"8O&lt;!Qm"</f>
        <v>#REF!</v>
      </c>
      <c r="IV15" t="e">
        <f>#REF!+"8O&lt;!Qn"</f>
        <v>#REF!</v>
      </c>
    </row>
    <row r="16" spans="1:256" x14ac:dyDescent="0.25">
      <c r="F16" t="e">
        <f>#REF!+"8O&lt;!Qo"</f>
        <v>#REF!</v>
      </c>
      <c r="G16" t="e">
        <f>#REF!+"8O&lt;!Qp"</f>
        <v>#REF!</v>
      </c>
      <c r="H16" t="e">
        <f>#REF!+"8O&lt;!Qq"</f>
        <v>#REF!</v>
      </c>
      <c r="I16" t="e">
        <f>#REF!+"8O&lt;!Qr"</f>
        <v>#REF!</v>
      </c>
      <c r="J16" t="e">
        <f>#REF!+"8O&lt;!Qs"</f>
        <v>#REF!</v>
      </c>
      <c r="K16" t="e">
        <f>#REF!+"8O&lt;!Qt"</f>
        <v>#REF!</v>
      </c>
      <c r="L16" t="e">
        <f>#REF!+"8O&lt;!Qu"</f>
        <v>#REF!</v>
      </c>
      <c r="M16" t="e">
        <f>#REF!+"8O&lt;!Qv"</f>
        <v>#REF!</v>
      </c>
      <c r="N16" t="e">
        <f>#REF!+"8O&lt;!Qw"</f>
        <v>#REF!</v>
      </c>
      <c r="O16" t="e">
        <f>#REF!+"8O&lt;!Qx"</f>
        <v>#REF!</v>
      </c>
      <c r="P16" t="e">
        <f>#REF!+"8O&lt;!Qy"</f>
        <v>#REF!</v>
      </c>
      <c r="Q16" t="e">
        <f>#REF!+"8O&lt;!Qz"</f>
        <v>#REF!</v>
      </c>
      <c r="R16" t="e">
        <f>#REF!+"8O&lt;!Q{"</f>
        <v>#REF!</v>
      </c>
      <c r="S16" t="e">
        <f>#REF!+"8O&lt;!Q|"</f>
        <v>#REF!</v>
      </c>
      <c r="T16" t="e">
        <f>#REF!+"8O&lt;!Q}"</f>
        <v>#REF!</v>
      </c>
      <c r="U16" t="e">
        <f>#REF!+"8O&lt;!Q~"</f>
        <v>#REF!</v>
      </c>
      <c r="V16" t="e">
        <f>#REF!+"8O&lt;!R#"</f>
        <v>#REF!</v>
      </c>
      <c r="W16" t="e">
        <f>#REF!+"8O&lt;!R$"</f>
        <v>#REF!</v>
      </c>
      <c r="X16" t="e">
        <f>#REF!+"8O&lt;!R%"</f>
        <v>#REF!</v>
      </c>
      <c r="Y16" t="e">
        <f>#REF!+"8O&lt;!R&amp;"</f>
        <v>#REF!</v>
      </c>
      <c r="Z16" t="e">
        <f>#REF!+"8O&lt;!R'"</f>
        <v>#REF!</v>
      </c>
      <c r="AA16" t="e">
        <f>#REF!+"8O&lt;!R("</f>
        <v>#REF!</v>
      </c>
      <c r="AB16" t="e">
        <f>#REF!+"8O&lt;!R)"</f>
        <v>#REF!</v>
      </c>
      <c r="AC16" t="e">
        <f>#REF!+"8O&lt;!R."</f>
        <v>#REF!</v>
      </c>
      <c r="AD16" t="e">
        <f>#REF!+"8O&lt;!R/"</f>
        <v>#REF!</v>
      </c>
      <c r="AE16" t="e">
        <f>#REF!+"8O&lt;!R0"</f>
        <v>#REF!</v>
      </c>
      <c r="AF16" t="e">
        <f>#REF!+"8O&lt;!R1"</f>
        <v>#REF!</v>
      </c>
      <c r="AG16" t="e">
        <f>#REF!+"8O&lt;!R2"</f>
        <v>#REF!</v>
      </c>
      <c r="AH16" t="e">
        <f>#REF!+"8O&lt;!R3"</f>
        <v>#REF!</v>
      </c>
      <c r="AI16" t="e">
        <f>#REF!+"8O&lt;!R4"</f>
        <v>#REF!</v>
      </c>
      <c r="AJ16" t="e">
        <f>#REF!+"8O&lt;!R5"</f>
        <v>#REF!</v>
      </c>
      <c r="AK16" t="e">
        <f>#REF!+"8O&lt;!R6"</f>
        <v>#REF!</v>
      </c>
      <c r="AL16" t="e">
        <f>#REF!+"8O&lt;!R7"</f>
        <v>#REF!</v>
      </c>
      <c r="AM16" t="e">
        <f>#REF!+"8O&lt;!R8"</f>
        <v>#REF!</v>
      </c>
      <c r="AN16" t="e">
        <f>#REF!+"8O&lt;!R9"</f>
        <v>#REF!</v>
      </c>
      <c r="AO16" t="e">
        <f>#REF!+"8O&lt;!R:"</f>
        <v>#REF!</v>
      </c>
      <c r="AP16" t="e">
        <f>#REF!+"8O&lt;!R;"</f>
        <v>#REF!</v>
      </c>
      <c r="AQ16" t="e">
        <f>#REF!+"8O&lt;!R&lt;"</f>
        <v>#REF!</v>
      </c>
      <c r="AR16" t="e">
        <f>#REF!+"8O&lt;!R="</f>
        <v>#REF!</v>
      </c>
      <c r="AS16" t="e">
        <f>#REF!+"8O&lt;!R&gt;"</f>
        <v>#REF!</v>
      </c>
      <c r="AT16" t="e">
        <f>#REF!+"8O&lt;!R?"</f>
        <v>#REF!</v>
      </c>
      <c r="AU16" t="e">
        <f>#REF!+"8O&lt;!R@"</f>
        <v>#REF!</v>
      </c>
      <c r="AV16" t="e">
        <f>#REF!+"8O&lt;!RA"</f>
        <v>#REF!</v>
      </c>
      <c r="AW16" t="e">
        <f>#REF!+"8O&lt;!RB"</f>
        <v>#REF!</v>
      </c>
      <c r="AX16" t="e">
        <f>#REF!+"8O&lt;!RC"</f>
        <v>#REF!</v>
      </c>
      <c r="AY16" t="e">
        <f>#REF!+"8O&lt;!RD"</f>
        <v>#REF!</v>
      </c>
      <c r="AZ16" t="e">
        <f>#REF!+"8O&lt;!RE"</f>
        <v>#REF!</v>
      </c>
      <c r="BA16" t="e">
        <f>#REF!+"8O&lt;!RF"</f>
        <v>#REF!</v>
      </c>
      <c r="BB16" t="e">
        <f>#REF!+"8O&lt;!RG"</f>
        <v>#REF!</v>
      </c>
      <c r="BC16" t="e">
        <f>#REF!+"8O&lt;!RH"</f>
        <v>#REF!</v>
      </c>
      <c r="BD16" t="e">
        <f>#REF!+"8O&lt;!RI"</f>
        <v>#REF!</v>
      </c>
      <c r="BE16" t="e">
        <f>#REF!+"8O&lt;!RJ"</f>
        <v>#REF!</v>
      </c>
      <c r="BF16" t="e">
        <f>#REF!+"8O&lt;!RK"</f>
        <v>#REF!</v>
      </c>
      <c r="BG16" t="e">
        <f>#REF!+"8O&lt;!RL"</f>
        <v>#REF!</v>
      </c>
      <c r="BH16" t="e">
        <f>#REF!+"8O&lt;!RM"</f>
        <v>#REF!</v>
      </c>
      <c r="BI16" t="e">
        <f>#REF!+"8O&lt;!RN"</f>
        <v>#REF!</v>
      </c>
      <c r="BJ16" t="e">
        <f>#REF!+"8O&lt;!RO"</f>
        <v>#REF!</v>
      </c>
      <c r="BK16" t="e">
        <f>#REF!+"8O&lt;!RP"</f>
        <v>#REF!</v>
      </c>
      <c r="BL16" t="e">
        <f>#REF!+"8O&lt;!RQ"</f>
        <v>#REF!</v>
      </c>
      <c r="BM16" t="e">
        <f>#REF!+"8O&lt;!RR"</f>
        <v>#REF!</v>
      </c>
      <c r="BN16" t="e">
        <f>#REF!+"8O&lt;!RS"</f>
        <v>#REF!</v>
      </c>
      <c r="BO16" t="e">
        <f>#REF!+"8O&lt;!RT"</f>
        <v>#REF!</v>
      </c>
      <c r="BP16" t="e">
        <f>#REF!+"8O&lt;!RU"</f>
        <v>#REF!</v>
      </c>
      <c r="BQ16" t="e">
        <f>#REF!+"8O&lt;!RV"</f>
        <v>#REF!</v>
      </c>
      <c r="BR16" t="e">
        <f>#REF!+"8O&lt;!RW"</f>
        <v>#REF!</v>
      </c>
      <c r="BS16" t="e">
        <f>#REF!+"8O&lt;!RX"</f>
        <v>#REF!</v>
      </c>
      <c r="BT16" t="e">
        <f>#REF!+"8O&lt;!RY"</f>
        <v>#REF!</v>
      </c>
      <c r="BU16" t="e">
        <f>#REF!+"8O&lt;!RZ"</f>
        <v>#REF!</v>
      </c>
      <c r="BV16" t="e">
        <f>#REF!+"8O&lt;!R["</f>
        <v>#REF!</v>
      </c>
      <c r="BW16" t="e">
        <f>#REF!+"8O&lt;!R\"</f>
        <v>#REF!</v>
      </c>
      <c r="BX16" t="e">
        <f>#REF!+"8O&lt;!R]"</f>
        <v>#REF!</v>
      </c>
      <c r="BY16" t="e">
        <f>#REF!+"8O&lt;!R^"</f>
        <v>#REF!</v>
      </c>
      <c r="BZ16" t="e">
        <f>#REF!+"8O&lt;!R_"</f>
        <v>#REF!</v>
      </c>
      <c r="CA16" t="e">
        <f>#REF!+"8O&lt;!R`"</f>
        <v>#REF!</v>
      </c>
      <c r="CB16" t="e">
        <f>#REF!+"8O&lt;!Ra"</f>
        <v>#REF!</v>
      </c>
      <c r="CC16" t="e">
        <f>#REF!+"8O&lt;!Rb"</f>
        <v>#REF!</v>
      </c>
      <c r="CD16" t="e">
        <f>#REF!+"8O&lt;!Rc"</f>
        <v>#REF!</v>
      </c>
      <c r="CE16" t="e">
        <f>#REF!+"8O&lt;!Rd"</f>
        <v>#REF!</v>
      </c>
      <c r="CF16" t="e">
        <f>#REF!+"8O&lt;!Re"</f>
        <v>#REF!</v>
      </c>
      <c r="CG16" t="e">
        <f>#REF!+"8O&lt;!Rf"</f>
        <v>#REF!</v>
      </c>
      <c r="CH16" t="e">
        <f>#REF!+"8O&lt;!Rg"</f>
        <v>#REF!</v>
      </c>
      <c r="CI16" t="e">
        <f>#REF!+"8O&lt;!Rh"</f>
        <v>#REF!</v>
      </c>
      <c r="CJ16" t="e">
        <f>#REF!+"8O&lt;!Ri"</f>
        <v>#REF!</v>
      </c>
      <c r="CK16" t="e">
        <f>#REF!+"8O&lt;!Rj"</f>
        <v>#REF!</v>
      </c>
      <c r="CL16" t="e">
        <f>#REF!+"8O&lt;!Rk"</f>
        <v>#REF!</v>
      </c>
      <c r="CM16" t="e">
        <f>#REF!+"8O&lt;!Rl"</f>
        <v>#REF!</v>
      </c>
      <c r="CN16" t="e">
        <f>#REF!+"8O&lt;!Rm"</f>
        <v>#REF!</v>
      </c>
      <c r="CO16" t="e">
        <f>#REF!+"8O&lt;!Rn"</f>
        <v>#REF!</v>
      </c>
      <c r="CP16" t="e">
        <f>#REF!+"8O&lt;!Ro"</f>
        <v>#REF!</v>
      </c>
      <c r="CQ16" t="e">
        <f>#REF!+"8O&lt;!Rp"</f>
        <v>#REF!</v>
      </c>
      <c r="CR16" t="e">
        <f>#REF!+"8O&lt;!Rq"</f>
        <v>#REF!</v>
      </c>
      <c r="CS16" t="e">
        <f>#REF!+"8O&lt;!Rr"</f>
        <v>#REF!</v>
      </c>
      <c r="CT16" t="e">
        <f>#REF!+"8O&lt;!Rs"</f>
        <v>#REF!</v>
      </c>
      <c r="CU16" t="e">
        <f>#REF!+"8O&lt;!Rt"</f>
        <v>#REF!</v>
      </c>
      <c r="CV16" t="e">
        <f>#REF!+"8O&lt;!Ru"</f>
        <v>#REF!</v>
      </c>
      <c r="CW16" t="e">
        <f>#REF!+"8O&lt;!Rv"</f>
        <v>#REF!</v>
      </c>
      <c r="CX16" t="e">
        <f>#REF!+"8O&lt;!Rw"</f>
        <v>#REF!</v>
      </c>
      <c r="CY16" t="e">
        <f>#REF!+"8O&lt;!Rx"</f>
        <v>#REF!</v>
      </c>
      <c r="CZ16" t="e">
        <f>#REF!+"8O&lt;!Ry"</f>
        <v>#REF!</v>
      </c>
      <c r="DA16" t="e">
        <f>#REF!+"8O&lt;!Rz"</f>
        <v>#REF!</v>
      </c>
      <c r="DB16" t="e">
        <f>#REF!+"8O&lt;!R{"</f>
        <v>#REF!</v>
      </c>
      <c r="DC16" t="e">
        <f>#REF!+"8O&lt;!R|"</f>
        <v>#REF!</v>
      </c>
      <c r="DD16" t="e">
        <f>#REF!+"8O&lt;!R}"</f>
        <v>#REF!</v>
      </c>
      <c r="DE16" t="e">
        <f>#REF!+"8O&lt;!R~"</f>
        <v>#REF!</v>
      </c>
      <c r="DF16" t="e">
        <f>#REF!+"8O&lt;!S#"</f>
        <v>#REF!</v>
      </c>
      <c r="DG16" t="e">
        <f>#REF!+"8O&lt;!S$"</f>
        <v>#REF!</v>
      </c>
      <c r="DH16" t="e">
        <f>#REF!+"8O&lt;!S%"</f>
        <v>#REF!</v>
      </c>
      <c r="DI16" t="e">
        <f>#REF!+"8O&lt;!S&amp;"</f>
        <v>#REF!</v>
      </c>
      <c r="DJ16" t="e">
        <f>#REF!+"8O&lt;!S'"</f>
        <v>#REF!</v>
      </c>
      <c r="DK16" t="e">
        <f>#REF!+"8O&lt;!S("</f>
        <v>#REF!</v>
      </c>
      <c r="DL16" t="e">
        <f>#REF!+"8O&lt;!S)"</f>
        <v>#REF!</v>
      </c>
      <c r="DM16" t="e">
        <f>#REF!+"8O&lt;!S."</f>
        <v>#REF!</v>
      </c>
      <c r="DN16" t="e">
        <f>#REF!+"8O&lt;!S/"</f>
        <v>#REF!</v>
      </c>
      <c r="DO16" t="e">
        <f>#REF!+"8O&lt;!S0"</f>
        <v>#REF!</v>
      </c>
      <c r="DP16" t="e">
        <f>#REF!+"8O&lt;!S1"</f>
        <v>#REF!</v>
      </c>
      <c r="DQ16" t="e">
        <f>#REF!+"8O&lt;!S2"</f>
        <v>#REF!</v>
      </c>
      <c r="DR16" t="e">
        <f>#REF!+"8O&lt;!S3"</f>
        <v>#REF!</v>
      </c>
      <c r="DS16" t="e">
        <f>#REF!+"8O&lt;!S4"</f>
        <v>#REF!</v>
      </c>
      <c r="DT16" t="e">
        <f>#REF!+"8O&lt;!S5"</f>
        <v>#REF!</v>
      </c>
      <c r="DU16" t="e">
        <f>#REF!+"8O&lt;!S6"</f>
        <v>#REF!</v>
      </c>
      <c r="DV16" t="e">
        <f>#REF!+"8O&lt;!S7"</f>
        <v>#REF!</v>
      </c>
      <c r="DW16" t="e">
        <f>#REF!+"8O&lt;!S8"</f>
        <v>#REF!</v>
      </c>
      <c r="DX16" t="e">
        <f>#REF!+"8O&lt;!S9"</f>
        <v>#REF!</v>
      </c>
      <c r="DY16" t="e">
        <f>#REF!+"8O&lt;!S:"</f>
        <v>#REF!</v>
      </c>
      <c r="DZ16" t="e">
        <f>#REF!+"8O&lt;!S;"</f>
        <v>#REF!</v>
      </c>
      <c r="EA16" t="e">
        <f>#REF!+"8O&lt;!S&lt;"</f>
        <v>#REF!</v>
      </c>
      <c r="EB16" t="e">
        <f>#REF!+"8O&lt;!S="</f>
        <v>#REF!</v>
      </c>
      <c r="EC16" t="e">
        <f>#REF!+"8O&lt;!S&gt;"</f>
        <v>#REF!</v>
      </c>
      <c r="ED16" t="e">
        <f>#REF!+"8O&lt;!S?"</f>
        <v>#REF!</v>
      </c>
      <c r="EE16" t="e">
        <f>#REF!+"8O&lt;!S@"</f>
        <v>#REF!</v>
      </c>
      <c r="EF16" t="e">
        <f>#REF!+"8O&lt;!SA"</f>
        <v>#REF!</v>
      </c>
      <c r="EG16" t="e">
        <f>#REF!+"8O&lt;!SB"</f>
        <v>#REF!</v>
      </c>
      <c r="EH16" t="e">
        <f>#REF!+"8O&lt;!SC"</f>
        <v>#REF!</v>
      </c>
      <c r="EI16" t="e">
        <f>#REF!+"8O&lt;!SD"</f>
        <v>#REF!</v>
      </c>
      <c r="EJ16" t="e">
        <f>#REF!+"8O&lt;!SE"</f>
        <v>#REF!</v>
      </c>
      <c r="EK16" t="e">
        <f>#REF!+"8O&lt;!SF"</f>
        <v>#REF!</v>
      </c>
      <c r="EL16" t="e">
        <f>#REF!+"8O&lt;!SG"</f>
        <v>#REF!</v>
      </c>
      <c r="EM16" t="e">
        <f>#REF!+"8O&lt;!SH"</f>
        <v>#REF!</v>
      </c>
      <c r="EN16" t="e">
        <f>#REF!+"8O&lt;!SI"</f>
        <v>#REF!</v>
      </c>
      <c r="EO16" t="e">
        <f>#REF!+"8O&lt;!SJ"</f>
        <v>#REF!</v>
      </c>
      <c r="EP16" t="e">
        <f>#REF!+"8O&lt;!SK"</f>
        <v>#REF!</v>
      </c>
      <c r="EQ16" t="e">
        <f>#REF!+"8O&lt;!SL"</f>
        <v>#REF!</v>
      </c>
      <c r="ER16" t="e">
        <f>#REF!+"8O&lt;!SM"</f>
        <v>#REF!</v>
      </c>
      <c r="ES16" t="e">
        <f>#REF!+"8O&lt;!SN"</f>
        <v>#REF!</v>
      </c>
      <c r="ET16" t="e">
        <f>#REF!+"8O&lt;!SO"</f>
        <v>#REF!</v>
      </c>
      <c r="EU16" t="e">
        <f>#REF!+"8O&lt;!SP"</f>
        <v>#REF!</v>
      </c>
      <c r="EV16" t="e">
        <f>#REF!+"8O&lt;!SQ"</f>
        <v>#REF!</v>
      </c>
      <c r="EW16" t="e">
        <f>#REF!+"8O&lt;!SR"</f>
        <v>#REF!</v>
      </c>
      <c r="EX16" t="e">
        <f>#REF!+"8O&lt;!SS"</f>
        <v>#REF!</v>
      </c>
      <c r="EY16" t="e">
        <f>#REF!+"8O&lt;!ST"</f>
        <v>#REF!</v>
      </c>
      <c r="EZ16" t="e">
        <f>#REF!+"8O&lt;!SU"</f>
        <v>#REF!</v>
      </c>
      <c r="FA16" t="e">
        <f>#REF!+"8O&lt;!SV"</f>
        <v>#REF!</v>
      </c>
      <c r="FB16" t="e">
        <f>#REF!+"8O&lt;!SW"</f>
        <v>#REF!</v>
      </c>
      <c r="FC16" t="e">
        <f>#REF!+"8O&lt;!SX"</f>
        <v>#REF!</v>
      </c>
      <c r="FD16" t="e">
        <f>#REF!+"8O&lt;!SY"</f>
        <v>#REF!</v>
      </c>
      <c r="FE16" t="e">
        <f>#REF!+"8O&lt;!SZ"</f>
        <v>#REF!</v>
      </c>
      <c r="FF16" t="e">
        <f>#REF!+"8O&lt;!S["</f>
        <v>#REF!</v>
      </c>
      <c r="FG16" t="e">
        <f>#REF!+"8O&lt;!S\"</f>
        <v>#REF!</v>
      </c>
      <c r="FH16" t="e">
        <f>#REF!+"8O&lt;!S]"</f>
        <v>#REF!</v>
      </c>
      <c r="FI16" t="e">
        <f>#REF!+"8O&lt;!S^"</f>
        <v>#REF!</v>
      </c>
      <c r="FJ16" t="e">
        <f>#REF!+"8O&lt;!S_"</f>
        <v>#REF!</v>
      </c>
      <c r="FK16" t="e">
        <f>#REF!+"8O&lt;!S`"</f>
        <v>#REF!</v>
      </c>
      <c r="FL16" t="e">
        <f>#REF!+"8O&lt;!Sa"</f>
        <v>#REF!</v>
      </c>
      <c r="FM16" t="e">
        <f>#REF!+"8O&lt;!Sb"</f>
        <v>#REF!</v>
      </c>
      <c r="FN16" t="e">
        <f>#REF!+"8O&lt;!Sc"</f>
        <v>#REF!</v>
      </c>
      <c r="FO16" t="e">
        <f>#REF!+"8O&lt;!Sd"</f>
        <v>#REF!</v>
      </c>
      <c r="FP16" t="e">
        <f>#REF!+"8O&lt;!Se"</f>
        <v>#REF!</v>
      </c>
      <c r="FQ16" t="e">
        <f>#REF!+"8O&lt;!Sf"</f>
        <v>#REF!</v>
      </c>
      <c r="FR16" t="e">
        <f>#REF!+"8O&lt;!Sg"</f>
        <v>#REF!</v>
      </c>
      <c r="FS16" t="e">
        <f>#REF!+"8O&lt;!Sh"</f>
        <v>#REF!</v>
      </c>
      <c r="FT16" t="e">
        <f>#REF!+"8O&lt;!Si"</f>
        <v>#REF!</v>
      </c>
      <c r="FU16" t="e">
        <f>#REF!+"8O&lt;!Sj"</f>
        <v>#REF!</v>
      </c>
      <c r="FV16" t="e">
        <f>#REF!+"8O&lt;!Sk"</f>
        <v>#REF!</v>
      </c>
      <c r="FW16" t="e">
        <f>#REF!+"8O&lt;!Sl"</f>
        <v>#REF!</v>
      </c>
      <c r="FX16" t="e">
        <f>#REF!+"8O&lt;!Sm"</f>
        <v>#REF!</v>
      </c>
      <c r="FY16" t="e">
        <f>#REF!+"8O&lt;!Sn"</f>
        <v>#REF!</v>
      </c>
      <c r="FZ16" t="e">
        <f>#REF!+"8O&lt;!So"</f>
        <v>#REF!</v>
      </c>
      <c r="GA16" t="e">
        <f>#REF!+"8O&lt;!Sp"</f>
        <v>#REF!</v>
      </c>
      <c r="GB16" t="e">
        <f>#REF!+"8O&lt;!Sq"</f>
        <v>#REF!</v>
      </c>
      <c r="GC16" t="e">
        <f>#REF!+"8O&lt;!Sr"</f>
        <v>#REF!</v>
      </c>
      <c r="GD16" t="e">
        <f>#REF!+"8O&lt;!Ss"</f>
        <v>#REF!</v>
      </c>
      <c r="GE16" t="e">
        <f>#REF!+"8O&lt;!St"</f>
        <v>#REF!</v>
      </c>
      <c r="GF16" t="e">
        <f>#REF!+"8O&lt;!Su"</f>
        <v>#REF!</v>
      </c>
      <c r="GG16" t="e">
        <f>#REF!+"8O&lt;!Sv"</f>
        <v>#REF!</v>
      </c>
      <c r="GH16" t="e">
        <f>#REF!+"8O&lt;!Sw"</f>
        <v>#REF!</v>
      </c>
      <c r="GI16" t="e">
        <f>#REF!+"8O&lt;!Sx"</f>
        <v>#REF!</v>
      </c>
      <c r="GJ16" t="e">
        <f>#REF!+"8O&lt;!Sy"</f>
        <v>#REF!</v>
      </c>
      <c r="GK16" t="e">
        <f>#REF!+"8O&lt;!Sz"</f>
        <v>#REF!</v>
      </c>
      <c r="GL16" t="e">
        <f>#REF!+"8O&lt;!S{"</f>
        <v>#REF!</v>
      </c>
      <c r="GM16" t="e">
        <f>#REF!+"8O&lt;!S|"</f>
        <v>#REF!</v>
      </c>
      <c r="GN16" t="e">
        <f>#REF!+"8O&lt;!S}"</f>
        <v>#REF!</v>
      </c>
      <c r="GO16" t="e">
        <f>#REF!+"8O&lt;!S~"</f>
        <v>#REF!</v>
      </c>
      <c r="GP16" t="e">
        <f>#REF!+"8O&lt;!T#"</f>
        <v>#REF!</v>
      </c>
      <c r="GQ16" t="e">
        <f>#REF!+"8O&lt;!T$"</f>
        <v>#REF!</v>
      </c>
      <c r="GR16" t="e">
        <f>#REF!+"8O&lt;!T%"</f>
        <v>#REF!</v>
      </c>
      <c r="GS16" t="e">
        <f>#REF!+"8O&lt;!T&amp;"</f>
        <v>#REF!</v>
      </c>
      <c r="GT16" t="e">
        <f>#REF!+"8O&lt;!T'"</f>
        <v>#REF!</v>
      </c>
      <c r="GU16" t="e">
        <f>#REF!+"8O&lt;!T("</f>
        <v>#REF!</v>
      </c>
      <c r="GV16" t="e">
        <f>#REF!+"8O&lt;!T)"</f>
        <v>#REF!</v>
      </c>
      <c r="GW16" t="e">
        <f>#REF!+"8O&lt;!T."</f>
        <v>#REF!</v>
      </c>
      <c r="GX16" t="e">
        <f>#REF!+"8O&lt;!T/"</f>
        <v>#REF!</v>
      </c>
      <c r="GY16" t="e">
        <f>#REF!+"8O&lt;!T0"</f>
        <v>#REF!</v>
      </c>
      <c r="GZ16" t="e">
        <f>#REF!+"8O&lt;!T1"</f>
        <v>#REF!</v>
      </c>
      <c r="HA16" t="e">
        <f>#REF!+"8O&lt;!T2"</f>
        <v>#REF!</v>
      </c>
      <c r="HB16" t="e">
        <f>#REF!+"8O&lt;!T3"</f>
        <v>#REF!</v>
      </c>
      <c r="HC16" t="e">
        <f>#REF!+"8O&lt;!T4"</f>
        <v>#REF!</v>
      </c>
      <c r="HD16" t="e">
        <f>#REF!+"8O&lt;!T5"</f>
        <v>#REF!</v>
      </c>
      <c r="HE16" t="e">
        <f>#REF!+"8O&lt;!T6"</f>
        <v>#REF!</v>
      </c>
      <c r="HF16" t="e">
        <f>#REF!+"8O&lt;!T7"</f>
        <v>#REF!</v>
      </c>
      <c r="HG16" t="e">
        <f>#REF!+"8O&lt;!T8"</f>
        <v>#REF!</v>
      </c>
      <c r="HH16" t="e">
        <f>#REF!+"8O&lt;!T9"</f>
        <v>#REF!</v>
      </c>
      <c r="HI16" t="e">
        <f>#REF!+"8O&lt;!T:"</f>
        <v>#REF!</v>
      </c>
      <c r="HJ16" t="e">
        <f>#REF!+"8O&lt;!T;"</f>
        <v>#REF!</v>
      </c>
      <c r="HK16" t="e">
        <f>#REF!+"8O&lt;!T&lt;"</f>
        <v>#REF!</v>
      </c>
      <c r="HL16" t="e">
        <f>#REF!+"8O&lt;!T="</f>
        <v>#REF!</v>
      </c>
      <c r="HM16" t="e">
        <f>#REF!+"8O&lt;!T&gt;"</f>
        <v>#REF!</v>
      </c>
      <c r="HN16" t="e">
        <f>#REF!+"8O&lt;!T?"</f>
        <v>#REF!</v>
      </c>
      <c r="HO16" t="e">
        <f>#REF!+"8O&lt;!T@"</f>
        <v>#REF!</v>
      </c>
      <c r="HP16" t="e">
        <f>#REF!+"8O&lt;!TA"</f>
        <v>#REF!</v>
      </c>
      <c r="HQ16" t="e">
        <f>#REF!+"8O&lt;!TB"</f>
        <v>#REF!</v>
      </c>
      <c r="HR16" t="e">
        <f>#REF!+"8O&lt;!TC"</f>
        <v>#REF!</v>
      </c>
      <c r="HS16" t="e">
        <f>#REF!+"8O&lt;!TD"</f>
        <v>#REF!</v>
      </c>
      <c r="HT16" t="e">
        <f>#REF!+"8O&lt;!TE"</f>
        <v>#REF!</v>
      </c>
      <c r="HU16" t="e">
        <f>#REF!+"8O&lt;!TF"</f>
        <v>#REF!</v>
      </c>
      <c r="HV16" t="e">
        <f>#REF!+"8O&lt;!TG"</f>
        <v>#REF!</v>
      </c>
      <c r="HW16" t="e">
        <f>#REF!+"8O&lt;!TH"</f>
        <v>#REF!</v>
      </c>
      <c r="HX16" t="e">
        <f>#REF!+"8O&lt;!TI"</f>
        <v>#REF!</v>
      </c>
      <c r="HY16" t="e">
        <f>#REF!+"8O&lt;!TJ"</f>
        <v>#REF!</v>
      </c>
      <c r="HZ16" t="e">
        <f>#REF!+"8O&lt;!TK"</f>
        <v>#REF!</v>
      </c>
      <c r="IA16" t="e">
        <f>#REF!+"8O&lt;!TL"</f>
        <v>#REF!</v>
      </c>
      <c r="IB16" t="e">
        <f>#REF!+"8O&lt;!TM"</f>
        <v>#REF!</v>
      </c>
      <c r="IC16" t="e">
        <f>#REF!+"8O&lt;!TN"</f>
        <v>#REF!</v>
      </c>
      <c r="ID16" t="e">
        <f>#REF!+"8O&lt;!TO"</f>
        <v>#REF!</v>
      </c>
      <c r="IE16" t="e">
        <f>#REF!+"8O&lt;!TP"</f>
        <v>#REF!</v>
      </c>
      <c r="IF16" t="e">
        <f>#REF!+"8O&lt;!TQ"</f>
        <v>#REF!</v>
      </c>
      <c r="IG16" t="e">
        <f>#REF!+"8O&lt;!TR"</f>
        <v>#REF!</v>
      </c>
      <c r="IH16" t="e">
        <f>#REF!+"8O&lt;!TS"</f>
        <v>#REF!</v>
      </c>
      <c r="II16" t="e">
        <f>#REF!+"8O&lt;!TT"</f>
        <v>#REF!</v>
      </c>
      <c r="IJ16" t="e">
        <f>#REF!+"8O&lt;!TU"</f>
        <v>#REF!</v>
      </c>
      <c r="IK16" t="e">
        <f>#REF!+"8O&lt;!TV"</f>
        <v>#REF!</v>
      </c>
      <c r="IL16" t="e">
        <f>#REF!+"8O&lt;!TW"</f>
        <v>#REF!</v>
      </c>
      <c r="IM16" t="e">
        <f>#REF!+"8O&lt;!TX"</f>
        <v>#REF!</v>
      </c>
      <c r="IN16" t="e">
        <f>#REF!+"8O&lt;!TY"</f>
        <v>#REF!</v>
      </c>
      <c r="IO16" t="e">
        <f>#REF!+"8O&lt;!TZ"</f>
        <v>#REF!</v>
      </c>
      <c r="IP16" t="e">
        <f>#REF!+"8O&lt;!T["</f>
        <v>#REF!</v>
      </c>
      <c r="IQ16" t="e">
        <f>#REF!+"8O&lt;!T\"</f>
        <v>#REF!</v>
      </c>
      <c r="IR16" t="e">
        <f>#REF!+"8O&lt;!T]"</f>
        <v>#REF!</v>
      </c>
      <c r="IS16" t="e">
        <f>#REF!+"8O&lt;!T^"</f>
        <v>#REF!</v>
      </c>
      <c r="IT16" t="e">
        <f>#REF!+"8O&lt;!T_"</f>
        <v>#REF!</v>
      </c>
      <c r="IU16" t="e">
        <f>#REF!+"8O&lt;!T`"</f>
        <v>#REF!</v>
      </c>
      <c r="IV16" t="e">
        <f>#REF!+"8O&lt;!Ta"</f>
        <v>#REF!</v>
      </c>
    </row>
    <row r="17" spans="6:256" x14ac:dyDescent="0.25">
      <c r="F17" t="e">
        <f>#REF!+"8O&lt;!Tb"</f>
        <v>#REF!</v>
      </c>
      <c r="G17" t="e">
        <f>#REF!+"8O&lt;!Tc"</f>
        <v>#REF!</v>
      </c>
      <c r="H17" t="e">
        <f>#REF!+"8O&lt;!Td"</f>
        <v>#REF!</v>
      </c>
      <c r="I17" t="e">
        <f>#REF!+"8O&lt;!Te"</f>
        <v>#REF!</v>
      </c>
      <c r="J17" t="e">
        <f>#REF!+"8O&lt;!Tf"</f>
        <v>#REF!</v>
      </c>
      <c r="K17" t="e">
        <f>#REF!+"8O&lt;!Tg"</f>
        <v>#REF!</v>
      </c>
      <c r="L17" t="e">
        <f>#REF!+"8O&lt;!Th"</f>
        <v>#REF!</v>
      </c>
      <c r="M17" t="e">
        <f>#REF!+"8O&lt;!Ti"</f>
        <v>#REF!</v>
      </c>
      <c r="N17" t="e">
        <f>#REF!+"8O&lt;!Tj"</f>
        <v>#REF!</v>
      </c>
      <c r="O17" t="e">
        <f>#REF!+"8O&lt;!Tk"</f>
        <v>#REF!</v>
      </c>
      <c r="P17" t="e">
        <f>#REF!+"8O&lt;!Tl"</f>
        <v>#REF!</v>
      </c>
      <c r="Q17" t="e">
        <f>#REF!+"8O&lt;!Tm"</f>
        <v>#REF!</v>
      </c>
      <c r="R17" t="e">
        <f>#REF!+"8O&lt;!Tn"</f>
        <v>#REF!</v>
      </c>
      <c r="S17" t="e">
        <f>#REF!+"8O&lt;!To"</f>
        <v>#REF!</v>
      </c>
      <c r="T17" t="e">
        <f>#REF!+"8O&lt;!Tp"</f>
        <v>#REF!</v>
      </c>
      <c r="U17" t="e">
        <f>#REF!+"8O&lt;!Tq"</f>
        <v>#REF!</v>
      </c>
      <c r="V17" t="e">
        <f>#REF!+"8O&lt;!Tr"</f>
        <v>#REF!</v>
      </c>
      <c r="W17" t="e">
        <f>#REF!+"8O&lt;!Ts"</f>
        <v>#REF!</v>
      </c>
      <c r="X17" t="e">
        <f>#REF!+"8O&lt;!Tt"</f>
        <v>#REF!</v>
      </c>
      <c r="Y17" t="e">
        <f>#REF!+"8O&lt;!Tu"</f>
        <v>#REF!</v>
      </c>
      <c r="Z17" t="e">
        <f>#REF!+"8O&lt;!Tv"</f>
        <v>#REF!</v>
      </c>
      <c r="AA17" t="e">
        <f>#REF!+"8O&lt;!Tw"</f>
        <v>#REF!</v>
      </c>
      <c r="AB17" t="e">
        <f>#REF!+"8O&lt;!Tx"</f>
        <v>#REF!</v>
      </c>
      <c r="AC17" t="e">
        <f>#REF!+"8O&lt;!Ty"</f>
        <v>#REF!</v>
      </c>
      <c r="AD17" t="e">
        <f>#REF!+"8O&lt;!Tz"</f>
        <v>#REF!</v>
      </c>
      <c r="AE17" t="e">
        <f>#REF!+"8O&lt;!T{"</f>
        <v>#REF!</v>
      </c>
      <c r="AF17" t="e">
        <f>#REF!+"8O&lt;!T|"</f>
        <v>#REF!</v>
      </c>
      <c r="AG17" t="e">
        <f>#REF!+"8O&lt;!T}"</f>
        <v>#REF!</v>
      </c>
      <c r="AH17" t="e">
        <f>#REF!+"8O&lt;!T~"</f>
        <v>#REF!</v>
      </c>
      <c r="AI17" t="e">
        <f>#REF!+"8O&lt;!U#"</f>
        <v>#REF!</v>
      </c>
      <c r="AJ17" t="e">
        <f>#REF!+"8O&lt;!U$"</f>
        <v>#REF!</v>
      </c>
      <c r="AK17" t="e">
        <f>#REF!+"8O&lt;!U%"</f>
        <v>#REF!</v>
      </c>
      <c r="AL17" t="e">
        <f>#REF!+"8O&lt;!U&amp;"</f>
        <v>#REF!</v>
      </c>
      <c r="AM17" t="e">
        <f>#REF!+"8O&lt;!U'"</f>
        <v>#REF!</v>
      </c>
      <c r="AN17" t="e">
        <f>#REF!+"8O&lt;!U("</f>
        <v>#REF!</v>
      </c>
      <c r="AO17" t="e">
        <f>#REF!+"8O&lt;!U)"</f>
        <v>#REF!</v>
      </c>
      <c r="AP17" t="e">
        <f>#REF!+"8O&lt;!U."</f>
        <v>#REF!</v>
      </c>
      <c r="AQ17" t="e">
        <f>#REF!+"8O&lt;!U/"</f>
        <v>#REF!</v>
      </c>
      <c r="AR17" t="e">
        <f>#REF!+"8O&lt;!U0"</f>
        <v>#REF!</v>
      </c>
      <c r="AS17" t="e">
        <f>#REF!+"8O&lt;!U1"</f>
        <v>#REF!</v>
      </c>
      <c r="AT17" t="e">
        <f>#REF!+"8O&lt;!U2"</f>
        <v>#REF!</v>
      </c>
      <c r="AU17" t="e">
        <f>#REF!+"8O&lt;!U3"</f>
        <v>#REF!</v>
      </c>
      <c r="AV17" t="e">
        <f>#REF!+"8O&lt;!U4"</f>
        <v>#REF!</v>
      </c>
      <c r="AW17" t="e">
        <f>#REF!+"8O&lt;!U5"</f>
        <v>#REF!</v>
      </c>
      <c r="AX17" t="e">
        <f>#REF!+"8O&lt;!U6"</f>
        <v>#REF!</v>
      </c>
      <c r="AY17" t="e">
        <f>#REF!+"8O&lt;!U7"</f>
        <v>#REF!</v>
      </c>
      <c r="AZ17" t="e">
        <f>#REF!+"8O&lt;!U8"</f>
        <v>#REF!</v>
      </c>
      <c r="BA17" t="e">
        <f>#REF!+"8O&lt;!U9"</f>
        <v>#REF!</v>
      </c>
      <c r="BB17" t="e">
        <f>#REF!+"8O&lt;!U:"</f>
        <v>#REF!</v>
      </c>
      <c r="BC17" t="e">
        <f>#REF!+"8O&lt;!U;"</f>
        <v>#REF!</v>
      </c>
      <c r="BD17" t="e">
        <f>#REF!+"8O&lt;!U&lt;"</f>
        <v>#REF!</v>
      </c>
      <c r="BE17" t="e">
        <f>#REF!+"8O&lt;!U="</f>
        <v>#REF!</v>
      </c>
      <c r="BF17" t="e">
        <f>#REF!+"8O&lt;!U&gt;"</f>
        <v>#REF!</v>
      </c>
      <c r="BG17" t="e">
        <f>#REF!+"8O&lt;!U?"</f>
        <v>#REF!</v>
      </c>
      <c r="BH17" t="e">
        <f>#REF!+"8O&lt;!U@"</f>
        <v>#REF!</v>
      </c>
      <c r="BI17" t="e">
        <f>#REF!+"8O&lt;!UA"</f>
        <v>#REF!</v>
      </c>
      <c r="BJ17" t="e">
        <f>#REF!+"8O&lt;!UB"</f>
        <v>#REF!</v>
      </c>
      <c r="BK17" t="e">
        <f>#REF!+"8O&lt;!UC"</f>
        <v>#REF!</v>
      </c>
      <c r="BL17" t="e">
        <f>#REF!+"8O&lt;!UD"</f>
        <v>#REF!</v>
      </c>
      <c r="BM17" t="e">
        <f>#REF!+"8O&lt;!UE"</f>
        <v>#REF!</v>
      </c>
      <c r="BN17" t="e">
        <f>#REF!+"8O&lt;!UF"</f>
        <v>#REF!</v>
      </c>
      <c r="BO17" t="e">
        <f>#REF!+"8O&lt;!UG"</f>
        <v>#REF!</v>
      </c>
      <c r="BP17" t="e">
        <f>#REF!+"8O&lt;!UH"</f>
        <v>#REF!</v>
      </c>
      <c r="BQ17" t="e">
        <f>#REF!+"8O&lt;!UI"</f>
        <v>#REF!</v>
      </c>
      <c r="BR17" t="e">
        <f>#REF!+"8O&lt;!UJ"</f>
        <v>#REF!</v>
      </c>
      <c r="BS17" t="e">
        <f>#REF!+"8O&lt;!UK"</f>
        <v>#REF!</v>
      </c>
      <c r="BT17" t="e">
        <f>#REF!+"8O&lt;!UL"</f>
        <v>#REF!</v>
      </c>
      <c r="BU17" t="e">
        <f>#REF!+"8O&lt;!UM"</f>
        <v>#REF!</v>
      </c>
      <c r="BV17" t="e">
        <f>#REF!+"8O&lt;!UN"</f>
        <v>#REF!</v>
      </c>
      <c r="BW17" t="e">
        <f>#REF!+"8O&lt;!UO"</f>
        <v>#REF!</v>
      </c>
      <c r="BX17" t="e">
        <f>#REF!+"8O&lt;!UP"</f>
        <v>#REF!</v>
      </c>
      <c r="BY17" t="e">
        <f>#REF!+"8O&lt;!UQ"</f>
        <v>#REF!</v>
      </c>
      <c r="BZ17" t="e">
        <f>#REF!+"8O&lt;!UR"</f>
        <v>#REF!</v>
      </c>
      <c r="CA17" t="e">
        <f>#REF!+"8O&lt;!US"</f>
        <v>#REF!</v>
      </c>
      <c r="CB17" t="e">
        <f>#REF!+"8O&lt;!UT"</f>
        <v>#REF!</v>
      </c>
      <c r="CC17" t="e">
        <f>#REF!+"8O&lt;!UU"</f>
        <v>#REF!</v>
      </c>
      <c r="CD17" t="e">
        <f>#REF!+"8O&lt;!UV"</f>
        <v>#REF!</v>
      </c>
      <c r="CE17" t="e">
        <f>#REF!+"8O&lt;!UW"</f>
        <v>#REF!</v>
      </c>
      <c r="CF17" t="e">
        <f>#REF!+"8O&lt;!UX"</f>
        <v>#REF!</v>
      </c>
      <c r="CG17" t="e">
        <f>#REF!+"8O&lt;!UY"</f>
        <v>#REF!</v>
      </c>
      <c r="CH17" t="e">
        <f>#REF!+"8O&lt;!UZ"</f>
        <v>#REF!</v>
      </c>
      <c r="CI17" t="e">
        <f>#REF!+"8O&lt;!U["</f>
        <v>#REF!</v>
      </c>
      <c r="CJ17" t="e">
        <f>#REF!+"8O&lt;!U\"</f>
        <v>#REF!</v>
      </c>
      <c r="CK17" t="e">
        <f>#REF!+"8O&lt;!U]"</f>
        <v>#REF!</v>
      </c>
      <c r="CL17" t="e">
        <f>#REF!+"8O&lt;!U^"</f>
        <v>#REF!</v>
      </c>
      <c r="CM17" t="e">
        <f>#REF!+"8O&lt;!U_"</f>
        <v>#REF!</v>
      </c>
      <c r="CN17" t="e">
        <f>#REF!+"8O&lt;!U`"</f>
        <v>#REF!</v>
      </c>
      <c r="CO17" t="e">
        <f>#REF!+"8O&lt;!Ua"</f>
        <v>#REF!</v>
      </c>
      <c r="CP17" t="e">
        <f>#REF!+"8O&lt;!Ub"</f>
        <v>#REF!</v>
      </c>
      <c r="CQ17" t="e">
        <f>#REF!+"8O&lt;!Uc"</f>
        <v>#REF!</v>
      </c>
      <c r="CR17" t="e">
        <f>#REF!+"8O&lt;!Ud"</f>
        <v>#REF!</v>
      </c>
      <c r="CS17" t="e">
        <f>#REF!+"8O&lt;!Ue"</f>
        <v>#REF!</v>
      </c>
      <c r="CT17" t="e">
        <f>#REF!+"8O&lt;!Uf"</f>
        <v>#REF!</v>
      </c>
      <c r="CU17" t="e">
        <f>#REF!+"8O&lt;!Ug"</f>
        <v>#REF!</v>
      </c>
      <c r="CV17" t="e">
        <f>#REF!+"8O&lt;!Uh"</f>
        <v>#REF!</v>
      </c>
      <c r="CW17" t="e">
        <f>#REF!+"8O&lt;!Ui"</f>
        <v>#REF!</v>
      </c>
      <c r="CX17" t="e">
        <f>#REF!+"8O&lt;!Uj"</f>
        <v>#REF!</v>
      </c>
      <c r="CY17" t="e">
        <f>#REF!+"8O&lt;!Uk"</f>
        <v>#REF!</v>
      </c>
      <c r="CZ17" t="e">
        <f>#REF!+"8O&lt;!Ul"</f>
        <v>#REF!</v>
      </c>
      <c r="DA17" t="e">
        <f>#REF!+"8O&lt;!Um"</f>
        <v>#REF!</v>
      </c>
      <c r="DB17" t="e">
        <f>#REF!+"8O&lt;!Un"</f>
        <v>#REF!</v>
      </c>
      <c r="DC17" t="e">
        <f>#REF!+"8O&lt;!Uo"</f>
        <v>#REF!</v>
      </c>
      <c r="DD17" t="e">
        <f>#REF!+"8O&lt;!Up"</f>
        <v>#REF!</v>
      </c>
      <c r="DE17" t="e">
        <f>#REF!+"8O&lt;!Uq"</f>
        <v>#REF!</v>
      </c>
      <c r="DF17" t="e">
        <f>#REF!+"8O&lt;!Ur"</f>
        <v>#REF!</v>
      </c>
      <c r="DG17" t="e">
        <f>#REF!+"8O&lt;!Us"</f>
        <v>#REF!</v>
      </c>
      <c r="DH17" t="e">
        <f>#REF!+"8O&lt;!Ut"</f>
        <v>#REF!</v>
      </c>
      <c r="DI17" t="e">
        <f>#REF!+"8O&lt;!Uu"</f>
        <v>#REF!</v>
      </c>
      <c r="DJ17" t="e">
        <f>#REF!+"8O&lt;!Uv"</f>
        <v>#REF!</v>
      </c>
      <c r="DK17" t="e">
        <f>#REF!+"8O&lt;!Uw"</f>
        <v>#REF!</v>
      </c>
      <c r="DL17" t="e">
        <f>#REF!+"8O&lt;!Ux"</f>
        <v>#REF!</v>
      </c>
      <c r="DM17" t="e">
        <f>#REF!+"8O&lt;!Uy"</f>
        <v>#REF!</v>
      </c>
      <c r="DN17" t="e">
        <f>#REF!+"8O&lt;!Uz"</f>
        <v>#REF!</v>
      </c>
      <c r="DO17" t="e">
        <f>#REF!+"8O&lt;!U{"</f>
        <v>#REF!</v>
      </c>
      <c r="DP17" t="e">
        <f>#REF!+"8O&lt;!U|"</f>
        <v>#REF!</v>
      </c>
      <c r="DQ17" t="e">
        <f>#REF!+"8O&lt;!U}"</f>
        <v>#REF!</v>
      </c>
      <c r="DR17" t="e">
        <f>#REF!+"8O&lt;!U~"</f>
        <v>#REF!</v>
      </c>
      <c r="DS17" t="e">
        <f>#REF!+"8O&lt;!V#"</f>
        <v>#REF!</v>
      </c>
      <c r="DT17" t="e">
        <f>#REF!+"8O&lt;!V$"</f>
        <v>#REF!</v>
      </c>
      <c r="DU17" t="e">
        <f>#REF!+"8O&lt;!V%"</f>
        <v>#REF!</v>
      </c>
      <c r="DV17" t="e">
        <f>#REF!+"8O&lt;!V&amp;"</f>
        <v>#REF!</v>
      </c>
      <c r="DW17" t="e">
        <f>#REF!+"8O&lt;!V'"</f>
        <v>#REF!</v>
      </c>
      <c r="DX17" t="e">
        <f>#REF!+"8O&lt;!V("</f>
        <v>#REF!</v>
      </c>
      <c r="DY17" t="e">
        <f>#REF!+"8O&lt;!V)"</f>
        <v>#REF!</v>
      </c>
      <c r="DZ17" t="e">
        <f>#REF!+"8O&lt;!V."</f>
        <v>#REF!</v>
      </c>
      <c r="EA17" t="e">
        <f>#REF!+"8O&lt;!V/"</f>
        <v>#REF!</v>
      </c>
      <c r="EB17" t="e">
        <f>#REF!+"8O&lt;!V0"</f>
        <v>#REF!</v>
      </c>
      <c r="EC17" t="e">
        <f>#REF!+"8O&lt;!V1"</f>
        <v>#REF!</v>
      </c>
      <c r="ED17" t="e">
        <f>#REF!+"8O&lt;!V2"</f>
        <v>#REF!</v>
      </c>
      <c r="EE17" t="e">
        <f>#REF!+"8O&lt;!V3"</f>
        <v>#REF!</v>
      </c>
      <c r="EF17" t="e">
        <f>#REF!+"8O&lt;!V4"</f>
        <v>#REF!</v>
      </c>
      <c r="EG17" t="e">
        <f>#REF!+"8O&lt;!V5"</f>
        <v>#REF!</v>
      </c>
      <c r="EH17" t="e">
        <f>#REF!+"8O&lt;!V6"</f>
        <v>#REF!</v>
      </c>
      <c r="EI17" t="e">
        <f>#REF!+"8O&lt;!V7"</f>
        <v>#REF!</v>
      </c>
      <c r="EJ17" t="e">
        <f>#REF!+"8O&lt;!V8"</f>
        <v>#REF!</v>
      </c>
      <c r="EK17" t="e">
        <f>#REF!+"8O&lt;!V9"</f>
        <v>#REF!</v>
      </c>
      <c r="EL17" t="e">
        <f>#REF!+"8O&lt;!V:"</f>
        <v>#REF!</v>
      </c>
      <c r="EM17" t="e">
        <f>#REF!+"8O&lt;!V;"</f>
        <v>#REF!</v>
      </c>
      <c r="EN17" t="e">
        <f>#REF!+"8O&lt;!V&lt;"</f>
        <v>#REF!</v>
      </c>
      <c r="EO17" t="e">
        <f>#REF!+"8O&lt;!V="</f>
        <v>#REF!</v>
      </c>
      <c r="EP17" t="e">
        <f>#REF!+"8O&lt;!V&gt;"</f>
        <v>#REF!</v>
      </c>
      <c r="EQ17" t="e">
        <f>#REF!+"8O&lt;!V?"</f>
        <v>#REF!</v>
      </c>
      <c r="ER17" t="e">
        <f>#REF!+"8O&lt;!V@"</f>
        <v>#REF!</v>
      </c>
      <c r="ES17" t="e">
        <f>#REF!+"8O&lt;!VA"</f>
        <v>#REF!</v>
      </c>
      <c r="ET17" t="e">
        <f>#REF!+"8O&lt;!VB"</f>
        <v>#REF!</v>
      </c>
      <c r="EU17" t="e">
        <f>#REF!+"8O&lt;!VC"</f>
        <v>#REF!</v>
      </c>
      <c r="EV17" t="e">
        <f>#REF!+"8O&lt;!VD"</f>
        <v>#REF!</v>
      </c>
      <c r="EW17" t="e">
        <f>#REF!+"8O&lt;!VE"</f>
        <v>#REF!</v>
      </c>
      <c r="EX17" t="e">
        <f>#REF!+"8O&lt;!VF"</f>
        <v>#REF!</v>
      </c>
      <c r="EY17" t="e">
        <f>#REF!+"8O&lt;!VG"</f>
        <v>#REF!</v>
      </c>
      <c r="EZ17" t="e">
        <f>#REF!+"8O&lt;!VH"</f>
        <v>#REF!</v>
      </c>
      <c r="FA17" t="e">
        <f>#REF!+"8O&lt;!VI"</f>
        <v>#REF!</v>
      </c>
      <c r="FB17" t="e">
        <f>#REF!+"8O&lt;!VJ"</f>
        <v>#REF!</v>
      </c>
      <c r="FC17" t="e">
        <f>#REF!+"8O&lt;!VK"</f>
        <v>#REF!</v>
      </c>
      <c r="FD17" t="e">
        <f>#REF!+"8O&lt;!VL"</f>
        <v>#REF!</v>
      </c>
      <c r="FE17" t="e">
        <f>#REF!+"8O&lt;!VM"</f>
        <v>#REF!</v>
      </c>
      <c r="FF17" t="e">
        <f>#REF!+"8O&lt;!VN"</f>
        <v>#REF!</v>
      </c>
      <c r="FG17" t="e">
        <f>#REF!+"8O&lt;!VO"</f>
        <v>#REF!</v>
      </c>
      <c r="FH17" t="e">
        <f>#REF!+"8O&lt;!VP"</f>
        <v>#REF!</v>
      </c>
      <c r="FI17" t="e">
        <f>#REF!+"8O&lt;!VQ"</f>
        <v>#REF!</v>
      </c>
      <c r="FJ17" t="e">
        <f>#REF!+"8O&lt;!VR"</f>
        <v>#REF!</v>
      </c>
      <c r="FK17" t="e">
        <f>#REF!+"8O&lt;!VS"</f>
        <v>#REF!</v>
      </c>
      <c r="FL17" t="e">
        <f>#REF!+"8O&lt;!VT"</f>
        <v>#REF!</v>
      </c>
      <c r="FM17" t="e">
        <f>#REF!+"8O&lt;!VU"</f>
        <v>#REF!</v>
      </c>
      <c r="FN17" t="e">
        <f>#REF!+"8O&lt;!VV"</f>
        <v>#REF!</v>
      </c>
      <c r="FO17" t="e">
        <f>#REF!+"8O&lt;!VW"</f>
        <v>#REF!</v>
      </c>
      <c r="FP17" t="e">
        <f>#REF!+"8O&lt;!VX"</f>
        <v>#REF!</v>
      </c>
      <c r="FQ17" t="e">
        <f>#REF!+"8O&lt;!VY"</f>
        <v>#REF!</v>
      </c>
      <c r="FR17" t="e">
        <f>#REF!+"8O&lt;!VZ"</f>
        <v>#REF!</v>
      </c>
      <c r="FS17" t="e">
        <f>#REF!+"8O&lt;!V["</f>
        <v>#REF!</v>
      </c>
      <c r="FT17" t="e">
        <f>#REF!+"8O&lt;!V\"</f>
        <v>#REF!</v>
      </c>
      <c r="FU17" t="e">
        <f>#REF!+"8O&lt;!V]"</f>
        <v>#REF!</v>
      </c>
      <c r="FV17" t="e">
        <f>#REF!+"8O&lt;!V^"</f>
        <v>#REF!</v>
      </c>
      <c r="FW17" t="e">
        <f>#REF!+"8O&lt;!V_"</f>
        <v>#REF!</v>
      </c>
      <c r="FX17" t="e">
        <f>#REF!+"8O&lt;!V`"</f>
        <v>#REF!</v>
      </c>
      <c r="FY17" t="e">
        <f>#REF!+"8O&lt;!Va"</f>
        <v>#REF!</v>
      </c>
      <c r="FZ17" t="e">
        <f>#REF!+"8O&lt;!Vb"</f>
        <v>#REF!</v>
      </c>
      <c r="GA17" t="e">
        <f>#REF!+"8O&lt;!Vc"</f>
        <v>#REF!</v>
      </c>
      <c r="GB17" t="e">
        <f>#REF!+"8O&lt;!Vd"</f>
        <v>#REF!</v>
      </c>
      <c r="GC17" t="e">
        <f>#REF!+"8O&lt;!Ve"</f>
        <v>#REF!</v>
      </c>
      <c r="GD17" t="e">
        <f>#REF!+"8O&lt;!Vf"</f>
        <v>#REF!</v>
      </c>
      <c r="GE17" t="e">
        <f>#REF!+"8O&lt;!Vg"</f>
        <v>#REF!</v>
      </c>
      <c r="GF17" t="e">
        <f>#REF!+"8O&lt;!Vh"</f>
        <v>#REF!</v>
      </c>
      <c r="GG17" t="e">
        <f>#REF!+"8O&lt;!Vi"</f>
        <v>#REF!</v>
      </c>
      <c r="GH17" t="e">
        <f>#REF!+"8O&lt;!Vj"</f>
        <v>#REF!</v>
      </c>
      <c r="GI17" t="e">
        <f>#REF!+"8O&lt;!Vk"</f>
        <v>#REF!</v>
      </c>
      <c r="GJ17" t="e">
        <f>#REF!+"8O&lt;!Vl"</f>
        <v>#REF!</v>
      </c>
      <c r="GK17" t="e">
        <f>#REF!+"8O&lt;!Vm"</f>
        <v>#REF!</v>
      </c>
      <c r="GL17" t="e">
        <f>#REF!+"8O&lt;!Vn"</f>
        <v>#REF!</v>
      </c>
      <c r="GM17" t="e">
        <f>#REF!+"8O&lt;!Vo"</f>
        <v>#REF!</v>
      </c>
      <c r="GN17" t="e">
        <f>#REF!+"8O&lt;!Vp"</f>
        <v>#REF!</v>
      </c>
      <c r="GO17" t="e">
        <f>#REF!+"8O&lt;!Vq"</f>
        <v>#REF!</v>
      </c>
      <c r="GP17" t="e">
        <f>#REF!+"8O&lt;!Vr"</f>
        <v>#REF!</v>
      </c>
      <c r="GQ17" t="e">
        <f>#REF!+"8O&lt;!Vs"</f>
        <v>#REF!</v>
      </c>
      <c r="GR17" t="e">
        <f>#REF!+"8O&lt;!Vt"</f>
        <v>#REF!</v>
      </c>
      <c r="GS17" t="e">
        <f>#REF!+"8O&lt;!Vu"</f>
        <v>#REF!</v>
      </c>
      <c r="GT17" t="e">
        <f>#REF!+"8O&lt;!Vv"</f>
        <v>#REF!</v>
      </c>
      <c r="GU17" t="e">
        <f>#REF!+"8O&lt;!Vw"</f>
        <v>#REF!</v>
      </c>
      <c r="GV17" t="e">
        <f>#REF!+"8O&lt;!Vx"</f>
        <v>#REF!</v>
      </c>
      <c r="GW17" t="e">
        <f>#REF!+"8O&lt;!Vy"</f>
        <v>#REF!</v>
      </c>
      <c r="GX17" t="e">
        <f>#REF!+"8O&lt;!Vz"</f>
        <v>#REF!</v>
      </c>
      <c r="GY17" t="e">
        <f>#REF!+"8O&lt;!V{"</f>
        <v>#REF!</v>
      </c>
      <c r="GZ17" t="e">
        <f>#REF!+"8O&lt;!V|"</f>
        <v>#REF!</v>
      </c>
      <c r="HA17" t="e">
        <f>#REF!+"8O&lt;!V}"</f>
        <v>#REF!</v>
      </c>
      <c r="HB17" t="e">
        <f>#REF!+"8O&lt;!V~"</f>
        <v>#REF!</v>
      </c>
      <c r="HC17" t="e">
        <f>#REF!+"8O&lt;!W#"</f>
        <v>#REF!</v>
      </c>
      <c r="HD17" t="e">
        <f>#REF!+"8O&lt;!W$"</f>
        <v>#REF!</v>
      </c>
      <c r="HE17" t="e">
        <f>#REF!+"8O&lt;!W%"</f>
        <v>#REF!</v>
      </c>
      <c r="HF17" t="e">
        <f>#REF!+"8O&lt;!W&amp;"</f>
        <v>#REF!</v>
      </c>
      <c r="HG17" t="e">
        <f>#REF!+"8O&lt;!W'"</f>
        <v>#REF!</v>
      </c>
      <c r="HH17" t="e">
        <f>#REF!+"8O&lt;!W("</f>
        <v>#REF!</v>
      </c>
      <c r="HI17" t="e">
        <f>#REF!+"8O&lt;!W)"</f>
        <v>#REF!</v>
      </c>
      <c r="HJ17" t="e">
        <f>#REF!+"8O&lt;!W."</f>
        <v>#REF!</v>
      </c>
      <c r="HK17" t="e">
        <f>#REF!+"8O&lt;!W/"</f>
        <v>#REF!</v>
      </c>
      <c r="HL17" t="e">
        <f>#REF!+"8O&lt;!W0"</f>
        <v>#REF!</v>
      </c>
      <c r="HM17" t="e">
        <f>#REF!+"8O&lt;!W1"</f>
        <v>#REF!</v>
      </c>
      <c r="HN17" t="e">
        <f>#REF!+"8O&lt;!W2"</f>
        <v>#REF!</v>
      </c>
      <c r="HO17" t="e">
        <f>#REF!+"8O&lt;!W3"</f>
        <v>#REF!</v>
      </c>
      <c r="HP17" t="e">
        <f>#REF!+"8O&lt;!W4"</f>
        <v>#REF!</v>
      </c>
      <c r="HQ17" t="e">
        <f>#REF!+"8O&lt;!W5"</f>
        <v>#REF!</v>
      </c>
      <c r="HR17" t="e">
        <f>#REF!+"8O&lt;!W6"</f>
        <v>#REF!</v>
      </c>
      <c r="HS17" t="e">
        <f>#REF!+"8O&lt;!W7"</f>
        <v>#REF!</v>
      </c>
      <c r="HT17" t="e">
        <f>#REF!+"8O&lt;!W8"</f>
        <v>#REF!</v>
      </c>
      <c r="HU17" t="e">
        <f>#REF!+"8O&lt;!W9"</f>
        <v>#REF!</v>
      </c>
      <c r="HV17" t="e">
        <f>#REF!+"8O&lt;!W:"</f>
        <v>#REF!</v>
      </c>
      <c r="HW17" t="e">
        <f>#REF!+"8O&lt;!W;"</f>
        <v>#REF!</v>
      </c>
      <c r="HX17" t="e">
        <f>#REF!+"8O&lt;!W&lt;"</f>
        <v>#REF!</v>
      </c>
      <c r="HY17" t="e">
        <f>#REF!+"8O&lt;!W="</f>
        <v>#REF!</v>
      </c>
      <c r="HZ17" t="e">
        <f>#REF!+"8O&lt;!W&gt;"</f>
        <v>#REF!</v>
      </c>
      <c r="IA17" t="e">
        <f>#REF!+"8O&lt;!W?"</f>
        <v>#REF!</v>
      </c>
      <c r="IB17" t="e">
        <f>#REF!+"8O&lt;!W@"</f>
        <v>#REF!</v>
      </c>
      <c r="IC17" t="e">
        <f>#REF!+"8O&lt;!WA"</f>
        <v>#REF!</v>
      </c>
      <c r="ID17" t="e">
        <f>#REF!+"8O&lt;!WB"</f>
        <v>#REF!</v>
      </c>
      <c r="IE17" t="e">
        <f>#REF!+"8O&lt;!WC"</f>
        <v>#REF!</v>
      </c>
      <c r="IF17" t="e">
        <f>#REF!+"8O&lt;!WD"</f>
        <v>#REF!</v>
      </c>
      <c r="IG17" t="e">
        <f>#REF!+"8O&lt;!WE"</f>
        <v>#REF!</v>
      </c>
      <c r="IH17" t="e">
        <f>#REF!+"8O&lt;!WF"</f>
        <v>#REF!</v>
      </c>
      <c r="II17" t="e">
        <f>#REF!+"8O&lt;!WG"</f>
        <v>#REF!</v>
      </c>
      <c r="IJ17" t="e">
        <f>#REF!+"8O&lt;!WH"</f>
        <v>#REF!</v>
      </c>
      <c r="IK17" t="e">
        <f>#REF!+"8O&lt;!WI"</f>
        <v>#REF!</v>
      </c>
      <c r="IL17" t="e">
        <f>#REF!+"8O&lt;!WJ"</f>
        <v>#REF!</v>
      </c>
      <c r="IM17" t="e">
        <f>#REF!+"8O&lt;!WK"</f>
        <v>#REF!</v>
      </c>
      <c r="IN17" t="e">
        <f>#REF!+"8O&lt;!WL"</f>
        <v>#REF!</v>
      </c>
      <c r="IO17" t="e">
        <f>#REF!+"8O&lt;!WM"</f>
        <v>#REF!</v>
      </c>
      <c r="IP17" t="e">
        <f>#REF!+"8O&lt;!WN"</f>
        <v>#REF!</v>
      </c>
      <c r="IQ17" t="e">
        <f>#REF!+"8O&lt;!WO"</f>
        <v>#REF!</v>
      </c>
      <c r="IR17" t="e">
        <f>#REF!+"8O&lt;!WP"</f>
        <v>#REF!</v>
      </c>
      <c r="IS17" t="e">
        <f>#REF!+"8O&lt;!WQ"</f>
        <v>#REF!</v>
      </c>
      <c r="IT17" t="e">
        <f>#REF!+"8O&lt;!WR"</f>
        <v>#REF!</v>
      </c>
      <c r="IU17" t="e">
        <f>#REF!+"8O&lt;!WS"</f>
        <v>#REF!</v>
      </c>
      <c r="IV17" t="e">
        <f>#REF!+"8O&lt;!WT"</f>
        <v>#REF!</v>
      </c>
    </row>
    <row r="18" spans="6:256" x14ac:dyDescent="0.25">
      <c r="F18" t="e">
        <f>#REF!+"8O&lt;!WU"</f>
        <v>#REF!</v>
      </c>
      <c r="G18" t="e">
        <f>#REF!+"8O&lt;!WV"</f>
        <v>#REF!</v>
      </c>
      <c r="H18" t="e">
        <f>#REF!+"8O&lt;!WW"</f>
        <v>#REF!</v>
      </c>
      <c r="I18" t="e">
        <f>#REF!+"8O&lt;!WX"</f>
        <v>#REF!</v>
      </c>
      <c r="J18" t="e">
        <f>#REF!+"8O&lt;!WY"</f>
        <v>#REF!</v>
      </c>
      <c r="K18" t="e">
        <f>#REF!+"8O&lt;!WZ"</f>
        <v>#REF!</v>
      </c>
      <c r="L18" t="e">
        <f>#REF!+"8O&lt;!W["</f>
        <v>#REF!</v>
      </c>
      <c r="M18" t="e">
        <f>#REF!+"8O&lt;!W\"</f>
        <v>#REF!</v>
      </c>
      <c r="N18" t="e">
        <f>#REF!+"8O&lt;!W]"</f>
        <v>#REF!</v>
      </c>
      <c r="O18" t="e">
        <f>#REF!+"8O&lt;!W^"</f>
        <v>#REF!</v>
      </c>
      <c r="P18" t="e">
        <f>#REF!+"8O&lt;!W_"</f>
        <v>#REF!</v>
      </c>
      <c r="Q18" t="e">
        <f>#REF!+"8O&lt;!W`"</f>
        <v>#REF!</v>
      </c>
      <c r="R18" t="e">
        <f>#REF!+"8O&lt;!Wa"</f>
        <v>#REF!</v>
      </c>
      <c r="S18" t="e">
        <f>#REF!+"8O&lt;!Wb"</f>
        <v>#REF!</v>
      </c>
      <c r="T18" t="e">
        <f>#REF!+"8O&lt;!Wc"</f>
        <v>#REF!</v>
      </c>
      <c r="U18" t="e">
        <f>#REF!+"8O&lt;!Wd"</f>
        <v>#REF!</v>
      </c>
      <c r="V18" t="e">
        <f>#REF!+"8O&lt;!We"</f>
        <v>#REF!</v>
      </c>
      <c r="W18" t="e">
        <f>#REF!+"8O&lt;!Wf"</f>
        <v>#REF!</v>
      </c>
      <c r="X18" t="e">
        <f>#REF!+"8O&lt;!Wg"</f>
        <v>#REF!</v>
      </c>
      <c r="Y18" t="e">
        <f>#REF!+"8O&lt;!Wh"</f>
        <v>#REF!</v>
      </c>
      <c r="Z18" t="e">
        <f>#REF!+"8O&lt;!Wi"</f>
        <v>#REF!</v>
      </c>
      <c r="AA18" t="e">
        <f>#REF!+"8O&lt;!Wj"</f>
        <v>#REF!</v>
      </c>
      <c r="AB18" t="e">
        <f>#REF!+"8O&lt;!Wk"</f>
        <v>#REF!</v>
      </c>
      <c r="AC18" t="e">
        <f>#REF!+"8O&lt;!Wl"</f>
        <v>#REF!</v>
      </c>
      <c r="AD18" t="e">
        <f>#REF!+"8O&lt;!Wm"</f>
        <v>#REF!</v>
      </c>
      <c r="AE18" t="e">
        <f>#REF!+"8O&lt;!Wn"</f>
        <v>#REF!</v>
      </c>
      <c r="AF18" t="e">
        <f>#REF!+"8O&lt;!Wo"</f>
        <v>#REF!</v>
      </c>
      <c r="AG18" t="e">
        <f>#REF!+"8O&lt;!Wp"</f>
        <v>#REF!</v>
      </c>
      <c r="AH18" t="e">
        <f>#REF!+"8O&lt;!Wq"</f>
        <v>#REF!</v>
      </c>
      <c r="AI18" t="e">
        <f>#REF!+"8O&lt;!Wr"</f>
        <v>#REF!</v>
      </c>
      <c r="AJ18" t="e">
        <f>#REF!+"8O&lt;!Ws"</f>
        <v>#REF!</v>
      </c>
      <c r="AK18" t="e">
        <f>#REF!+"8O&lt;!Wt"</f>
        <v>#REF!</v>
      </c>
      <c r="AL18" t="e">
        <f>#REF!+"8O&lt;!Wu"</f>
        <v>#REF!</v>
      </c>
      <c r="AM18" t="e">
        <f>#REF!+"8O&lt;!Wv"</f>
        <v>#REF!</v>
      </c>
      <c r="AN18" t="e">
        <f>#REF!+"8O&lt;!Ww"</f>
        <v>#REF!</v>
      </c>
      <c r="AO18" t="e">
        <f>#REF!+"8O&lt;!Wx"</f>
        <v>#REF!</v>
      </c>
      <c r="AP18" t="e">
        <f>#REF!+"8O&lt;!Wy"</f>
        <v>#REF!</v>
      </c>
      <c r="AQ18" t="e">
        <f>#REF!+"8O&lt;!Wz"</f>
        <v>#REF!</v>
      </c>
      <c r="AR18" t="e">
        <f>#REF!+"8O&lt;!W{"</f>
        <v>#REF!</v>
      </c>
      <c r="AS18" t="e">
        <f>#REF!+"8O&lt;!W|"</f>
        <v>#REF!</v>
      </c>
      <c r="AT18" t="e">
        <f>#REF!+"8O&lt;!W}"</f>
        <v>#REF!</v>
      </c>
      <c r="AU18" t="e">
        <f>#REF!+"8O&lt;!W~"</f>
        <v>#REF!</v>
      </c>
      <c r="AV18" t="e">
        <f>#REF!+"8O&lt;!X#"</f>
        <v>#REF!</v>
      </c>
      <c r="AW18" t="e">
        <f>#REF!+"8O&lt;!X$"</f>
        <v>#REF!</v>
      </c>
      <c r="AX18" t="e">
        <f>#REF!+"8O&lt;!X%"</f>
        <v>#REF!</v>
      </c>
      <c r="AY18" t="e">
        <f>#REF!+"8O&lt;!X&amp;"</f>
        <v>#REF!</v>
      </c>
      <c r="AZ18" t="e">
        <f>#REF!+"8O&lt;!X'"</f>
        <v>#REF!</v>
      </c>
      <c r="BA18" t="e">
        <f>#REF!+"8O&lt;!X("</f>
        <v>#REF!</v>
      </c>
      <c r="BB18" t="e">
        <f>#REF!+"8O&lt;!X)"</f>
        <v>#REF!</v>
      </c>
      <c r="BC18" t="e">
        <f>#REF!+"8O&lt;!X."</f>
        <v>#REF!</v>
      </c>
      <c r="BD18" t="e">
        <f>#REF!+"8O&lt;!X/"</f>
        <v>#REF!</v>
      </c>
      <c r="BE18" t="e">
        <f>#REF!+"8O&lt;!X0"</f>
        <v>#REF!</v>
      </c>
      <c r="BF18" t="e">
        <f>#REF!+"8O&lt;!X1"</f>
        <v>#REF!</v>
      </c>
      <c r="BG18" t="e">
        <f>#REF!+"8O&lt;!X2"</f>
        <v>#REF!</v>
      </c>
      <c r="BH18" t="e">
        <f>#REF!+"8O&lt;!X3"</f>
        <v>#REF!</v>
      </c>
      <c r="BI18" t="e">
        <f>#REF!+"8O&lt;!X4"</f>
        <v>#REF!</v>
      </c>
      <c r="BJ18" t="e">
        <f>#REF!+"8O&lt;!X5"</f>
        <v>#REF!</v>
      </c>
      <c r="BK18" t="e">
        <f>#REF!+"8O&lt;!X6"</f>
        <v>#REF!</v>
      </c>
      <c r="BL18" t="e">
        <f>#REF!+"8O&lt;!X7"</f>
        <v>#REF!</v>
      </c>
      <c r="BM18" t="e">
        <f>#REF!+"8O&lt;!X8"</f>
        <v>#REF!</v>
      </c>
      <c r="BN18" t="e">
        <f>#REF!+"8O&lt;!X9"</f>
        <v>#REF!</v>
      </c>
      <c r="BO18" t="e">
        <f>#REF!+"8O&lt;!X:"</f>
        <v>#REF!</v>
      </c>
      <c r="BP18" t="e">
        <f>#REF!+"8O&lt;!X;"</f>
        <v>#REF!</v>
      </c>
      <c r="BQ18" t="e">
        <f>#REF!+"8O&lt;!X&lt;"</f>
        <v>#REF!</v>
      </c>
      <c r="BR18" t="e">
        <f>#REF!+"8O&lt;!X="</f>
        <v>#REF!</v>
      </c>
      <c r="BS18" t="e">
        <f>#REF!+"8O&lt;!X&gt;"</f>
        <v>#REF!</v>
      </c>
      <c r="BT18" t="e">
        <f>#REF!+"8O&lt;!X?"</f>
        <v>#REF!</v>
      </c>
      <c r="BU18" t="e">
        <f>#REF!+"8O&lt;!X@"</f>
        <v>#REF!</v>
      </c>
      <c r="BV18" t="e">
        <f>#REF!+"8O&lt;!XA"</f>
        <v>#REF!</v>
      </c>
      <c r="BW18" t="e">
        <f>#REF!+"8O&lt;!XB"</f>
        <v>#REF!</v>
      </c>
      <c r="BX18" t="e">
        <f>#REF!+"8O&lt;!XC"</f>
        <v>#REF!</v>
      </c>
      <c r="BY18" t="e">
        <f>#REF!+"8O&lt;!XD"</f>
        <v>#REF!</v>
      </c>
      <c r="BZ18" t="e">
        <f>#REF!+"8O&lt;!XE"</f>
        <v>#REF!</v>
      </c>
      <c r="CA18" t="e">
        <f>#REF!+"8O&lt;!XF"</f>
        <v>#REF!</v>
      </c>
      <c r="CB18" t="e">
        <f>#REF!+"8O&lt;!XG"</f>
        <v>#REF!</v>
      </c>
      <c r="CC18" t="e">
        <f>#REF!+"8O&lt;!XH"</f>
        <v>#REF!</v>
      </c>
      <c r="CD18" t="e">
        <f>#REF!+"8O&lt;!XI"</f>
        <v>#REF!</v>
      </c>
      <c r="CE18" t="e">
        <f>#REF!+"8O&lt;!XJ"</f>
        <v>#REF!</v>
      </c>
      <c r="CF18" t="e">
        <f>#REF!+"8O&lt;!XK"</f>
        <v>#REF!</v>
      </c>
      <c r="CG18" t="e">
        <f>#REF!+"8O&lt;!XL"</f>
        <v>#REF!</v>
      </c>
      <c r="CH18" t="e">
        <f>#REF!+"8O&lt;!XM"</f>
        <v>#REF!</v>
      </c>
      <c r="CI18" t="e">
        <f>#REF!+"8O&lt;!XN"</f>
        <v>#REF!</v>
      </c>
      <c r="CJ18" t="e">
        <f>#REF!+"8O&lt;!XO"</f>
        <v>#REF!</v>
      </c>
      <c r="CK18" t="e">
        <f>#REF!+"8O&lt;!XP"</f>
        <v>#REF!</v>
      </c>
      <c r="CL18" t="e">
        <f>#REF!+"8O&lt;!XQ"</f>
        <v>#REF!</v>
      </c>
      <c r="CM18" t="e">
        <f>#REF!+"8O&lt;!XR"</f>
        <v>#REF!</v>
      </c>
      <c r="CN18" t="e">
        <f>#REF!+"8O&lt;!XS"</f>
        <v>#REF!</v>
      </c>
      <c r="CO18" t="e">
        <f>#REF!+"8O&lt;!XT"</f>
        <v>#REF!</v>
      </c>
      <c r="CP18" t="e">
        <f>#REF!+"8O&lt;!XU"</f>
        <v>#REF!</v>
      </c>
      <c r="CQ18" t="e">
        <f>#REF!+"8O&lt;!XV"</f>
        <v>#REF!</v>
      </c>
      <c r="CR18" t="e">
        <f>#REF!+"8O&lt;!XW"</f>
        <v>#REF!</v>
      </c>
      <c r="CS18" t="e">
        <f>#REF!+"8O&lt;!XX"</f>
        <v>#REF!</v>
      </c>
      <c r="CT18" t="e">
        <f>#REF!+"8O&lt;!XY"</f>
        <v>#REF!</v>
      </c>
      <c r="CU18" t="e">
        <f>#REF!+"8O&lt;!XZ"</f>
        <v>#REF!</v>
      </c>
      <c r="CV18" t="e">
        <f>#REF!+"8O&lt;!X["</f>
        <v>#REF!</v>
      </c>
      <c r="CW18" t="e">
        <f>#REF!+"8O&lt;!X\"</f>
        <v>#REF!</v>
      </c>
      <c r="CX18" t="e">
        <f>#REF!+"8O&lt;!X]"</f>
        <v>#REF!</v>
      </c>
      <c r="CY18" t="e">
        <f>#REF!+"8O&lt;!X^"</f>
        <v>#REF!</v>
      </c>
      <c r="CZ18" t="e">
        <f>#REF!+"8O&lt;!X_"</f>
        <v>#REF!</v>
      </c>
      <c r="DA18" t="e">
        <f>#REF!+"8O&lt;!X`"</f>
        <v>#REF!</v>
      </c>
      <c r="DB18" t="e">
        <f>#REF!+"8O&lt;!Xa"</f>
        <v>#REF!</v>
      </c>
      <c r="DC18" t="e">
        <f>#REF!+"8O&lt;!Xb"</f>
        <v>#REF!</v>
      </c>
      <c r="DD18" t="e">
        <f>#REF!+"8O&lt;!Xc"</f>
        <v>#REF!</v>
      </c>
      <c r="DE18" t="e">
        <f>#REF!+"8O&lt;!Xd"</f>
        <v>#REF!</v>
      </c>
      <c r="DF18" t="e">
        <f>#REF!+"8O&lt;!Xe"</f>
        <v>#REF!</v>
      </c>
      <c r="DG18" t="e">
        <f>#REF!+"8O&lt;!Xf"</f>
        <v>#REF!</v>
      </c>
      <c r="DH18" t="e">
        <f>#REF!+"8O&lt;!Xg"</f>
        <v>#REF!</v>
      </c>
      <c r="DI18" t="e">
        <f>#REF!+"8O&lt;!Xh"</f>
        <v>#REF!</v>
      </c>
      <c r="DJ18" t="e">
        <f>#REF!+"8O&lt;!Xi"</f>
        <v>#REF!</v>
      </c>
      <c r="DK18" t="e">
        <f>#REF!+"8O&lt;!Xj"</f>
        <v>#REF!</v>
      </c>
      <c r="DL18" t="e">
        <f>#REF!+"8O&lt;!Xk"</f>
        <v>#REF!</v>
      </c>
      <c r="DM18" t="e">
        <f>#REF!+"8O&lt;!Xl"</f>
        <v>#REF!</v>
      </c>
      <c r="DN18" t="e">
        <f>#REF!+"8O&lt;!Xm"</f>
        <v>#REF!</v>
      </c>
      <c r="DO18" t="e">
        <f>#REF!+"8O&lt;!Xn"</f>
        <v>#REF!</v>
      </c>
      <c r="DP18" t="e">
        <f>#REF!+"8O&lt;!Xo"</f>
        <v>#REF!</v>
      </c>
      <c r="DQ18" t="e">
        <f>#REF!+"8O&lt;!Xp"</f>
        <v>#REF!</v>
      </c>
      <c r="DR18" t="e">
        <f>#REF!+"8O&lt;!Xq"</f>
        <v>#REF!</v>
      </c>
      <c r="DS18" t="e">
        <f>#REF!+"8O&lt;!Xr"</f>
        <v>#REF!</v>
      </c>
      <c r="DT18" t="e">
        <f>#REF!+"8O&lt;!Xs"</f>
        <v>#REF!</v>
      </c>
      <c r="DU18" t="e">
        <f>#REF!+"8O&lt;!Xt"</f>
        <v>#REF!</v>
      </c>
      <c r="DV18" t="e">
        <f>#REF!+"8O&lt;!Xu"</f>
        <v>#REF!</v>
      </c>
      <c r="DW18" t="e">
        <f>#REF!+"8O&lt;!Xv"</f>
        <v>#REF!</v>
      </c>
      <c r="DX18" t="e">
        <f>#REF!+"8O&lt;!Xw"</f>
        <v>#REF!</v>
      </c>
      <c r="DY18" t="e">
        <f>#REF!+"8O&lt;!Xx"</f>
        <v>#REF!</v>
      </c>
      <c r="DZ18" t="e">
        <f>#REF!+"8O&lt;!Xy"</f>
        <v>#REF!</v>
      </c>
      <c r="EA18" t="e">
        <f>#REF!+"8O&lt;!Xz"</f>
        <v>#REF!</v>
      </c>
      <c r="EB18" t="e">
        <f>#REF!+"8O&lt;!X{"</f>
        <v>#REF!</v>
      </c>
      <c r="EC18" t="e">
        <f>#REF!+"8O&lt;!X|"</f>
        <v>#REF!</v>
      </c>
      <c r="ED18" t="e">
        <f>#REF!+"8O&lt;!X}"</f>
        <v>#REF!</v>
      </c>
      <c r="EE18" t="e">
        <f>#REF!+"8O&lt;!X~"</f>
        <v>#REF!</v>
      </c>
      <c r="EF18" t="e">
        <f>#REF!+"8O&lt;!Y#"</f>
        <v>#REF!</v>
      </c>
      <c r="EG18" t="e">
        <f>#REF!+"8O&lt;!Y$"</f>
        <v>#REF!</v>
      </c>
      <c r="EH18" t="e">
        <f>#REF!+"8O&lt;!Y%"</f>
        <v>#REF!</v>
      </c>
      <c r="EI18" t="e">
        <f>#REF!+"8O&lt;!Y&amp;"</f>
        <v>#REF!</v>
      </c>
      <c r="EJ18" t="e">
        <f>#REF!+"8O&lt;!Y'"</f>
        <v>#REF!</v>
      </c>
      <c r="EK18" t="e">
        <f>#REF!+"8O&lt;!Y("</f>
        <v>#REF!</v>
      </c>
      <c r="EL18" t="e">
        <f>#REF!+"8O&lt;!Y)"</f>
        <v>#REF!</v>
      </c>
      <c r="EM18" t="e">
        <f>#REF!+"8O&lt;!Y."</f>
        <v>#REF!</v>
      </c>
      <c r="EN18" t="e">
        <f>#REF!+"8O&lt;!Y/"</f>
        <v>#REF!</v>
      </c>
      <c r="EO18" t="e">
        <f>#REF!+"8O&lt;!Y0"</f>
        <v>#REF!</v>
      </c>
      <c r="EP18" t="e">
        <f>#REF!+"8O&lt;!Y1"</f>
        <v>#REF!</v>
      </c>
      <c r="EQ18" t="e">
        <f>#REF!+"8O&lt;!Y2"</f>
        <v>#REF!</v>
      </c>
      <c r="ER18" t="e">
        <f>#REF!+"8O&lt;!Y3"</f>
        <v>#REF!</v>
      </c>
      <c r="ES18" t="e">
        <f>#REF!+"8O&lt;!Y4"</f>
        <v>#REF!</v>
      </c>
      <c r="ET18" t="e">
        <f>#REF!+"8O&lt;!Y5"</f>
        <v>#REF!</v>
      </c>
      <c r="EU18" t="e">
        <f>#REF!+"8O&lt;!Y6"</f>
        <v>#REF!</v>
      </c>
      <c r="EV18" t="e">
        <f>#REF!+"8O&lt;!Y7"</f>
        <v>#REF!</v>
      </c>
      <c r="EW18" t="e">
        <f>#REF!+"8O&lt;!Y8"</f>
        <v>#REF!</v>
      </c>
      <c r="EX18" t="e">
        <f>#REF!+"8O&lt;!Y9"</f>
        <v>#REF!</v>
      </c>
      <c r="EY18" t="e">
        <f>#REF!+"8O&lt;!Y:"</f>
        <v>#REF!</v>
      </c>
      <c r="EZ18" t="e">
        <f>#REF!+"8O&lt;!Y;"</f>
        <v>#REF!</v>
      </c>
      <c r="FA18" t="e">
        <f>#REF!+"8O&lt;!Y&lt;"</f>
        <v>#REF!</v>
      </c>
      <c r="FB18" t="e">
        <f>#REF!+"8O&lt;!Y="</f>
        <v>#REF!</v>
      </c>
      <c r="FC18" t="e">
        <f>#REF!+"8O&lt;!Y&gt;"</f>
        <v>#REF!</v>
      </c>
      <c r="FD18" t="e">
        <f>#REF!+"8O&lt;!Y?"</f>
        <v>#REF!</v>
      </c>
      <c r="FE18" t="e">
        <f>#REF!+"8O&lt;!Y@"</f>
        <v>#REF!</v>
      </c>
      <c r="FF18" t="e">
        <f>#REF!+"8O&lt;!YA"</f>
        <v>#REF!</v>
      </c>
      <c r="FG18" t="e">
        <f>#REF!+"8O&lt;!YB"</f>
        <v>#REF!</v>
      </c>
      <c r="FH18" t="e">
        <f>#REF!+"8O&lt;!YC"</f>
        <v>#REF!</v>
      </c>
      <c r="FI18" t="e">
        <f>#REF!+"8O&lt;!YD"</f>
        <v>#REF!</v>
      </c>
      <c r="FJ18" t="e">
        <f>#REF!+"8O&lt;!YE"</f>
        <v>#REF!</v>
      </c>
      <c r="FK18" t="e">
        <f>#REF!+"8O&lt;!YF"</f>
        <v>#REF!</v>
      </c>
      <c r="FL18" t="e">
        <f>#REF!+"8O&lt;!YG"</f>
        <v>#REF!</v>
      </c>
      <c r="FM18" t="e">
        <f>#REF!+"8O&lt;!YH"</f>
        <v>#REF!</v>
      </c>
      <c r="FN18" t="e">
        <f>#REF!+"8O&lt;!YI"</f>
        <v>#REF!</v>
      </c>
      <c r="FO18" t="e">
        <f>#REF!+"8O&lt;!YJ"</f>
        <v>#REF!</v>
      </c>
      <c r="FP18" t="e">
        <f>#REF!+"8O&lt;!YK"</f>
        <v>#REF!</v>
      </c>
      <c r="FQ18" t="e">
        <f>#REF!+"8O&lt;!YL"</f>
        <v>#REF!</v>
      </c>
      <c r="FR18" t="e">
        <f>#REF!+"8O&lt;!YM"</f>
        <v>#REF!</v>
      </c>
      <c r="FS18" t="e">
        <f>#REF!+"8O&lt;!YN"</f>
        <v>#REF!</v>
      </c>
      <c r="FT18" t="e">
        <f>#REF!+"8O&lt;!YO"</f>
        <v>#REF!</v>
      </c>
      <c r="FU18" t="e">
        <f>#REF!+"8O&lt;!YP"</f>
        <v>#REF!</v>
      </c>
      <c r="FV18" t="e">
        <f>#REF!+"8O&lt;!YQ"</f>
        <v>#REF!</v>
      </c>
      <c r="FW18" t="e">
        <f>#REF!+"8O&lt;!YR"</f>
        <v>#REF!</v>
      </c>
      <c r="FX18" t="e">
        <f>#REF!+"8O&lt;!YS"</f>
        <v>#REF!</v>
      </c>
      <c r="FY18" t="e">
        <f>#REF!+"8O&lt;!YT"</f>
        <v>#REF!</v>
      </c>
      <c r="FZ18" t="e">
        <f>#REF!+"8O&lt;!YU"</f>
        <v>#REF!</v>
      </c>
      <c r="GA18" t="e">
        <f>#REF!+"8O&lt;!YV"</f>
        <v>#REF!</v>
      </c>
      <c r="GB18" t="e">
        <f>#REF!+"8O&lt;!YW"</f>
        <v>#REF!</v>
      </c>
      <c r="GC18" t="e">
        <f>#REF!+"8O&lt;!YX"</f>
        <v>#REF!</v>
      </c>
      <c r="GD18" t="e">
        <f>#REF!+"8O&lt;!YY"</f>
        <v>#REF!</v>
      </c>
      <c r="GE18" t="e">
        <f>#REF!+"8O&lt;!YZ"</f>
        <v>#REF!</v>
      </c>
      <c r="GF18" t="e">
        <f>#REF!+"8O&lt;!Y["</f>
        <v>#REF!</v>
      </c>
      <c r="GG18" t="e">
        <f>#REF!+"8O&lt;!Y\"</f>
        <v>#REF!</v>
      </c>
      <c r="GH18" t="e">
        <f>#REF!+"8O&lt;!Y]"</f>
        <v>#REF!</v>
      </c>
      <c r="GI18" t="e">
        <f>#REF!+"8O&lt;!Y^"</f>
        <v>#REF!</v>
      </c>
      <c r="GJ18" t="e">
        <f>#REF!+"8O&lt;!Y_"</f>
        <v>#REF!</v>
      </c>
      <c r="GK18" t="e">
        <f>#REF!+"8O&lt;!Y`"</f>
        <v>#REF!</v>
      </c>
      <c r="GL18" t="e">
        <f>#REF!+"8O&lt;!Ya"</f>
        <v>#REF!</v>
      </c>
      <c r="GM18" t="e">
        <f>#REF!+"8O&lt;!Yb"</f>
        <v>#REF!</v>
      </c>
      <c r="GN18" t="e">
        <f>#REF!+"8O&lt;!Yc"</f>
        <v>#REF!</v>
      </c>
      <c r="GO18" t="e">
        <f>#REF!+"8O&lt;!Yd"</f>
        <v>#REF!</v>
      </c>
      <c r="GP18" t="e">
        <f>#REF!+"8O&lt;!Ye"</f>
        <v>#REF!</v>
      </c>
      <c r="GQ18" t="e">
        <f>#REF!+"8O&lt;!Yf"</f>
        <v>#REF!</v>
      </c>
      <c r="GR18" t="e">
        <f>#REF!+"8O&lt;!Yg"</f>
        <v>#REF!</v>
      </c>
      <c r="GS18" t="e">
        <f>#REF!+"8O&lt;!Yh"</f>
        <v>#REF!</v>
      </c>
      <c r="GT18" t="e">
        <f>#REF!+"8O&lt;!Yi"</f>
        <v>#REF!</v>
      </c>
      <c r="GU18" t="e">
        <f>#REF!+"8O&lt;!Yj"</f>
        <v>#REF!</v>
      </c>
      <c r="GV18" t="e">
        <f>#REF!+"8O&lt;!Yk"</f>
        <v>#REF!</v>
      </c>
      <c r="GW18" t="e">
        <f>#REF!+"8O&lt;!Yl"</f>
        <v>#REF!</v>
      </c>
      <c r="GX18" t="e">
        <f>#REF!+"8O&lt;!Ym"</f>
        <v>#REF!</v>
      </c>
      <c r="GY18" t="e">
        <f>#REF!+"8O&lt;!Yn"</f>
        <v>#REF!</v>
      </c>
      <c r="GZ18" t="e">
        <f>#REF!+"8O&lt;!Yo"</f>
        <v>#REF!</v>
      </c>
      <c r="HA18" t="e">
        <f>#REF!+"8O&lt;!Yp"</f>
        <v>#REF!</v>
      </c>
      <c r="HB18" t="e">
        <f>#REF!+"8O&lt;!Yq"</f>
        <v>#REF!</v>
      </c>
      <c r="HC18" t="e">
        <f>#REF!+"8O&lt;!Yr"</f>
        <v>#REF!</v>
      </c>
      <c r="HD18" t="e">
        <f>#REF!+"8O&lt;!Ys"</f>
        <v>#REF!</v>
      </c>
      <c r="HE18" t="e">
        <f>#REF!+"8O&lt;!Yt"</f>
        <v>#REF!</v>
      </c>
      <c r="HF18" t="e">
        <f>#REF!+"8O&lt;!Yu"</f>
        <v>#REF!</v>
      </c>
      <c r="HG18" t="e">
        <f>#REF!+"8O&lt;!Yv"</f>
        <v>#REF!</v>
      </c>
      <c r="HH18" t="e">
        <f>#REF!+"8O&lt;!Yw"</f>
        <v>#REF!</v>
      </c>
      <c r="HI18" t="e">
        <f>#REF!+"8O&lt;!Yx"</f>
        <v>#REF!</v>
      </c>
      <c r="HJ18" t="e">
        <f>#REF!+"8O&lt;!Yy"</f>
        <v>#REF!</v>
      </c>
      <c r="HK18" t="e">
        <f>#REF!+"8O&lt;!Yz"</f>
        <v>#REF!</v>
      </c>
      <c r="HL18" t="e">
        <f>#REF!+"8O&lt;!Y{"</f>
        <v>#REF!</v>
      </c>
      <c r="HM18" t="e">
        <f>#REF!+"8O&lt;!Y|"</f>
        <v>#REF!</v>
      </c>
      <c r="HN18" t="e">
        <f>#REF!+"8O&lt;!Y}"</f>
        <v>#REF!</v>
      </c>
      <c r="HO18" t="e">
        <f>#REF!+"8O&lt;!Y~"</f>
        <v>#REF!</v>
      </c>
      <c r="HP18" t="e">
        <f>#REF!+"8O&lt;!Z#"</f>
        <v>#REF!</v>
      </c>
      <c r="HQ18" t="e">
        <f>#REF!+"8O&lt;!Z$"</f>
        <v>#REF!</v>
      </c>
      <c r="HR18" t="e">
        <f>#REF!+"8O&lt;!Z%"</f>
        <v>#REF!</v>
      </c>
      <c r="HS18" t="e">
        <f>#REF!+"8O&lt;!Z&amp;"</f>
        <v>#REF!</v>
      </c>
      <c r="HT18" t="e">
        <f>#REF!+"8O&lt;!Z'"</f>
        <v>#REF!</v>
      </c>
      <c r="HU18" t="e">
        <f>#REF!+"8O&lt;!Z("</f>
        <v>#REF!</v>
      </c>
      <c r="HV18" t="e">
        <f>#REF!+"8O&lt;!Z)"</f>
        <v>#REF!</v>
      </c>
      <c r="HW18" t="e">
        <f>#REF!+"8O&lt;!Z."</f>
        <v>#REF!</v>
      </c>
      <c r="HX18" t="e">
        <f>#REF!+"8O&lt;!Z/"</f>
        <v>#REF!</v>
      </c>
      <c r="HY18" t="e">
        <f>#REF!+"8O&lt;!Z0"</f>
        <v>#REF!</v>
      </c>
      <c r="HZ18" t="e">
        <f>#REF!+"8O&lt;!Z1"</f>
        <v>#REF!</v>
      </c>
      <c r="IA18" t="e">
        <f>#REF!+"8O&lt;!Z2"</f>
        <v>#REF!</v>
      </c>
      <c r="IB18" t="e">
        <f>#REF!+"8O&lt;!Z3"</f>
        <v>#REF!</v>
      </c>
      <c r="IC18" t="e">
        <f>#REF!+"8O&lt;!Z4"</f>
        <v>#REF!</v>
      </c>
      <c r="ID18" t="e">
        <f>#REF!+"8O&lt;!Z5"</f>
        <v>#REF!</v>
      </c>
      <c r="IE18" t="e">
        <f>#REF!+"8O&lt;!Z6"</f>
        <v>#REF!</v>
      </c>
      <c r="IF18" t="e">
        <f>#REF!+"8O&lt;!Z7"</f>
        <v>#REF!</v>
      </c>
      <c r="IG18" t="e">
        <f>#REF!+"8O&lt;!Z8"</f>
        <v>#REF!</v>
      </c>
      <c r="IH18" t="e">
        <f>#REF!+"8O&lt;!Z9"</f>
        <v>#REF!</v>
      </c>
      <c r="II18" t="e">
        <f>#REF!+"8O&lt;!Z:"</f>
        <v>#REF!</v>
      </c>
      <c r="IJ18" t="e">
        <f>#REF!+"8O&lt;!Z;"</f>
        <v>#REF!</v>
      </c>
      <c r="IK18" t="e">
        <f>#REF!+"8O&lt;!Z&lt;"</f>
        <v>#REF!</v>
      </c>
      <c r="IL18" t="e">
        <f>#REF!+"8O&lt;!Z="</f>
        <v>#REF!</v>
      </c>
      <c r="IM18" t="e">
        <f>#REF!+"8O&lt;!Z&gt;"</f>
        <v>#REF!</v>
      </c>
      <c r="IN18" t="e">
        <f>#REF!+"8O&lt;!Z?"</f>
        <v>#REF!</v>
      </c>
      <c r="IO18" t="e">
        <f>#REF!+"8O&lt;!Z@"</f>
        <v>#REF!</v>
      </c>
      <c r="IP18" t="e">
        <f>#REF!+"8O&lt;!ZA"</f>
        <v>#REF!</v>
      </c>
      <c r="IQ18" t="e">
        <f>#REF!+"8O&lt;!ZB"</f>
        <v>#REF!</v>
      </c>
      <c r="IR18" t="e">
        <f>#REF!+"8O&lt;!ZC"</f>
        <v>#REF!</v>
      </c>
      <c r="IS18" t="e">
        <f>#REF!+"8O&lt;!ZD"</f>
        <v>#REF!</v>
      </c>
      <c r="IT18" t="e">
        <f>#REF!+"8O&lt;!ZE"</f>
        <v>#REF!</v>
      </c>
      <c r="IU18" t="e">
        <f>#REF!+"8O&lt;!ZF"</f>
        <v>#REF!</v>
      </c>
      <c r="IV18" t="e">
        <f>#REF!+"8O&lt;!ZG"</f>
        <v>#REF!</v>
      </c>
    </row>
    <row r="19" spans="6:256" x14ac:dyDescent="0.25">
      <c r="F19" t="e">
        <f>#REF!+"8O&lt;!ZH"</f>
        <v>#REF!</v>
      </c>
      <c r="G19" t="e">
        <f>#REF!+"8O&lt;!ZI"</f>
        <v>#REF!</v>
      </c>
      <c r="H19" t="e">
        <f>#REF!+"8O&lt;!ZJ"</f>
        <v>#REF!</v>
      </c>
      <c r="I19" t="e">
        <f>#REF!+"8O&lt;!ZK"</f>
        <v>#REF!</v>
      </c>
      <c r="J19" t="e">
        <f>#REF!+"8O&lt;!ZL"</f>
        <v>#REF!</v>
      </c>
      <c r="K19" t="e">
        <f>#REF!+"8O&lt;!ZM"</f>
        <v>#REF!</v>
      </c>
      <c r="L19" t="e">
        <f>#REF!+"8O&lt;!ZN"</f>
        <v>#REF!</v>
      </c>
      <c r="M19" t="e">
        <f>#REF!+"8O&lt;!ZO"</f>
        <v>#REF!</v>
      </c>
      <c r="N19" t="e">
        <f>#REF!+"8O&lt;!ZP"</f>
        <v>#REF!</v>
      </c>
      <c r="O19" t="e">
        <f>#REF!+"8O&lt;!ZQ"</f>
        <v>#REF!</v>
      </c>
      <c r="P19" t="e">
        <f>#REF!+"8O&lt;!ZR"</f>
        <v>#REF!</v>
      </c>
      <c r="Q19" t="e">
        <f>#REF!+"8O&lt;!ZS"</f>
        <v>#REF!</v>
      </c>
      <c r="R19" t="e">
        <f>#REF!+"8O&lt;!ZT"</f>
        <v>#REF!</v>
      </c>
      <c r="S19" t="e">
        <f>#REF!+"8O&lt;!ZU"</f>
        <v>#REF!</v>
      </c>
      <c r="T19" t="e">
        <f>#REF!+"8O&lt;!ZV"</f>
        <v>#REF!</v>
      </c>
      <c r="U19" t="e">
        <f>#REF!+"8O&lt;!ZW"</f>
        <v>#REF!</v>
      </c>
      <c r="V19" t="e">
        <f>#REF!+"8O&lt;!ZX"</f>
        <v>#REF!</v>
      </c>
      <c r="W19" t="e">
        <f>#REF!+"8O&lt;!ZY"</f>
        <v>#REF!</v>
      </c>
      <c r="X19" t="e">
        <f>#REF!+"8O&lt;!ZZ"</f>
        <v>#REF!</v>
      </c>
      <c r="Y19" t="e">
        <f>#REF!+"8O&lt;!Z["</f>
        <v>#REF!</v>
      </c>
      <c r="Z19" t="e">
        <f>#REF!+"8O&lt;!Z\"</f>
        <v>#REF!</v>
      </c>
      <c r="AA19" t="e">
        <f>#REF!+"8O&lt;!Z]"</f>
        <v>#REF!</v>
      </c>
      <c r="AB19" t="e">
        <f>#REF!+"8O&lt;!Z^"</f>
        <v>#REF!</v>
      </c>
      <c r="AC19" t="e">
        <f>#REF!+"8O&lt;!Z_"</f>
        <v>#REF!</v>
      </c>
      <c r="AD19" t="e">
        <f>#REF!+"8O&lt;!Z`"</f>
        <v>#REF!</v>
      </c>
      <c r="AE19" t="e">
        <f>#REF!+"8O&lt;!Za"</f>
        <v>#REF!</v>
      </c>
      <c r="AF19" t="e">
        <f>#REF!+"8O&lt;!Zb"</f>
        <v>#REF!</v>
      </c>
      <c r="AG19" t="e">
        <f>#REF!+"8O&lt;!Zc"</f>
        <v>#REF!</v>
      </c>
      <c r="AH19" t="e">
        <f>#REF!+"8O&lt;!Zd"</f>
        <v>#REF!</v>
      </c>
      <c r="AI19" t="e">
        <f>#REF!+"8O&lt;!Ze"</f>
        <v>#REF!</v>
      </c>
      <c r="AJ19" t="e">
        <f>#REF!+"8O&lt;!Zf"</f>
        <v>#REF!</v>
      </c>
      <c r="AK19" t="e">
        <f>#REF!+"8O&lt;!Zg"</f>
        <v>#REF!</v>
      </c>
      <c r="AL19" t="e">
        <f>#REF!+"8O&lt;!Zh"</f>
        <v>#REF!</v>
      </c>
      <c r="AM19" t="e">
        <f>#REF!+"8O&lt;!Zi"</f>
        <v>#REF!</v>
      </c>
      <c r="AN19" t="e">
        <f>#REF!+"8O&lt;!Zj"</f>
        <v>#REF!</v>
      </c>
      <c r="AO19" t="e">
        <f>#REF!+"8O&lt;!Zk"</f>
        <v>#REF!</v>
      </c>
      <c r="AP19" t="e">
        <f>#REF!+"8O&lt;!Zl"</f>
        <v>#REF!</v>
      </c>
      <c r="AQ19" t="e">
        <f>#REF!+"8O&lt;!Zm"</f>
        <v>#REF!</v>
      </c>
      <c r="AR19" t="e">
        <f>#REF!+"8O&lt;!Zn"</f>
        <v>#REF!</v>
      </c>
      <c r="AS19" t="e">
        <f>#REF!+"8O&lt;!Zo"</f>
        <v>#REF!</v>
      </c>
      <c r="AT19" t="e">
        <f>#REF!+"8O&lt;!Zp"</f>
        <v>#REF!</v>
      </c>
      <c r="AU19" t="e">
        <f>#REF!+"8O&lt;!Zq"</f>
        <v>#REF!</v>
      </c>
      <c r="AV19" t="e">
        <f>#REF!+"8O&lt;!Zr"</f>
        <v>#REF!</v>
      </c>
      <c r="AW19" t="e">
        <f>#REF!+"8O&lt;!Zs"</f>
        <v>#REF!</v>
      </c>
      <c r="AX19" t="e">
        <f>#REF!+"8O&lt;!Zt"</f>
        <v>#REF!</v>
      </c>
      <c r="AY19" t="e">
        <f>#REF!+"8O&lt;!Zu"</f>
        <v>#REF!</v>
      </c>
      <c r="AZ19" t="e">
        <f>#REF!+"8O&lt;!Zv"</f>
        <v>#REF!</v>
      </c>
      <c r="BA19" t="e">
        <f>#REF!+"8O&lt;!Zw"</f>
        <v>#REF!</v>
      </c>
      <c r="BB19" t="e">
        <f>#REF!+"8O&lt;!Zx"</f>
        <v>#REF!</v>
      </c>
      <c r="BC19" t="e">
        <f>#REF!+"8O&lt;!Zy"</f>
        <v>#REF!</v>
      </c>
      <c r="BD19" t="e">
        <f>#REF!+"8O&lt;!Zz"</f>
        <v>#REF!</v>
      </c>
      <c r="BE19" t="e">
        <f>#REF!+"8O&lt;!Z{"</f>
        <v>#REF!</v>
      </c>
      <c r="BF19" t="e">
        <f>#REF!+"8O&lt;!Z|"</f>
        <v>#REF!</v>
      </c>
      <c r="BG19" t="e">
        <f>#REF!+"8O&lt;!Z}"</f>
        <v>#REF!</v>
      </c>
      <c r="BH19" t="e">
        <f>#REF!+"8O&lt;!Z~"</f>
        <v>#REF!</v>
      </c>
      <c r="BI19" t="e">
        <f>#REF!+"8O&lt;![#"</f>
        <v>#REF!</v>
      </c>
      <c r="BJ19" t="e">
        <f>#REF!+"8O&lt;![$"</f>
        <v>#REF!</v>
      </c>
      <c r="BK19" t="e">
        <f>#REF!+"8O&lt;![%"</f>
        <v>#REF!</v>
      </c>
      <c r="BL19" t="e">
        <f>#REF!+"8O&lt;![&amp;"</f>
        <v>#REF!</v>
      </c>
      <c r="BM19" t="e">
        <f>#REF!+"8O&lt;!['"</f>
        <v>#REF!</v>
      </c>
      <c r="BN19" t="e">
        <f>#REF!+"8O&lt;![("</f>
        <v>#REF!</v>
      </c>
      <c r="BO19" t="e">
        <f>#REF!+"8O&lt;![)"</f>
        <v>#REF!</v>
      </c>
      <c r="BP19" t="e">
        <f>#REF!+"8O&lt;![."</f>
        <v>#REF!</v>
      </c>
      <c r="BQ19" t="e">
        <f>#REF!+"8O&lt;![/"</f>
        <v>#REF!</v>
      </c>
      <c r="BR19" t="e">
        <f>#REF!+"8O&lt;![0"</f>
        <v>#REF!</v>
      </c>
      <c r="BS19" t="e">
        <f>#REF!+"8O&lt;![1"</f>
        <v>#REF!</v>
      </c>
      <c r="BT19" t="e">
        <f>#REF!+"8O&lt;![2"</f>
        <v>#REF!</v>
      </c>
      <c r="BU19" t="e">
        <f>#REF!+"8O&lt;![3"</f>
        <v>#REF!</v>
      </c>
      <c r="BV19" t="e">
        <f>#REF!+"8O&lt;![4"</f>
        <v>#REF!</v>
      </c>
      <c r="BW19" t="e">
        <f>#REF!+"8O&lt;![5"</f>
        <v>#REF!</v>
      </c>
      <c r="BX19" t="e">
        <f>#REF!+"8O&lt;![6"</f>
        <v>#REF!</v>
      </c>
      <c r="BY19" t="e">
        <f>#REF!+"8O&lt;![7"</f>
        <v>#REF!</v>
      </c>
      <c r="BZ19" t="e">
        <f>#REF!+"8O&lt;![8"</f>
        <v>#REF!</v>
      </c>
      <c r="CA19" t="e">
        <f>#REF!+"8O&lt;![9"</f>
        <v>#REF!</v>
      </c>
      <c r="CB19" t="e">
        <f>#REF!+"8O&lt;![:"</f>
        <v>#REF!</v>
      </c>
      <c r="CC19" t="e">
        <f>#REF!+"8O&lt;![;"</f>
        <v>#REF!</v>
      </c>
      <c r="CD19" t="e">
        <f>#REF!+"8O&lt;![&lt;"</f>
        <v>#REF!</v>
      </c>
      <c r="CE19" t="e">
        <f>#REF!+"8O&lt;![="</f>
        <v>#REF!</v>
      </c>
      <c r="CF19" t="e">
        <f>#REF!+"8O&lt;![&gt;"</f>
        <v>#REF!</v>
      </c>
      <c r="CG19" t="e">
        <f>#REF!+"8O&lt;![?"</f>
        <v>#REF!</v>
      </c>
      <c r="CH19" t="e">
        <f>#REF!+"8O&lt;![@"</f>
        <v>#REF!</v>
      </c>
      <c r="CI19" t="e">
        <f>#REF!+"8O&lt;![A"</f>
        <v>#REF!</v>
      </c>
      <c r="CJ19" t="e">
        <f>#REF!+"8O&lt;![B"</f>
        <v>#REF!</v>
      </c>
      <c r="CK19" t="e">
        <f>#REF!+"8O&lt;![C"</f>
        <v>#REF!</v>
      </c>
      <c r="CL19" t="e">
        <f>#REF!+"8O&lt;![D"</f>
        <v>#REF!</v>
      </c>
      <c r="CM19" t="e">
        <f>#REF!+"8O&lt;![E"</f>
        <v>#REF!</v>
      </c>
      <c r="CN19" t="e">
        <f>#REF!+"8O&lt;![F"</f>
        <v>#REF!</v>
      </c>
      <c r="CO19" t="e">
        <f>#REF!+"8O&lt;![G"</f>
        <v>#REF!</v>
      </c>
      <c r="CP19" t="e">
        <f>#REF!+"8O&lt;![H"</f>
        <v>#REF!</v>
      </c>
      <c r="CQ19" t="e">
        <f>#REF!+"8O&lt;![I"</f>
        <v>#REF!</v>
      </c>
      <c r="CR19" t="e">
        <f>#REF!+"8O&lt;![J"</f>
        <v>#REF!</v>
      </c>
      <c r="CS19" t="e">
        <f>#REF!+"8O&lt;![K"</f>
        <v>#REF!</v>
      </c>
      <c r="CT19" t="e">
        <f>#REF!+"8O&lt;![L"</f>
        <v>#REF!</v>
      </c>
      <c r="CU19" t="e">
        <f>#REF!+"8O&lt;![M"</f>
        <v>#REF!</v>
      </c>
      <c r="CV19" t="e">
        <f>#REF!+"8O&lt;![N"</f>
        <v>#REF!</v>
      </c>
      <c r="CW19" t="e">
        <f>#REF!+"8O&lt;![O"</f>
        <v>#REF!</v>
      </c>
      <c r="CX19" t="e">
        <f>#REF!+"8O&lt;![P"</f>
        <v>#REF!</v>
      </c>
      <c r="CY19" t="e">
        <f>#REF!+"8O&lt;![Q"</f>
        <v>#REF!</v>
      </c>
      <c r="CZ19" t="e">
        <f>#REF!+"8O&lt;![R"</f>
        <v>#REF!</v>
      </c>
      <c r="DA19" t="e">
        <f>#REF!+"8O&lt;![S"</f>
        <v>#REF!</v>
      </c>
      <c r="DB19" t="e">
        <f>#REF!+"8O&lt;![T"</f>
        <v>#REF!</v>
      </c>
      <c r="DC19" t="e">
        <f>#REF!+"8O&lt;![U"</f>
        <v>#REF!</v>
      </c>
      <c r="DD19" t="e">
        <f>#REF!+"8O&lt;![V"</f>
        <v>#REF!</v>
      </c>
      <c r="DE19" t="e">
        <f>#REF!+"8O&lt;![W"</f>
        <v>#REF!</v>
      </c>
      <c r="DF19" t="e">
        <f>#REF!+"8O&lt;![X"</f>
        <v>#REF!</v>
      </c>
      <c r="DG19" t="e">
        <f>#REF!+"8O&lt;![Y"</f>
        <v>#REF!</v>
      </c>
      <c r="DH19" t="e">
        <f>#REF!+"8O&lt;![Z"</f>
        <v>#REF!</v>
      </c>
      <c r="DI19" t="e">
        <f>#REF!+"8O&lt;![["</f>
        <v>#REF!</v>
      </c>
      <c r="DJ19" t="e">
        <f>#REF!+"8O&lt;![\"</f>
        <v>#REF!</v>
      </c>
      <c r="DK19" t="e">
        <f>#REF!+"8O&lt;![]"</f>
        <v>#REF!</v>
      </c>
      <c r="DL19" t="e">
        <f>#REF!+"8O&lt;![^"</f>
        <v>#REF!</v>
      </c>
      <c r="DM19" t="e">
        <f>#REF!+"8O&lt;![_"</f>
        <v>#REF!</v>
      </c>
      <c r="DN19" t="e">
        <f>#REF!+"8O&lt;![`"</f>
        <v>#REF!</v>
      </c>
      <c r="DO19" t="e">
        <f>#REF!+"8O&lt;![a"</f>
        <v>#REF!</v>
      </c>
      <c r="DP19" t="e">
        <f>#REF!+"8O&lt;![b"</f>
        <v>#REF!</v>
      </c>
      <c r="DQ19" t="e">
        <f>#REF!+"8O&lt;![c"</f>
        <v>#REF!</v>
      </c>
      <c r="DR19" t="e">
        <f>#REF!+"8O&lt;![d"</f>
        <v>#REF!</v>
      </c>
      <c r="DS19" t="e">
        <f>#REF!+"8O&lt;![e"</f>
        <v>#REF!</v>
      </c>
      <c r="DT19" t="e">
        <f>#REF!+"8O&lt;![f"</f>
        <v>#REF!</v>
      </c>
      <c r="DU19" t="e">
        <f>#REF!+"8O&lt;![g"</f>
        <v>#REF!</v>
      </c>
      <c r="DV19" t="e">
        <f>#REF!+"8O&lt;![h"</f>
        <v>#REF!</v>
      </c>
      <c r="DW19" t="e">
        <f>#REF!+"8O&lt;![i"</f>
        <v>#REF!</v>
      </c>
      <c r="DX19" t="e">
        <f>#REF!+"8O&lt;![j"</f>
        <v>#REF!</v>
      </c>
      <c r="DY19" t="e">
        <f>#REF!+"8O&lt;![k"</f>
        <v>#REF!</v>
      </c>
      <c r="DZ19" t="e">
        <f>#REF!+"8O&lt;![l"</f>
        <v>#REF!</v>
      </c>
      <c r="EA19" t="e">
        <f>#REF!+"8O&lt;![m"</f>
        <v>#REF!</v>
      </c>
      <c r="EB19" t="e">
        <f>#REF!+"8O&lt;![n"</f>
        <v>#REF!</v>
      </c>
      <c r="EC19" t="e">
        <f>#REF!+"8O&lt;![o"</f>
        <v>#REF!</v>
      </c>
      <c r="ED19" t="e">
        <f>#REF!+"8O&lt;![p"</f>
        <v>#REF!</v>
      </c>
      <c r="EE19" t="e">
        <f>#REF!+"8O&lt;![q"</f>
        <v>#REF!</v>
      </c>
      <c r="EF19" t="e">
        <f>#REF!+"8O&lt;![r"</f>
        <v>#REF!</v>
      </c>
      <c r="EG19" t="e">
        <f>#REF!+"8O&lt;![s"</f>
        <v>#REF!</v>
      </c>
      <c r="EH19" t="e">
        <f>#REF!+"8O&lt;![t"</f>
        <v>#REF!</v>
      </c>
      <c r="EI19" t="e">
        <f>#REF!+"8O&lt;![u"</f>
        <v>#REF!</v>
      </c>
      <c r="EJ19" t="e">
        <f>#REF!+"8O&lt;![v"</f>
        <v>#REF!</v>
      </c>
      <c r="EK19" t="e">
        <f>#REF!+"8O&lt;![w"</f>
        <v>#REF!</v>
      </c>
      <c r="EL19" t="e">
        <f>#REF!+"8O&lt;![x"</f>
        <v>#REF!</v>
      </c>
      <c r="EM19" t="e">
        <f>#REF!+"8O&lt;![y"</f>
        <v>#REF!</v>
      </c>
      <c r="EN19" t="e">
        <f>#REF!+"8O&lt;![z"</f>
        <v>#REF!</v>
      </c>
      <c r="EO19" t="e">
        <f>#REF!+"8O&lt;![{"</f>
        <v>#REF!</v>
      </c>
      <c r="EP19" t="e">
        <f>#REF!+"8O&lt;![|"</f>
        <v>#REF!</v>
      </c>
      <c r="EQ19" t="e">
        <f>#REF!+"8O&lt;![}"</f>
        <v>#REF!</v>
      </c>
      <c r="ER19" t="e">
        <f>#REF!+"8O&lt;![~"</f>
        <v>#REF!</v>
      </c>
      <c r="ES19" t="e">
        <f>#REF!+"8O&lt;!\#"</f>
        <v>#REF!</v>
      </c>
      <c r="ET19" t="e">
        <f>#REF!+"8O&lt;!\$"</f>
        <v>#REF!</v>
      </c>
      <c r="EU19" t="e">
        <f>#REF!+"8O&lt;!\%"</f>
        <v>#REF!</v>
      </c>
      <c r="EV19" t="e">
        <f>#REF!+"8O&lt;!\&amp;"</f>
        <v>#REF!</v>
      </c>
      <c r="EW19" t="e">
        <f>#REF!+"8O&lt;!\'"</f>
        <v>#REF!</v>
      </c>
      <c r="EX19" t="e">
        <f>#REF!+"8O&lt;!\("</f>
        <v>#REF!</v>
      </c>
      <c r="EY19" t="e">
        <f>#REF!+"8O&lt;!\)"</f>
        <v>#REF!</v>
      </c>
      <c r="EZ19" t="e">
        <f>#REF!+"8O&lt;!\."</f>
        <v>#REF!</v>
      </c>
      <c r="FA19" t="e">
        <f>#REF!+"8O&lt;!\/"</f>
        <v>#REF!</v>
      </c>
      <c r="FB19" t="e">
        <f>#REF!+"8O&lt;!\0"</f>
        <v>#REF!</v>
      </c>
      <c r="FC19" t="e">
        <f>#REF!+"8O&lt;!\1"</f>
        <v>#REF!</v>
      </c>
      <c r="FD19" t="e">
        <f>#REF!+"8O&lt;!\2"</f>
        <v>#REF!</v>
      </c>
      <c r="FE19" t="e">
        <f>#REF!+"8O&lt;!\3"</f>
        <v>#REF!</v>
      </c>
      <c r="FF19" t="e">
        <f>#REF!+"8O&lt;!\4"</f>
        <v>#REF!</v>
      </c>
      <c r="FG19" t="e">
        <f>#REF!+"8O&lt;!\5"</f>
        <v>#REF!</v>
      </c>
      <c r="FH19" t="e">
        <f>#REF!+"8O&lt;!\6"</f>
        <v>#REF!</v>
      </c>
      <c r="FI19" t="e">
        <f>#REF!+"8O&lt;!\7"</f>
        <v>#REF!</v>
      </c>
      <c r="FJ19" t="e">
        <f>#REF!+"8O&lt;!\8"</f>
        <v>#REF!</v>
      </c>
      <c r="FK19" t="e">
        <f>#REF!+"8O&lt;!\9"</f>
        <v>#REF!</v>
      </c>
      <c r="FL19" t="e">
        <f>#REF!+"8O&lt;!\:"</f>
        <v>#REF!</v>
      </c>
      <c r="FM19" t="e">
        <f>#REF!+"8O&lt;!\;"</f>
        <v>#REF!</v>
      </c>
      <c r="FN19" t="e">
        <f>#REF!+"8O&lt;!\&lt;"</f>
        <v>#REF!</v>
      </c>
      <c r="FO19" t="e">
        <f>#REF!+"8O&lt;!\="</f>
        <v>#REF!</v>
      </c>
      <c r="FP19" t="e">
        <f>#REF!+"8O&lt;!\&gt;"</f>
        <v>#REF!</v>
      </c>
      <c r="FQ19" t="e">
        <f>#REF!+"8O&lt;!\?"</f>
        <v>#REF!</v>
      </c>
      <c r="FR19" t="e">
        <f>#REF!+"8O&lt;!\@"</f>
        <v>#REF!</v>
      </c>
      <c r="FS19" t="e">
        <f>#REF!+"8O&lt;!\A"</f>
        <v>#REF!</v>
      </c>
      <c r="FT19" t="e">
        <f>#REF!+"8O&lt;!\B"</f>
        <v>#REF!</v>
      </c>
      <c r="FU19" t="e">
        <f>#REF!+"8O&lt;!\C"</f>
        <v>#REF!</v>
      </c>
      <c r="FV19" t="e">
        <f>#REF!+"8O&lt;!\D"</f>
        <v>#REF!</v>
      </c>
      <c r="FW19" t="e">
        <f>#REF!+"8O&lt;!\E"</f>
        <v>#REF!</v>
      </c>
      <c r="FX19" t="e">
        <f>#REF!+"8O&lt;!\F"</f>
        <v>#REF!</v>
      </c>
      <c r="FY19" t="e">
        <f>#REF!+"8O&lt;!\G"</f>
        <v>#REF!</v>
      </c>
      <c r="FZ19" t="e">
        <f>#REF!+"8O&lt;!\H"</f>
        <v>#REF!</v>
      </c>
      <c r="GA19" t="e">
        <f>#REF!+"8O&lt;!\I"</f>
        <v>#REF!</v>
      </c>
      <c r="GB19" t="e">
        <f>#REF!+"8O&lt;!\J"</f>
        <v>#REF!</v>
      </c>
      <c r="GC19" t="e">
        <f>#REF!+"8O&lt;!\K"</f>
        <v>#REF!</v>
      </c>
      <c r="GD19" t="e">
        <f>#REF!+"8O&lt;!\L"</f>
        <v>#REF!</v>
      </c>
      <c r="GE19" t="e">
        <f>#REF!+"8O&lt;!\M"</f>
        <v>#REF!</v>
      </c>
      <c r="GF19" t="e">
        <f>#REF!+"8O&lt;!\N"</f>
        <v>#REF!</v>
      </c>
      <c r="GG19" t="e">
        <f>#REF!+"8O&lt;!\O"</f>
        <v>#REF!</v>
      </c>
      <c r="GH19" t="e">
        <f>#REF!+"8O&lt;!\P"</f>
        <v>#REF!</v>
      </c>
      <c r="GI19" t="e">
        <f>#REF!+"8O&lt;!\Q"</f>
        <v>#REF!</v>
      </c>
      <c r="GJ19" t="e">
        <f>#REF!+"8O&lt;!\R"</f>
        <v>#REF!</v>
      </c>
      <c r="GK19" t="e">
        <f>#REF!+"8O&lt;!\S"</f>
        <v>#REF!</v>
      </c>
      <c r="GL19" t="e">
        <f>#REF!+"8O&lt;!\T"</f>
        <v>#REF!</v>
      </c>
      <c r="GM19" t="e">
        <f>#REF!+"8O&lt;!\U"</f>
        <v>#REF!</v>
      </c>
      <c r="GN19" t="e">
        <f>#REF!+"8O&lt;!\V"</f>
        <v>#REF!</v>
      </c>
      <c r="GO19" t="e">
        <f>#REF!+"8O&lt;!\W"</f>
        <v>#REF!</v>
      </c>
      <c r="GP19" t="e">
        <f>#REF!+"8O&lt;!\X"</f>
        <v>#REF!</v>
      </c>
      <c r="GQ19" t="e">
        <f>#REF!+"8O&lt;!\Y"</f>
        <v>#REF!</v>
      </c>
      <c r="GR19" t="e">
        <f>#REF!+"8O&lt;!\Z"</f>
        <v>#REF!</v>
      </c>
      <c r="GS19" t="e">
        <f>#REF!+"8O&lt;!\["</f>
        <v>#REF!</v>
      </c>
      <c r="GT19" t="e">
        <f>#REF!+"8O&lt;!\\"</f>
        <v>#REF!</v>
      </c>
      <c r="GU19" t="e">
        <f>#REF!+"8O&lt;!\]"</f>
        <v>#REF!</v>
      </c>
      <c r="GV19" t="e">
        <f>#REF!+"8O&lt;!\^"</f>
        <v>#REF!</v>
      </c>
      <c r="GW19" t="e">
        <f>#REF!+"8O&lt;!\_"</f>
        <v>#REF!</v>
      </c>
      <c r="GX19" t="e">
        <f>#REF!+"8O&lt;!\`"</f>
        <v>#REF!</v>
      </c>
      <c r="GY19" t="e">
        <f>#REF!+"8O&lt;!\a"</f>
        <v>#REF!</v>
      </c>
      <c r="GZ19" t="e">
        <f>#REF!+"8O&lt;!\b"</f>
        <v>#REF!</v>
      </c>
      <c r="HA19" t="e">
        <f>#REF!+"8O&lt;!\c"</f>
        <v>#REF!</v>
      </c>
      <c r="HB19" t="e">
        <f>#REF!+"8O&lt;!\d"</f>
        <v>#REF!</v>
      </c>
      <c r="HC19" t="e">
        <f>#REF!+"8O&lt;!\e"</f>
        <v>#REF!</v>
      </c>
      <c r="HD19" t="e">
        <f>#REF!+"8O&lt;!\f"</f>
        <v>#REF!</v>
      </c>
      <c r="HE19" t="e">
        <f>#REF!+"8O&lt;!\g"</f>
        <v>#REF!</v>
      </c>
      <c r="HF19" t="e">
        <f>#REF!+"8O&lt;!\h"</f>
        <v>#REF!</v>
      </c>
      <c r="HG19" t="e">
        <f>#REF!+"8O&lt;!\i"</f>
        <v>#REF!</v>
      </c>
      <c r="HH19" t="e">
        <f>#REF!+"8O&lt;!\j"</f>
        <v>#REF!</v>
      </c>
      <c r="HI19" t="e">
        <f>#REF!+"8O&lt;!\k"</f>
        <v>#REF!</v>
      </c>
      <c r="HJ19" t="e">
        <f>#REF!+"8O&lt;!\l"</f>
        <v>#REF!</v>
      </c>
      <c r="HK19" t="e">
        <f>#REF!+"8O&lt;!\m"</f>
        <v>#REF!</v>
      </c>
      <c r="HL19" t="e">
        <f>#REF!+"8O&lt;!\n"</f>
        <v>#REF!</v>
      </c>
      <c r="HM19" t="e">
        <f>#REF!+"8O&lt;!\o"</f>
        <v>#REF!</v>
      </c>
      <c r="HN19" t="e">
        <f>#REF!+"8O&lt;!\p"</f>
        <v>#REF!</v>
      </c>
      <c r="HO19" t="e">
        <f>#REF!+"8O&lt;!\q"</f>
        <v>#REF!</v>
      </c>
      <c r="HP19" t="e">
        <f>#REF!+"8O&lt;!\r"</f>
        <v>#REF!</v>
      </c>
      <c r="HQ19" t="e">
        <f>#REF!+"8O&lt;!\s"</f>
        <v>#REF!</v>
      </c>
      <c r="HR19" t="e">
        <f>#REF!+"8O&lt;!\t"</f>
        <v>#REF!</v>
      </c>
      <c r="HS19" t="e">
        <f>#REF!+"8O&lt;!\u"</f>
        <v>#REF!</v>
      </c>
      <c r="HT19" t="e">
        <f>#REF!+"8O&lt;!\v"</f>
        <v>#REF!</v>
      </c>
      <c r="HU19" t="e">
        <f>#REF!+"8O&lt;!\w"</f>
        <v>#REF!</v>
      </c>
      <c r="HV19" t="e">
        <f>#REF!+"8O&lt;!\x"</f>
        <v>#REF!</v>
      </c>
      <c r="HW19" t="e">
        <f>#REF!+"8O&lt;!\y"</f>
        <v>#REF!</v>
      </c>
      <c r="HX19" t="e">
        <f>#REF!+"8O&lt;!\z"</f>
        <v>#REF!</v>
      </c>
      <c r="HY19" t="e">
        <f>#REF!+"8O&lt;!\{"</f>
        <v>#REF!</v>
      </c>
      <c r="HZ19" t="e">
        <f>#REF!+"8O&lt;!\|"</f>
        <v>#REF!</v>
      </c>
      <c r="IA19" t="e">
        <f>#REF!+"8O&lt;!\}"</f>
        <v>#REF!</v>
      </c>
      <c r="IB19" t="e">
        <f>#REF!+"8O&lt;!\~"</f>
        <v>#REF!</v>
      </c>
      <c r="IC19" t="e">
        <f>#REF!+"8O&lt;!]#"</f>
        <v>#REF!</v>
      </c>
      <c r="ID19" t="e">
        <f>#REF!+"8O&lt;!]$"</f>
        <v>#REF!</v>
      </c>
      <c r="IE19" t="e">
        <f>#REF!+"8O&lt;!]%"</f>
        <v>#REF!</v>
      </c>
      <c r="IF19" t="e">
        <f>#REF!+"8O&lt;!]&amp;"</f>
        <v>#REF!</v>
      </c>
      <c r="IG19" t="e">
        <f>#REF!+"8O&lt;!]'"</f>
        <v>#REF!</v>
      </c>
      <c r="IH19" t="e">
        <f>#REF!+"8O&lt;!]("</f>
        <v>#REF!</v>
      </c>
      <c r="II19" t="e">
        <f>#REF!+"8O&lt;!])"</f>
        <v>#REF!</v>
      </c>
      <c r="IJ19" t="e">
        <f>#REF!+"8O&lt;!]."</f>
        <v>#REF!</v>
      </c>
      <c r="IK19" t="e">
        <f>#REF!+"8O&lt;!]/"</f>
        <v>#REF!</v>
      </c>
      <c r="IL19" t="e">
        <f>#REF!+"8O&lt;!]0"</f>
        <v>#REF!</v>
      </c>
      <c r="IM19" t="e">
        <f>#REF!+"8O&lt;!]1"</f>
        <v>#REF!</v>
      </c>
      <c r="IN19" t="e">
        <f>#REF!+"8O&lt;!]2"</f>
        <v>#REF!</v>
      </c>
      <c r="IO19" t="e">
        <f>#REF!+"8O&lt;!]3"</f>
        <v>#REF!</v>
      </c>
      <c r="IP19" t="e">
        <f>#REF!+"8O&lt;!]4"</f>
        <v>#REF!</v>
      </c>
      <c r="IQ19" t="e">
        <f>#REF!+"8O&lt;!]5"</f>
        <v>#REF!</v>
      </c>
      <c r="IR19" t="e">
        <f>#REF!+"8O&lt;!]6"</f>
        <v>#REF!</v>
      </c>
      <c r="IS19" t="e">
        <f>#REF!+"8O&lt;!]7"</f>
        <v>#REF!</v>
      </c>
      <c r="IT19" t="e">
        <f>#REF!+"8O&lt;!]8"</f>
        <v>#REF!</v>
      </c>
      <c r="IU19" t="e">
        <f>#REF!+"8O&lt;!]9"</f>
        <v>#REF!</v>
      </c>
      <c r="IV19" t="e">
        <f>#REF!+"8O&lt;!]:"</f>
        <v>#REF!</v>
      </c>
    </row>
    <row r="20" spans="6:256" x14ac:dyDescent="0.25">
      <c r="F20" t="e">
        <f>#REF!+"8O&lt;!];"</f>
        <v>#REF!</v>
      </c>
      <c r="G20" t="e">
        <f>#REF!+"8O&lt;!]&lt;"</f>
        <v>#REF!</v>
      </c>
      <c r="H20" t="e">
        <f>#REF!+"8O&lt;!]="</f>
        <v>#REF!</v>
      </c>
      <c r="I20" t="e">
        <f>#REF!+"8O&lt;!]&gt;"</f>
        <v>#REF!</v>
      </c>
      <c r="J20" t="e">
        <f>#REF!+"8O&lt;!]?"</f>
        <v>#REF!</v>
      </c>
      <c r="K20" t="e">
        <f>#REF!+"8O&lt;!]@"</f>
        <v>#REF!</v>
      </c>
      <c r="L20" t="e">
        <f>#REF!+"8O&lt;!]A"</f>
        <v>#REF!</v>
      </c>
      <c r="M20" t="e">
        <f>#REF!+"8O&lt;!]B"</f>
        <v>#REF!</v>
      </c>
      <c r="N20" t="e">
        <f>#REF!+"8O&lt;!]C"</f>
        <v>#REF!</v>
      </c>
      <c r="O20" t="e">
        <f>#REF!+"8O&lt;!]D"</f>
        <v>#REF!</v>
      </c>
      <c r="P20" t="e">
        <f>#REF!+"8O&lt;!]E"</f>
        <v>#REF!</v>
      </c>
      <c r="Q20" t="e">
        <f>#REF!+"8O&lt;!]F"</f>
        <v>#REF!</v>
      </c>
      <c r="R20" t="e">
        <f>#REF!+"8O&lt;!]G"</f>
        <v>#REF!</v>
      </c>
      <c r="S20" t="e">
        <f>#REF!+"8O&lt;!]H"</f>
        <v>#REF!</v>
      </c>
      <c r="T20" t="e">
        <f>#REF!+"8O&lt;!]I"</f>
        <v>#REF!</v>
      </c>
      <c r="U20" t="e">
        <f>#REF!+"8O&lt;!]J"</f>
        <v>#REF!</v>
      </c>
      <c r="V20" t="e">
        <f>#REF!+"8O&lt;!]K"</f>
        <v>#REF!</v>
      </c>
      <c r="W20" t="e">
        <f>#REF!+"8O&lt;!]L"</f>
        <v>#REF!</v>
      </c>
      <c r="X20" t="e">
        <f>#REF!+"8O&lt;!]M"</f>
        <v>#REF!</v>
      </c>
      <c r="Y20" t="e">
        <f>#REF!+"8O&lt;!]N"</f>
        <v>#REF!</v>
      </c>
      <c r="Z20" t="e">
        <f>#REF!+"8O&lt;!]O"</f>
        <v>#REF!</v>
      </c>
      <c r="AA20" t="e">
        <f>#REF!+"8O&lt;!]P"</f>
        <v>#REF!</v>
      </c>
      <c r="AB20" t="e">
        <f>#REF!+"8O&lt;!]Q"</f>
        <v>#REF!</v>
      </c>
      <c r="AC20" t="e">
        <f>#REF!+"8O&lt;!]R"</f>
        <v>#REF!</v>
      </c>
      <c r="AD20" t="e">
        <f>#REF!+"8O&lt;!]S"</f>
        <v>#REF!</v>
      </c>
      <c r="AE20" t="e">
        <f>#REF!+"8O&lt;!]T"</f>
        <v>#REF!</v>
      </c>
      <c r="AF20" t="e">
        <f>#REF!+"8O&lt;!]U"</f>
        <v>#REF!</v>
      </c>
      <c r="AG20" t="e">
        <f>#REF!+"8O&lt;!]V"</f>
        <v>#REF!</v>
      </c>
      <c r="AH20" t="e">
        <f>#REF!+"8O&lt;!]W"</f>
        <v>#REF!</v>
      </c>
      <c r="AI20" t="e">
        <f>#REF!+"8O&lt;!]X"</f>
        <v>#REF!</v>
      </c>
      <c r="AJ20" t="e">
        <f>#REF!+"8O&lt;!]Y"</f>
        <v>#REF!</v>
      </c>
      <c r="AK20" t="e">
        <f>#REF!+"8O&lt;!]Z"</f>
        <v>#REF!</v>
      </c>
      <c r="AL20" t="e">
        <f>#REF!+"8O&lt;!]["</f>
        <v>#REF!</v>
      </c>
      <c r="AM20" t="e">
        <f>#REF!+"8O&lt;!]\"</f>
        <v>#REF!</v>
      </c>
      <c r="AN20" t="e">
        <f>#REF!+"8O&lt;!]]"</f>
        <v>#REF!</v>
      </c>
      <c r="AO20" t="e">
        <f>#REF!+"8O&lt;!]^"</f>
        <v>#REF!</v>
      </c>
      <c r="AP20" t="e">
        <f>#REF!+"8O&lt;!]_"</f>
        <v>#REF!</v>
      </c>
      <c r="AQ20" t="e">
        <f>#REF!+"8O&lt;!]`"</f>
        <v>#REF!</v>
      </c>
      <c r="AR20" t="e">
        <f>#REF!+"8O&lt;!]a"</f>
        <v>#REF!</v>
      </c>
      <c r="AS20" t="e">
        <f>#REF!+"8O&lt;!]b"</f>
        <v>#REF!</v>
      </c>
      <c r="AT20" t="e">
        <f>#REF!+"8O&lt;!]c"</f>
        <v>#REF!</v>
      </c>
      <c r="AU20" t="e">
        <f>#REF!+"8O&lt;!]d"</f>
        <v>#REF!</v>
      </c>
      <c r="AV20" t="e">
        <f>#REF!+"8O&lt;!]e"</f>
        <v>#REF!</v>
      </c>
      <c r="AW20" t="e">
        <f>#REF!+"8O&lt;!]f"</f>
        <v>#REF!</v>
      </c>
      <c r="AX20" t="e">
        <f>#REF!+"8O&lt;!]g"</f>
        <v>#REF!</v>
      </c>
      <c r="AY20" t="e">
        <f>#REF!+"8O&lt;!]h"</f>
        <v>#REF!</v>
      </c>
      <c r="AZ20" t="e">
        <f>#REF!+"8O&lt;!]i"</f>
        <v>#REF!</v>
      </c>
      <c r="BA20" t="e">
        <f>#REF!+"8O&lt;!]j"</f>
        <v>#REF!</v>
      </c>
      <c r="BB20" t="e">
        <f>#REF!+"8O&lt;!]k"</f>
        <v>#REF!</v>
      </c>
      <c r="BC20" t="e">
        <f>#REF!+"8O&lt;!]l"</f>
        <v>#REF!</v>
      </c>
      <c r="BD20" t="e">
        <f>#REF!+"8O&lt;!]m"</f>
        <v>#REF!</v>
      </c>
      <c r="BE20" t="e">
        <f>#REF!+"8O&lt;!]n"</f>
        <v>#REF!</v>
      </c>
      <c r="BF20" t="e">
        <f>#REF!+"8O&lt;!]o"</f>
        <v>#REF!</v>
      </c>
      <c r="BG20" t="e">
        <f>#REF!+"8O&lt;!]p"</f>
        <v>#REF!</v>
      </c>
      <c r="BH20" t="e">
        <f>#REF!+"8O&lt;!]q"</f>
        <v>#REF!</v>
      </c>
      <c r="BI20" t="e">
        <f>#REF!+"8O&lt;!]r"</f>
        <v>#REF!</v>
      </c>
      <c r="BJ20" t="e">
        <f>#REF!+"8O&lt;!]s"</f>
        <v>#REF!</v>
      </c>
      <c r="BK20" t="e">
        <f>#REF!+"8O&lt;!]t"</f>
        <v>#REF!</v>
      </c>
      <c r="BL20" t="e">
        <f>#REF!+"8O&lt;!]u"</f>
        <v>#REF!</v>
      </c>
      <c r="BM20" t="e">
        <f>#REF!+"8O&lt;!]v"</f>
        <v>#REF!</v>
      </c>
      <c r="BN20" t="e">
        <f>#REF!+"8O&lt;!]w"</f>
        <v>#REF!</v>
      </c>
      <c r="BO20" t="e">
        <f>#REF!+"8O&lt;!]x"</f>
        <v>#REF!</v>
      </c>
      <c r="BP20" t="e">
        <f>#REF!+"8O&lt;!]y"</f>
        <v>#REF!</v>
      </c>
      <c r="BQ20" t="e">
        <f>#REF!+"8O&lt;!]z"</f>
        <v>#REF!</v>
      </c>
      <c r="BR20" t="e">
        <f>#REF!+"8O&lt;!]{"</f>
        <v>#REF!</v>
      </c>
      <c r="BS20" t="e">
        <f>#REF!+"8O&lt;!]|"</f>
        <v>#REF!</v>
      </c>
      <c r="BT20" t="e">
        <f>#REF!+"8O&lt;!]}"</f>
        <v>#REF!</v>
      </c>
      <c r="BU20" t="e">
        <f>#REF!+"8O&lt;!]~"</f>
        <v>#REF!</v>
      </c>
      <c r="BV20" t="e">
        <f>#REF!+"8O&lt;!^#"</f>
        <v>#REF!</v>
      </c>
      <c r="BW20" t="e">
        <f>#REF!+"8O&lt;!^$"</f>
        <v>#REF!</v>
      </c>
      <c r="BX20" t="e">
        <f>#REF!+"8O&lt;!^%"</f>
        <v>#REF!</v>
      </c>
      <c r="BY20" t="e">
        <f>#REF!+"8O&lt;!^&amp;"</f>
        <v>#REF!</v>
      </c>
      <c r="BZ20" t="e">
        <f>#REF!+"8O&lt;!^'"</f>
        <v>#REF!</v>
      </c>
      <c r="CA20" t="e">
        <f>#REF!+"8O&lt;!^("</f>
        <v>#REF!</v>
      </c>
      <c r="CB20" t="e">
        <f>#REF!+"8O&lt;!^)"</f>
        <v>#REF!</v>
      </c>
      <c r="CC20" t="e">
        <f>#REF!+"8O&lt;!^."</f>
        <v>#REF!</v>
      </c>
      <c r="CD20" t="e">
        <f>#REF!+"8O&lt;!^/"</f>
        <v>#REF!</v>
      </c>
      <c r="CE20" t="e">
        <f>#REF!+"8O&lt;!^0"</f>
        <v>#REF!</v>
      </c>
      <c r="CF20" t="e">
        <f>#REF!+"8O&lt;!^1"</f>
        <v>#REF!</v>
      </c>
      <c r="CG20" t="e">
        <f>#REF!+"8O&lt;!^2"</f>
        <v>#REF!</v>
      </c>
      <c r="CH20" t="e">
        <f>#REF!+"8O&lt;!^3"</f>
        <v>#REF!</v>
      </c>
      <c r="CI20" t="e">
        <f>#REF!+"8O&lt;!^4"</f>
        <v>#REF!</v>
      </c>
      <c r="CJ20" t="e">
        <f>#REF!+"8O&lt;!^5"</f>
        <v>#REF!</v>
      </c>
      <c r="CK20" t="e">
        <f>#REF!+"8O&lt;!^6"</f>
        <v>#REF!</v>
      </c>
      <c r="CL20" t="e">
        <f>#REF!+"8O&lt;!^7"</f>
        <v>#REF!</v>
      </c>
      <c r="CM20" t="e">
        <f>#REF!+"8O&lt;!^8"</f>
        <v>#REF!</v>
      </c>
      <c r="CN20" t="e">
        <f>#REF!+"8O&lt;!^9"</f>
        <v>#REF!</v>
      </c>
      <c r="CO20" t="e">
        <f>#REF!+"8O&lt;!^:"</f>
        <v>#REF!</v>
      </c>
      <c r="CP20" t="e">
        <f>#REF!+"8O&lt;!^;"</f>
        <v>#REF!</v>
      </c>
      <c r="CQ20" t="e">
        <f>#REF!+"8O&lt;!^&lt;"</f>
        <v>#REF!</v>
      </c>
      <c r="CR20" t="e">
        <f>#REF!+"8O&lt;!^="</f>
        <v>#REF!</v>
      </c>
      <c r="CS20" t="e">
        <f>#REF!+"8O&lt;!^&gt;"</f>
        <v>#REF!</v>
      </c>
      <c r="CT20" t="e">
        <f>#REF!+"8O&lt;!^?"</f>
        <v>#REF!</v>
      </c>
      <c r="CU20" t="e">
        <f>#REF!+"8O&lt;!^@"</f>
        <v>#REF!</v>
      </c>
      <c r="CV20" t="e">
        <f>#REF!+"8O&lt;!^A"</f>
        <v>#REF!</v>
      </c>
      <c r="CW20" t="e">
        <f>#REF!+"8O&lt;!^B"</f>
        <v>#REF!</v>
      </c>
      <c r="CX20" t="e">
        <f>#REF!+"8O&lt;!^C"</f>
        <v>#REF!</v>
      </c>
      <c r="CY20" t="e">
        <f>#REF!+"8O&lt;!^D"</f>
        <v>#REF!</v>
      </c>
      <c r="CZ20" t="e">
        <f>#REF!+"8O&lt;!^E"</f>
        <v>#REF!</v>
      </c>
      <c r="DA20" t="e">
        <f>#REF!+"8O&lt;!^F"</f>
        <v>#REF!</v>
      </c>
      <c r="DB20" t="e">
        <f>#REF!+"8O&lt;!^G"</f>
        <v>#REF!</v>
      </c>
      <c r="DC20" t="e">
        <f>#REF!+"8O&lt;!^H"</f>
        <v>#REF!</v>
      </c>
      <c r="DD20" t="e">
        <f>#REF!+"8O&lt;!^I"</f>
        <v>#REF!</v>
      </c>
      <c r="DE20" t="e">
        <f>#REF!+"8O&lt;!^J"</f>
        <v>#REF!</v>
      </c>
      <c r="DF20" t="e">
        <f>#REF!+"8O&lt;!^K"</f>
        <v>#REF!</v>
      </c>
      <c r="DG20" t="e">
        <f>#REF!+"8O&lt;!^L"</f>
        <v>#REF!</v>
      </c>
      <c r="DH20" t="e">
        <f>#REF!+"8O&lt;!^M"</f>
        <v>#REF!</v>
      </c>
      <c r="DI20" t="e">
        <f>#REF!+"8O&lt;!^N"</f>
        <v>#REF!</v>
      </c>
      <c r="DJ20" t="e">
        <f>#REF!+"8O&lt;!^O"</f>
        <v>#REF!</v>
      </c>
      <c r="DK20" t="e">
        <f>#REF!+"8O&lt;!^P"</f>
        <v>#REF!</v>
      </c>
      <c r="DL20" t="e">
        <f>#REF!+"8O&lt;!^Q"</f>
        <v>#REF!</v>
      </c>
      <c r="DM20" t="e">
        <f>#REF!+"8O&lt;!^R"</f>
        <v>#REF!</v>
      </c>
      <c r="DN20" t="e">
        <f>#REF!+"8O&lt;!^S"</f>
        <v>#REF!</v>
      </c>
      <c r="DO20" t="e">
        <f>#REF!+"8O&lt;!^T"</f>
        <v>#REF!</v>
      </c>
      <c r="DP20" t="e">
        <f>#REF!+"8O&lt;!^U"</f>
        <v>#REF!</v>
      </c>
      <c r="DQ20" t="e">
        <f>#REF!+"8O&lt;!^V"</f>
        <v>#REF!</v>
      </c>
      <c r="DR20" t="e">
        <f>#REF!+"8O&lt;!^W"</f>
        <v>#REF!</v>
      </c>
      <c r="DS20" t="e">
        <f>#REF!+"8O&lt;!^X"</f>
        <v>#REF!</v>
      </c>
      <c r="DT20" t="e">
        <f>#REF!+"8O&lt;!^Y"</f>
        <v>#REF!</v>
      </c>
      <c r="DU20" t="e">
        <f>#REF!+"8O&lt;!^Z"</f>
        <v>#REF!</v>
      </c>
      <c r="DV20" t="e">
        <f>#REF!+"8O&lt;!^["</f>
        <v>#REF!</v>
      </c>
      <c r="DW20" t="e">
        <f>#REF!+"8O&lt;!^\"</f>
        <v>#REF!</v>
      </c>
      <c r="DX20" t="e">
        <f>#REF!+"8O&lt;!^]"</f>
        <v>#REF!</v>
      </c>
      <c r="DY20" t="e">
        <f>#REF!+"8O&lt;!^^"</f>
        <v>#REF!</v>
      </c>
      <c r="DZ20" t="e">
        <f>#REF!+"8O&lt;!^_"</f>
        <v>#REF!</v>
      </c>
      <c r="EA20" t="e">
        <f>#REF!+"8O&lt;!^`"</f>
        <v>#REF!</v>
      </c>
      <c r="EB20" t="e">
        <f>#REF!+"8O&lt;!^a"</f>
        <v>#REF!</v>
      </c>
      <c r="EC20" t="e">
        <f>#REF!+"8O&lt;!^b"</f>
        <v>#REF!</v>
      </c>
      <c r="ED20" t="e">
        <f>#REF!+"8O&lt;!^c"</f>
        <v>#REF!</v>
      </c>
      <c r="EE20" t="e">
        <f>#REF!+"8O&lt;!^d"</f>
        <v>#REF!</v>
      </c>
      <c r="EF20" t="e">
        <f>#REF!+"8O&lt;!^e"</f>
        <v>#REF!</v>
      </c>
      <c r="EG20" t="e">
        <f>#REF!+"8O&lt;!^f"</f>
        <v>#REF!</v>
      </c>
      <c r="EH20" t="e">
        <f>#REF!+"8O&lt;!^g"</f>
        <v>#REF!</v>
      </c>
      <c r="EI20" t="e">
        <f>#REF!+"8O&lt;!^h"</f>
        <v>#REF!</v>
      </c>
      <c r="EJ20" t="e">
        <f>#REF!+"8O&lt;!^i"</f>
        <v>#REF!</v>
      </c>
      <c r="EK20" t="e">
        <f>#REF!+"8O&lt;!^j"</f>
        <v>#REF!</v>
      </c>
      <c r="EL20" t="e">
        <f>#REF!+"8O&lt;!^k"</f>
        <v>#REF!</v>
      </c>
      <c r="EM20" t="e">
        <f>#REF!+"8O&lt;!^l"</f>
        <v>#REF!</v>
      </c>
      <c r="EN20" t="e">
        <f>#REF!+"8O&lt;!^m"</f>
        <v>#REF!</v>
      </c>
      <c r="EO20" t="e">
        <f>#REF!+"8O&lt;!^n"</f>
        <v>#REF!</v>
      </c>
      <c r="EP20" t="e">
        <f>#REF!+"8O&lt;!^o"</f>
        <v>#REF!</v>
      </c>
      <c r="EQ20" t="e">
        <f>#REF!+"8O&lt;!^p"</f>
        <v>#REF!</v>
      </c>
      <c r="ER20" t="e">
        <f>#REF!+"8O&lt;!^q"</f>
        <v>#REF!</v>
      </c>
      <c r="ES20" t="e">
        <f>#REF!+"8O&lt;!^r"</f>
        <v>#REF!</v>
      </c>
      <c r="ET20" t="e">
        <f>#REF!+"8O&lt;!^s"</f>
        <v>#REF!</v>
      </c>
      <c r="EU20" t="e">
        <f>#REF!+"8O&lt;!^t"</f>
        <v>#REF!</v>
      </c>
      <c r="EV20" t="e">
        <f>#REF!+"8O&lt;!^u"</f>
        <v>#REF!</v>
      </c>
      <c r="EW20" t="e">
        <f>#REF!+"8O&lt;!^v"</f>
        <v>#REF!</v>
      </c>
      <c r="EX20" t="e">
        <f>#REF!+"8O&lt;!^w"</f>
        <v>#REF!</v>
      </c>
      <c r="EY20" t="e">
        <f>#REF!+"8O&lt;!^x"</f>
        <v>#REF!</v>
      </c>
      <c r="EZ20" t="e">
        <f>#REF!+"8O&lt;!^y"</f>
        <v>#REF!</v>
      </c>
      <c r="FA20" t="e">
        <f>#REF!+"8O&lt;!^z"</f>
        <v>#REF!</v>
      </c>
      <c r="FB20" t="e">
        <f>#REF!+"8O&lt;!^{"</f>
        <v>#REF!</v>
      </c>
      <c r="FC20" t="e">
        <f>#REF!+"8O&lt;!^|"</f>
        <v>#REF!</v>
      </c>
      <c r="FD20" t="e">
        <f>#REF!+"8O&lt;!^}"</f>
        <v>#REF!</v>
      </c>
      <c r="FE20" t="e">
        <f>#REF!+"8O&lt;!^~"</f>
        <v>#REF!</v>
      </c>
      <c r="FF20" t="e">
        <f>#REF!+"8O&lt;!_#"</f>
        <v>#REF!</v>
      </c>
      <c r="FG20" t="e">
        <f>#REF!+"8O&lt;!_$"</f>
        <v>#REF!</v>
      </c>
      <c r="FH20" t="e">
        <f>#REF!+"8O&lt;!_%"</f>
        <v>#REF!</v>
      </c>
      <c r="FI20" t="e">
        <f>#REF!+"8O&lt;!_&amp;"</f>
        <v>#REF!</v>
      </c>
      <c r="FJ20" t="e">
        <f>#REF!+"8O&lt;!_'"</f>
        <v>#REF!</v>
      </c>
      <c r="FK20" t="e">
        <f>#REF!+"8O&lt;!_("</f>
        <v>#REF!</v>
      </c>
      <c r="FL20" t="e">
        <f>#REF!+"8O&lt;!_)"</f>
        <v>#REF!</v>
      </c>
      <c r="FM20" t="e">
        <f>#REF!+"8O&lt;!_."</f>
        <v>#REF!</v>
      </c>
      <c r="FN20" t="e">
        <f>#REF!+"8O&lt;!_/"</f>
        <v>#REF!</v>
      </c>
      <c r="FO20" t="e">
        <f>#REF!+"8O&lt;!_0"</f>
        <v>#REF!</v>
      </c>
      <c r="FP20" t="e">
        <f>#REF!+"8O&lt;!_1"</f>
        <v>#REF!</v>
      </c>
      <c r="FQ20" t="e">
        <f>#REF!+"8O&lt;!_2"</f>
        <v>#REF!</v>
      </c>
      <c r="FR20" t="e">
        <f>#REF!+"8O&lt;!_3"</f>
        <v>#REF!</v>
      </c>
      <c r="FS20" t="e">
        <f>#REF!+"8O&lt;!_4"</f>
        <v>#REF!</v>
      </c>
      <c r="FT20" t="e">
        <f>#REF!+"8O&lt;!_5"</f>
        <v>#REF!</v>
      </c>
      <c r="FU20" t="e">
        <f>#REF!+"8O&lt;!_6"</f>
        <v>#REF!</v>
      </c>
      <c r="FV20" t="e">
        <f>#REF!+"8O&lt;!_7"</f>
        <v>#REF!</v>
      </c>
      <c r="FW20" t="e">
        <f>#REF!+"8O&lt;!_8"</f>
        <v>#REF!</v>
      </c>
      <c r="FX20" t="e">
        <f>#REF!+"8O&lt;!_9"</f>
        <v>#REF!</v>
      </c>
      <c r="FY20" t="e">
        <f>#REF!+"8O&lt;!_:"</f>
        <v>#REF!</v>
      </c>
      <c r="FZ20" t="e">
        <f>#REF!+"8O&lt;!_;"</f>
        <v>#REF!</v>
      </c>
      <c r="GA20" t="e">
        <f>#REF!+"8O&lt;!_&lt;"</f>
        <v>#REF!</v>
      </c>
      <c r="GB20" t="e">
        <f>#REF!+"8O&lt;!_="</f>
        <v>#REF!</v>
      </c>
      <c r="GC20" t="e">
        <f>#REF!+"8O&lt;!_&gt;"</f>
        <v>#REF!</v>
      </c>
      <c r="GD20" t="e">
        <f>#REF!+"8O&lt;!_?"</f>
        <v>#REF!</v>
      </c>
      <c r="GE20" t="e">
        <f>#REF!+"8O&lt;!_@"</f>
        <v>#REF!</v>
      </c>
      <c r="GF20" t="e">
        <f>#REF!+"8O&lt;!_A"</f>
        <v>#REF!</v>
      </c>
      <c r="GG20" t="e">
        <f>#REF!+"8O&lt;!_B"</f>
        <v>#REF!</v>
      </c>
      <c r="GH20" t="e">
        <f>#REF!+"8O&lt;!_C"</f>
        <v>#REF!</v>
      </c>
      <c r="GI20" t="e">
        <f>#REF!+"8O&lt;!_D"</f>
        <v>#REF!</v>
      </c>
      <c r="GJ20" t="e">
        <f>#REF!+"8O&lt;!_E"</f>
        <v>#REF!</v>
      </c>
      <c r="GK20" t="e">
        <f>#REF!+"8O&lt;!_F"</f>
        <v>#REF!</v>
      </c>
      <c r="GL20" t="e">
        <f>#REF!+"8O&lt;!_G"</f>
        <v>#REF!</v>
      </c>
      <c r="GM20" t="e">
        <f>#REF!+"8O&lt;!_H"</f>
        <v>#REF!</v>
      </c>
      <c r="GN20" t="e">
        <f>#REF!+"8O&lt;!_I"</f>
        <v>#REF!</v>
      </c>
      <c r="GO20" t="e">
        <f>#REF!+"8O&lt;!_J"</f>
        <v>#REF!</v>
      </c>
      <c r="GP20" t="e">
        <f>#REF!+"8O&lt;!_K"</f>
        <v>#REF!</v>
      </c>
      <c r="GQ20" t="e">
        <f>#REF!+"8O&lt;!_L"</f>
        <v>#REF!</v>
      </c>
      <c r="GR20" t="e">
        <f>#REF!+"8O&lt;!_M"</f>
        <v>#REF!</v>
      </c>
      <c r="GS20" t="e">
        <f>#REF!+"8O&lt;!_N"</f>
        <v>#REF!</v>
      </c>
      <c r="GT20" t="e">
        <f>#REF!+"8O&lt;!_O"</f>
        <v>#REF!</v>
      </c>
      <c r="GU20" t="e">
        <f>#REF!+"8O&lt;!_P"</f>
        <v>#REF!</v>
      </c>
      <c r="GV20" t="e">
        <f>#REF!+"8O&lt;!_Q"</f>
        <v>#REF!</v>
      </c>
      <c r="GW20" t="e">
        <f>#REF!+"8O&lt;!_R"</f>
        <v>#REF!</v>
      </c>
      <c r="GX20" t="e">
        <f>#REF!+"8O&lt;!_S"</f>
        <v>#REF!</v>
      </c>
      <c r="GY20" t="e">
        <f>#REF!+"8O&lt;!_T"</f>
        <v>#REF!</v>
      </c>
      <c r="GZ20" t="e">
        <f>#REF!+"8O&lt;!_U"</f>
        <v>#REF!</v>
      </c>
      <c r="HA20" t="e">
        <f>#REF!+"8O&lt;!_V"</f>
        <v>#REF!</v>
      </c>
      <c r="HB20" t="e">
        <f>#REF!+"8O&lt;!_W"</f>
        <v>#REF!</v>
      </c>
      <c r="HC20" t="e">
        <f>#REF!+"8O&lt;!_X"</f>
        <v>#REF!</v>
      </c>
      <c r="HD20" t="e">
        <f>#REF!+"8O&lt;!_Y"</f>
        <v>#REF!</v>
      </c>
      <c r="HE20" t="e">
        <f>#REF!+"8O&lt;!_Z"</f>
        <v>#REF!</v>
      </c>
      <c r="HF20" t="e">
        <f>#REF!+"8O&lt;!_["</f>
        <v>#REF!</v>
      </c>
      <c r="HG20" t="e">
        <f>#REF!+"8O&lt;!_\"</f>
        <v>#REF!</v>
      </c>
      <c r="HH20" t="e">
        <f>#REF!+"8O&lt;!_]"</f>
        <v>#REF!</v>
      </c>
      <c r="HI20" t="e">
        <f>#REF!+"8O&lt;!_^"</f>
        <v>#REF!</v>
      </c>
      <c r="HJ20" t="e">
        <f>#REF!+"8O&lt;!__"</f>
        <v>#REF!</v>
      </c>
      <c r="HK20" t="e">
        <f>#REF!+"8O&lt;!_`"</f>
        <v>#REF!</v>
      </c>
      <c r="HL20" t="e">
        <f>#REF!+"8O&lt;!_a"</f>
        <v>#REF!</v>
      </c>
      <c r="HM20" t="e">
        <f>#REF!+"8O&lt;!_b"</f>
        <v>#REF!</v>
      </c>
      <c r="HN20" t="e">
        <f>#REF!+"8O&lt;!_c"</f>
        <v>#REF!</v>
      </c>
      <c r="HO20" t="e">
        <f>#REF!+"8O&lt;!_d"</f>
        <v>#REF!</v>
      </c>
      <c r="HP20" t="e">
        <f>#REF!+"8O&lt;!_e"</f>
        <v>#REF!</v>
      </c>
      <c r="HQ20" t="e">
        <f>#REF!+"8O&lt;!_f"</f>
        <v>#REF!</v>
      </c>
      <c r="HR20" t="e">
        <f>#REF!+"8O&lt;!_g"</f>
        <v>#REF!</v>
      </c>
      <c r="HS20" t="e">
        <f>#REF!+"8O&lt;!_h"</f>
        <v>#REF!</v>
      </c>
      <c r="HT20" t="e">
        <f>#REF!+"8O&lt;!_i"</f>
        <v>#REF!</v>
      </c>
      <c r="HU20" t="e">
        <f>#REF!+"8O&lt;!_j"</f>
        <v>#REF!</v>
      </c>
      <c r="HV20" t="e">
        <f>#REF!+"8O&lt;!_k"</f>
        <v>#REF!</v>
      </c>
      <c r="HW20" t="e">
        <f>#REF!+"8O&lt;!_l"</f>
        <v>#REF!</v>
      </c>
      <c r="HX20" t="e">
        <f>#REF!+"8O&lt;!_m"</f>
        <v>#REF!</v>
      </c>
      <c r="HY20" t="e">
        <f>#REF!+"8O&lt;!_n"</f>
        <v>#REF!</v>
      </c>
      <c r="HZ20" t="e">
        <f>#REF!+"8O&lt;!_o"</f>
        <v>#REF!</v>
      </c>
      <c r="IA20" t="e">
        <f>#REF!+"8O&lt;!_p"</f>
        <v>#REF!</v>
      </c>
      <c r="IB20" t="e">
        <f>#REF!+"8O&lt;!_q"</f>
        <v>#REF!</v>
      </c>
      <c r="IC20" t="e">
        <f>#REF!+"8O&lt;!_r"</f>
        <v>#REF!</v>
      </c>
      <c r="ID20" t="e">
        <f>#REF!+"8O&lt;!_s"</f>
        <v>#REF!</v>
      </c>
      <c r="IE20" t="e">
        <f>#REF!+"8O&lt;!_t"</f>
        <v>#REF!</v>
      </c>
      <c r="IF20" t="e">
        <f>#REF!+"8O&lt;!_u"</f>
        <v>#REF!</v>
      </c>
      <c r="IG20" t="e">
        <f>#REF!+"8O&lt;!_v"</f>
        <v>#REF!</v>
      </c>
      <c r="IH20" t="e">
        <f>#REF!+"8O&lt;!_w"</f>
        <v>#REF!</v>
      </c>
      <c r="II20" t="e">
        <f>#REF!+"8O&lt;!_x"</f>
        <v>#REF!</v>
      </c>
      <c r="IJ20" t="e">
        <f>#REF!+"8O&lt;!_y"</f>
        <v>#REF!</v>
      </c>
      <c r="IK20" t="e">
        <f>#REF!+"8O&lt;!_z"</f>
        <v>#REF!</v>
      </c>
      <c r="IL20" t="e">
        <f>#REF!+"8O&lt;!_{"</f>
        <v>#REF!</v>
      </c>
      <c r="IM20" t="e">
        <f>#REF!+"8O&lt;!_|"</f>
        <v>#REF!</v>
      </c>
      <c r="IN20" t="e">
        <f>#REF!+"8O&lt;!_}"</f>
        <v>#REF!</v>
      </c>
      <c r="IO20" t="e">
        <f>#REF!+"8O&lt;!_~"</f>
        <v>#REF!</v>
      </c>
      <c r="IP20" t="e">
        <f>#REF!+"8O&lt;!`#"</f>
        <v>#REF!</v>
      </c>
      <c r="IQ20" t="e">
        <f>#REF!+"8O&lt;!`$"</f>
        <v>#REF!</v>
      </c>
      <c r="IR20" t="e">
        <f>#REF!+"8O&lt;!`%"</f>
        <v>#REF!</v>
      </c>
      <c r="IS20" t="e">
        <f>#REF!+"8O&lt;!`&amp;"</f>
        <v>#REF!</v>
      </c>
      <c r="IT20" t="e">
        <f>#REF!+"8O&lt;!`'"</f>
        <v>#REF!</v>
      </c>
      <c r="IU20" t="e">
        <f>#REF!+"8O&lt;!`("</f>
        <v>#REF!</v>
      </c>
      <c r="IV20" t="e">
        <f>#REF!+"8O&lt;!`)"</f>
        <v>#REF!</v>
      </c>
    </row>
    <row r="21" spans="6:256" x14ac:dyDescent="0.25">
      <c r="F21" t="e">
        <f>#REF!+"8O&lt;!`."</f>
        <v>#REF!</v>
      </c>
      <c r="G21" t="e">
        <f>#REF!+"8O&lt;!`/"</f>
        <v>#REF!</v>
      </c>
      <c r="H21" t="e">
        <f>#REF!+"8O&lt;!`0"</f>
        <v>#REF!</v>
      </c>
      <c r="I21" t="e">
        <f>#REF!+"8O&lt;!`1"</f>
        <v>#REF!</v>
      </c>
      <c r="J21" t="e">
        <f>#REF!+"8O&lt;!`2"</f>
        <v>#REF!</v>
      </c>
      <c r="K21" t="e">
        <f>#REF!+"8O&lt;!`3"</f>
        <v>#REF!</v>
      </c>
      <c r="L21" t="e">
        <f>#REF!+"8O&lt;!`4"</f>
        <v>#REF!</v>
      </c>
      <c r="M21" t="e">
        <f>#REF!+"8O&lt;!`5"</f>
        <v>#REF!</v>
      </c>
      <c r="N21" t="e">
        <f>#REF!+"8O&lt;!`6"</f>
        <v>#REF!</v>
      </c>
      <c r="O21" t="e">
        <f>#REF!+"8O&lt;!`7"</f>
        <v>#REF!</v>
      </c>
      <c r="P21" t="e">
        <f>#REF!+"8O&lt;!`8"</f>
        <v>#REF!</v>
      </c>
      <c r="Q21" t="e">
        <f>#REF!+"8O&lt;!`9"</f>
        <v>#REF!</v>
      </c>
      <c r="R21" t="e">
        <f>#REF!+"8O&lt;!`:"</f>
        <v>#REF!</v>
      </c>
      <c r="S21" t="e">
        <f>#REF!+"8O&lt;!`;"</f>
        <v>#REF!</v>
      </c>
      <c r="T21" t="e">
        <f>#REF!+"8O&lt;!`&lt;"</f>
        <v>#REF!</v>
      </c>
      <c r="U21" t="e">
        <f>#REF!+"8O&lt;!`="</f>
        <v>#REF!</v>
      </c>
      <c r="V21" t="e">
        <f>#REF!+"8O&lt;!`&gt;"</f>
        <v>#REF!</v>
      </c>
      <c r="W21" t="e">
        <f>#REF!+"8O&lt;!`?"</f>
        <v>#REF!</v>
      </c>
      <c r="X21" t="e">
        <f>#REF!+"8O&lt;!`@"</f>
        <v>#REF!</v>
      </c>
      <c r="Y21" t="e">
        <f>#REF!+"8O&lt;!`A"</f>
        <v>#REF!</v>
      </c>
      <c r="Z21" t="e">
        <f>#REF!+"8O&lt;!`B"</f>
        <v>#REF!</v>
      </c>
      <c r="AA21" t="e">
        <f>#REF!+"8O&lt;!`C"</f>
        <v>#REF!</v>
      </c>
      <c r="AB21" t="e">
        <f>#REF!+"8O&lt;!`D"</f>
        <v>#REF!</v>
      </c>
      <c r="AC21" t="e">
        <f>#REF!+"8O&lt;!`E"</f>
        <v>#REF!</v>
      </c>
      <c r="AD21" t="e">
        <f>#REF!+"8O&lt;!`F"</f>
        <v>#REF!</v>
      </c>
      <c r="AE21" t="e">
        <f>#REF!+"8O&lt;!`G"</f>
        <v>#REF!</v>
      </c>
      <c r="AF21" t="e">
        <f>#REF!+"8O&lt;!`H"</f>
        <v>#REF!</v>
      </c>
      <c r="AG21" t="e">
        <f>#REF!+"8O&lt;!`I"</f>
        <v>#REF!</v>
      </c>
      <c r="AH21" t="e">
        <f>#REF!+"8O&lt;!`J"</f>
        <v>#REF!</v>
      </c>
      <c r="AI21" t="e">
        <f>#REF!+"8O&lt;!`K"</f>
        <v>#REF!</v>
      </c>
      <c r="AJ21" t="e">
        <f>#REF!+"8O&lt;!`L"</f>
        <v>#REF!</v>
      </c>
      <c r="AK21" t="e">
        <f>#REF!+"8O&lt;!`M"</f>
        <v>#REF!</v>
      </c>
      <c r="AL21" t="e">
        <f>#REF!+"8O&lt;!`N"</f>
        <v>#REF!</v>
      </c>
      <c r="AM21" t="e">
        <f>#REF!+"8O&lt;!`O"</f>
        <v>#REF!</v>
      </c>
      <c r="AN21" t="e">
        <f>#REF!+"8O&lt;!`P"</f>
        <v>#REF!</v>
      </c>
      <c r="AO21" t="e">
        <f>#REF!+"8O&lt;!`Q"</f>
        <v>#REF!</v>
      </c>
      <c r="AP21" t="e">
        <f>#REF!+"8O&lt;!`R"</f>
        <v>#REF!</v>
      </c>
      <c r="AQ21" t="e">
        <f>#REF!+"8O&lt;!`S"</f>
        <v>#REF!</v>
      </c>
      <c r="AR21" t="e">
        <f>#REF!+"8O&lt;!`T"</f>
        <v>#REF!</v>
      </c>
      <c r="AS21" t="e">
        <f>#REF!+"8O&lt;!`U"</f>
        <v>#REF!</v>
      </c>
      <c r="AT21" t="e">
        <f>#REF!+"8O&lt;!`V"</f>
        <v>#REF!</v>
      </c>
      <c r="AU21" t="e">
        <f>#REF!+"8O&lt;!`W"</f>
        <v>#REF!</v>
      </c>
      <c r="AV21" t="e">
        <f>#REF!+"8O&lt;!`X"</f>
        <v>#REF!</v>
      </c>
      <c r="AW21" t="e">
        <f>#REF!+"8O&lt;!`Y"</f>
        <v>#REF!</v>
      </c>
      <c r="AX21" t="e">
        <f>#REF!+"8O&lt;!`Z"</f>
        <v>#REF!</v>
      </c>
      <c r="AY21" t="e">
        <f>#REF!+"8O&lt;!`["</f>
        <v>#REF!</v>
      </c>
      <c r="AZ21" t="e">
        <f>#REF!+"8O&lt;!`\"</f>
        <v>#REF!</v>
      </c>
      <c r="BA21" t="e">
        <f>#REF!+"8O&lt;!`]"</f>
        <v>#REF!</v>
      </c>
      <c r="BB21" t="e">
        <f>#REF!+"8O&lt;!`^"</f>
        <v>#REF!</v>
      </c>
      <c r="BC21" t="e">
        <f>#REF!+"8O&lt;!`_"</f>
        <v>#REF!</v>
      </c>
      <c r="BD21" t="e">
        <f>#REF!+"8O&lt;!``"</f>
        <v>#REF!</v>
      </c>
      <c r="BE21" t="e">
        <f>#REF!+"8O&lt;!`a"</f>
        <v>#REF!</v>
      </c>
      <c r="BF21" t="e">
        <f>#REF!+"8O&lt;!`b"</f>
        <v>#REF!</v>
      </c>
      <c r="BG21" t="e">
        <f>#REF!+"8O&lt;!`c"</f>
        <v>#REF!</v>
      </c>
      <c r="BH21" t="e">
        <f>#REF!+"8O&lt;!`d"</f>
        <v>#REF!</v>
      </c>
      <c r="BI21" t="e">
        <f>#REF!+"8O&lt;!`e"</f>
        <v>#REF!</v>
      </c>
      <c r="BJ21" t="e">
        <f>#REF!+"8O&lt;!`f"</f>
        <v>#REF!</v>
      </c>
      <c r="BK21" t="e">
        <f>#REF!+"8O&lt;!`g"</f>
        <v>#REF!</v>
      </c>
      <c r="BL21" t="e">
        <f>#REF!+"8O&lt;!`h"</f>
        <v>#REF!</v>
      </c>
      <c r="BM21" t="e">
        <f>#REF!+"8O&lt;!`i"</f>
        <v>#REF!</v>
      </c>
      <c r="BN21" t="e">
        <f>#REF!+"8O&lt;!`j"</f>
        <v>#REF!</v>
      </c>
      <c r="BO21" t="e">
        <f>#REF!+"8O&lt;!`k"</f>
        <v>#REF!</v>
      </c>
      <c r="BP21" t="e">
        <f>#REF!+"8O&lt;!`l"</f>
        <v>#REF!</v>
      </c>
      <c r="BQ21" t="e">
        <f>#REF!+"8O&lt;!`m"</f>
        <v>#REF!</v>
      </c>
      <c r="BR21" t="e">
        <f>#REF!+"8O&lt;!`n"</f>
        <v>#REF!</v>
      </c>
      <c r="BS21" t="e">
        <f>#REF!+"8O&lt;!`o"</f>
        <v>#REF!</v>
      </c>
      <c r="BT21" t="e">
        <f>#REF!+"8O&lt;!`p"</f>
        <v>#REF!</v>
      </c>
      <c r="BU21" t="e">
        <f>#REF!+"8O&lt;!`q"</f>
        <v>#REF!</v>
      </c>
      <c r="BV21" t="e">
        <f>#REF!+"8O&lt;!`r"</f>
        <v>#REF!</v>
      </c>
      <c r="BW21" t="e">
        <f>#REF!+"8O&lt;!`s"</f>
        <v>#REF!</v>
      </c>
      <c r="BX21" t="e">
        <f>#REF!+"8O&lt;!`t"</f>
        <v>#REF!</v>
      </c>
      <c r="BY21" t="e">
        <f>#REF!+"8O&lt;!`u"</f>
        <v>#REF!</v>
      </c>
      <c r="BZ21" t="e">
        <f>#REF!+"8O&lt;!`v"</f>
        <v>#REF!</v>
      </c>
      <c r="CA21" t="e">
        <f>#REF!+"8O&lt;!`w"</f>
        <v>#REF!</v>
      </c>
      <c r="CB21" t="e">
        <f>#REF!+"8O&lt;!`x"</f>
        <v>#REF!</v>
      </c>
      <c r="CC21" t="e">
        <f>#REF!+"8O&lt;!`y"</f>
        <v>#REF!</v>
      </c>
      <c r="CD21" t="e">
        <f>#REF!+"8O&lt;!`z"</f>
        <v>#REF!</v>
      </c>
      <c r="CE21" t="e">
        <f>#REF!+"8O&lt;!`{"</f>
        <v>#REF!</v>
      </c>
      <c r="CF21" t="e">
        <f>#REF!+"8O&lt;!`|"</f>
        <v>#REF!</v>
      </c>
      <c r="CG21" t="e">
        <f>#REF!+"8O&lt;!`}"</f>
        <v>#REF!</v>
      </c>
      <c r="CH21" t="e">
        <f>#REF!+"8O&lt;!`~"</f>
        <v>#REF!</v>
      </c>
      <c r="CI21" t="e">
        <f>#REF!+"8O&lt;!a#"</f>
        <v>#REF!</v>
      </c>
      <c r="CJ21" t="e">
        <f>#REF!+"8O&lt;!a$"</f>
        <v>#REF!</v>
      </c>
      <c r="CK21" t="e">
        <f>#REF!+"8O&lt;!a%"</f>
        <v>#REF!</v>
      </c>
      <c r="CL21" t="e">
        <f>#REF!+"8O&lt;!a&amp;"</f>
        <v>#REF!</v>
      </c>
      <c r="CM21" t="e">
        <f>#REF!+"8O&lt;!a'"</f>
        <v>#REF!</v>
      </c>
      <c r="CN21" t="e">
        <f>#REF!+"8O&lt;!a("</f>
        <v>#REF!</v>
      </c>
      <c r="CO21" t="e">
        <f>#REF!+"8O&lt;!a)"</f>
        <v>#REF!</v>
      </c>
      <c r="CP21" t="e">
        <f>#REF!+"8O&lt;!a."</f>
        <v>#REF!</v>
      </c>
      <c r="CQ21" t="e">
        <f>#REF!+"8O&lt;!a/"</f>
        <v>#REF!</v>
      </c>
      <c r="CR21" t="e">
        <f>#REF!+"8O&lt;!a0"</f>
        <v>#REF!</v>
      </c>
      <c r="CS21" t="e">
        <f>#REF!+"8O&lt;!a1"</f>
        <v>#REF!</v>
      </c>
      <c r="CT21" t="e">
        <f>#REF!+"8O&lt;!a2"</f>
        <v>#REF!</v>
      </c>
      <c r="CU21" t="e">
        <f>#REF!+"8O&lt;!a3"</f>
        <v>#REF!</v>
      </c>
      <c r="CV21" t="e">
        <f>#REF!+"8O&lt;!a4"</f>
        <v>#REF!</v>
      </c>
      <c r="CW21" t="e">
        <f>#REF!+"8O&lt;!a5"</f>
        <v>#REF!</v>
      </c>
      <c r="CX21" t="e">
        <f>#REF!+"8O&lt;!a6"</f>
        <v>#REF!</v>
      </c>
      <c r="CY21" t="e">
        <f>#REF!+"8O&lt;!a7"</f>
        <v>#REF!</v>
      </c>
      <c r="CZ21" t="e">
        <f>#REF!+"8O&lt;!a8"</f>
        <v>#REF!</v>
      </c>
      <c r="DA21" t="e">
        <f>#REF!+"8O&lt;!a9"</f>
        <v>#REF!</v>
      </c>
      <c r="DB21" t="e">
        <f>#REF!+"8O&lt;!a:"</f>
        <v>#REF!</v>
      </c>
      <c r="DC21" t="e">
        <f>#REF!+"8O&lt;!a;"</f>
        <v>#REF!</v>
      </c>
      <c r="DD21" t="e">
        <f>#REF!+"8O&lt;!a&lt;"</f>
        <v>#REF!</v>
      </c>
      <c r="DE21" t="e">
        <f>#REF!+"8O&lt;!a="</f>
        <v>#REF!</v>
      </c>
      <c r="DF21" t="e">
        <f>#REF!+"8O&lt;!a&gt;"</f>
        <v>#REF!</v>
      </c>
      <c r="DG21" t="e">
        <f>#REF!+"8O&lt;!a?"</f>
        <v>#REF!</v>
      </c>
      <c r="DH21" t="e">
        <f>#REF!+"8O&lt;!a@"</f>
        <v>#REF!</v>
      </c>
      <c r="DI21" t="e">
        <f>#REF!+"8O&lt;!aA"</f>
        <v>#REF!</v>
      </c>
      <c r="DJ21" t="e">
        <f>#REF!+"8O&lt;!aB"</f>
        <v>#REF!</v>
      </c>
      <c r="DK21" t="e">
        <f>#REF!+"8O&lt;!aC"</f>
        <v>#REF!</v>
      </c>
      <c r="DL21" t="e">
        <f>#REF!+"8O&lt;!aD"</f>
        <v>#REF!</v>
      </c>
      <c r="DM21" t="e">
        <f>#REF!+"8O&lt;!aE"</f>
        <v>#REF!</v>
      </c>
      <c r="DN21" t="e">
        <f>#REF!+"8O&lt;!aF"</f>
        <v>#REF!</v>
      </c>
      <c r="DO21" t="e">
        <f>#REF!+"8O&lt;!aG"</f>
        <v>#REF!</v>
      </c>
      <c r="DP21" t="e">
        <f>#REF!+"8O&lt;!aH"</f>
        <v>#REF!</v>
      </c>
      <c r="DQ21" t="e">
        <f>#REF!+"8O&lt;!aI"</f>
        <v>#REF!</v>
      </c>
      <c r="DR21" t="e">
        <f>#REF!+"8O&lt;!aJ"</f>
        <v>#REF!</v>
      </c>
      <c r="DS21" t="e">
        <f>#REF!+"8O&lt;!aK"</f>
        <v>#REF!</v>
      </c>
      <c r="DT21" t="e">
        <f>#REF!+"8O&lt;!aL"</f>
        <v>#REF!</v>
      </c>
      <c r="DU21" t="e">
        <f>#REF!+"8O&lt;!aM"</f>
        <v>#REF!</v>
      </c>
      <c r="DV21" t="e">
        <f>#REF!+"8O&lt;!aN"</f>
        <v>#REF!</v>
      </c>
      <c r="DW21" t="e">
        <f>#REF!+"8O&lt;!aO"</f>
        <v>#REF!</v>
      </c>
      <c r="DX21" t="e">
        <f>#REF!+"8O&lt;!aP"</f>
        <v>#REF!</v>
      </c>
      <c r="DY21" t="e">
        <f>#REF!+"8O&lt;!aQ"</f>
        <v>#REF!</v>
      </c>
      <c r="DZ21" t="e">
        <f>#REF!+"8O&lt;!aR"</f>
        <v>#REF!</v>
      </c>
      <c r="EA21" t="e">
        <f>#REF!+"8O&lt;!aS"</f>
        <v>#REF!</v>
      </c>
      <c r="EB21" t="e">
        <f>#REF!+"8O&lt;!aT"</f>
        <v>#REF!</v>
      </c>
      <c r="EC21" t="e">
        <f>#REF!+"8O&lt;!aU"</f>
        <v>#REF!</v>
      </c>
      <c r="ED21" t="e">
        <f>#REF!+"8O&lt;!aV"</f>
        <v>#REF!</v>
      </c>
      <c r="EE21" t="e">
        <f>#REF!+"8O&lt;!aW"</f>
        <v>#REF!</v>
      </c>
      <c r="EF21" t="e">
        <f>#REF!+"8O&lt;!aX"</f>
        <v>#REF!</v>
      </c>
      <c r="EG21" t="e">
        <f>#REF!+"8O&lt;!aY"</f>
        <v>#REF!</v>
      </c>
      <c r="EH21" t="e">
        <f>#REF!+"8O&lt;!aZ"</f>
        <v>#REF!</v>
      </c>
      <c r="EI21" t="e">
        <f>#REF!+"8O&lt;!a["</f>
        <v>#REF!</v>
      </c>
      <c r="EJ21" t="e">
        <f>#REF!+"8O&lt;!a\"</f>
        <v>#REF!</v>
      </c>
      <c r="EK21" t="e">
        <f>#REF!+"8O&lt;!a]"</f>
        <v>#REF!</v>
      </c>
      <c r="EL21" t="e">
        <f>#REF!+"8O&lt;!a^"</f>
        <v>#REF!</v>
      </c>
      <c r="EM21" t="e">
        <f>#REF!+"8O&lt;!a_"</f>
        <v>#REF!</v>
      </c>
      <c r="EN21" t="e">
        <f>#REF!+"8O&lt;!a`"</f>
        <v>#REF!</v>
      </c>
      <c r="EO21" t="e">
        <f>#REF!+"8O&lt;!aa"</f>
        <v>#REF!</v>
      </c>
      <c r="EP21" t="e">
        <f>#REF!+"8O&lt;!ab"</f>
        <v>#REF!</v>
      </c>
      <c r="EQ21" t="e">
        <f>#REF!+"8O&lt;!ac"</f>
        <v>#REF!</v>
      </c>
      <c r="ER21" t="e">
        <f>#REF!+"8O&lt;!ad"</f>
        <v>#REF!</v>
      </c>
      <c r="ES21" t="e">
        <f>#REF!+"8O&lt;!ae"</f>
        <v>#REF!</v>
      </c>
      <c r="ET21" t="e">
        <f>#REF!+"8O&lt;!af"</f>
        <v>#REF!</v>
      </c>
      <c r="EU21" t="e">
        <f>#REF!+"8O&lt;!ag"</f>
        <v>#REF!</v>
      </c>
      <c r="EV21" t="e">
        <f>#REF!+"8O&lt;!ah"</f>
        <v>#REF!</v>
      </c>
      <c r="EW21" t="e">
        <f>#REF!+"8O&lt;!ai"</f>
        <v>#REF!</v>
      </c>
      <c r="EX21" t="e">
        <f>#REF!+"8O&lt;!aj"</f>
        <v>#REF!</v>
      </c>
      <c r="EY21" t="e">
        <f>#REF!+"8O&lt;!ak"</f>
        <v>#REF!</v>
      </c>
      <c r="EZ21" t="e">
        <f>#REF!+"8O&lt;!al"</f>
        <v>#REF!</v>
      </c>
      <c r="FA21" t="e">
        <f>#REF!+"8O&lt;!am"</f>
        <v>#REF!</v>
      </c>
      <c r="FB21" t="e">
        <f>#REF!+"8O&lt;!an"</f>
        <v>#REF!</v>
      </c>
      <c r="FC21" t="e">
        <f>#REF!+"8O&lt;!ao"</f>
        <v>#REF!</v>
      </c>
      <c r="FD21" t="e">
        <f>#REF!+"8O&lt;!ap"</f>
        <v>#REF!</v>
      </c>
      <c r="FE21" t="e">
        <f>#REF!+"8O&lt;!aq"</f>
        <v>#REF!</v>
      </c>
      <c r="FF21" t="e">
        <f>#REF!+"8O&lt;!ar"</f>
        <v>#REF!</v>
      </c>
      <c r="FG21" t="e">
        <f>#REF!+"8O&lt;!as"</f>
        <v>#REF!</v>
      </c>
      <c r="FH21" t="e">
        <f>#REF!+"8O&lt;!at"</f>
        <v>#REF!</v>
      </c>
      <c r="FI21" t="e">
        <f>#REF!+"8O&lt;!au"</f>
        <v>#REF!</v>
      </c>
      <c r="FJ21" t="e">
        <f>#REF!+"8O&lt;!av"</f>
        <v>#REF!</v>
      </c>
      <c r="FK21" t="e">
        <f>#REF!+"8O&lt;!aw"</f>
        <v>#REF!</v>
      </c>
      <c r="FL21" t="e">
        <f>#REF!+"8O&lt;!ax"</f>
        <v>#REF!</v>
      </c>
      <c r="FM21" t="e">
        <f>#REF!+"8O&lt;!ay"</f>
        <v>#REF!</v>
      </c>
      <c r="FN21" t="e">
        <f>#REF!+"8O&lt;!az"</f>
        <v>#REF!</v>
      </c>
      <c r="FO21" t="e">
        <f>#REF!+"8O&lt;!a{"</f>
        <v>#REF!</v>
      </c>
      <c r="FP21" t="e">
        <f>#REF!+"8O&lt;!a|"</f>
        <v>#REF!</v>
      </c>
      <c r="FQ21" t="e">
        <f>#REF!+"8O&lt;!a}"</f>
        <v>#REF!</v>
      </c>
      <c r="FR21" t="e">
        <f>#REF!+"8O&lt;!a~"</f>
        <v>#REF!</v>
      </c>
      <c r="FS21" t="e">
        <f>#REF!+"8O&lt;!b#"</f>
        <v>#REF!</v>
      </c>
      <c r="FT21" t="e">
        <f>#REF!+"8O&lt;!b$"</f>
        <v>#REF!</v>
      </c>
      <c r="FU21" t="e">
        <f>#REF!+"8O&lt;!b%"</f>
        <v>#REF!</v>
      </c>
      <c r="FV21" t="e">
        <f>#REF!+"8O&lt;!b&amp;"</f>
        <v>#REF!</v>
      </c>
      <c r="FW21" t="e">
        <f>#REF!+"8O&lt;!b'"</f>
        <v>#REF!</v>
      </c>
      <c r="FX21" t="e">
        <f>#REF!+"8O&lt;!b("</f>
        <v>#REF!</v>
      </c>
      <c r="FY21" t="e">
        <f>#REF!+"8O&lt;!b)"</f>
        <v>#REF!</v>
      </c>
      <c r="FZ21" t="e">
        <f>#REF!+"8O&lt;!b."</f>
        <v>#REF!</v>
      </c>
      <c r="GA21" t="e">
        <f>#REF!+"8O&lt;!b/"</f>
        <v>#REF!</v>
      </c>
      <c r="GB21" t="e">
        <f>#REF!+"8O&lt;!b0"</f>
        <v>#REF!</v>
      </c>
      <c r="GC21" t="e">
        <f>#REF!+"8O&lt;!b1"</f>
        <v>#REF!</v>
      </c>
      <c r="GD21" t="e">
        <f>#REF!+"8O&lt;!b2"</f>
        <v>#REF!</v>
      </c>
      <c r="GE21" t="e">
        <f>#REF!+"8O&lt;!b3"</f>
        <v>#REF!</v>
      </c>
      <c r="GF21" t="e">
        <f>#REF!+"8O&lt;!b4"</f>
        <v>#REF!</v>
      </c>
      <c r="GG21" t="e">
        <f>#REF!+"8O&lt;!b5"</f>
        <v>#REF!</v>
      </c>
      <c r="GH21" t="e">
        <f>#REF!+"8O&lt;!b6"</f>
        <v>#REF!</v>
      </c>
      <c r="GI21" t="e">
        <f>#REF!+"8O&lt;!b7"</f>
        <v>#REF!</v>
      </c>
      <c r="GJ21" t="e">
        <f>#REF!+"8O&lt;!b8"</f>
        <v>#REF!</v>
      </c>
      <c r="GK21" t="e">
        <f>#REF!+"8O&lt;!b9"</f>
        <v>#REF!</v>
      </c>
      <c r="GL21" t="e">
        <f>#REF!+"8O&lt;!b:"</f>
        <v>#REF!</v>
      </c>
      <c r="GM21" t="e">
        <f>#REF!+"8O&lt;!b;"</f>
        <v>#REF!</v>
      </c>
      <c r="GN21" t="e">
        <f>#REF!+"8O&lt;!b&lt;"</f>
        <v>#REF!</v>
      </c>
      <c r="GO21" t="e">
        <f>#REF!+"8O&lt;!b="</f>
        <v>#REF!</v>
      </c>
      <c r="GP21" t="e">
        <f>#REF!+"8O&lt;!b&gt;"</f>
        <v>#REF!</v>
      </c>
      <c r="GQ21" t="e">
        <f>#REF!+"8O&lt;!b?"</f>
        <v>#REF!</v>
      </c>
      <c r="GR21" t="e">
        <f>#REF!+"8O&lt;!b@"</f>
        <v>#REF!</v>
      </c>
      <c r="GS21" t="e">
        <f>#REF!+"8O&lt;!bA"</f>
        <v>#REF!</v>
      </c>
      <c r="GT21" t="e">
        <f>#REF!+"8O&lt;!bB"</f>
        <v>#REF!</v>
      </c>
      <c r="GU21" t="e">
        <f>#REF!+"8O&lt;!bC"</f>
        <v>#REF!</v>
      </c>
      <c r="GV21" t="e">
        <f>#REF!+"8O&lt;!bD"</f>
        <v>#REF!</v>
      </c>
      <c r="GW21" t="e">
        <f>#REF!+"8O&lt;!bE"</f>
        <v>#REF!</v>
      </c>
      <c r="GX21" t="e">
        <f>#REF!+"8O&lt;!bF"</f>
        <v>#REF!</v>
      </c>
      <c r="GY21" t="e">
        <f>#REF!+"8O&lt;!bG"</f>
        <v>#REF!</v>
      </c>
      <c r="GZ21" t="e">
        <f>#REF!+"8O&lt;!bH"</f>
        <v>#REF!</v>
      </c>
      <c r="HA21" t="e">
        <f>#REF!+"8O&lt;!bI"</f>
        <v>#REF!</v>
      </c>
      <c r="HB21" t="e">
        <f>#REF!+"8O&lt;!bJ"</f>
        <v>#REF!</v>
      </c>
      <c r="HC21" t="e">
        <f>#REF!+"8O&lt;!bK"</f>
        <v>#REF!</v>
      </c>
      <c r="HD21" t="e">
        <f>#REF!+"8O&lt;!bL"</f>
        <v>#REF!</v>
      </c>
      <c r="HE21" t="e">
        <f>#REF!+"8O&lt;!bM"</f>
        <v>#REF!</v>
      </c>
      <c r="HF21" t="e">
        <f>#REF!+"8O&lt;!bN"</f>
        <v>#REF!</v>
      </c>
      <c r="HG21" t="e">
        <f>#REF!+"8O&lt;!bO"</f>
        <v>#REF!</v>
      </c>
      <c r="HH21" t="e">
        <f>#REF!+"8O&lt;!bP"</f>
        <v>#REF!</v>
      </c>
      <c r="HI21" t="e">
        <f>#REF!+"8O&lt;!bQ"</f>
        <v>#REF!</v>
      </c>
      <c r="HJ21" t="e">
        <f>#REF!+"8O&lt;!bR"</f>
        <v>#REF!</v>
      </c>
      <c r="HK21" t="e">
        <f>#REF!+"8O&lt;!bS"</f>
        <v>#REF!</v>
      </c>
      <c r="HL21" t="e">
        <f>#REF!+"8O&lt;!bT"</f>
        <v>#REF!</v>
      </c>
      <c r="HM21" t="e">
        <f>#REF!+"8O&lt;!bU"</f>
        <v>#REF!</v>
      </c>
      <c r="HN21" t="e">
        <f>#REF!+"8O&lt;!bV"</f>
        <v>#REF!</v>
      </c>
      <c r="HO21" t="e">
        <f>#REF!+"8O&lt;!bW"</f>
        <v>#REF!</v>
      </c>
      <c r="HP21" t="e">
        <f>#REF!+"8O&lt;!bX"</f>
        <v>#REF!</v>
      </c>
      <c r="HQ21" t="e">
        <f>#REF!+"8O&lt;!bY"</f>
        <v>#REF!</v>
      </c>
      <c r="HR21" t="e">
        <f>#REF!+"8O&lt;!bZ"</f>
        <v>#REF!</v>
      </c>
      <c r="HS21" t="e">
        <f>#REF!+"8O&lt;!b["</f>
        <v>#REF!</v>
      </c>
      <c r="HT21" t="e">
        <f>#REF!+"8O&lt;!b\"</f>
        <v>#REF!</v>
      </c>
      <c r="HU21" t="e">
        <f>#REF!+"8O&lt;!b]"</f>
        <v>#REF!</v>
      </c>
      <c r="HV21" t="e">
        <f>#REF!+"8O&lt;!b^"</f>
        <v>#REF!</v>
      </c>
      <c r="HW21" t="e">
        <f>#REF!+"8O&lt;!b_"</f>
        <v>#REF!</v>
      </c>
      <c r="HX21" t="e">
        <f>#REF!+"8O&lt;!b`"</f>
        <v>#REF!</v>
      </c>
      <c r="HY21" t="e">
        <f>#REF!+"8O&lt;!ba"</f>
        <v>#REF!</v>
      </c>
      <c r="HZ21" t="e">
        <f>#REF!+"8O&lt;!bb"</f>
        <v>#REF!</v>
      </c>
      <c r="IA21" t="e">
        <f>#REF!+"8O&lt;!bc"</f>
        <v>#REF!</v>
      </c>
      <c r="IB21" t="e">
        <f>#REF!+"8O&lt;!bd"</f>
        <v>#REF!</v>
      </c>
      <c r="IC21" t="e">
        <f>#REF!+"8O&lt;!be"</f>
        <v>#REF!</v>
      </c>
      <c r="ID21" t="e">
        <f>#REF!+"8O&lt;!bf"</f>
        <v>#REF!</v>
      </c>
      <c r="IE21" t="e">
        <f>#REF!+"8O&lt;!bg"</f>
        <v>#REF!</v>
      </c>
      <c r="IF21" t="e">
        <f>#REF!+"8O&lt;!bh"</f>
        <v>#REF!</v>
      </c>
      <c r="IG21" t="e">
        <f>#REF!+"8O&lt;!bi"</f>
        <v>#REF!</v>
      </c>
      <c r="IH21" t="e">
        <f>#REF!+"8O&lt;!bj"</f>
        <v>#REF!</v>
      </c>
      <c r="II21" t="e">
        <f>#REF!+"8O&lt;!bk"</f>
        <v>#REF!</v>
      </c>
      <c r="IJ21" t="e">
        <f>#REF!+"8O&lt;!bl"</f>
        <v>#REF!</v>
      </c>
      <c r="IK21" t="e">
        <f>#REF!+"8O&lt;!bm"</f>
        <v>#REF!</v>
      </c>
      <c r="IL21" t="e">
        <f>#REF!+"8O&lt;!bn"</f>
        <v>#REF!</v>
      </c>
      <c r="IM21" t="e">
        <f>#REF!+"8O&lt;!bo"</f>
        <v>#REF!</v>
      </c>
      <c r="IN21" t="e">
        <f>#REF!+"8O&lt;!bp"</f>
        <v>#REF!</v>
      </c>
      <c r="IO21" t="e">
        <f>#REF!+"8O&lt;!bq"</f>
        <v>#REF!</v>
      </c>
      <c r="IP21" t="e">
        <f>#REF!+"8O&lt;!br"</f>
        <v>#REF!</v>
      </c>
      <c r="IQ21" t="e">
        <f>#REF!+"8O&lt;!bs"</f>
        <v>#REF!</v>
      </c>
      <c r="IR21" t="e">
        <f>#REF!+"8O&lt;!bt"</f>
        <v>#REF!</v>
      </c>
      <c r="IS21" t="e">
        <f>#REF!+"8O&lt;!bu"</f>
        <v>#REF!</v>
      </c>
      <c r="IT21" t="e">
        <f>#REF!+"8O&lt;!bv"</f>
        <v>#REF!</v>
      </c>
      <c r="IU21" t="e">
        <f>#REF!+"8O&lt;!bw"</f>
        <v>#REF!</v>
      </c>
      <c r="IV21" t="e">
        <f>#REF!+"8O&lt;!bx"</f>
        <v>#REF!</v>
      </c>
    </row>
    <row r="22" spans="6:256" x14ac:dyDescent="0.25">
      <c r="F22" t="e">
        <f>#REF!+"8O&lt;!by"</f>
        <v>#REF!</v>
      </c>
      <c r="G22" t="e">
        <f>#REF!+"8O&lt;!bz"</f>
        <v>#REF!</v>
      </c>
      <c r="H22" t="e">
        <f>#REF!+"8O&lt;!b{"</f>
        <v>#REF!</v>
      </c>
      <c r="I22" t="e">
        <f>#REF!+"8O&lt;!b|"</f>
        <v>#REF!</v>
      </c>
      <c r="J22" t="e">
        <f>#REF!+"8O&lt;!b}"</f>
        <v>#REF!</v>
      </c>
      <c r="K22" t="e">
        <f>#REF!+"8O&lt;!b~"</f>
        <v>#REF!</v>
      </c>
      <c r="L22" t="e">
        <f>#REF!+"8O&lt;!c#"</f>
        <v>#REF!</v>
      </c>
      <c r="M22" t="e">
        <f>#REF!+"8O&lt;!c$"</f>
        <v>#REF!</v>
      </c>
      <c r="N22" t="e">
        <f>#REF!+"8O&lt;!c%"</f>
        <v>#REF!</v>
      </c>
      <c r="O22" t="e">
        <f>#REF!+"8O&lt;!c&amp;"</f>
        <v>#REF!</v>
      </c>
      <c r="P22" t="e">
        <f>#REF!+"8O&lt;!c'"</f>
        <v>#REF!</v>
      </c>
      <c r="Q22" t="e">
        <f>#REF!+"8O&lt;!c("</f>
        <v>#REF!</v>
      </c>
      <c r="R22" t="e">
        <f>#REF!+"8O&lt;!c)"</f>
        <v>#REF!</v>
      </c>
      <c r="S22" t="e">
        <f>#REF!+"8O&lt;!c."</f>
        <v>#REF!</v>
      </c>
      <c r="T22" t="e">
        <f>#REF!+"8O&lt;!c/"</f>
        <v>#REF!</v>
      </c>
      <c r="U22" t="e">
        <f>#REF!+"8O&lt;!c0"</f>
        <v>#REF!</v>
      </c>
      <c r="V22" t="e">
        <f>#REF!+"8O&lt;!c1"</f>
        <v>#REF!</v>
      </c>
      <c r="W22" t="e">
        <f>#REF!+"8O&lt;!c2"</f>
        <v>#REF!</v>
      </c>
      <c r="X22" t="e">
        <f>#REF!+"8O&lt;!c3"</f>
        <v>#REF!</v>
      </c>
      <c r="Y22" t="e">
        <f>#REF!+"8O&lt;!c4"</f>
        <v>#REF!</v>
      </c>
      <c r="Z22" t="e">
        <f>#REF!+"8O&lt;!c5"</f>
        <v>#REF!</v>
      </c>
      <c r="AA22" t="e">
        <f>#REF!+"8O&lt;!c6"</f>
        <v>#REF!</v>
      </c>
      <c r="AB22" t="e">
        <f>#REF!+"8O&lt;!c7"</f>
        <v>#REF!</v>
      </c>
      <c r="AC22" t="e">
        <f>#REF!+"8O&lt;!c8"</f>
        <v>#REF!</v>
      </c>
      <c r="AD22" t="e">
        <f>#REF!+"8O&lt;!c9"</f>
        <v>#REF!</v>
      </c>
      <c r="AE22" t="e">
        <f>#REF!+"8O&lt;!c:"</f>
        <v>#REF!</v>
      </c>
      <c r="AF22" t="e">
        <f>#REF!+"8O&lt;!c;"</f>
        <v>#REF!</v>
      </c>
      <c r="AG22" t="e">
        <f>#REF!+"8O&lt;!c&lt;"</f>
        <v>#REF!</v>
      </c>
      <c r="AH22" t="e">
        <f>#REF!+"8O&lt;!c="</f>
        <v>#REF!</v>
      </c>
      <c r="AI22" t="e">
        <f>#REF!+"8O&lt;!c&gt;"</f>
        <v>#REF!</v>
      </c>
      <c r="AJ22" t="e">
        <f>#REF!+"8O&lt;!c?"</f>
        <v>#REF!</v>
      </c>
      <c r="AK22" t="e">
        <f>#REF!+"8O&lt;!c@"</f>
        <v>#REF!</v>
      </c>
      <c r="AL22" t="e">
        <f>#REF!+"8O&lt;!cA"</f>
        <v>#REF!</v>
      </c>
      <c r="AM22" t="e">
        <f>#REF!+"8O&lt;!cB"</f>
        <v>#REF!</v>
      </c>
      <c r="AN22" t="e">
        <f>#REF!+"8O&lt;!cC"</f>
        <v>#REF!</v>
      </c>
      <c r="AO22" t="e">
        <f>#REF!+"8O&lt;!cD"</f>
        <v>#REF!</v>
      </c>
      <c r="AP22" t="e">
        <f>#REF!+"8O&lt;!cE"</f>
        <v>#REF!</v>
      </c>
      <c r="AQ22" t="e">
        <f>#REF!+"8O&lt;!cF"</f>
        <v>#REF!</v>
      </c>
      <c r="AR22" t="e">
        <f>#REF!+"8O&lt;!cG"</f>
        <v>#REF!</v>
      </c>
      <c r="AS22" t="e">
        <f>#REF!+"8O&lt;!cH"</f>
        <v>#REF!</v>
      </c>
      <c r="AT22" t="e">
        <f>#REF!+"8O&lt;!cI"</f>
        <v>#REF!</v>
      </c>
      <c r="AU22" t="e">
        <f>#REF!+"8O&lt;!cJ"</f>
        <v>#REF!</v>
      </c>
      <c r="AV22" t="e">
        <f>#REF!+"8O&lt;!cK"</f>
        <v>#REF!</v>
      </c>
      <c r="AW22" t="e">
        <f>#REF!+"8O&lt;!cL"</f>
        <v>#REF!</v>
      </c>
      <c r="AX22" t="e">
        <f>#REF!+"8O&lt;!cM"</f>
        <v>#REF!</v>
      </c>
      <c r="AY22" t="e">
        <f>#REF!+"8O&lt;!cN"</f>
        <v>#REF!</v>
      </c>
      <c r="AZ22" t="e">
        <f>#REF!+"8O&lt;!cO"</f>
        <v>#REF!</v>
      </c>
      <c r="BA22" t="e">
        <f>#REF!+"8O&lt;!cP"</f>
        <v>#REF!</v>
      </c>
      <c r="BB22" t="e">
        <f>#REF!+"8O&lt;!cQ"</f>
        <v>#REF!</v>
      </c>
      <c r="BC22" t="e">
        <f>#REF!+"8O&lt;!cR"</f>
        <v>#REF!</v>
      </c>
      <c r="BD22" t="e">
        <f>#REF!+"8O&lt;!cS"</f>
        <v>#REF!</v>
      </c>
      <c r="BE22" t="e">
        <f>#REF!+"8O&lt;!cT"</f>
        <v>#REF!</v>
      </c>
      <c r="BF22" t="e">
        <f>#REF!+"8O&lt;!cU"</f>
        <v>#REF!</v>
      </c>
      <c r="BG22" t="e">
        <f>#REF!+"8O&lt;!cV"</f>
        <v>#REF!</v>
      </c>
      <c r="BH22" t="e">
        <f>#REF!+"8O&lt;!cW"</f>
        <v>#REF!</v>
      </c>
      <c r="BI22" t="e">
        <f>#REF!+"8O&lt;!cX"</f>
        <v>#REF!</v>
      </c>
      <c r="BJ22" t="e">
        <f>#REF!+"8O&lt;!cY"</f>
        <v>#REF!</v>
      </c>
      <c r="BK22" t="e">
        <f>#REF!+"8O&lt;!cZ"</f>
        <v>#REF!</v>
      </c>
      <c r="BL22" t="e">
        <f>#REF!+"8O&lt;!c["</f>
        <v>#REF!</v>
      </c>
      <c r="BM22" t="e">
        <f>#REF!+"8O&lt;!c\"</f>
        <v>#REF!</v>
      </c>
      <c r="BN22" t="e">
        <f>#REF!+"8O&lt;!c]"</f>
        <v>#REF!</v>
      </c>
      <c r="BO22" t="e">
        <f>#REF!+"8O&lt;!c^"</f>
        <v>#REF!</v>
      </c>
      <c r="BP22" t="e">
        <f>#REF!+"8O&lt;!c_"</f>
        <v>#REF!</v>
      </c>
      <c r="BQ22" t="e">
        <f>#REF!+"8O&lt;!c`"</f>
        <v>#REF!</v>
      </c>
      <c r="BR22" t="e">
        <f>#REF!+"8O&lt;!ca"</f>
        <v>#REF!</v>
      </c>
      <c r="BS22" t="e">
        <f>#REF!+"8O&lt;!cb"</f>
        <v>#REF!</v>
      </c>
      <c r="BT22" t="e">
        <f>#REF!+"8O&lt;!cc"</f>
        <v>#REF!</v>
      </c>
      <c r="BU22" t="e">
        <f>#REF!+"8O&lt;!cd"</f>
        <v>#REF!</v>
      </c>
      <c r="BV22" t="e">
        <f>#REF!+"8O&lt;!ce"</f>
        <v>#REF!</v>
      </c>
      <c r="BW22" t="e">
        <f>#REF!+"8O&lt;!cf"</f>
        <v>#REF!</v>
      </c>
      <c r="BX22" t="e">
        <f>#REF!+"8O&lt;!cg"</f>
        <v>#REF!</v>
      </c>
      <c r="BY22" t="e">
        <f>#REF!+"8O&lt;!ch"</f>
        <v>#REF!</v>
      </c>
      <c r="BZ22" t="e">
        <f>#REF!+"8O&lt;!ci"</f>
        <v>#REF!</v>
      </c>
      <c r="CA22" t="e">
        <f>#REF!+"8O&lt;!cj"</f>
        <v>#REF!</v>
      </c>
      <c r="CB22" t="e">
        <f>#REF!+"8O&lt;!ck"</f>
        <v>#REF!</v>
      </c>
      <c r="CC22" t="e">
        <f>#REF!+"8O&lt;!cl"</f>
        <v>#REF!</v>
      </c>
      <c r="CD22" t="e">
        <f>#REF!+"8O&lt;!cm"</f>
        <v>#REF!</v>
      </c>
      <c r="CE22" t="e">
        <f>#REF!+"8O&lt;!cn"</f>
        <v>#REF!</v>
      </c>
      <c r="CF22" t="e">
        <f>#REF!+"8O&lt;!co"</f>
        <v>#REF!</v>
      </c>
      <c r="CG22" t="e">
        <f>#REF!+"8O&lt;!cp"</f>
        <v>#REF!</v>
      </c>
      <c r="CH22" t="e">
        <f>#REF!+"8O&lt;!cq"</f>
        <v>#REF!</v>
      </c>
      <c r="CI22" t="e">
        <f>#REF!+"8O&lt;!cr"</f>
        <v>#REF!</v>
      </c>
      <c r="CJ22" t="e">
        <f>#REF!+"8O&lt;!cs"</f>
        <v>#REF!</v>
      </c>
      <c r="CK22" t="e">
        <f>#REF!+"8O&lt;!ct"</f>
        <v>#REF!</v>
      </c>
      <c r="CL22" t="e">
        <f>#REF!+"8O&lt;!cu"</f>
        <v>#REF!</v>
      </c>
      <c r="CM22" t="e">
        <f>#REF!+"8O&lt;!cv"</f>
        <v>#REF!</v>
      </c>
      <c r="CN22" t="e">
        <f>#REF!+"8O&lt;!cw"</f>
        <v>#REF!</v>
      </c>
      <c r="CO22" t="e">
        <f>#REF!+"8O&lt;!cx"</f>
        <v>#REF!</v>
      </c>
      <c r="CP22" t="e">
        <f>#REF!+"8O&lt;!cy"</f>
        <v>#REF!</v>
      </c>
      <c r="CQ22" t="e">
        <f>#REF!+"8O&lt;!cz"</f>
        <v>#REF!</v>
      </c>
      <c r="CR22" t="e">
        <f>#REF!+"8O&lt;!c{"</f>
        <v>#REF!</v>
      </c>
      <c r="CS22" t="e">
        <f>#REF!+"8O&lt;!c|"</f>
        <v>#REF!</v>
      </c>
      <c r="CT22" t="e">
        <f>#REF!+"8O&lt;!c}"</f>
        <v>#REF!</v>
      </c>
      <c r="CU22" t="e">
        <f>#REF!+"8O&lt;!c~"</f>
        <v>#REF!</v>
      </c>
      <c r="CV22" t="e">
        <f>#REF!+"8O&lt;!d#"</f>
        <v>#REF!</v>
      </c>
      <c r="CW22" t="e">
        <f>#REF!+"8O&lt;!d$"</f>
        <v>#REF!</v>
      </c>
      <c r="CX22" t="e">
        <f>#REF!+"8O&lt;!d%"</f>
        <v>#REF!</v>
      </c>
      <c r="CY22" t="e">
        <f>#REF!+"8O&lt;!d&amp;"</f>
        <v>#REF!</v>
      </c>
      <c r="CZ22" t="e">
        <f>#REF!+"8O&lt;!d'"</f>
        <v>#REF!</v>
      </c>
      <c r="DA22" t="e">
        <f>#REF!+"8O&lt;!d("</f>
        <v>#REF!</v>
      </c>
      <c r="DB22" t="e">
        <f>#REF!+"8O&lt;!d)"</f>
        <v>#REF!</v>
      </c>
      <c r="DC22" t="e">
        <f>#REF!+"8O&lt;!d."</f>
        <v>#REF!</v>
      </c>
      <c r="DD22" t="e">
        <f>#REF!+"8O&lt;!d/"</f>
        <v>#REF!</v>
      </c>
      <c r="DE22" t="e">
        <f>#REF!+"8O&lt;!d0"</f>
        <v>#REF!</v>
      </c>
      <c r="DF22" t="e">
        <f>#REF!+"8O&lt;!d1"</f>
        <v>#REF!</v>
      </c>
      <c r="DG22" t="e">
        <f>#REF!+"8O&lt;!d2"</f>
        <v>#REF!</v>
      </c>
      <c r="DH22" t="e">
        <f>#REF!+"8O&lt;!d3"</f>
        <v>#REF!</v>
      </c>
      <c r="DI22" t="e">
        <f>#REF!+"8O&lt;!d4"</f>
        <v>#REF!</v>
      </c>
      <c r="DJ22" t="e">
        <f>#REF!+"8O&lt;!d5"</f>
        <v>#REF!</v>
      </c>
      <c r="DK22" t="e">
        <f>#REF!+"8O&lt;!d6"</f>
        <v>#REF!</v>
      </c>
      <c r="DL22" t="e">
        <f>#REF!+"8O&lt;!d7"</f>
        <v>#REF!</v>
      </c>
      <c r="DM22" t="e">
        <f>#REF!+"8O&lt;!d8"</f>
        <v>#REF!</v>
      </c>
      <c r="DN22" t="e">
        <f>#REF!+"8O&lt;!d9"</f>
        <v>#REF!</v>
      </c>
      <c r="DO22" t="e">
        <f>#REF!+"8O&lt;!d:"</f>
        <v>#REF!</v>
      </c>
      <c r="DP22" t="e">
        <f>#REF!+"8O&lt;!d;"</f>
        <v>#REF!</v>
      </c>
      <c r="DQ22" t="e">
        <f>#REF!+"8O&lt;!d&lt;"</f>
        <v>#REF!</v>
      </c>
      <c r="DR22" t="e">
        <f>#REF!+"8O&lt;!d="</f>
        <v>#REF!</v>
      </c>
      <c r="DS22" t="e">
        <f>#REF!+"8O&lt;!d&gt;"</f>
        <v>#REF!</v>
      </c>
      <c r="DT22" t="e">
        <f>#REF!+"8O&lt;!d?"</f>
        <v>#REF!</v>
      </c>
      <c r="DU22" t="e">
        <f>#REF!+"8O&lt;!d@"</f>
        <v>#REF!</v>
      </c>
      <c r="DV22" t="e">
        <f>#REF!+"8O&lt;!dA"</f>
        <v>#REF!</v>
      </c>
      <c r="DW22" t="e">
        <f>#REF!+"8O&lt;!dB"</f>
        <v>#REF!</v>
      </c>
      <c r="DX22" t="e">
        <f>#REF!+"8O&lt;!dC"</f>
        <v>#REF!</v>
      </c>
      <c r="DY22" t="e">
        <f>#REF!+"8O&lt;!dD"</f>
        <v>#REF!</v>
      </c>
      <c r="DZ22" t="e">
        <f>#REF!+"8O&lt;!dE"</f>
        <v>#REF!</v>
      </c>
      <c r="EA22" t="e">
        <f>#REF!+"8O&lt;!dF"</f>
        <v>#REF!</v>
      </c>
      <c r="EB22" t="e">
        <f>#REF!+"8O&lt;!dG"</f>
        <v>#REF!</v>
      </c>
      <c r="EC22" t="e">
        <f>#REF!+"8O&lt;!dH"</f>
        <v>#REF!</v>
      </c>
      <c r="ED22" t="e">
        <f>#REF!+"8O&lt;!dI"</f>
        <v>#REF!</v>
      </c>
      <c r="EE22" t="e">
        <f>#REF!+"8O&lt;!dJ"</f>
        <v>#REF!</v>
      </c>
      <c r="EF22" t="e">
        <f>#REF!+"8O&lt;!dK"</f>
        <v>#REF!</v>
      </c>
      <c r="EG22" t="e">
        <f>#REF!+"8O&lt;!dL"</f>
        <v>#REF!</v>
      </c>
      <c r="EH22" t="e">
        <f>#REF!+"8O&lt;!dM"</f>
        <v>#REF!</v>
      </c>
      <c r="EI22" t="e">
        <f>#REF!+"8O&lt;!dN"</f>
        <v>#REF!</v>
      </c>
      <c r="EJ22" t="e">
        <f>#REF!+"8O&lt;!dO"</f>
        <v>#REF!</v>
      </c>
      <c r="EK22" t="e">
        <f>#REF!+"8O&lt;!dP"</f>
        <v>#REF!</v>
      </c>
      <c r="EL22" t="e">
        <f>#REF!+"8O&lt;!dQ"</f>
        <v>#REF!</v>
      </c>
      <c r="EM22" t="e">
        <f>#REF!+"8O&lt;!dR"</f>
        <v>#REF!</v>
      </c>
      <c r="EN22" t="e">
        <f>#REF!+"8O&lt;!dS"</f>
        <v>#REF!</v>
      </c>
      <c r="EO22" t="e">
        <f>#REF!+"8O&lt;!dT"</f>
        <v>#REF!</v>
      </c>
      <c r="EP22" t="e">
        <f>#REF!+"8O&lt;!dU"</f>
        <v>#REF!</v>
      </c>
      <c r="EQ22" t="e">
        <f>#REF!+"8O&lt;!dV"</f>
        <v>#REF!</v>
      </c>
      <c r="ER22" t="e">
        <f>#REF!+"8O&lt;!dW"</f>
        <v>#REF!</v>
      </c>
      <c r="ES22" t="e">
        <f>#REF!+"8O&lt;!dX"</f>
        <v>#REF!</v>
      </c>
      <c r="ET22" t="e">
        <f>#REF!+"8O&lt;!dY"</f>
        <v>#REF!</v>
      </c>
      <c r="EU22" t="e">
        <f>#REF!+"8O&lt;!dZ"</f>
        <v>#REF!</v>
      </c>
      <c r="EV22" t="e">
        <f>#REF!+"8O&lt;!d["</f>
        <v>#REF!</v>
      </c>
      <c r="EW22" t="e">
        <f>#REF!+"8O&lt;!d\"</f>
        <v>#REF!</v>
      </c>
      <c r="EX22" t="e">
        <f>#REF!+"8O&lt;!d]"</f>
        <v>#REF!</v>
      </c>
      <c r="EY22" t="e">
        <f>#REF!+"8O&lt;!d^"</f>
        <v>#REF!</v>
      </c>
      <c r="EZ22" t="e">
        <f>#REF!+"8O&lt;!d_"</f>
        <v>#REF!</v>
      </c>
      <c r="FA22" t="e">
        <f>#REF!+"8O&lt;!d`"</f>
        <v>#REF!</v>
      </c>
      <c r="FB22" t="e">
        <f>#REF!+"8O&lt;!da"</f>
        <v>#REF!</v>
      </c>
      <c r="FC22" t="e">
        <f>#REF!+"8O&lt;!db"</f>
        <v>#REF!</v>
      </c>
      <c r="FD22" t="e">
        <f>#REF!+"8O&lt;!dc"</f>
        <v>#REF!</v>
      </c>
      <c r="FE22" t="e">
        <f>#REF!+"8O&lt;!dd"</f>
        <v>#REF!</v>
      </c>
      <c r="FF22" t="e">
        <f>#REF!+"8O&lt;!de"</f>
        <v>#REF!</v>
      </c>
      <c r="FG22" t="e">
        <f>#REF!+"8O&lt;!df"</f>
        <v>#REF!</v>
      </c>
      <c r="FH22" t="e">
        <f>#REF!+"8O&lt;!dg"</f>
        <v>#REF!</v>
      </c>
      <c r="FI22" t="e">
        <f>#REF!+"8O&lt;!dh"</f>
        <v>#REF!</v>
      </c>
      <c r="FJ22" t="e">
        <f>#REF!+"8O&lt;!di"</f>
        <v>#REF!</v>
      </c>
      <c r="FK22" t="e">
        <f>#REF!+"8O&lt;!dj"</f>
        <v>#REF!</v>
      </c>
      <c r="FL22" t="e">
        <f>#REF!+"8O&lt;!dk"</f>
        <v>#REF!</v>
      </c>
      <c r="FM22" t="e">
        <f>#REF!+"8O&lt;!dl"</f>
        <v>#REF!</v>
      </c>
      <c r="FN22" t="e">
        <f>#REF!+"8O&lt;!dm"</f>
        <v>#REF!</v>
      </c>
      <c r="FO22" t="e">
        <f>#REF!+"8O&lt;!dn"</f>
        <v>#REF!</v>
      </c>
      <c r="FP22" t="e">
        <f>#REF!+"8O&lt;!do"</f>
        <v>#REF!</v>
      </c>
      <c r="FQ22" t="e">
        <f>#REF!+"8O&lt;!dp"</f>
        <v>#REF!</v>
      </c>
      <c r="FR22" t="e">
        <f>#REF!+"8O&lt;!dq"</f>
        <v>#REF!</v>
      </c>
      <c r="FS22" t="e">
        <f>#REF!+"8O&lt;!dr"</f>
        <v>#REF!</v>
      </c>
      <c r="FT22" t="e">
        <f>#REF!+"8O&lt;!ds"</f>
        <v>#REF!</v>
      </c>
      <c r="FU22" t="e">
        <f>#REF!+"8O&lt;!dt"</f>
        <v>#REF!</v>
      </c>
      <c r="FV22" t="e">
        <f>#REF!+"8O&lt;!du"</f>
        <v>#REF!</v>
      </c>
      <c r="FW22" t="e">
        <f>#REF!+"8O&lt;!dv"</f>
        <v>#REF!</v>
      </c>
      <c r="FX22" t="e">
        <f>#REF!+"8O&lt;!dw"</f>
        <v>#REF!</v>
      </c>
      <c r="FY22" t="e">
        <f>#REF!+"8O&lt;!dx"</f>
        <v>#REF!</v>
      </c>
      <c r="FZ22" t="e">
        <f>#REF!+"8O&lt;!dy"</f>
        <v>#REF!</v>
      </c>
      <c r="GA22" t="e">
        <f>#REF!+"8O&lt;!dz"</f>
        <v>#REF!</v>
      </c>
      <c r="GB22" t="e">
        <f>#REF!+"8O&lt;!d{"</f>
        <v>#REF!</v>
      </c>
      <c r="GC22" t="e">
        <f>#REF!+"8O&lt;!d|"</f>
        <v>#REF!</v>
      </c>
      <c r="GD22" t="e">
        <f>#REF!+"8O&lt;!d}"</f>
        <v>#REF!</v>
      </c>
      <c r="GE22" t="e">
        <f>#REF!+"8O&lt;!d~"</f>
        <v>#REF!</v>
      </c>
      <c r="GF22" t="e">
        <f>#REF!+"8O&lt;!e#"</f>
        <v>#REF!</v>
      </c>
      <c r="GG22" t="e">
        <f>#REF!+"8O&lt;!e$"</f>
        <v>#REF!</v>
      </c>
      <c r="GH22" t="e">
        <f>#REF!+"8O&lt;!e%"</f>
        <v>#REF!</v>
      </c>
      <c r="GI22" t="e">
        <f>#REF!+"8O&lt;!e&amp;"</f>
        <v>#REF!</v>
      </c>
      <c r="GJ22" t="e">
        <f>#REF!+"8O&lt;!e'"</f>
        <v>#REF!</v>
      </c>
      <c r="GK22" t="e">
        <f>#REF!+"8O&lt;!e("</f>
        <v>#REF!</v>
      </c>
      <c r="GL22" t="e">
        <f>#REF!+"8O&lt;!e)"</f>
        <v>#REF!</v>
      </c>
      <c r="GM22" t="e">
        <f>#REF!+"8O&lt;!e."</f>
        <v>#REF!</v>
      </c>
      <c r="GN22" t="e">
        <f>#REF!+"8O&lt;!e/"</f>
        <v>#REF!</v>
      </c>
      <c r="GO22" t="e">
        <f>#REF!+"8O&lt;!e0"</f>
        <v>#REF!</v>
      </c>
      <c r="GP22" t="e">
        <f>#REF!+"8O&lt;!e1"</f>
        <v>#REF!</v>
      </c>
      <c r="GQ22" t="e">
        <f>#REF!+"8O&lt;!e2"</f>
        <v>#REF!</v>
      </c>
      <c r="GR22" t="e">
        <f>#REF!+"8O&lt;!e3"</f>
        <v>#REF!</v>
      </c>
      <c r="GS22" t="e">
        <f>#REF!+"8O&lt;!e4"</f>
        <v>#REF!</v>
      </c>
      <c r="GT22" t="e">
        <f>#REF!+"8O&lt;!e5"</f>
        <v>#REF!</v>
      </c>
      <c r="GU22" t="e">
        <f>#REF!+"8O&lt;!e6"</f>
        <v>#REF!</v>
      </c>
      <c r="GV22" t="e">
        <f>#REF!+"8O&lt;!e7"</f>
        <v>#REF!</v>
      </c>
      <c r="GW22" t="e">
        <f>#REF!+"8O&lt;!e8"</f>
        <v>#REF!</v>
      </c>
      <c r="GX22" t="e">
        <f>#REF!+"8O&lt;!e9"</f>
        <v>#REF!</v>
      </c>
      <c r="GY22" t="e">
        <f>#REF!+"8O&lt;!e:"</f>
        <v>#REF!</v>
      </c>
      <c r="GZ22" t="e">
        <f>#REF!+"8O&lt;!e;"</f>
        <v>#REF!</v>
      </c>
      <c r="HA22" t="e">
        <f>#REF!+"8O&lt;!e&lt;"</f>
        <v>#REF!</v>
      </c>
      <c r="HB22" t="e">
        <f>#REF!+"8O&lt;!e="</f>
        <v>#REF!</v>
      </c>
      <c r="HC22" t="e">
        <f>#REF!+"8O&lt;!e&gt;"</f>
        <v>#REF!</v>
      </c>
      <c r="HD22" t="e">
        <f>#REF!+"8O&lt;!e?"</f>
        <v>#REF!</v>
      </c>
      <c r="HE22" t="e">
        <f>#REF!+"8O&lt;!e@"</f>
        <v>#REF!</v>
      </c>
      <c r="HF22" t="e">
        <f>#REF!+"8O&lt;!eA"</f>
        <v>#REF!</v>
      </c>
      <c r="HG22" t="e">
        <f>#REF!+"8O&lt;!eB"</f>
        <v>#REF!</v>
      </c>
      <c r="HH22" t="e">
        <f>#REF!+"8O&lt;!eC"</f>
        <v>#REF!</v>
      </c>
      <c r="HI22" t="e">
        <f>#REF!+"8O&lt;!eD"</f>
        <v>#REF!</v>
      </c>
      <c r="HJ22" t="e">
        <f>#REF!+"8O&lt;!eE"</f>
        <v>#REF!</v>
      </c>
      <c r="HK22" t="e">
        <f>#REF!+"8O&lt;!eF"</f>
        <v>#REF!</v>
      </c>
      <c r="HL22" t="e">
        <f>#REF!+"8O&lt;!eG"</f>
        <v>#REF!</v>
      </c>
      <c r="HM22" t="e">
        <f>#REF!+"8O&lt;!eH"</f>
        <v>#REF!</v>
      </c>
      <c r="HN22" t="e">
        <f>#REF!+"8O&lt;!eI"</f>
        <v>#REF!</v>
      </c>
      <c r="HO22" t="e">
        <f>#REF!+"8O&lt;!eJ"</f>
        <v>#REF!</v>
      </c>
      <c r="HP22" t="e">
        <f>#REF!+"8O&lt;!eK"</f>
        <v>#REF!</v>
      </c>
      <c r="HQ22" t="e">
        <f>#REF!+"8O&lt;!eL"</f>
        <v>#REF!</v>
      </c>
      <c r="HR22" t="e">
        <f>#REF!+"8O&lt;!eM"</f>
        <v>#REF!</v>
      </c>
      <c r="HS22" t="e">
        <f>#REF!+"8O&lt;!eN"</f>
        <v>#REF!</v>
      </c>
      <c r="HT22" t="e">
        <f>#REF!+"8O&lt;!eO"</f>
        <v>#REF!</v>
      </c>
      <c r="HU22" t="e">
        <f>#REF!+"8O&lt;!eP"</f>
        <v>#REF!</v>
      </c>
      <c r="HV22" t="e">
        <f>#REF!+"8O&lt;!eQ"</f>
        <v>#REF!</v>
      </c>
      <c r="HW22" t="e">
        <f>#REF!+"8O&lt;!eR"</f>
        <v>#REF!</v>
      </c>
      <c r="HX22" t="e">
        <f>#REF!+"8O&lt;!eS"</f>
        <v>#REF!</v>
      </c>
      <c r="HY22" t="e">
        <f>#REF!+"8O&lt;!eT"</f>
        <v>#REF!</v>
      </c>
      <c r="HZ22" t="e">
        <f>#REF!+"8O&lt;!eU"</f>
        <v>#REF!</v>
      </c>
      <c r="IA22" t="e">
        <f>#REF!+"8O&lt;!eV"</f>
        <v>#REF!</v>
      </c>
      <c r="IB22" t="e">
        <f>#REF!+"8O&lt;!eW"</f>
        <v>#REF!</v>
      </c>
      <c r="IC22" t="e">
        <f>#REF!+"8O&lt;!eX"</f>
        <v>#REF!</v>
      </c>
      <c r="ID22" t="e">
        <f>#REF!+"8O&lt;!eY"</f>
        <v>#REF!</v>
      </c>
      <c r="IE22" t="e">
        <f>#REF!+"8O&lt;!eZ"</f>
        <v>#REF!</v>
      </c>
      <c r="IF22" t="e">
        <f>#REF!+"8O&lt;!e["</f>
        <v>#REF!</v>
      </c>
      <c r="IG22" t="e">
        <f>#REF!+"8O&lt;!e\"</f>
        <v>#REF!</v>
      </c>
      <c r="IH22" t="e">
        <f>#REF!+"8O&lt;!e]"</f>
        <v>#REF!</v>
      </c>
      <c r="II22" t="e">
        <f>#REF!+"8O&lt;!e^"</f>
        <v>#REF!</v>
      </c>
      <c r="IJ22" t="e">
        <f>#REF!+"8O&lt;!e_"</f>
        <v>#REF!</v>
      </c>
      <c r="IK22" t="e">
        <f>#REF!+"8O&lt;!e`"</f>
        <v>#REF!</v>
      </c>
      <c r="IL22" t="e">
        <f>#REF!+"8O&lt;!ea"</f>
        <v>#REF!</v>
      </c>
      <c r="IM22" t="e">
        <f>#REF!+"8O&lt;!eb"</f>
        <v>#REF!</v>
      </c>
      <c r="IN22" t="e">
        <f>#REF!+"8O&lt;!ec"</f>
        <v>#REF!</v>
      </c>
      <c r="IO22" t="e">
        <f>#REF!+"8O&lt;!ed"</f>
        <v>#REF!</v>
      </c>
      <c r="IP22" t="e">
        <f>#REF!+"8O&lt;!ee"</f>
        <v>#REF!</v>
      </c>
      <c r="IQ22" t="e">
        <f>#REF!+"8O&lt;!ef"</f>
        <v>#REF!</v>
      </c>
      <c r="IR22" t="e">
        <f>#REF!+"8O&lt;!eg"</f>
        <v>#REF!</v>
      </c>
      <c r="IS22" t="e">
        <f>#REF!+"8O&lt;!eh"</f>
        <v>#REF!</v>
      </c>
      <c r="IT22" t="e">
        <f>#REF!+"8O&lt;!ei"</f>
        <v>#REF!</v>
      </c>
      <c r="IU22" t="e">
        <f>#REF!+"8O&lt;!ej"</f>
        <v>#REF!</v>
      </c>
      <c r="IV22" t="e">
        <f>#REF!+"8O&lt;!ek"</f>
        <v>#REF!</v>
      </c>
    </row>
    <row r="23" spans="6:256" x14ac:dyDescent="0.25">
      <c r="F23" t="e">
        <f>#REF!+"8O&lt;!el"</f>
        <v>#REF!</v>
      </c>
      <c r="G23" t="e">
        <f>#REF!+"8O&lt;!em"</f>
        <v>#REF!</v>
      </c>
      <c r="H23" t="e">
        <f>#REF!+"8O&lt;!en"</f>
        <v>#REF!</v>
      </c>
      <c r="I23" t="e">
        <f>#REF!+"8O&lt;!eo"</f>
        <v>#REF!</v>
      </c>
      <c r="J23" t="e">
        <f>#REF!+"8O&lt;!ep"</f>
        <v>#REF!</v>
      </c>
      <c r="K23" t="e">
        <f>#REF!+"8O&lt;!eq"</f>
        <v>#REF!</v>
      </c>
      <c r="L23" t="e">
        <f>#REF!+"8O&lt;!er"</f>
        <v>#REF!</v>
      </c>
      <c r="M23" t="e">
        <f>#REF!+"8O&lt;!es"</f>
        <v>#REF!</v>
      </c>
      <c r="N23" t="e">
        <f>#REF!+"8O&lt;!et"</f>
        <v>#REF!</v>
      </c>
      <c r="O23" t="e">
        <f>#REF!+"8O&lt;!eu"</f>
        <v>#REF!</v>
      </c>
      <c r="P23" t="e">
        <f>#REF!+"8O&lt;!ev"</f>
        <v>#REF!</v>
      </c>
      <c r="Q23" t="e">
        <f>#REF!+"8O&lt;!ew"</f>
        <v>#REF!</v>
      </c>
      <c r="R23" t="e">
        <f>#REF!+"8O&lt;!ex"</f>
        <v>#REF!</v>
      </c>
      <c r="S23" t="e">
        <f>#REF!+"8O&lt;!ey"</f>
        <v>#REF!</v>
      </c>
      <c r="T23" t="e">
        <f>#REF!+"8O&lt;!ez"</f>
        <v>#REF!</v>
      </c>
      <c r="U23" t="e">
        <f>#REF!+"8O&lt;!e{"</f>
        <v>#REF!</v>
      </c>
      <c r="V23" t="e">
        <f>#REF!+"8O&lt;!e|"</f>
        <v>#REF!</v>
      </c>
      <c r="W23" t="e">
        <f>#REF!+"8O&lt;!e}"</f>
        <v>#REF!</v>
      </c>
      <c r="X23" t="e">
        <f>#REF!+"8O&lt;!e~"</f>
        <v>#REF!</v>
      </c>
      <c r="Y23" t="e">
        <f>#REF!+"8O&lt;!f#"</f>
        <v>#REF!</v>
      </c>
      <c r="Z23" t="e">
        <f>#REF!+"8O&lt;!f$"</f>
        <v>#REF!</v>
      </c>
      <c r="AA23" t="e">
        <f>#REF!+"8O&lt;!f%"</f>
        <v>#REF!</v>
      </c>
      <c r="AB23" t="e">
        <f>#REF!+"8O&lt;!f&amp;"</f>
        <v>#REF!</v>
      </c>
      <c r="AC23" t="e">
        <f>#REF!+"8O&lt;!f'"</f>
        <v>#REF!</v>
      </c>
      <c r="AD23" t="e">
        <f>#REF!+"8O&lt;!f("</f>
        <v>#REF!</v>
      </c>
      <c r="AE23" t="e">
        <f>#REF!+"8O&lt;!f)"</f>
        <v>#REF!</v>
      </c>
      <c r="AF23" t="e">
        <f>#REF!+"8O&lt;!f."</f>
        <v>#REF!</v>
      </c>
      <c r="AG23" t="e">
        <f>#REF!+"8O&lt;!f/"</f>
        <v>#REF!</v>
      </c>
      <c r="AH23" t="e">
        <f>#REF!+"8O&lt;!f0"</f>
        <v>#REF!</v>
      </c>
      <c r="AI23" t="e">
        <f>#REF!+"8O&lt;!f1"</f>
        <v>#REF!</v>
      </c>
      <c r="AJ23" t="e">
        <f>#REF!+"8O&lt;!f2"</f>
        <v>#REF!</v>
      </c>
      <c r="AK23" t="e">
        <f>#REF!+"8O&lt;!f3"</f>
        <v>#REF!</v>
      </c>
      <c r="AL23" t="e">
        <f>#REF!+"8O&lt;!f4"</f>
        <v>#REF!</v>
      </c>
      <c r="AM23" t="e">
        <f>#REF!+"8O&lt;!f5"</f>
        <v>#REF!</v>
      </c>
      <c r="AN23" t="e">
        <f>#REF!+"8O&lt;!f6"</f>
        <v>#REF!</v>
      </c>
      <c r="AO23" t="e">
        <f>#REF!+"8O&lt;!f7"</f>
        <v>#REF!</v>
      </c>
      <c r="AP23" t="e">
        <f>#REF!+"8O&lt;!f8"</f>
        <v>#REF!</v>
      </c>
      <c r="AQ23" t="e">
        <f>#REF!+"8O&lt;!f9"</f>
        <v>#REF!</v>
      </c>
      <c r="AR23" t="e">
        <f>#REF!+"8O&lt;!f:"</f>
        <v>#REF!</v>
      </c>
      <c r="AS23" t="e">
        <f>#REF!+"8O&lt;!f;"</f>
        <v>#REF!</v>
      </c>
      <c r="AT23" t="e">
        <f>#REF!+"8O&lt;!f&lt;"</f>
        <v>#REF!</v>
      </c>
      <c r="AU23" t="e">
        <f>#REF!+"8O&lt;!f="</f>
        <v>#REF!</v>
      </c>
      <c r="AV23" t="e">
        <f>#REF!+"8O&lt;!f&gt;"</f>
        <v>#REF!</v>
      </c>
      <c r="AW23" t="e">
        <f>#REF!+"8O&lt;!f?"</f>
        <v>#REF!</v>
      </c>
      <c r="AX23" t="e">
        <f>#REF!+"8O&lt;!f@"</f>
        <v>#REF!</v>
      </c>
      <c r="AY23" t="e">
        <f>#REF!+"8O&lt;!fA"</f>
        <v>#REF!</v>
      </c>
      <c r="AZ23" t="e">
        <f>#REF!+"8O&lt;!fB"</f>
        <v>#REF!</v>
      </c>
      <c r="BA23" t="e">
        <f>#REF!+"8O&lt;!fC"</f>
        <v>#REF!</v>
      </c>
      <c r="BB23" t="e">
        <f>#REF!+"8O&lt;!fD"</f>
        <v>#REF!</v>
      </c>
      <c r="BC23" t="e">
        <f>#REF!+"8O&lt;!fE"</f>
        <v>#REF!</v>
      </c>
      <c r="BD23" t="e">
        <f>#REF!+"8O&lt;!fF"</f>
        <v>#REF!</v>
      </c>
      <c r="BE23" t="e">
        <f>#REF!+"8O&lt;!fG"</f>
        <v>#REF!</v>
      </c>
      <c r="BF23" t="e">
        <f>#REF!+"8O&lt;!fH"</f>
        <v>#REF!</v>
      </c>
      <c r="BG23" t="e">
        <f>#REF!+"8O&lt;!fI"</f>
        <v>#REF!</v>
      </c>
      <c r="BH23" t="e">
        <f>#REF!+"8O&lt;!fJ"</f>
        <v>#REF!</v>
      </c>
      <c r="BI23" t="e">
        <f>#REF!+"8O&lt;!fK"</f>
        <v>#REF!</v>
      </c>
      <c r="BJ23" t="e">
        <f>#REF!+"8O&lt;!fL"</f>
        <v>#REF!</v>
      </c>
      <c r="BK23" t="e">
        <f>#REF!+"8O&lt;!fM"</f>
        <v>#REF!</v>
      </c>
      <c r="BL23" t="e">
        <f>#REF!+"8O&lt;!fN"</f>
        <v>#REF!</v>
      </c>
      <c r="BM23" t="e">
        <f>#REF!+"8O&lt;!fO"</f>
        <v>#REF!</v>
      </c>
      <c r="BN23" t="e">
        <f>#REF!+"8O&lt;!fP"</f>
        <v>#REF!</v>
      </c>
      <c r="BO23" t="e">
        <f>#REF!+"8O&lt;!fQ"</f>
        <v>#REF!</v>
      </c>
      <c r="BP23" t="e">
        <f>#REF!+"8O&lt;!fR"</f>
        <v>#REF!</v>
      </c>
      <c r="BQ23" t="e">
        <f>#REF!+"8O&lt;!fS"</f>
        <v>#REF!</v>
      </c>
      <c r="BR23" t="e">
        <f>#REF!+"8O&lt;!fT"</f>
        <v>#REF!</v>
      </c>
      <c r="BS23" t="e">
        <f>#REF!+"8O&lt;!fU"</f>
        <v>#REF!</v>
      </c>
      <c r="BT23" t="e">
        <f>#REF!+"8O&lt;!fV"</f>
        <v>#REF!</v>
      </c>
      <c r="BU23" t="e">
        <f>#REF!+"8O&lt;!fW"</f>
        <v>#REF!</v>
      </c>
      <c r="BV23" t="e">
        <f>#REF!+"8O&lt;!fX"</f>
        <v>#REF!</v>
      </c>
      <c r="BW23" t="e">
        <f>#REF!+"8O&lt;!fY"</f>
        <v>#REF!</v>
      </c>
      <c r="BX23" t="e">
        <f>#REF!+"8O&lt;!fZ"</f>
        <v>#REF!</v>
      </c>
      <c r="BY23" t="e">
        <f>#REF!+"8O&lt;!f["</f>
        <v>#REF!</v>
      </c>
      <c r="BZ23" t="e">
        <f>#REF!+"8O&lt;!f\"</f>
        <v>#REF!</v>
      </c>
      <c r="CA23" t="e">
        <f>#REF!+"8O&lt;!f]"</f>
        <v>#REF!</v>
      </c>
      <c r="CB23" t="e">
        <f>#REF!+"8O&lt;!f^"</f>
        <v>#REF!</v>
      </c>
      <c r="CC23" t="e">
        <f>#REF!+"8O&lt;!f_"</f>
        <v>#REF!</v>
      </c>
      <c r="CD23" t="e">
        <f>#REF!+"8O&lt;!f`"</f>
        <v>#REF!</v>
      </c>
      <c r="CE23" t="e">
        <f>#REF!+"8O&lt;!fa"</f>
        <v>#REF!</v>
      </c>
      <c r="CF23" t="e">
        <f>#REF!+"8O&lt;!fb"</f>
        <v>#REF!</v>
      </c>
      <c r="CG23" t="e">
        <f>#REF!+"8O&lt;!fc"</f>
        <v>#REF!</v>
      </c>
      <c r="CH23" t="e">
        <f>#REF!+"8O&lt;!fd"</f>
        <v>#REF!</v>
      </c>
      <c r="CI23" t="e">
        <f>#REF!+"8O&lt;!fe"</f>
        <v>#REF!</v>
      </c>
      <c r="CJ23" t="e">
        <f>#REF!+"8O&lt;!ff"</f>
        <v>#REF!</v>
      </c>
      <c r="CK23" t="e">
        <f>#REF!+"8O&lt;!fg"</f>
        <v>#REF!</v>
      </c>
      <c r="CL23" t="e">
        <f>#REF!+"8O&lt;!fh"</f>
        <v>#REF!</v>
      </c>
      <c r="CM23" t="e">
        <f>#REF!+"8O&lt;!fi"</f>
        <v>#REF!</v>
      </c>
      <c r="CN23" t="e">
        <f>#REF!+"8O&lt;!fj"</f>
        <v>#REF!</v>
      </c>
      <c r="CO23" t="e">
        <f>#REF!+"8O&lt;!fk"</f>
        <v>#REF!</v>
      </c>
      <c r="CP23" t="e">
        <f>#REF!+"8O&lt;!fl"</f>
        <v>#REF!</v>
      </c>
      <c r="CQ23" t="e">
        <f>#REF!+"8O&lt;!fm"</f>
        <v>#REF!</v>
      </c>
      <c r="CR23" t="e">
        <f>#REF!+"8O&lt;!fn"</f>
        <v>#REF!</v>
      </c>
      <c r="CS23" t="e">
        <f>#REF!+"8O&lt;!fo"</f>
        <v>#REF!</v>
      </c>
      <c r="CT23" t="e">
        <f>#REF!+"8O&lt;!fp"</f>
        <v>#REF!</v>
      </c>
      <c r="CU23" t="e">
        <f>#REF!+"8O&lt;!fq"</f>
        <v>#REF!</v>
      </c>
      <c r="CV23" t="e">
        <f>#REF!+"8O&lt;!fr"</f>
        <v>#REF!</v>
      </c>
      <c r="CW23" t="e">
        <f>#REF!+"8O&lt;!fs"</f>
        <v>#REF!</v>
      </c>
      <c r="CX23" t="e">
        <f>#REF!+"8O&lt;!ft"</f>
        <v>#REF!</v>
      </c>
      <c r="CY23" t="e">
        <f>#REF!+"8O&lt;!fu"</f>
        <v>#REF!</v>
      </c>
      <c r="CZ23" t="e">
        <f>#REF!+"8O&lt;!fv"</f>
        <v>#REF!</v>
      </c>
      <c r="DA23" t="e">
        <f>#REF!+"8O&lt;!fw"</f>
        <v>#REF!</v>
      </c>
      <c r="DB23" t="e">
        <f>#REF!+"8O&lt;!fx"</f>
        <v>#REF!</v>
      </c>
      <c r="DC23" t="e">
        <f>#REF!+"8O&lt;!fy"</f>
        <v>#REF!</v>
      </c>
      <c r="DD23" t="e">
        <f>#REF!+"8O&lt;!fz"</f>
        <v>#REF!</v>
      </c>
      <c r="DE23" t="e">
        <f>#REF!+"8O&lt;!f{"</f>
        <v>#REF!</v>
      </c>
      <c r="DF23" t="e">
        <f>#REF!+"8O&lt;!f|"</f>
        <v>#REF!</v>
      </c>
      <c r="DG23" t="e">
        <f>#REF!+"8O&lt;!f}"</f>
        <v>#REF!</v>
      </c>
      <c r="DH23" t="e">
        <f>#REF!+"8O&lt;!f~"</f>
        <v>#REF!</v>
      </c>
      <c r="DI23" t="e">
        <f>#REF!+"8O&lt;!g#"</f>
        <v>#REF!</v>
      </c>
      <c r="DJ23" t="e">
        <f>#REF!+"8O&lt;!g$"</f>
        <v>#REF!</v>
      </c>
      <c r="DK23" t="e">
        <f>#REF!+"8O&lt;!g%"</f>
        <v>#REF!</v>
      </c>
      <c r="DL23" t="e">
        <f>#REF!+"8O&lt;!g&amp;"</f>
        <v>#REF!</v>
      </c>
      <c r="DM23" t="e">
        <f>#REF!+"8O&lt;!g'"</f>
        <v>#REF!</v>
      </c>
      <c r="DN23" t="e">
        <f>#REF!+"8O&lt;!g("</f>
        <v>#REF!</v>
      </c>
      <c r="DO23" t="e">
        <f>#REF!+"8O&lt;!g)"</f>
        <v>#REF!</v>
      </c>
      <c r="DP23" t="e">
        <f>#REF!+"8O&lt;!g."</f>
        <v>#REF!</v>
      </c>
      <c r="DQ23" t="e">
        <f>#REF!+"8O&lt;!g/"</f>
        <v>#REF!</v>
      </c>
      <c r="DR23" t="e">
        <f>#REF!+"8O&lt;!g0"</f>
        <v>#REF!</v>
      </c>
      <c r="DS23" t="e">
        <f>#REF!+"8O&lt;!g1"</f>
        <v>#REF!</v>
      </c>
      <c r="DT23" t="e">
        <f>#REF!+"8O&lt;!g2"</f>
        <v>#REF!</v>
      </c>
      <c r="DU23" t="e">
        <f>#REF!+"8O&lt;!g3"</f>
        <v>#REF!</v>
      </c>
      <c r="DV23" t="e">
        <f>#REF!+"8O&lt;!g4"</f>
        <v>#REF!</v>
      </c>
      <c r="DW23" t="e">
        <f>#REF!+"8O&lt;!g5"</f>
        <v>#REF!</v>
      </c>
      <c r="DX23" t="e">
        <f>#REF!+"8O&lt;!g6"</f>
        <v>#REF!</v>
      </c>
      <c r="DY23" t="e">
        <f>#REF!+"8O&lt;!g7"</f>
        <v>#REF!</v>
      </c>
      <c r="DZ23" t="e">
        <f>#REF!+"8O&lt;!g8"</f>
        <v>#REF!</v>
      </c>
      <c r="EA23" t="e">
        <f>#REF!+"8O&lt;!g9"</f>
        <v>#REF!</v>
      </c>
      <c r="EB23" t="e">
        <f>#REF!+"8O&lt;!g:"</f>
        <v>#REF!</v>
      </c>
      <c r="EC23" t="e">
        <f>#REF!+"8O&lt;!g;"</f>
        <v>#REF!</v>
      </c>
      <c r="ED23" t="e">
        <f>#REF!+"8O&lt;!g&lt;"</f>
        <v>#REF!</v>
      </c>
      <c r="EE23" t="e">
        <f>#REF!+"8O&lt;!g="</f>
        <v>#REF!</v>
      </c>
      <c r="EF23" t="e">
        <f>#REF!+"8O&lt;!g&gt;"</f>
        <v>#REF!</v>
      </c>
      <c r="EG23" t="e">
        <f>#REF!+"8O&lt;!g?"</f>
        <v>#REF!</v>
      </c>
      <c r="EH23" t="e">
        <f>#REF!+"8O&lt;!g@"</f>
        <v>#REF!</v>
      </c>
      <c r="EI23" t="e">
        <f>#REF!+"8O&lt;!gA"</f>
        <v>#REF!</v>
      </c>
      <c r="EJ23" t="e">
        <f>#REF!+"8O&lt;!gB"</f>
        <v>#REF!</v>
      </c>
      <c r="EK23" t="e">
        <f>#REF!+"8O&lt;!gC"</f>
        <v>#REF!</v>
      </c>
      <c r="EL23" t="e">
        <f>#REF!+"8O&lt;!gD"</f>
        <v>#REF!</v>
      </c>
      <c r="EM23" t="e">
        <f>#REF!+"8O&lt;!gE"</f>
        <v>#REF!</v>
      </c>
      <c r="EN23" t="e">
        <f>#REF!+"8O&lt;!gF"</f>
        <v>#REF!</v>
      </c>
      <c r="EO23" t="e">
        <f>#REF!+"8O&lt;!gG"</f>
        <v>#REF!</v>
      </c>
      <c r="EP23" t="e">
        <f>#REF!+"8O&lt;!gH"</f>
        <v>#REF!</v>
      </c>
      <c r="EQ23" t="e">
        <f>#REF!+"8O&lt;!gI"</f>
        <v>#REF!</v>
      </c>
      <c r="ER23" t="e">
        <f>#REF!+"8O&lt;!gJ"</f>
        <v>#REF!</v>
      </c>
      <c r="ES23" t="e">
        <f>#REF!+"8O&lt;!gK"</f>
        <v>#REF!</v>
      </c>
      <c r="ET23" t="e">
        <f>#REF!+"8O&lt;!gL"</f>
        <v>#REF!</v>
      </c>
      <c r="EU23" t="e">
        <f>#REF!+"8O&lt;!gM"</f>
        <v>#REF!</v>
      </c>
      <c r="EV23" t="e">
        <f>#REF!+"8O&lt;!gN"</f>
        <v>#REF!</v>
      </c>
      <c r="EW23" t="e">
        <f>#REF!+"8O&lt;!gO"</f>
        <v>#REF!</v>
      </c>
      <c r="EX23" t="e">
        <f>#REF!+"8O&lt;!gP"</f>
        <v>#REF!</v>
      </c>
      <c r="EY23" t="e">
        <f>#REF!+"8O&lt;!gQ"</f>
        <v>#REF!</v>
      </c>
      <c r="EZ23" t="e">
        <f>#REF!+"8O&lt;!gR"</f>
        <v>#REF!</v>
      </c>
      <c r="FA23" t="e">
        <f>#REF!+"8O&lt;!gS"</f>
        <v>#REF!</v>
      </c>
      <c r="FB23" t="e">
        <f>#REF!+"8O&lt;!gT"</f>
        <v>#REF!</v>
      </c>
      <c r="FC23" t="e">
        <f>#REF!+"8O&lt;!gU"</f>
        <v>#REF!</v>
      </c>
      <c r="FD23" t="e">
        <f>#REF!+"8O&lt;!gV"</f>
        <v>#REF!</v>
      </c>
      <c r="FE23" t="e">
        <f>#REF!+"8O&lt;!gW"</f>
        <v>#REF!</v>
      </c>
      <c r="FF23" t="e">
        <f>#REF!+"8O&lt;!gX"</f>
        <v>#REF!</v>
      </c>
      <c r="FG23" t="e">
        <f>#REF!+"8O&lt;!gY"</f>
        <v>#REF!</v>
      </c>
      <c r="FH23" t="e">
        <f>#REF!+"8O&lt;!gZ"</f>
        <v>#REF!</v>
      </c>
      <c r="FI23" t="e">
        <f>#REF!+"8O&lt;!g["</f>
        <v>#REF!</v>
      </c>
      <c r="FJ23" t="e">
        <f>#REF!+"8O&lt;!g\"</f>
        <v>#REF!</v>
      </c>
      <c r="FK23" t="e">
        <f>#REF!+"8O&lt;!g]"</f>
        <v>#REF!</v>
      </c>
      <c r="FL23" t="e">
        <f>#REF!+"8O&lt;!g^"</f>
        <v>#REF!</v>
      </c>
      <c r="FM23" t="e">
        <f>#REF!+"8O&lt;!g_"</f>
        <v>#REF!</v>
      </c>
      <c r="FN23" t="e">
        <f>#REF!+"8O&lt;!g`"</f>
        <v>#REF!</v>
      </c>
      <c r="FO23" t="e">
        <f>#REF!+"8O&lt;!ga"</f>
        <v>#REF!</v>
      </c>
      <c r="FP23" t="e">
        <f>#REF!+"8O&lt;!gb"</f>
        <v>#REF!</v>
      </c>
      <c r="FQ23" t="e">
        <f>#REF!+"8O&lt;!gc"</f>
        <v>#REF!</v>
      </c>
      <c r="FR23" t="e">
        <f>#REF!+"8O&lt;!gd"</f>
        <v>#REF!</v>
      </c>
      <c r="FS23" t="e">
        <f>#REF!+"8O&lt;!ge"</f>
        <v>#REF!</v>
      </c>
      <c r="FT23" t="e">
        <f>#REF!+"8O&lt;!gf"</f>
        <v>#REF!</v>
      </c>
      <c r="FU23" t="e">
        <f>#REF!+"8O&lt;!gg"</f>
        <v>#REF!</v>
      </c>
      <c r="FV23" t="e">
        <f>#REF!+"8O&lt;!gh"</f>
        <v>#REF!</v>
      </c>
      <c r="FW23" t="e">
        <f>#REF!+"8O&lt;!gi"</f>
        <v>#REF!</v>
      </c>
      <c r="FX23" t="e">
        <f>#REF!+"8O&lt;!gj"</f>
        <v>#REF!</v>
      </c>
      <c r="FY23" t="e">
        <f>#REF!+"8O&lt;!gk"</f>
        <v>#REF!</v>
      </c>
      <c r="FZ23" t="e">
        <f>#REF!+"8O&lt;!gl"</f>
        <v>#REF!</v>
      </c>
      <c r="GA23" t="e">
        <f>#REF!+"8O&lt;!gm"</f>
        <v>#REF!</v>
      </c>
      <c r="GB23" t="e">
        <f>#REF!+"8O&lt;!gn"</f>
        <v>#REF!</v>
      </c>
      <c r="GC23" t="e">
        <f>#REF!+"8O&lt;!go"</f>
        <v>#REF!</v>
      </c>
      <c r="GD23" t="e">
        <f>#REF!+"8O&lt;!gp"</f>
        <v>#REF!</v>
      </c>
      <c r="GE23" t="e">
        <f>#REF!+"8O&lt;!gq"</f>
        <v>#REF!</v>
      </c>
      <c r="GF23" t="e">
        <f>#REF!+"8O&lt;!gr"</f>
        <v>#REF!</v>
      </c>
      <c r="GG23" t="e">
        <f>#REF!+"8O&lt;!gs"</f>
        <v>#REF!</v>
      </c>
      <c r="GH23" t="e">
        <f>#REF!+"8O&lt;!gt"</f>
        <v>#REF!</v>
      </c>
      <c r="GI23" t="e">
        <f>#REF!+"8O&lt;!gu"</f>
        <v>#REF!</v>
      </c>
      <c r="GJ23" t="e">
        <f>#REF!+"8O&lt;!gv"</f>
        <v>#REF!</v>
      </c>
      <c r="GK23" t="e">
        <f>#REF!+"8O&lt;!gw"</f>
        <v>#REF!</v>
      </c>
      <c r="GL23" t="e">
        <f>#REF!+"8O&lt;!gx"</f>
        <v>#REF!</v>
      </c>
      <c r="GM23" t="e">
        <f>#REF!+"8O&lt;!gy"</f>
        <v>#REF!</v>
      </c>
      <c r="GN23" t="e">
        <f>#REF!+"8O&lt;!gz"</f>
        <v>#REF!</v>
      </c>
      <c r="GO23" t="e">
        <f>#REF!+"8O&lt;!g{"</f>
        <v>#REF!</v>
      </c>
      <c r="GP23" t="e">
        <f>#REF!+"8O&lt;!g|"</f>
        <v>#REF!</v>
      </c>
      <c r="GQ23" t="e">
        <f>#REF!+"8O&lt;!g}"</f>
        <v>#REF!</v>
      </c>
      <c r="GR23" t="e">
        <f>#REF!+"8O&lt;!g~"</f>
        <v>#REF!</v>
      </c>
      <c r="GS23" t="e">
        <f>#REF!+"8O&lt;!h#"</f>
        <v>#REF!</v>
      </c>
      <c r="GT23" t="e">
        <f>#REF!+"8O&lt;!h$"</f>
        <v>#REF!</v>
      </c>
      <c r="GU23" t="e">
        <f>#REF!+"8O&lt;!h%"</f>
        <v>#REF!</v>
      </c>
      <c r="GV23" t="e">
        <f>#REF!+"8O&lt;!h&amp;"</f>
        <v>#REF!</v>
      </c>
      <c r="GW23" t="e">
        <f>#REF!+"8O&lt;!h'"</f>
        <v>#REF!</v>
      </c>
      <c r="GX23" t="e">
        <f>#REF!+"8O&lt;!h("</f>
        <v>#REF!</v>
      </c>
      <c r="GY23" t="e">
        <f>#REF!+"8O&lt;!h)"</f>
        <v>#REF!</v>
      </c>
      <c r="GZ23" t="e">
        <f>#REF!+"8O&lt;!h."</f>
        <v>#REF!</v>
      </c>
      <c r="HA23" t="e">
        <f>#REF!+"8O&lt;!h/"</f>
        <v>#REF!</v>
      </c>
      <c r="HB23" t="e">
        <f>#REF!+"8O&lt;!h0"</f>
        <v>#REF!</v>
      </c>
      <c r="HC23" t="e">
        <f>#REF!+"8O&lt;!h1"</f>
        <v>#REF!</v>
      </c>
      <c r="HD23" t="e">
        <f>#REF!+"8O&lt;!h2"</f>
        <v>#REF!</v>
      </c>
      <c r="HE23" t="e">
        <f>#REF!+"8O&lt;!h3"</f>
        <v>#REF!</v>
      </c>
      <c r="HF23" t="e">
        <f>#REF!+"8O&lt;!h4"</f>
        <v>#REF!</v>
      </c>
      <c r="HG23" t="e">
        <f>#REF!+"8O&lt;!h5"</f>
        <v>#REF!</v>
      </c>
      <c r="HH23" t="e">
        <f>#REF!+"8O&lt;!h6"</f>
        <v>#REF!</v>
      </c>
      <c r="HI23" t="e">
        <f>#REF!+"8O&lt;!h7"</f>
        <v>#REF!</v>
      </c>
      <c r="HJ23" t="e">
        <f>#REF!+"8O&lt;!h8"</f>
        <v>#REF!</v>
      </c>
      <c r="HK23" t="e">
        <f>#REF!+"8O&lt;!h9"</f>
        <v>#REF!</v>
      </c>
      <c r="HL23" t="e">
        <f>#REF!+"8O&lt;!h:"</f>
        <v>#REF!</v>
      </c>
      <c r="HM23" t="e">
        <f>#REF!+"8O&lt;!h;"</f>
        <v>#REF!</v>
      </c>
      <c r="HN23" t="e">
        <f>#REF!+"8O&lt;!h&lt;"</f>
        <v>#REF!</v>
      </c>
      <c r="HO23" t="e">
        <f>#REF!+"8O&lt;!h="</f>
        <v>#REF!</v>
      </c>
      <c r="HP23" t="e">
        <f>#REF!+"8O&lt;!h&gt;"</f>
        <v>#REF!</v>
      </c>
      <c r="HQ23" t="e">
        <f>#REF!+"8O&lt;!h?"</f>
        <v>#REF!</v>
      </c>
      <c r="HR23" t="e">
        <f>#REF!+"8O&lt;!h@"</f>
        <v>#REF!</v>
      </c>
      <c r="HS23" t="e">
        <f>#REF!+"8O&lt;!hA"</f>
        <v>#REF!</v>
      </c>
      <c r="HT23" t="e">
        <f>#REF!+"8O&lt;!hB"</f>
        <v>#REF!</v>
      </c>
      <c r="HU23" t="e">
        <f>#REF!+"8O&lt;!hC"</f>
        <v>#REF!</v>
      </c>
      <c r="HV23" t="e">
        <f>#REF!+"8O&lt;!hD"</f>
        <v>#REF!</v>
      </c>
      <c r="HW23" t="e">
        <f>#REF!+"8O&lt;!hE"</f>
        <v>#REF!</v>
      </c>
      <c r="HX23" t="e">
        <f>#REF!+"8O&lt;!hF"</f>
        <v>#REF!</v>
      </c>
      <c r="HY23" t="e">
        <f>#REF!+"8O&lt;!hG"</f>
        <v>#REF!</v>
      </c>
      <c r="HZ23" t="e">
        <f>#REF!+"8O&lt;!hH"</f>
        <v>#REF!</v>
      </c>
      <c r="IA23" t="e">
        <f>#REF!+"8O&lt;!hI"</f>
        <v>#REF!</v>
      </c>
      <c r="IB23" t="e">
        <f>#REF!+"8O&lt;!hJ"</f>
        <v>#REF!</v>
      </c>
      <c r="IC23" t="e">
        <f>#REF!+"8O&lt;!hK"</f>
        <v>#REF!</v>
      </c>
      <c r="ID23" t="e">
        <f>#REF!+"8O&lt;!hL"</f>
        <v>#REF!</v>
      </c>
      <c r="IE23" t="e">
        <f>#REF!+"8O&lt;!hM"</f>
        <v>#REF!</v>
      </c>
      <c r="IF23" t="e">
        <f>#REF!+"8O&lt;!hN"</f>
        <v>#REF!</v>
      </c>
      <c r="IG23" t="e">
        <f>#REF!+"8O&lt;!hO"</f>
        <v>#REF!</v>
      </c>
      <c r="IH23" t="e">
        <f>#REF!+"8O&lt;!hP"</f>
        <v>#REF!</v>
      </c>
      <c r="II23" t="e">
        <f>#REF!+"8O&lt;!hQ"</f>
        <v>#REF!</v>
      </c>
      <c r="IJ23" t="e">
        <f>#REF!+"8O&lt;!hR"</f>
        <v>#REF!</v>
      </c>
      <c r="IK23" t="e">
        <f>#REF!+"8O&lt;!hS"</f>
        <v>#REF!</v>
      </c>
      <c r="IL23" t="e">
        <f>#REF!+"8O&lt;!hT"</f>
        <v>#REF!</v>
      </c>
      <c r="IM23" t="e">
        <f>#REF!+"8O&lt;!hU"</f>
        <v>#REF!</v>
      </c>
      <c r="IN23" t="e">
        <f>#REF!+"8O&lt;!hV"</f>
        <v>#REF!</v>
      </c>
      <c r="IO23" t="e">
        <f>#REF!+"8O&lt;!hW"</f>
        <v>#REF!</v>
      </c>
      <c r="IP23" t="e">
        <f>#REF!+"8O&lt;!hX"</f>
        <v>#REF!</v>
      </c>
      <c r="IQ23" t="e">
        <f>#REF!+"8O&lt;!hY"</f>
        <v>#REF!</v>
      </c>
      <c r="IR23" t="e">
        <f>#REF!+"8O&lt;!hZ"</f>
        <v>#REF!</v>
      </c>
      <c r="IS23" t="e">
        <f>#REF!+"8O&lt;!h["</f>
        <v>#REF!</v>
      </c>
      <c r="IT23" t="e">
        <f>#REF!+"8O&lt;!h\"</f>
        <v>#REF!</v>
      </c>
      <c r="IU23" t="e">
        <f>#REF!+"8O&lt;!h]"</f>
        <v>#REF!</v>
      </c>
      <c r="IV23" t="e">
        <f>#REF!+"8O&lt;!h^"</f>
        <v>#REF!</v>
      </c>
    </row>
    <row r="24" spans="6:256" x14ac:dyDescent="0.25">
      <c r="F24" t="e">
        <f>#REF!+"8O&lt;!h_"</f>
        <v>#REF!</v>
      </c>
      <c r="G24" t="e">
        <f>#REF!+"8O&lt;!h`"</f>
        <v>#REF!</v>
      </c>
      <c r="H24" t="e">
        <f>#REF!+"8O&lt;!ha"</f>
        <v>#REF!</v>
      </c>
      <c r="I24" t="e">
        <f>#REF!+"8O&lt;!hb"</f>
        <v>#REF!</v>
      </c>
      <c r="J24" t="e">
        <f>#REF!+"8O&lt;!hc"</f>
        <v>#REF!</v>
      </c>
      <c r="K24" t="e">
        <f>#REF!+"8O&lt;!hd"</f>
        <v>#REF!</v>
      </c>
      <c r="L24" t="e">
        <f>#REF!+"8O&lt;!he"</f>
        <v>#REF!</v>
      </c>
      <c r="M24" t="e">
        <f>#REF!+"8O&lt;!hf"</f>
        <v>#REF!</v>
      </c>
      <c r="N24" t="e">
        <f>#REF!+"8O&lt;!hg"</f>
        <v>#REF!</v>
      </c>
      <c r="O24" t="e">
        <f>#REF!+"8O&lt;!hh"</f>
        <v>#REF!</v>
      </c>
      <c r="P24" t="e">
        <f>#REF!+"8O&lt;!hi"</f>
        <v>#REF!</v>
      </c>
      <c r="Q24" t="e">
        <f>#REF!+"8O&lt;!hj"</f>
        <v>#REF!</v>
      </c>
      <c r="R24" t="e">
        <f>#REF!+"8O&lt;!hk"</f>
        <v>#REF!</v>
      </c>
      <c r="S24" t="e">
        <f>#REF!+"8O&lt;!hl"</f>
        <v>#REF!</v>
      </c>
      <c r="T24" t="e">
        <f>#REF!+"8O&lt;!hm"</f>
        <v>#REF!</v>
      </c>
      <c r="U24" t="e">
        <f>#REF!+"8O&lt;!hn"</f>
        <v>#REF!</v>
      </c>
      <c r="V24" t="e">
        <f>#REF!+"8O&lt;!ho"</f>
        <v>#REF!</v>
      </c>
      <c r="W24" t="e">
        <f>#REF!+"8O&lt;!hp"</f>
        <v>#REF!</v>
      </c>
      <c r="X24" t="e">
        <f>#REF!+"8O&lt;!hq"</f>
        <v>#REF!</v>
      </c>
      <c r="Y24" t="e">
        <f>#REF!+"8O&lt;!hr"</f>
        <v>#REF!</v>
      </c>
      <c r="Z24" t="e">
        <f>#REF!+"8O&lt;!hs"</f>
        <v>#REF!</v>
      </c>
      <c r="AA24" t="e">
        <f>#REF!+"8O&lt;!ht"</f>
        <v>#REF!</v>
      </c>
      <c r="AB24" t="e">
        <f>#REF!+"8O&lt;!hu"</f>
        <v>#REF!</v>
      </c>
      <c r="AC24" t="e">
        <f>#REF!+"8O&lt;!hv"</f>
        <v>#REF!</v>
      </c>
      <c r="AD24" t="e">
        <f>#REF!+"8O&lt;!hw"</f>
        <v>#REF!</v>
      </c>
      <c r="AE24" t="e">
        <f>#REF!+"8O&lt;!hx"</f>
        <v>#REF!</v>
      </c>
      <c r="AF24" t="e">
        <f>#REF!+"8O&lt;!hy"</f>
        <v>#REF!</v>
      </c>
      <c r="AG24" t="e">
        <f>#REF!+"8O&lt;!hz"</f>
        <v>#REF!</v>
      </c>
      <c r="AH24" t="e">
        <f>#REF!+"8O&lt;!h{"</f>
        <v>#REF!</v>
      </c>
      <c r="AI24" t="e">
        <f>#REF!+"8O&lt;!h|"</f>
        <v>#REF!</v>
      </c>
      <c r="AJ24" t="e">
        <f>#REF!+"8O&lt;!h}"</f>
        <v>#REF!</v>
      </c>
      <c r="AK24" t="e">
        <f>#REF!+"8O&lt;!h~"</f>
        <v>#REF!</v>
      </c>
      <c r="AL24" t="e">
        <f>#REF!+"8O&lt;!i#"</f>
        <v>#REF!</v>
      </c>
      <c r="AM24" t="e">
        <f>#REF!+"8O&lt;!i$"</f>
        <v>#REF!</v>
      </c>
      <c r="AN24" t="e">
        <f>#REF!+"8O&lt;!i%"</f>
        <v>#REF!</v>
      </c>
      <c r="AO24" t="e">
        <f>#REF!+"8O&lt;!i&amp;"</f>
        <v>#REF!</v>
      </c>
      <c r="AP24" t="e">
        <f>#REF!+"8O&lt;!i'"</f>
        <v>#REF!</v>
      </c>
      <c r="AQ24" t="e">
        <f>#REF!+"8O&lt;!i("</f>
        <v>#REF!</v>
      </c>
      <c r="AR24" t="e">
        <f>#REF!+"8O&lt;!i)"</f>
        <v>#REF!</v>
      </c>
      <c r="AS24" t="e">
        <f>#REF!+"8O&lt;!i."</f>
        <v>#REF!</v>
      </c>
      <c r="AT24" t="e">
        <f>#REF!+"8O&lt;!i/"</f>
        <v>#REF!</v>
      </c>
      <c r="AU24" t="e">
        <f>#REF!+"8O&lt;!i0"</f>
        <v>#REF!</v>
      </c>
      <c r="AV24" t="e">
        <f>#REF!+"8O&lt;!i1"</f>
        <v>#REF!</v>
      </c>
      <c r="AW24" t="e">
        <f>#REF!+"8O&lt;!i2"</f>
        <v>#REF!</v>
      </c>
      <c r="AX24" t="e">
        <f>#REF!+"8O&lt;!i3"</f>
        <v>#REF!</v>
      </c>
      <c r="AY24" t="e">
        <f>#REF!+"8O&lt;!i4"</f>
        <v>#REF!</v>
      </c>
      <c r="AZ24" t="e">
        <f>#REF!+"8O&lt;!i5"</f>
        <v>#REF!</v>
      </c>
      <c r="BA24" t="e">
        <f>#REF!+"8O&lt;!i6"</f>
        <v>#REF!</v>
      </c>
      <c r="BB24" t="e">
        <f>#REF!+"8O&lt;!i7"</f>
        <v>#REF!</v>
      </c>
      <c r="BC24" t="e">
        <f>#REF!+"8O&lt;!i8"</f>
        <v>#REF!</v>
      </c>
      <c r="BD24" t="e">
        <f>#REF!+"8O&lt;!i9"</f>
        <v>#REF!</v>
      </c>
      <c r="BE24" t="e">
        <f>#REF!+"8O&lt;!i:"</f>
        <v>#REF!</v>
      </c>
      <c r="BF24" t="e">
        <f>#REF!+"8O&lt;!i;"</f>
        <v>#REF!</v>
      </c>
      <c r="BG24" t="e">
        <f>#REF!+"8O&lt;!i&lt;"</f>
        <v>#REF!</v>
      </c>
      <c r="BH24" t="e">
        <f>#REF!+"8O&lt;!i="</f>
        <v>#REF!</v>
      </c>
      <c r="BI24" t="e">
        <f>#REF!+"8O&lt;!i&gt;"</f>
        <v>#REF!</v>
      </c>
      <c r="BJ24" t="e">
        <f>#REF!+"8O&lt;!i?"</f>
        <v>#REF!</v>
      </c>
      <c r="BK24" t="e">
        <f>#REF!+"8O&lt;!i@"</f>
        <v>#REF!</v>
      </c>
      <c r="BL24" t="e">
        <f>#REF!+"8O&lt;!iA"</f>
        <v>#REF!</v>
      </c>
      <c r="BM24" t="e">
        <f>#REF!+"8O&lt;!iB"</f>
        <v>#REF!</v>
      </c>
      <c r="BN24" t="e">
        <f>#REF!+"8O&lt;!iC"</f>
        <v>#REF!</v>
      </c>
      <c r="BO24" t="e">
        <f>#REF!+"8O&lt;!iD"</f>
        <v>#REF!</v>
      </c>
      <c r="BP24" t="e">
        <f>#REF!+"8O&lt;!iE"</f>
        <v>#REF!</v>
      </c>
      <c r="BQ24" t="e">
        <f>#REF!+"8O&lt;!iF"</f>
        <v>#REF!</v>
      </c>
      <c r="BR24" t="e">
        <f>#REF!+"8O&lt;!iG"</f>
        <v>#REF!</v>
      </c>
      <c r="BS24" t="e">
        <f>#REF!+"8O&lt;!iH"</f>
        <v>#REF!</v>
      </c>
      <c r="BT24" t="e">
        <f>#REF!+"8O&lt;!iI"</f>
        <v>#REF!</v>
      </c>
      <c r="BU24" t="e">
        <f>#REF!+"8O&lt;!iJ"</f>
        <v>#REF!</v>
      </c>
      <c r="BV24" t="e">
        <f>#REF!+"8O&lt;!iK"</f>
        <v>#REF!</v>
      </c>
      <c r="BW24" t="e">
        <f>#REF!+"8O&lt;!iL"</f>
        <v>#REF!</v>
      </c>
      <c r="BX24" t="e">
        <f>#REF!+"8O&lt;!iM"</f>
        <v>#REF!</v>
      </c>
      <c r="BY24" t="e">
        <f>#REF!+"8O&lt;!iN"</f>
        <v>#REF!</v>
      </c>
      <c r="BZ24" t="e">
        <f>#REF!+"8O&lt;!iO"</f>
        <v>#REF!</v>
      </c>
      <c r="CA24" t="e">
        <f>#REF!+"8O&lt;!iP"</f>
        <v>#REF!</v>
      </c>
      <c r="CB24" t="e">
        <f>#REF!+"8O&lt;!iQ"</f>
        <v>#REF!</v>
      </c>
      <c r="CC24" t="e">
        <f>#REF!+"8O&lt;!iR"</f>
        <v>#REF!</v>
      </c>
      <c r="CD24" t="e">
        <f>#REF!+"8O&lt;!iS"</f>
        <v>#REF!</v>
      </c>
      <c r="CE24" t="e">
        <f>#REF!+"8O&lt;!iT"</f>
        <v>#REF!</v>
      </c>
      <c r="CF24" t="e">
        <f>#REF!+"8O&lt;!iU"</f>
        <v>#REF!</v>
      </c>
      <c r="CG24" t="e">
        <f>#REF!+"8O&lt;!iV"</f>
        <v>#REF!</v>
      </c>
      <c r="CH24" t="e">
        <f>#REF!+"8O&lt;!iW"</f>
        <v>#REF!</v>
      </c>
      <c r="CI24" t="e">
        <f>#REF!+"8O&lt;!iX"</f>
        <v>#REF!</v>
      </c>
      <c r="CJ24" t="e">
        <f>#REF!+"8O&lt;!iY"</f>
        <v>#REF!</v>
      </c>
      <c r="CK24" t="e">
        <f>#REF!+"8O&lt;!iZ"</f>
        <v>#REF!</v>
      </c>
      <c r="CL24" t="e">
        <f>#REF!+"8O&lt;!i["</f>
        <v>#REF!</v>
      </c>
      <c r="CM24" t="e">
        <f>#REF!+"8O&lt;!i\"</f>
        <v>#REF!</v>
      </c>
      <c r="CN24" t="e">
        <f>#REF!+"8O&lt;!i]"</f>
        <v>#REF!</v>
      </c>
      <c r="CO24" t="e">
        <f>#REF!+"8O&lt;!i^"</f>
        <v>#REF!</v>
      </c>
      <c r="CP24" t="e">
        <f>#REF!+"8O&lt;!i_"</f>
        <v>#REF!</v>
      </c>
      <c r="CQ24" t="e">
        <f>#REF!+"8O&lt;!i`"</f>
        <v>#REF!</v>
      </c>
      <c r="CR24" t="e">
        <f>#REF!+"8O&lt;!ia"</f>
        <v>#REF!</v>
      </c>
      <c r="CS24" t="e">
        <f>#REF!+"8O&lt;!ib"</f>
        <v>#REF!</v>
      </c>
      <c r="CT24" t="e">
        <f>#REF!+"8O&lt;!ic"</f>
        <v>#REF!</v>
      </c>
      <c r="CU24" t="e">
        <f>#REF!+"8O&lt;!id"</f>
        <v>#REF!</v>
      </c>
      <c r="CV24" t="e">
        <f>#REF!+"8O&lt;!ie"</f>
        <v>#REF!</v>
      </c>
      <c r="CW24" t="e">
        <f>#REF!+"8O&lt;!if"</f>
        <v>#REF!</v>
      </c>
      <c r="CX24" t="e">
        <f>#REF!+"8O&lt;!ig"</f>
        <v>#REF!</v>
      </c>
      <c r="CY24" t="e">
        <f>#REF!+"8O&lt;!ih"</f>
        <v>#REF!</v>
      </c>
      <c r="CZ24" t="e">
        <f>#REF!+"8O&lt;!ii"</f>
        <v>#REF!</v>
      </c>
      <c r="DA24" t="e">
        <f>#REF!+"8O&lt;!ij"</f>
        <v>#REF!</v>
      </c>
      <c r="DB24" t="e">
        <f>#REF!+"8O&lt;!ik"</f>
        <v>#REF!</v>
      </c>
      <c r="DC24" t="e">
        <f>#REF!+"8O&lt;!il"</f>
        <v>#REF!</v>
      </c>
      <c r="DD24" t="e">
        <f>#REF!+"8O&lt;!im"</f>
        <v>#REF!</v>
      </c>
      <c r="DE24" t="e">
        <f>#REF!+"8O&lt;!in"</f>
        <v>#REF!</v>
      </c>
      <c r="DF24" t="e">
        <f>#REF!+"8O&lt;!io"</f>
        <v>#REF!</v>
      </c>
      <c r="DG24" t="e">
        <f>#REF!+"8O&lt;!ip"</f>
        <v>#REF!</v>
      </c>
      <c r="DH24" t="e">
        <f>#REF!+"8O&lt;!iq"</f>
        <v>#REF!</v>
      </c>
      <c r="DI24" t="e">
        <f>#REF!+"8O&lt;!ir"</f>
        <v>#REF!</v>
      </c>
      <c r="DJ24" t="e">
        <f>#REF!+"8O&lt;!is"</f>
        <v>#REF!</v>
      </c>
      <c r="DK24" t="e">
        <f>#REF!+"8O&lt;!it"</f>
        <v>#REF!</v>
      </c>
      <c r="DL24" t="e">
        <f>#REF!+"8O&lt;!iu"</f>
        <v>#REF!</v>
      </c>
      <c r="DM24" t="e">
        <f>#REF!+"8O&lt;!iv"</f>
        <v>#REF!</v>
      </c>
      <c r="DN24" t="e">
        <f>#REF!+"8O&lt;!iw"</f>
        <v>#REF!</v>
      </c>
      <c r="DO24" t="e">
        <f>#REF!+"8O&lt;!ix"</f>
        <v>#REF!</v>
      </c>
      <c r="DP24" t="e">
        <f>#REF!+"8O&lt;!iy"</f>
        <v>#REF!</v>
      </c>
      <c r="DQ24" t="e">
        <f>#REF!+"8O&lt;!iz"</f>
        <v>#REF!</v>
      </c>
      <c r="DR24" t="e">
        <f>#REF!+"8O&lt;!i{"</f>
        <v>#REF!</v>
      </c>
      <c r="DS24" t="e">
        <f>#REF!+"8O&lt;!i|"</f>
        <v>#REF!</v>
      </c>
      <c r="DT24" t="e">
        <f>#REF!+"8O&lt;!i}"</f>
        <v>#REF!</v>
      </c>
      <c r="DU24" t="e">
        <f>#REF!+"8O&lt;!i~"</f>
        <v>#REF!</v>
      </c>
      <c r="DV24" t="e">
        <f>#REF!+"8O&lt;!j#"</f>
        <v>#REF!</v>
      </c>
      <c r="DW24" t="e">
        <f>#REF!+"8O&lt;!j$"</f>
        <v>#REF!</v>
      </c>
      <c r="DX24" t="e">
        <f>#REF!+"8O&lt;!j%"</f>
        <v>#REF!</v>
      </c>
      <c r="DY24" t="e">
        <f>#REF!+"8O&lt;!j&amp;"</f>
        <v>#REF!</v>
      </c>
      <c r="DZ24" t="e">
        <f>#REF!+"8O&lt;!j'"</f>
        <v>#REF!</v>
      </c>
      <c r="EA24" t="e">
        <f>#REF!+"8O&lt;!j("</f>
        <v>#REF!</v>
      </c>
      <c r="EB24" t="e">
        <f>#REF!+"8O&lt;!j)"</f>
        <v>#REF!</v>
      </c>
      <c r="EC24" t="e">
        <f>#REF!+"8O&lt;!j."</f>
        <v>#REF!</v>
      </c>
      <c r="ED24" t="e">
        <f>#REF!+"8O&lt;!j/"</f>
        <v>#REF!</v>
      </c>
      <c r="EE24" t="e">
        <f>#REF!+"8O&lt;!j0"</f>
        <v>#REF!</v>
      </c>
      <c r="EF24" t="e">
        <f>#REF!+"8O&lt;!j1"</f>
        <v>#REF!</v>
      </c>
      <c r="EG24" t="e">
        <f>#REF!+"8O&lt;!j2"</f>
        <v>#REF!</v>
      </c>
      <c r="EH24" t="e">
        <f>#REF!+"8O&lt;!j3"</f>
        <v>#REF!</v>
      </c>
      <c r="EI24" t="e">
        <f>#REF!+"8O&lt;!j4"</f>
        <v>#REF!</v>
      </c>
      <c r="EJ24" t="e">
        <f>#REF!+"8O&lt;!j5"</f>
        <v>#REF!</v>
      </c>
      <c r="EK24" t="e">
        <f>#REF!+"8O&lt;!j6"</f>
        <v>#REF!</v>
      </c>
      <c r="EL24" t="e">
        <f>#REF!+"8O&lt;!j7"</f>
        <v>#REF!</v>
      </c>
      <c r="EM24" t="e">
        <f>#REF!+"8O&lt;!j8"</f>
        <v>#REF!</v>
      </c>
      <c r="EN24" t="e">
        <f>#REF!+"8O&lt;!j9"</f>
        <v>#REF!</v>
      </c>
      <c r="EO24" t="e">
        <f>#REF!+"8O&lt;!j:"</f>
        <v>#REF!</v>
      </c>
      <c r="EP24" t="e">
        <f>#REF!+"8O&lt;!j;"</f>
        <v>#REF!</v>
      </c>
      <c r="EQ24" t="e">
        <f>#REF!+"8O&lt;!j&lt;"</f>
        <v>#REF!</v>
      </c>
      <c r="ER24" t="e">
        <f>#REF!+"8O&lt;!j="</f>
        <v>#REF!</v>
      </c>
      <c r="ES24" t="e">
        <f>#REF!+"8O&lt;!j&gt;"</f>
        <v>#REF!</v>
      </c>
      <c r="ET24" t="e">
        <f>#REF!+"8O&lt;!j?"</f>
        <v>#REF!</v>
      </c>
      <c r="EU24" t="e">
        <f>#REF!+"8O&lt;!j@"</f>
        <v>#REF!</v>
      </c>
      <c r="EV24" t="e">
        <f>#REF!+"8O&lt;!jA"</f>
        <v>#REF!</v>
      </c>
      <c r="EW24" t="e">
        <f>#REF!+"8O&lt;!jB"</f>
        <v>#REF!</v>
      </c>
      <c r="EX24" t="e">
        <f>#REF!+"8O&lt;!jC"</f>
        <v>#REF!</v>
      </c>
      <c r="EY24" t="e">
        <f>#REF!+"8O&lt;!jD"</f>
        <v>#REF!</v>
      </c>
      <c r="EZ24" t="e">
        <f>#REF!+"8O&lt;!jE"</f>
        <v>#REF!</v>
      </c>
      <c r="FA24" t="e">
        <f>#REF!+"8O&lt;!jF"</f>
        <v>#REF!</v>
      </c>
      <c r="FB24" t="e">
        <f>#REF!+"8O&lt;!jG"</f>
        <v>#REF!</v>
      </c>
      <c r="FC24" t="e">
        <f>#REF!+"8O&lt;!jH"</f>
        <v>#REF!</v>
      </c>
      <c r="FD24" t="e">
        <f>#REF!+"8O&lt;!jI"</f>
        <v>#REF!</v>
      </c>
      <c r="FE24" t="e">
        <f>#REF!+"8O&lt;!jJ"</f>
        <v>#REF!</v>
      </c>
      <c r="FF24" t="e">
        <f>#REF!+"8O&lt;!jK"</f>
        <v>#REF!</v>
      </c>
      <c r="FG24" t="e">
        <f>#REF!+"8O&lt;!jL"</f>
        <v>#REF!</v>
      </c>
      <c r="FH24" t="e">
        <f>#REF!+"8O&lt;!jM"</f>
        <v>#REF!</v>
      </c>
      <c r="FI24" t="e">
        <f>#REF!+"8O&lt;!jN"</f>
        <v>#REF!</v>
      </c>
      <c r="FJ24" t="e">
        <f>#REF!+"8O&lt;!jO"</f>
        <v>#REF!</v>
      </c>
      <c r="FK24" t="e">
        <f>#REF!+"8O&lt;!jP"</f>
        <v>#REF!</v>
      </c>
      <c r="FL24" t="e">
        <f>#REF!+"8O&lt;!jQ"</f>
        <v>#REF!</v>
      </c>
      <c r="FM24" t="e">
        <f>#REF!+"8O&lt;!jR"</f>
        <v>#REF!</v>
      </c>
      <c r="FN24" t="e">
        <f>#REF!+"8O&lt;!jS"</f>
        <v>#REF!</v>
      </c>
      <c r="FO24" t="e">
        <f>#REF!+"8O&lt;!jT"</f>
        <v>#REF!</v>
      </c>
      <c r="FP24" t="e">
        <f>#REF!+"8O&lt;!jU"</f>
        <v>#REF!</v>
      </c>
      <c r="FQ24" t="e">
        <f>#REF!+"8O&lt;!jV"</f>
        <v>#REF!</v>
      </c>
      <c r="FR24" t="e">
        <f>#REF!+"8O&lt;!jW"</f>
        <v>#REF!</v>
      </c>
      <c r="FS24" t="e">
        <f>#REF!+"8O&lt;!jX"</f>
        <v>#REF!</v>
      </c>
      <c r="FT24" t="e">
        <f>#REF!+"8O&lt;!jY"</f>
        <v>#REF!</v>
      </c>
      <c r="FU24" t="e">
        <f>#REF!+"8O&lt;!jZ"</f>
        <v>#REF!</v>
      </c>
      <c r="FV24" t="e">
        <f>#REF!+"8O&lt;!j["</f>
        <v>#REF!</v>
      </c>
      <c r="FW24" t="e">
        <f>#REF!+"8O&lt;!j\"</f>
        <v>#REF!</v>
      </c>
      <c r="FX24" t="e">
        <f>#REF!+"8O&lt;!j]"</f>
        <v>#REF!</v>
      </c>
      <c r="FY24" t="e">
        <f>#REF!+"8O&lt;!j^"</f>
        <v>#REF!</v>
      </c>
      <c r="FZ24" t="e">
        <f>#REF!+"8O&lt;!j_"</f>
        <v>#REF!</v>
      </c>
      <c r="GA24" t="e">
        <f>#REF!+"8O&lt;!j`"</f>
        <v>#REF!</v>
      </c>
      <c r="GB24" t="e">
        <f>#REF!+"8O&lt;!ja"</f>
        <v>#REF!</v>
      </c>
      <c r="GC24" t="e">
        <f>#REF!+"8O&lt;!jb"</f>
        <v>#REF!</v>
      </c>
      <c r="GD24" t="e">
        <f>#REF!+"8O&lt;!jc"</f>
        <v>#REF!</v>
      </c>
      <c r="GE24" t="e">
        <f>#REF!+"8O&lt;!jd"</f>
        <v>#REF!</v>
      </c>
      <c r="GF24" t="e">
        <f>#REF!+"8O&lt;!je"</f>
        <v>#REF!</v>
      </c>
      <c r="GG24" t="e">
        <f>#REF!+"8O&lt;!jf"</f>
        <v>#REF!</v>
      </c>
      <c r="GH24" t="e">
        <f>#REF!+"8O&lt;!jg"</f>
        <v>#REF!</v>
      </c>
      <c r="GI24" t="e">
        <f>#REF!+"8O&lt;!jh"</f>
        <v>#REF!</v>
      </c>
      <c r="GJ24" t="e">
        <f>#REF!+"8O&lt;!ji"</f>
        <v>#REF!</v>
      </c>
      <c r="GK24" t="e">
        <f>#REF!+"8O&lt;!jj"</f>
        <v>#REF!</v>
      </c>
      <c r="GL24" t="e">
        <f>#REF!+"8O&lt;!jk"</f>
        <v>#REF!</v>
      </c>
      <c r="GM24" t="e">
        <f>#REF!+"8O&lt;!jl"</f>
        <v>#REF!</v>
      </c>
      <c r="GN24" t="e">
        <f>#REF!+"8O&lt;!jm"</f>
        <v>#REF!</v>
      </c>
      <c r="GO24" t="e">
        <f>#REF!+"8O&lt;!jn"</f>
        <v>#REF!</v>
      </c>
      <c r="GP24" t="e">
        <f>#REF!+"8O&lt;!jo"</f>
        <v>#REF!</v>
      </c>
      <c r="GQ24" t="e">
        <f>#REF!+"8O&lt;!jp"</f>
        <v>#REF!</v>
      </c>
      <c r="GR24" t="e">
        <f>#REF!+"8O&lt;!jq"</f>
        <v>#REF!</v>
      </c>
      <c r="GS24" t="e">
        <f>#REF!+"8O&lt;!jr"</f>
        <v>#REF!</v>
      </c>
      <c r="GT24" t="e">
        <f>#REF!+"8O&lt;!js"</f>
        <v>#REF!</v>
      </c>
      <c r="GU24" t="e">
        <f>#REF!+"8O&lt;!jt"</f>
        <v>#REF!</v>
      </c>
      <c r="GV24" t="e">
        <f>#REF!+"8O&lt;!ju"</f>
        <v>#REF!</v>
      </c>
      <c r="GW24" t="e">
        <f>#REF!+"8O&lt;!jv"</f>
        <v>#REF!</v>
      </c>
      <c r="GX24" t="e">
        <f>#REF!+"8O&lt;!jw"</f>
        <v>#REF!</v>
      </c>
      <c r="GY24" t="e">
        <f>#REF!+"8O&lt;!jx"</f>
        <v>#REF!</v>
      </c>
      <c r="GZ24" t="e">
        <f>#REF!+"8O&lt;!jy"</f>
        <v>#REF!</v>
      </c>
      <c r="HA24" t="e">
        <f>#REF!+"8O&lt;!jz"</f>
        <v>#REF!</v>
      </c>
      <c r="HB24" t="e">
        <f>#REF!+"8O&lt;!j{"</f>
        <v>#REF!</v>
      </c>
      <c r="HC24" t="e">
        <f>#REF!+"8O&lt;!j|"</f>
        <v>#REF!</v>
      </c>
      <c r="HD24" t="e">
        <f>#REF!+"8O&lt;!j}"</f>
        <v>#REF!</v>
      </c>
      <c r="HE24" t="e">
        <f>#REF!+"8O&lt;!j~"</f>
        <v>#REF!</v>
      </c>
      <c r="HF24" t="e">
        <f>#REF!+"8O&lt;!k#"</f>
        <v>#REF!</v>
      </c>
      <c r="HG24" t="e">
        <f>#REF!+"8O&lt;!k$"</f>
        <v>#REF!</v>
      </c>
      <c r="HH24" t="e">
        <f>#REF!+"8O&lt;!k%"</f>
        <v>#REF!</v>
      </c>
      <c r="HI24" t="e">
        <f>#REF!+"8O&lt;!k&amp;"</f>
        <v>#REF!</v>
      </c>
      <c r="HJ24" t="e">
        <f>#REF!+"8O&lt;!k'"</f>
        <v>#REF!</v>
      </c>
      <c r="HK24" t="e">
        <f>#REF!+"8O&lt;!k("</f>
        <v>#REF!</v>
      </c>
      <c r="HL24" t="e">
        <f>#REF!+"8O&lt;!k)"</f>
        <v>#REF!</v>
      </c>
      <c r="HM24" t="e">
        <f>#REF!+"8O&lt;!k."</f>
        <v>#REF!</v>
      </c>
      <c r="HN24" t="e">
        <f>#REF!+"8O&lt;!k/"</f>
        <v>#REF!</v>
      </c>
      <c r="HO24" t="e">
        <f>#REF!+"8O&lt;!k0"</f>
        <v>#REF!</v>
      </c>
      <c r="HP24" t="e">
        <f>#REF!+"8O&lt;!k1"</f>
        <v>#REF!</v>
      </c>
      <c r="HQ24" t="e">
        <f>#REF!+"8O&lt;!k2"</f>
        <v>#REF!</v>
      </c>
      <c r="HR24" t="e">
        <f>#REF!+"8O&lt;!k3"</f>
        <v>#REF!</v>
      </c>
      <c r="HS24" t="e">
        <f>#REF!+"8O&lt;!k4"</f>
        <v>#REF!</v>
      </c>
      <c r="HT24" t="e">
        <f>#REF!+"8O&lt;!k5"</f>
        <v>#REF!</v>
      </c>
      <c r="HU24" t="e">
        <f>#REF!+"8O&lt;!k6"</f>
        <v>#REF!</v>
      </c>
      <c r="HV24" t="e">
        <f>#REF!+"8O&lt;!k7"</f>
        <v>#REF!</v>
      </c>
      <c r="HW24" t="e">
        <f>#REF!+"8O&lt;!k8"</f>
        <v>#REF!</v>
      </c>
      <c r="HX24" t="e">
        <f>#REF!+"8O&lt;!k9"</f>
        <v>#REF!</v>
      </c>
      <c r="HY24" t="e">
        <f>#REF!+"8O&lt;!k:"</f>
        <v>#REF!</v>
      </c>
      <c r="HZ24" t="e">
        <f>#REF!+"8O&lt;!k;"</f>
        <v>#REF!</v>
      </c>
      <c r="IA24" t="e">
        <f>#REF!+"8O&lt;!k&lt;"</f>
        <v>#REF!</v>
      </c>
      <c r="IB24" t="e">
        <f>#REF!+"8O&lt;!k="</f>
        <v>#REF!</v>
      </c>
      <c r="IC24" t="e">
        <f>#REF!+"8O&lt;!k&gt;"</f>
        <v>#REF!</v>
      </c>
      <c r="ID24" t="e">
        <f>#REF!+"8O&lt;!k?"</f>
        <v>#REF!</v>
      </c>
      <c r="IE24" t="e">
        <f>#REF!+"8O&lt;!k@"</f>
        <v>#REF!</v>
      </c>
      <c r="IF24" t="e">
        <f>#REF!+"8O&lt;!kA"</f>
        <v>#REF!</v>
      </c>
      <c r="IG24" t="e">
        <f>#REF!+"8O&lt;!kB"</f>
        <v>#REF!</v>
      </c>
      <c r="IH24" t="e">
        <f>#REF!+"8O&lt;!kC"</f>
        <v>#REF!</v>
      </c>
      <c r="II24" t="e">
        <f>#REF!+"8O&lt;!kD"</f>
        <v>#REF!</v>
      </c>
      <c r="IJ24" t="e">
        <f>#REF!+"8O&lt;!kE"</f>
        <v>#REF!</v>
      </c>
      <c r="IK24" t="e">
        <f>#REF!+"8O&lt;!kF"</f>
        <v>#REF!</v>
      </c>
      <c r="IL24" t="e">
        <f>#REF!+"8O&lt;!kG"</f>
        <v>#REF!</v>
      </c>
      <c r="IM24" t="e">
        <f>#REF!+"8O&lt;!kH"</f>
        <v>#REF!</v>
      </c>
      <c r="IN24" t="e">
        <f>#REF!+"8O&lt;!kI"</f>
        <v>#REF!</v>
      </c>
      <c r="IO24" t="e">
        <f>#REF!+"8O&lt;!kJ"</f>
        <v>#REF!</v>
      </c>
      <c r="IP24" t="e">
        <f>#REF!+"8O&lt;!kK"</f>
        <v>#REF!</v>
      </c>
      <c r="IQ24" t="e">
        <f>#REF!+"8O&lt;!kL"</f>
        <v>#REF!</v>
      </c>
      <c r="IR24" t="e">
        <f>#REF!+"8O&lt;!kM"</f>
        <v>#REF!</v>
      </c>
      <c r="IS24" t="e">
        <f>#REF!+"8O&lt;!kN"</f>
        <v>#REF!</v>
      </c>
      <c r="IT24" t="e">
        <f>#REF!+"8O&lt;!kO"</f>
        <v>#REF!</v>
      </c>
      <c r="IU24" t="e">
        <f>#REF!+"8O&lt;!kP"</f>
        <v>#REF!</v>
      </c>
      <c r="IV24" t="e">
        <f>#REF!+"8O&lt;!kQ"</f>
        <v>#REF!</v>
      </c>
    </row>
    <row r="25" spans="6:256" x14ac:dyDescent="0.25">
      <c r="F25" t="e">
        <f>#REF!+"8O&lt;!kR"</f>
        <v>#REF!</v>
      </c>
      <c r="G25" t="e">
        <f>#REF!+"8O&lt;!kS"</f>
        <v>#REF!</v>
      </c>
      <c r="H25" t="e">
        <f>#REF!+"8O&lt;!kT"</f>
        <v>#REF!</v>
      </c>
      <c r="I25" t="e">
        <f>#REF!+"8O&lt;!kU"</f>
        <v>#REF!</v>
      </c>
      <c r="J25" t="e">
        <f>#REF!+"8O&lt;!kV"</f>
        <v>#REF!</v>
      </c>
      <c r="K25" t="e">
        <f>#REF!+"8O&lt;!kW"</f>
        <v>#REF!</v>
      </c>
      <c r="L25" t="e">
        <f>#REF!+"8O&lt;!kX"</f>
        <v>#REF!</v>
      </c>
      <c r="M25" t="e">
        <f>#REF!+"8O&lt;!kY"</f>
        <v>#REF!</v>
      </c>
      <c r="N25" t="e">
        <f>#REF!+"8O&lt;!kZ"</f>
        <v>#REF!</v>
      </c>
      <c r="O25" t="e">
        <f>#REF!+"8O&lt;!k["</f>
        <v>#REF!</v>
      </c>
      <c r="P25" t="e">
        <f>#REF!+"8O&lt;!k\"</f>
        <v>#REF!</v>
      </c>
      <c r="Q25" t="e">
        <f>#REF!+"8O&lt;!k]"</f>
        <v>#REF!</v>
      </c>
      <c r="R25" t="e">
        <f>#REF!+"8O&lt;!k^"</f>
        <v>#REF!</v>
      </c>
      <c r="S25" t="e">
        <f>#REF!+"8O&lt;!k_"</f>
        <v>#REF!</v>
      </c>
      <c r="T25" t="e">
        <f>#REF!+"8O&lt;!k`"</f>
        <v>#REF!</v>
      </c>
      <c r="U25" t="e">
        <f>#REF!+"8O&lt;!ka"</f>
        <v>#REF!</v>
      </c>
      <c r="V25" t="e">
        <f>#REF!+"8O&lt;!kb"</f>
        <v>#REF!</v>
      </c>
      <c r="W25" t="e">
        <f>#REF!+"8O&lt;!kc"</f>
        <v>#REF!</v>
      </c>
      <c r="X25" t="e">
        <f>#REF!+"8O&lt;!kd"</f>
        <v>#REF!</v>
      </c>
      <c r="Y25" t="e">
        <f>#REF!+"8O&lt;!ke"</f>
        <v>#REF!</v>
      </c>
      <c r="Z25" t="e">
        <f>#REF!+"8O&lt;!kf"</f>
        <v>#REF!</v>
      </c>
      <c r="AA25" t="e">
        <f>#REF!+"8O&lt;!kg"</f>
        <v>#REF!</v>
      </c>
      <c r="AB25" t="e">
        <f>#REF!+"8O&lt;!kh"</f>
        <v>#REF!</v>
      </c>
      <c r="AC25" t="e">
        <f>#REF!+"8O&lt;!ki"</f>
        <v>#REF!</v>
      </c>
      <c r="AD25" t="e">
        <f>#REF!+"8O&lt;!kj"</f>
        <v>#REF!</v>
      </c>
      <c r="AE25" t="e">
        <f>#REF!+"8O&lt;!kk"</f>
        <v>#REF!</v>
      </c>
      <c r="AF25" t="e">
        <f>#REF!+"8O&lt;!kl"</f>
        <v>#REF!</v>
      </c>
      <c r="AG25" t="e">
        <f>#REF!+"8O&lt;!km"</f>
        <v>#REF!</v>
      </c>
      <c r="AH25" t="e">
        <f>#REF!+"8O&lt;!kn"</f>
        <v>#REF!</v>
      </c>
      <c r="AI25" t="e">
        <f>#REF!+"8O&lt;!ko"</f>
        <v>#REF!</v>
      </c>
      <c r="AJ25" t="e">
        <f>#REF!+"8O&lt;!kp"</f>
        <v>#REF!</v>
      </c>
      <c r="AK25" t="e">
        <f>#REF!+"8O&lt;!kq"</f>
        <v>#REF!</v>
      </c>
      <c r="AL25" t="e">
        <f>#REF!+"8O&lt;!kr"</f>
        <v>#REF!</v>
      </c>
      <c r="AM25" t="e">
        <f>#REF!+"8O&lt;!ks"</f>
        <v>#REF!</v>
      </c>
      <c r="AN25" t="e">
        <f>#REF!+"8O&lt;!kt"</f>
        <v>#REF!</v>
      </c>
      <c r="AO25" t="e">
        <f>#REF!+"8O&lt;!ku"</f>
        <v>#REF!</v>
      </c>
      <c r="AP25" t="e">
        <f>#REF!+"8O&lt;!kv"</f>
        <v>#REF!</v>
      </c>
      <c r="AQ25" t="e">
        <f>#REF!+"8O&lt;!kw"</f>
        <v>#REF!</v>
      </c>
      <c r="AR25" t="e">
        <f>#REF!+"8O&lt;!kx"</f>
        <v>#REF!</v>
      </c>
      <c r="AS25" t="e">
        <f>#REF!+"8O&lt;!ky"</f>
        <v>#REF!</v>
      </c>
      <c r="AT25" t="e">
        <f>#REF!+"8O&lt;!kz"</f>
        <v>#REF!</v>
      </c>
      <c r="AU25" t="e">
        <f>#REF!+"8O&lt;!k{"</f>
        <v>#REF!</v>
      </c>
      <c r="AV25" t="e">
        <f>#REF!+"8O&lt;!k|"</f>
        <v>#REF!</v>
      </c>
      <c r="AW25" t="e">
        <f>#REF!+"8O&lt;!k}"</f>
        <v>#REF!</v>
      </c>
      <c r="AX25" t="e">
        <f>#REF!+"8O&lt;!k~"</f>
        <v>#REF!</v>
      </c>
      <c r="AY25" t="e">
        <f>#REF!+"8O&lt;!l#"</f>
        <v>#REF!</v>
      </c>
      <c r="AZ25" t="e">
        <f>#REF!+"8O&lt;!l$"</f>
        <v>#REF!</v>
      </c>
      <c r="BA25" t="e">
        <f>#REF!+"8O&lt;!l%"</f>
        <v>#REF!</v>
      </c>
      <c r="BB25" t="e">
        <f>#REF!+"8O&lt;!l&amp;"</f>
        <v>#REF!</v>
      </c>
      <c r="BC25" t="e">
        <f>#REF!+"8O&lt;!l'"</f>
        <v>#REF!</v>
      </c>
      <c r="BD25" t="e">
        <f>#REF!+"8O&lt;!l("</f>
        <v>#REF!</v>
      </c>
      <c r="BE25" t="e">
        <f>#REF!+"8O&lt;!l)"</f>
        <v>#REF!</v>
      </c>
      <c r="BF25" t="e">
        <f>#REF!+"8O&lt;!l."</f>
        <v>#REF!</v>
      </c>
      <c r="BG25" t="e">
        <f>#REF!+"8O&lt;!l/"</f>
        <v>#REF!</v>
      </c>
      <c r="BH25" t="e">
        <f>#REF!+"8O&lt;!l0"</f>
        <v>#REF!</v>
      </c>
      <c r="BI25" t="e">
        <f>#REF!+"8O&lt;!l1"</f>
        <v>#REF!</v>
      </c>
      <c r="BJ25" t="e">
        <f>#REF!+"8O&lt;!l2"</f>
        <v>#REF!</v>
      </c>
      <c r="BK25" t="e">
        <f>#REF!+"8O&lt;!l3"</f>
        <v>#REF!</v>
      </c>
      <c r="BL25" t="e">
        <f>#REF!+"8O&lt;!l4"</f>
        <v>#REF!</v>
      </c>
      <c r="BM25" t="e">
        <f>#REF!+"8O&lt;!l5"</f>
        <v>#REF!</v>
      </c>
      <c r="BN25" t="e">
        <f>#REF!+"8O&lt;!l6"</f>
        <v>#REF!</v>
      </c>
      <c r="BO25" t="e">
        <f>#REF!+"8O&lt;!l7"</f>
        <v>#REF!</v>
      </c>
      <c r="BP25" t="e">
        <f>#REF!+"8O&lt;!l8"</f>
        <v>#REF!</v>
      </c>
      <c r="BQ25" t="e">
        <f>#REF!+"8O&lt;!l9"</f>
        <v>#REF!</v>
      </c>
      <c r="BR25" t="e">
        <f>#REF!+"8O&lt;!l:"</f>
        <v>#REF!</v>
      </c>
      <c r="BS25" t="e">
        <f>#REF!+"8O&lt;!l;"</f>
        <v>#REF!</v>
      </c>
      <c r="BT25" t="e">
        <f>#REF!+"8O&lt;!l&lt;"</f>
        <v>#REF!</v>
      </c>
      <c r="BU25" t="e">
        <f>#REF!+"8O&lt;!l="</f>
        <v>#REF!</v>
      </c>
      <c r="BV25" t="e">
        <f>#REF!+"8O&lt;!l&gt;"</f>
        <v>#REF!</v>
      </c>
      <c r="BW25" t="e">
        <f>#REF!+"8O&lt;!l?"</f>
        <v>#REF!</v>
      </c>
      <c r="BX25" t="e">
        <f>#REF!+"8O&lt;!l@"</f>
        <v>#REF!</v>
      </c>
      <c r="BY25" t="e">
        <f>#REF!+"8O&lt;!lA"</f>
        <v>#REF!</v>
      </c>
      <c r="BZ25" t="e">
        <f>#REF!+"8O&lt;!lB"</f>
        <v>#REF!</v>
      </c>
      <c r="CA25" t="e">
        <f>#REF!+"8O&lt;!lC"</f>
        <v>#REF!</v>
      </c>
      <c r="CB25" t="e">
        <f>#REF!+"8O&lt;!lD"</f>
        <v>#REF!</v>
      </c>
      <c r="CC25" t="e">
        <f>#REF!+"8O&lt;!lE"</f>
        <v>#REF!</v>
      </c>
      <c r="CD25" t="e">
        <f>#REF!+"8O&lt;!lF"</f>
        <v>#REF!</v>
      </c>
      <c r="CE25" t="e">
        <f>#REF!+"8O&lt;!lG"</f>
        <v>#REF!</v>
      </c>
      <c r="CF25" t="e">
        <f>#REF!+"8O&lt;!lH"</f>
        <v>#REF!</v>
      </c>
      <c r="CG25" t="e">
        <f>#REF!+"8O&lt;!lI"</f>
        <v>#REF!</v>
      </c>
      <c r="CH25" t="e">
        <f>#REF!+"8O&lt;!lJ"</f>
        <v>#REF!</v>
      </c>
      <c r="CI25" t="e">
        <f>#REF!+"8O&lt;!lK"</f>
        <v>#REF!</v>
      </c>
      <c r="CJ25" t="e">
        <f>#REF!+"8O&lt;!lL"</f>
        <v>#REF!</v>
      </c>
      <c r="CK25" t="e">
        <f>#REF!+"8O&lt;!lM"</f>
        <v>#REF!</v>
      </c>
      <c r="CL25" t="e">
        <f>#REF!+"8O&lt;!lN"</f>
        <v>#REF!</v>
      </c>
      <c r="CM25" t="e">
        <f>#REF!+"8O&lt;!lO"</f>
        <v>#REF!</v>
      </c>
      <c r="CN25" t="e">
        <f>#REF!+"8O&lt;!lP"</f>
        <v>#REF!</v>
      </c>
      <c r="CO25" t="e">
        <f>#REF!+"8O&lt;!lQ"</f>
        <v>#REF!</v>
      </c>
      <c r="CP25" t="e">
        <f>#REF!+"8O&lt;!lR"</f>
        <v>#REF!</v>
      </c>
      <c r="CQ25" t="e">
        <f>#REF!+"8O&lt;!lS"</f>
        <v>#REF!</v>
      </c>
      <c r="CR25" t="e">
        <f>#REF!+"8O&lt;!lT"</f>
        <v>#REF!</v>
      </c>
      <c r="CS25" t="e">
        <f>#REF!+"8O&lt;!lU"</f>
        <v>#REF!</v>
      </c>
      <c r="CT25" t="e">
        <f>#REF!+"8O&lt;!lV"</f>
        <v>#REF!</v>
      </c>
      <c r="CU25" t="e">
        <f>#REF!+"8O&lt;!lW"</f>
        <v>#REF!</v>
      </c>
      <c r="CV25" t="e">
        <f>#REF!+"8O&lt;!lX"</f>
        <v>#REF!</v>
      </c>
      <c r="CW25" t="e">
        <f>#REF!+"8O&lt;!lY"</f>
        <v>#REF!</v>
      </c>
      <c r="CX25" t="e">
        <f>#REF!+"8O&lt;!lZ"</f>
        <v>#REF!</v>
      </c>
      <c r="CY25" t="e">
        <f>#REF!+"8O&lt;!l["</f>
        <v>#REF!</v>
      </c>
      <c r="CZ25" t="e">
        <f>#REF!+"8O&lt;!l\"</f>
        <v>#REF!</v>
      </c>
      <c r="DA25" t="e">
        <f>#REF!+"8O&lt;!l]"</f>
        <v>#REF!</v>
      </c>
      <c r="DB25" t="e">
        <f>#REF!+"8O&lt;!l^"</f>
        <v>#REF!</v>
      </c>
      <c r="DC25" t="e">
        <f>#REF!+"8O&lt;!l_"</f>
        <v>#REF!</v>
      </c>
      <c r="DD25" t="e">
        <f>#REF!+"8O&lt;!l`"</f>
        <v>#REF!</v>
      </c>
      <c r="DE25" t="e">
        <f>#REF!+"8O&lt;!la"</f>
        <v>#REF!</v>
      </c>
      <c r="DF25" t="e">
        <f>#REF!+"8O&lt;!lb"</f>
        <v>#REF!</v>
      </c>
      <c r="DG25" t="e">
        <f>#REF!+"8O&lt;!lc"</f>
        <v>#REF!</v>
      </c>
      <c r="DH25" t="e">
        <f>#REF!+"8O&lt;!ld"</f>
        <v>#REF!</v>
      </c>
      <c r="DI25" t="e">
        <f>#REF!+"8O&lt;!le"</f>
        <v>#REF!</v>
      </c>
      <c r="DJ25" t="e">
        <f>#REF!+"8O&lt;!lf"</f>
        <v>#REF!</v>
      </c>
      <c r="DK25" t="e">
        <f>#REF!+"8O&lt;!lg"</f>
        <v>#REF!</v>
      </c>
      <c r="DL25" t="e">
        <f>#REF!+"8O&lt;!lh"</f>
        <v>#REF!</v>
      </c>
      <c r="DM25" t="e">
        <f>#REF!+"8O&lt;!li"</f>
        <v>#REF!</v>
      </c>
      <c r="DN25" t="e">
        <f>#REF!+"8O&lt;!lj"</f>
        <v>#REF!</v>
      </c>
      <c r="DO25" t="e">
        <f>#REF!+"8O&lt;!lk"</f>
        <v>#REF!</v>
      </c>
      <c r="DP25" t="e">
        <f>#REF!+"8O&lt;!ll"</f>
        <v>#REF!</v>
      </c>
      <c r="DQ25" t="e">
        <f>#REF!+"8O&lt;!lm"</f>
        <v>#REF!</v>
      </c>
      <c r="DR25" t="e">
        <f>#REF!+"8O&lt;!ln"</f>
        <v>#REF!</v>
      </c>
      <c r="DS25" t="e">
        <f>#REF!+"8O&lt;!lo"</f>
        <v>#REF!</v>
      </c>
      <c r="DT25" t="e">
        <f>#REF!+"8O&lt;!lp"</f>
        <v>#REF!</v>
      </c>
      <c r="DU25" t="e">
        <f>#REF!+"8O&lt;!lq"</f>
        <v>#REF!</v>
      </c>
      <c r="DV25" t="e">
        <f>#REF!+"8O&lt;!lr"</f>
        <v>#REF!</v>
      </c>
      <c r="DW25" t="e">
        <f>#REF!+"8O&lt;!ls"</f>
        <v>#REF!</v>
      </c>
      <c r="DX25" t="e">
        <f>#REF!+"8O&lt;!lt"</f>
        <v>#REF!</v>
      </c>
      <c r="DY25" t="e">
        <f>#REF!+"8O&lt;!lu"</f>
        <v>#REF!</v>
      </c>
      <c r="DZ25" t="e">
        <f>#REF!+"8O&lt;!lv"</f>
        <v>#REF!</v>
      </c>
      <c r="EA25" t="e">
        <f>#REF!+"8O&lt;!lw"</f>
        <v>#REF!</v>
      </c>
      <c r="EB25" t="e">
        <f>#REF!+"8O&lt;!lx"</f>
        <v>#REF!</v>
      </c>
      <c r="EC25" t="e">
        <f>#REF!+"8O&lt;!ly"</f>
        <v>#REF!</v>
      </c>
      <c r="ED25" t="e">
        <f>#REF!+"8O&lt;!lz"</f>
        <v>#REF!</v>
      </c>
      <c r="EE25" t="e">
        <f>#REF!+"8O&lt;!l{"</f>
        <v>#REF!</v>
      </c>
      <c r="EF25" t="e">
        <f>#REF!+"8O&lt;!l|"</f>
        <v>#REF!</v>
      </c>
      <c r="EG25" t="e">
        <f>#REF!+"8O&lt;!l}"</f>
        <v>#REF!</v>
      </c>
      <c r="EH25" t="e">
        <f>#REF!+"8O&lt;!l~"</f>
        <v>#REF!</v>
      </c>
      <c r="EI25" t="e">
        <f>#REF!+"8O&lt;!m#"</f>
        <v>#REF!</v>
      </c>
      <c r="EJ25" t="e">
        <f>#REF!+"8O&lt;!m$"</f>
        <v>#REF!</v>
      </c>
      <c r="EK25" t="e">
        <f>#REF!+"8O&lt;!m%"</f>
        <v>#REF!</v>
      </c>
      <c r="EL25" t="e">
        <f>#REF!+"8O&lt;!m&amp;"</f>
        <v>#REF!</v>
      </c>
      <c r="EM25" t="e">
        <f>#REF!+"8O&lt;!m'"</f>
        <v>#REF!</v>
      </c>
      <c r="EN25" t="e">
        <f>#REF!+"8O&lt;!m("</f>
        <v>#REF!</v>
      </c>
      <c r="EO25" t="e">
        <f>#REF!+"8O&lt;!m)"</f>
        <v>#REF!</v>
      </c>
      <c r="EP25" t="e">
        <f>#REF!+"8O&lt;!m."</f>
        <v>#REF!</v>
      </c>
      <c r="EQ25" t="e">
        <f>#REF!+"8O&lt;!m/"</f>
        <v>#REF!</v>
      </c>
      <c r="ER25" t="e">
        <f>#REF!+"8O&lt;!m0"</f>
        <v>#REF!</v>
      </c>
      <c r="ES25" t="e">
        <f>#REF!+"8O&lt;!m1"</f>
        <v>#REF!</v>
      </c>
      <c r="ET25" t="e">
        <f>#REF!+"8O&lt;!m2"</f>
        <v>#REF!</v>
      </c>
      <c r="EU25" t="e">
        <f>#REF!+"8O&lt;!m3"</f>
        <v>#REF!</v>
      </c>
      <c r="EV25" t="e">
        <f>#REF!+"8O&lt;!m4"</f>
        <v>#REF!</v>
      </c>
      <c r="EW25" t="e">
        <f>#REF!+"8O&lt;!m5"</f>
        <v>#REF!</v>
      </c>
      <c r="EX25" t="e">
        <f>#REF!+"8O&lt;!m6"</f>
        <v>#REF!</v>
      </c>
      <c r="EY25" t="e">
        <f>#REF!+"8O&lt;!m7"</f>
        <v>#REF!</v>
      </c>
      <c r="EZ25" t="e">
        <f>#REF!+"8O&lt;!m8"</f>
        <v>#REF!</v>
      </c>
      <c r="FA25" t="e">
        <f>#REF!+"8O&lt;!m9"</f>
        <v>#REF!</v>
      </c>
      <c r="FB25" t="e">
        <f>#REF!+"8O&lt;!m:"</f>
        <v>#REF!</v>
      </c>
      <c r="FC25" t="e">
        <f>#REF!+"8O&lt;!m;"</f>
        <v>#REF!</v>
      </c>
      <c r="FD25" t="e">
        <f>#REF!+"8O&lt;!m&lt;"</f>
        <v>#REF!</v>
      </c>
      <c r="FE25" t="e">
        <f>#REF!+"8O&lt;!m="</f>
        <v>#REF!</v>
      </c>
      <c r="FF25" t="e">
        <f>#REF!+"8O&lt;!m&gt;"</f>
        <v>#REF!</v>
      </c>
      <c r="FG25" t="e">
        <f>#REF!+"8O&lt;!m?"</f>
        <v>#REF!</v>
      </c>
      <c r="FH25" t="e">
        <f>#REF!+"8O&lt;!m@"</f>
        <v>#REF!</v>
      </c>
      <c r="FI25" t="e">
        <f>#REF!+"8O&lt;!mA"</f>
        <v>#REF!</v>
      </c>
      <c r="FJ25" t="e">
        <f>#REF!+"8O&lt;!mB"</f>
        <v>#REF!</v>
      </c>
      <c r="FK25" t="e">
        <f>#REF!+"8O&lt;!mC"</f>
        <v>#REF!</v>
      </c>
      <c r="FL25" t="e">
        <f>#REF!+"8O&lt;!mD"</f>
        <v>#REF!</v>
      </c>
      <c r="FM25" t="e">
        <f>#REF!+"8O&lt;!mE"</f>
        <v>#REF!</v>
      </c>
      <c r="FN25" t="e">
        <f>#REF!+"8O&lt;!mF"</f>
        <v>#REF!</v>
      </c>
      <c r="FO25" t="e">
        <f>#REF!+"8O&lt;!mG"</f>
        <v>#REF!</v>
      </c>
      <c r="FP25" t="e">
        <f>#REF!+"8O&lt;!mH"</f>
        <v>#REF!</v>
      </c>
      <c r="FQ25" t="e">
        <f>#REF!+"8O&lt;!mI"</f>
        <v>#REF!</v>
      </c>
      <c r="FR25" t="e">
        <f>#REF!+"8O&lt;!mJ"</f>
        <v>#REF!</v>
      </c>
      <c r="FS25" t="e">
        <f>#REF!+"8O&lt;!mK"</f>
        <v>#REF!</v>
      </c>
      <c r="FT25" t="e">
        <f>#REF!+"8O&lt;!mL"</f>
        <v>#REF!</v>
      </c>
      <c r="FU25" t="e">
        <f>#REF!+"8O&lt;!mM"</f>
        <v>#REF!</v>
      </c>
      <c r="FV25" t="e">
        <f>#REF!+"8O&lt;!mN"</f>
        <v>#REF!</v>
      </c>
      <c r="FW25" t="e">
        <f>#REF!+"8O&lt;!mO"</f>
        <v>#REF!</v>
      </c>
      <c r="FX25" t="e">
        <f>#REF!+"8O&lt;!mP"</f>
        <v>#REF!</v>
      </c>
      <c r="FY25" t="e">
        <f>#REF!+"8O&lt;!mQ"</f>
        <v>#REF!</v>
      </c>
      <c r="FZ25" t="e">
        <f>#REF!+"8O&lt;!mR"</f>
        <v>#REF!</v>
      </c>
      <c r="GA25" t="e">
        <f>#REF!+"8O&lt;!mS"</f>
        <v>#REF!</v>
      </c>
      <c r="GB25" t="e">
        <f>#REF!+"8O&lt;!mT"</f>
        <v>#REF!</v>
      </c>
      <c r="GC25" t="e">
        <f>#REF!+"8O&lt;!mU"</f>
        <v>#REF!</v>
      </c>
      <c r="GD25" t="e">
        <f>#REF!+"8O&lt;!mV"</f>
        <v>#REF!</v>
      </c>
      <c r="GE25" t="e">
        <f>#REF!+"8O&lt;!mW"</f>
        <v>#REF!</v>
      </c>
      <c r="GF25" t="e">
        <f>#REF!+"8O&lt;!mX"</f>
        <v>#REF!</v>
      </c>
      <c r="GG25" t="e">
        <f>#REF!+"8O&lt;!mY"</f>
        <v>#REF!</v>
      </c>
      <c r="GH25" t="e">
        <f>#REF!+"8O&lt;!mZ"</f>
        <v>#REF!</v>
      </c>
      <c r="GI25" t="e">
        <f>#REF!+"8O&lt;!m["</f>
        <v>#REF!</v>
      </c>
      <c r="GJ25" t="e">
        <f>#REF!+"8O&lt;!m\"</f>
        <v>#REF!</v>
      </c>
      <c r="GK25" t="e">
        <f>#REF!+"8O&lt;!m]"</f>
        <v>#REF!</v>
      </c>
      <c r="GL25" t="e">
        <f>#REF!+"8O&lt;!m^"</f>
        <v>#REF!</v>
      </c>
      <c r="GM25" t="e">
        <f>#REF!+"8O&lt;!m_"</f>
        <v>#REF!</v>
      </c>
      <c r="GN25" t="e">
        <f>#REF!+"8O&lt;!m`"</f>
        <v>#REF!</v>
      </c>
      <c r="GO25" t="e">
        <f>#REF!+"8O&lt;!ma"</f>
        <v>#REF!</v>
      </c>
      <c r="GP25" t="e">
        <f>#REF!+"8O&lt;!mb"</f>
        <v>#REF!</v>
      </c>
      <c r="GQ25" t="e">
        <f>#REF!+"8O&lt;!mc"</f>
        <v>#REF!</v>
      </c>
      <c r="GR25" t="e">
        <f>#REF!+"8O&lt;!md"</f>
        <v>#REF!</v>
      </c>
      <c r="GS25" t="e">
        <f>#REF!+"8O&lt;!me"</f>
        <v>#REF!</v>
      </c>
      <c r="GT25" t="e">
        <f>#REF!+"8O&lt;!mf"</f>
        <v>#REF!</v>
      </c>
      <c r="GU25" t="e">
        <f>#REF!+"8O&lt;!mg"</f>
        <v>#REF!</v>
      </c>
      <c r="GV25" t="e">
        <f>#REF!+"8O&lt;!mh"</f>
        <v>#REF!</v>
      </c>
      <c r="GW25" t="e">
        <f>#REF!+"8O&lt;!mi"</f>
        <v>#REF!</v>
      </c>
      <c r="GX25" t="e">
        <f>#REF!+"8O&lt;!mj"</f>
        <v>#REF!</v>
      </c>
      <c r="GY25" t="e">
        <f>#REF!+"8O&lt;!mk"</f>
        <v>#REF!</v>
      </c>
      <c r="GZ25" t="e">
        <f>#REF!+"8O&lt;!ml"</f>
        <v>#REF!</v>
      </c>
      <c r="HA25" t="e">
        <f>#REF!+"8O&lt;!mm"</f>
        <v>#REF!</v>
      </c>
      <c r="HB25" t="e">
        <f>#REF!+"8O&lt;!mn"</f>
        <v>#REF!</v>
      </c>
      <c r="HC25" t="e">
        <f>#REF!+"8O&lt;!mo"</f>
        <v>#REF!</v>
      </c>
      <c r="HD25" t="e">
        <f>#REF!+"8O&lt;!mp"</f>
        <v>#REF!</v>
      </c>
      <c r="HE25" t="e">
        <f>#REF!+"8O&lt;!mq"</f>
        <v>#REF!</v>
      </c>
      <c r="HF25" t="e">
        <f>#REF!+"8O&lt;!mr"</f>
        <v>#REF!</v>
      </c>
      <c r="HG25" t="e">
        <f>#REF!+"8O&lt;!ms"</f>
        <v>#REF!</v>
      </c>
      <c r="HH25" t="e">
        <f>#REF!+"8O&lt;!mt"</f>
        <v>#REF!</v>
      </c>
      <c r="HI25" t="e">
        <f>#REF!+"8O&lt;!mu"</f>
        <v>#REF!</v>
      </c>
      <c r="HJ25" t="e">
        <f>#REF!+"8O&lt;!mv"</f>
        <v>#REF!</v>
      </c>
      <c r="HK25" t="e">
        <f>#REF!+"8O&lt;!mw"</f>
        <v>#REF!</v>
      </c>
      <c r="HL25" t="e">
        <f>#REF!+"8O&lt;!mx"</f>
        <v>#REF!</v>
      </c>
      <c r="HM25" t="e">
        <f>#REF!+"8O&lt;!my"</f>
        <v>#REF!</v>
      </c>
      <c r="HN25" t="e">
        <f>#REF!+"8O&lt;!mz"</f>
        <v>#REF!</v>
      </c>
      <c r="HO25" t="e">
        <f>#REF!+"8O&lt;!m{"</f>
        <v>#REF!</v>
      </c>
      <c r="HP25" t="e">
        <f>#REF!+"8O&lt;!m|"</f>
        <v>#REF!</v>
      </c>
      <c r="HQ25" t="e">
        <f>#REF!+"8O&lt;!m}"</f>
        <v>#REF!</v>
      </c>
      <c r="HR25" t="e">
        <f>#REF!+"8O&lt;!m~"</f>
        <v>#REF!</v>
      </c>
      <c r="HS25" t="e">
        <f>#REF!+"8O&lt;!n#"</f>
        <v>#REF!</v>
      </c>
      <c r="HT25" t="e">
        <f>#REF!+"8O&lt;!n$"</f>
        <v>#REF!</v>
      </c>
      <c r="HU25" t="e">
        <f>#REF!+"8O&lt;!n%"</f>
        <v>#REF!</v>
      </c>
      <c r="HV25" t="e">
        <f>#REF!+"8O&lt;!n&amp;"</f>
        <v>#REF!</v>
      </c>
      <c r="HW25" t="e">
        <f>#REF!+"8O&lt;!n'"</f>
        <v>#REF!</v>
      </c>
      <c r="HX25" t="e">
        <f>#REF!+"8O&lt;!n("</f>
        <v>#REF!</v>
      </c>
      <c r="HY25" t="e">
        <f>#REF!+"8O&lt;!n)"</f>
        <v>#REF!</v>
      </c>
      <c r="HZ25" t="e">
        <f>#REF!+"8O&lt;!n."</f>
        <v>#REF!</v>
      </c>
      <c r="IA25" t="e">
        <f>#REF!+"8O&lt;!n/"</f>
        <v>#REF!</v>
      </c>
      <c r="IB25" t="e">
        <f>#REF!+"8O&lt;!n0"</f>
        <v>#REF!</v>
      </c>
      <c r="IC25" t="e">
        <f>#REF!+"8O&lt;!n1"</f>
        <v>#REF!</v>
      </c>
      <c r="ID25" t="e">
        <f>#REF!+"8O&lt;!n2"</f>
        <v>#REF!</v>
      </c>
      <c r="IE25" t="e">
        <f>#REF!+"8O&lt;!n3"</f>
        <v>#REF!</v>
      </c>
      <c r="IF25" t="e">
        <f>#REF!+"8O&lt;!n4"</f>
        <v>#REF!</v>
      </c>
      <c r="IG25" t="e">
        <f>#REF!+"8O&lt;!n5"</f>
        <v>#REF!</v>
      </c>
      <c r="IH25" t="e">
        <f>#REF!+"8O&lt;!n6"</f>
        <v>#REF!</v>
      </c>
      <c r="II25" t="e">
        <f>#REF!+"8O&lt;!n7"</f>
        <v>#REF!</v>
      </c>
      <c r="IJ25" t="e">
        <f>#REF!+"8O&lt;!n8"</f>
        <v>#REF!</v>
      </c>
      <c r="IK25" t="e">
        <f>#REF!+"8O&lt;!n9"</f>
        <v>#REF!</v>
      </c>
      <c r="IL25" t="e">
        <f>#REF!+"8O&lt;!n:"</f>
        <v>#REF!</v>
      </c>
      <c r="IM25" t="e">
        <f>#REF!+"8O&lt;!n;"</f>
        <v>#REF!</v>
      </c>
      <c r="IN25" t="e">
        <f>#REF!+"8O&lt;!n&lt;"</f>
        <v>#REF!</v>
      </c>
      <c r="IO25" t="e">
        <f>#REF!+"8O&lt;!n="</f>
        <v>#REF!</v>
      </c>
      <c r="IP25" t="e">
        <f>#REF!+"8O&lt;!n&gt;"</f>
        <v>#REF!</v>
      </c>
      <c r="IQ25" t="e">
        <f>#REF!+"8O&lt;!n?"</f>
        <v>#REF!</v>
      </c>
      <c r="IR25" t="e">
        <f>#REF!+"8O&lt;!n@"</f>
        <v>#REF!</v>
      </c>
      <c r="IS25" t="e">
        <f>#REF!+"8O&lt;!nA"</f>
        <v>#REF!</v>
      </c>
      <c r="IT25" t="e">
        <f>#REF!+"8O&lt;!nB"</f>
        <v>#REF!</v>
      </c>
      <c r="IU25" t="e">
        <f>#REF!+"8O&lt;!nC"</f>
        <v>#REF!</v>
      </c>
      <c r="IV25" t="e">
        <f>#REF!+"8O&lt;!nD"</f>
        <v>#REF!</v>
      </c>
    </row>
    <row r="26" spans="6:256" x14ac:dyDescent="0.25">
      <c r="F26" t="e">
        <f>#REF!+"8O&lt;!nE"</f>
        <v>#REF!</v>
      </c>
      <c r="G26" t="e">
        <f>#REF!+"8O&lt;!nF"</f>
        <v>#REF!</v>
      </c>
      <c r="H26" t="e">
        <f>#REF!+"8O&lt;!nG"</f>
        <v>#REF!</v>
      </c>
      <c r="I26" t="e">
        <f>#REF!+"8O&lt;!nH"</f>
        <v>#REF!</v>
      </c>
      <c r="J26" t="e">
        <f>#REF!+"8O&lt;!nI"</f>
        <v>#REF!</v>
      </c>
      <c r="K26" t="e">
        <f>#REF!+"8O&lt;!nJ"</f>
        <v>#REF!</v>
      </c>
      <c r="L26" t="e">
        <f>#REF!+"8O&lt;!nK"</f>
        <v>#REF!</v>
      </c>
      <c r="M26" t="e">
        <f>#REF!+"8O&lt;!nL"</f>
        <v>#REF!</v>
      </c>
      <c r="N26" t="e">
        <f>#REF!+"8O&lt;!nM"</f>
        <v>#REF!</v>
      </c>
      <c r="O26" t="e">
        <f>#REF!+"8O&lt;!nN"</f>
        <v>#REF!</v>
      </c>
      <c r="P26" t="e">
        <f>#REF!+"8O&lt;!nO"</f>
        <v>#REF!</v>
      </c>
      <c r="Q26" t="e">
        <f>#REF!+"8O&lt;!nP"</f>
        <v>#REF!</v>
      </c>
      <c r="R26" t="e">
        <f>#REF!+"8O&lt;!nQ"</f>
        <v>#REF!</v>
      </c>
      <c r="S26" t="e">
        <f>#REF!+"8O&lt;!nR"</f>
        <v>#REF!</v>
      </c>
      <c r="T26" t="e">
        <f>#REF!+"8O&lt;!nS"</f>
        <v>#REF!</v>
      </c>
      <c r="U26" t="e">
        <f>#REF!+"8O&lt;!nT"</f>
        <v>#REF!</v>
      </c>
      <c r="V26" t="e">
        <f>#REF!+"8O&lt;!nU"</f>
        <v>#REF!</v>
      </c>
      <c r="W26" t="e">
        <f>#REF!+"8O&lt;!nV"</f>
        <v>#REF!</v>
      </c>
      <c r="X26" t="e">
        <f>#REF!+"8O&lt;!nW"</f>
        <v>#REF!</v>
      </c>
      <c r="Y26" t="e">
        <f>#REF!+"8O&lt;!nX"</f>
        <v>#REF!</v>
      </c>
      <c r="Z26" t="e">
        <f>#REF!+"8O&lt;!nY"</f>
        <v>#REF!</v>
      </c>
      <c r="AA26" t="e">
        <f>#REF!+"8O&lt;!nZ"</f>
        <v>#REF!</v>
      </c>
      <c r="AB26" t="e">
        <f>#REF!+"8O&lt;!n["</f>
        <v>#REF!</v>
      </c>
      <c r="AC26" t="e">
        <f>#REF!+"8O&lt;!n\"</f>
        <v>#REF!</v>
      </c>
      <c r="AD26" t="e">
        <f>#REF!+"8O&lt;!n]"</f>
        <v>#REF!</v>
      </c>
      <c r="AE26" t="e">
        <f>#REF!+"8O&lt;!n^"</f>
        <v>#REF!</v>
      </c>
      <c r="AF26" t="e">
        <f>#REF!+"8O&lt;!n_"</f>
        <v>#REF!</v>
      </c>
      <c r="AG26" t="e">
        <f>#REF!+"8O&lt;!n`"</f>
        <v>#REF!</v>
      </c>
      <c r="AH26" t="e">
        <f>#REF!+"8O&lt;!na"</f>
        <v>#REF!</v>
      </c>
      <c r="AI26" t="e">
        <f>#REF!+"8O&lt;!nb"</f>
        <v>#REF!</v>
      </c>
      <c r="AJ26" t="e">
        <f>#REF!+"8O&lt;!nc"</f>
        <v>#REF!</v>
      </c>
      <c r="AK26" t="e">
        <f>#REF!+"8O&lt;!nd"</f>
        <v>#REF!</v>
      </c>
      <c r="AL26" t="e">
        <f>#REF!+"8O&lt;!ne"</f>
        <v>#REF!</v>
      </c>
      <c r="AM26" t="e">
        <f>#REF!+"8O&lt;!nf"</f>
        <v>#REF!</v>
      </c>
      <c r="AN26" t="e">
        <f>#REF!+"8O&lt;!ng"</f>
        <v>#REF!</v>
      </c>
      <c r="AO26" t="e">
        <f>#REF!+"8O&lt;!nh"</f>
        <v>#REF!</v>
      </c>
      <c r="AP26" t="e">
        <f>#REF!+"8O&lt;!ni"</f>
        <v>#REF!</v>
      </c>
      <c r="AQ26" t="e">
        <f>#REF!+"8O&lt;!nj"</f>
        <v>#REF!</v>
      </c>
      <c r="AR26" t="e">
        <f>#REF!+"8O&lt;!nk"</f>
        <v>#REF!</v>
      </c>
      <c r="AS26" t="e">
        <f>#REF!+"8O&lt;!nl"</f>
        <v>#REF!</v>
      </c>
      <c r="AT26" t="e">
        <f>#REF!+"8O&lt;!nm"</f>
        <v>#REF!</v>
      </c>
      <c r="AU26" t="e">
        <f>#REF!+"8O&lt;!nn"</f>
        <v>#REF!</v>
      </c>
      <c r="AV26" t="e">
        <f>#REF!+"8O&lt;!no"</f>
        <v>#REF!</v>
      </c>
      <c r="AW26" t="e">
        <f>#REF!+"8O&lt;!np"</f>
        <v>#REF!</v>
      </c>
      <c r="AX26" t="e">
        <f>#REF!+"8O&lt;!nq"</f>
        <v>#REF!</v>
      </c>
      <c r="AY26" t="e">
        <f>#REF!+"8O&lt;!nr"</f>
        <v>#REF!</v>
      </c>
      <c r="AZ26" t="e">
        <f>#REF!+"8O&lt;!ns"</f>
        <v>#REF!</v>
      </c>
      <c r="BA26" t="e">
        <f>#REF!+"8O&lt;!nt"</f>
        <v>#REF!</v>
      </c>
      <c r="BB26" t="e">
        <f>#REF!+"8O&lt;!nu"</f>
        <v>#REF!</v>
      </c>
      <c r="BC26" t="e">
        <f>#REF!+"8O&lt;!nv"</f>
        <v>#REF!</v>
      </c>
      <c r="BD26" t="e">
        <f>#REF!+"8O&lt;!nw"</f>
        <v>#REF!</v>
      </c>
      <c r="BE26" t="e">
        <f>#REF!+"8O&lt;!nx"</f>
        <v>#REF!</v>
      </c>
      <c r="BF26" t="e">
        <f>#REF!+"8O&lt;!ny"</f>
        <v>#REF!</v>
      </c>
      <c r="BG26" t="e">
        <f>#REF!+"8O&lt;!nz"</f>
        <v>#REF!</v>
      </c>
      <c r="BH26" t="e">
        <f>#REF!+"8O&lt;!n{"</f>
        <v>#REF!</v>
      </c>
      <c r="BI26" t="e">
        <f>#REF!+"8O&lt;!n|"</f>
        <v>#REF!</v>
      </c>
      <c r="BJ26" t="e">
        <f>#REF!+"8O&lt;!n}"</f>
        <v>#REF!</v>
      </c>
      <c r="BK26" t="e">
        <f>#REF!+"8O&lt;!n~"</f>
        <v>#REF!</v>
      </c>
      <c r="BL26" t="e">
        <f>#REF!+"8O&lt;!o#"</f>
        <v>#REF!</v>
      </c>
      <c r="BM26" t="e">
        <f>#REF!+"8O&lt;!o$"</f>
        <v>#REF!</v>
      </c>
      <c r="BN26" t="e">
        <f>#REF!+"8O&lt;!o%"</f>
        <v>#REF!</v>
      </c>
      <c r="BO26" t="e">
        <f>#REF!+"8O&lt;!o&amp;"</f>
        <v>#REF!</v>
      </c>
      <c r="BP26" t="e">
        <f>#REF!+"8O&lt;!o'"</f>
        <v>#REF!</v>
      </c>
      <c r="BQ26" t="e">
        <f>#REF!+"8O&lt;!o("</f>
        <v>#REF!</v>
      </c>
      <c r="BR26" t="e">
        <f>#REF!+"8O&lt;!o)"</f>
        <v>#REF!</v>
      </c>
      <c r="BS26" t="e">
        <f>#REF!+"8O&lt;!o."</f>
        <v>#REF!</v>
      </c>
      <c r="BT26" t="e">
        <f>#REF!+"8O&lt;!o/"</f>
        <v>#REF!</v>
      </c>
      <c r="BU26" t="e">
        <f>#REF!+"8O&lt;!o0"</f>
        <v>#REF!</v>
      </c>
      <c r="BV26" t="e">
        <f>#REF!+"8O&lt;!o1"</f>
        <v>#REF!</v>
      </c>
      <c r="BW26" t="e">
        <f>#REF!+"8O&lt;!o2"</f>
        <v>#REF!</v>
      </c>
      <c r="BX26" t="e">
        <f>#REF!+"8O&lt;!o3"</f>
        <v>#REF!</v>
      </c>
      <c r="BY26" t="e">
        <f>#REF!+"8O&lt;!o4"</f>
        <v>#REF!</v>
      </c>
      <c r="BZ26" t="e">
        <f>#REF!+"8O&lt;!o5"</f>
        <v>#REF!</v>
      </c>
      <c r="CA26" t="e">
        <f>#REF!+"8O&lt;!o6"</f>
        <v>#REF!</v>
      </c>
      <c r="CB26" t="e">
        <f>#REF!+"8O&lt;!o7"</f>
        <v>#REF!</v>
      </c>
      <c r="CC26" t="e">
        <f>#REF!+"8O&lt;!o8"</f>
        <v>#REF!</v>
      </c>
      <c r="CD26" t="e">
        <f>#REF!+"8O&lt;!o9"</f>
        <v>#REF!</v>
      </c>
      <c r="CE26" t="e">
        <f>#REF!+"8O&lt;!o:"</f>
        <v>#REF!</v>
      </c>
      <c r="CF26" t="e">
        <f>#REF!+"8O&lt;!o;"</f>
        <v>#REF!</v>
      </c>
      <c r="CG26" t="e">
        <f>#REF!+"8O&lt;!o&lt;"</f>
        <v>#REF!</v>
      </c>
      <c r="CH26" t="e">
        <f>#REF!+"8O&lt;!o="</f>
        <v>#REF!</v>
      </c>
      <c r="CI26" t="e">
        <f>#REF!+"8O&lt;!o&gt;"</f>
        <v>#REF!</v>
      </c>
      <c r="CJ26" t="e">
        <f>#REF!+"8O&lt;!o?"</f>
        <v>#REF!</v>
      </c>
      <c r="CK26" t="e">
        <f>#REF!+"8O&lt;!o@"</f>
        <v>#REF!</v>
      </c>
      <c r="CL26" t="e">
        <f>#REF!+"8O&lt;!oA"</f>
        <v>#REF!</v>
      </c>
      <c r="CM26" t="e">
        <f>#REF!+"8O&lt;!oB"</f>
        <v>#REF!</v>
      </c>
      <c r="CN26" t="e">
        <f>#REF!+"8O&lt;!oC"</f>
        <v>#REF!</v>
      </c>
      <c r="CO26" t="e">
        <f>#REF!+"8O&lt;!oD"</f>
        <v>#REF!</v>
      </c>
      <c r="CP26" t="e">
        <f>#REF!+"8O&lt;!oE"</f>
        <v>#REF!</v>
      </c>
      <c r="CQ26" t="e">
        <f>#REF!+"8O&lt;!oF"</f>
        <v>#REF!</v>
      </c>
      <c r="CR26" t="e">
        <f>#REF!+"8O&lt;!oG"</f>
        <v>#REF!</v>
      </c>
      <c r="CS26" t="e">
        <f>#REF!+"8O&lt;!oH"</f>
        <v>#REF!</v>
      </c>
      <c r="CT26" t="e">
        <f>#REF!+"8O&lt;!oI"</f>
        <v>#REF!</v>
      </c>
      <c r="CU26" t="e">
        <f>#REF!+"8O&lt;!oJ"</f>
        <v>#REF!</v>
      </c>
      <c r="CV26" t="e">
        <f>#REF!+"8O&lt;!oK"</f>
        <v>#REF!</v>
      </c>
      <c r="CW26" t="e">
        <f>#REF!+"8O&lt;!oL"</f>
        <v>#REF!</v>
      </c>
      <c r="CX26" t="e">
        <f>#REF!+"8O&lt;!oM"</f>
        <v>#REF!</v>
      </c>
      <c r="CY26" t="e">
        <f>#REF!+"8O&lt;!oN"</f>
        <v>#REF!</v>
      </c>
      <c r="CZ26" t="e">
        <f>#REF!+"8O&lt;!oO"</f>
        <v>#REF!</v>
      </c>
      <c r="DA26" t="e">
        <f>#REF!+"8O&lt;!oP"</f>
        <v>#REF!</v>
      </c>
      <c r="DB26" t="e">
        <f>#REF!+"8O&lt;!oQ"</f>
        <v>#REF!</v>
      </c>
      <c r="DC26" t="e">
        <f>#REF!+"8O&lt;!oR"</f>
        <v>#REF!</v>
      </c>
      <c r="DD26" t="e">
        <f>#REF!+"8O&lt;!oS"</f>
        <v>#REF!</v>
      </c>
      <c r="DE26" t="e">
        <f>#REF!+"8O&lt;!oT"</f>
        <v>#REF!</v>
      </c>
      <c r="DF26" t="e">
        <f>#REF!+"8O&lt;!oU"</f>
        <v>#REF!</v>
      </c>
      <c r="DG26" t="e">
        <f>#REF!+"8O&lt;!oV"</f>
        <v>#REF!</v>
      </c>
      <c r="DH26" t="e">
        <f>#REF!+"8O&lt;!oW"</f>
        <v>#REF!</v>
      </c>
      <c r="DI26" t="e">
        <f>#REF!+"8O&lt;!oX"</f>
        <v>#REF!</v>
      </c>
      <c r="DJ26" t="e">
        <f>#REF!+"8O&lt;!oY"</f>
        <v>#REF!</v>
      </c>
      <c r="DK26" t="e">
        <f>#REF!+"8O&lt;!oZ"</f>
        <v>#REF!</v>
      </c>
      <c r="DL26" t="e">
        <f>#REF!+"8O&lt;!o["</f>
        <v>#REF!</v>
      </c>
      <c r="DM26" t="e">
        <f>#REF!+"8O&lt;!o\"</f>
        <v>#REF!</v>
      </c>
      <c r="DN26" t="e">
        <f>#REF!+"8O&lt;!o]"</f>
        <v>#REF!</v>
      </c>
      <c r="DO26" t="e">
        <f>#REF!+"8O&lt;!o^"</f>
        <v>#REF!</v>
      </c>
      <c r="DP26" t="e">
        <f>#REF!+"8O&lt;!o_"</f>
        <v>#REF!</v>
      </c>
      <c r="DQ26" t="e">
        <f>#REF!+"8O&lt;!o`"</f>
        <v>#REF!</v>
      </c>
      <c r="DR26" t="e">
        <f>#REF!+"8O&lt;!oa"</f>
        <v>#REF!</v>
      </c>
      <c r="DS26" t="e">
        <f>#REF!+"8O&lt;!ob"</f>
        <v>#REF!</v>
      </c>
      <c r="DT26" t="e">
        <f>#REF!+"8O&lt;!oc"</f>
        <v>#REF!</v>
      </c>
      <c r="DU26" t="e">
        <f>#REF!+"8O&lt;!od"</f>
        <v>#REF!</v>
      </c>
      <c r="DV26" t="e">
        <f>#REF!+"8O&lt;!oe"</f>
        <v>#REF!</v>
      </c>
      <c r="DW26" t="e">
        <f>#REF!+"8O&lt;!of"</f>
        <v>#REF!</v>
      </c>
      <c r="DX26" t="e">
        <f>#REF!+"8O&lt;!og"</f>
        <v>#REF!</v>
      </c>
      <c r="DY26" t="e">
        <f>#REF!+"8O&lt;!oh"</f>
        <v>#REF!</v>
      </c>
      <c r="DZ26" t="e">
        <f>#REF!+"8O&lt;!oi"</f>
        <v>#REF!</v>
      </c>
      <c r="EA26" t="e">
        <f>#REF!+"8O&lt;!oj"</f>
        <v>#REF!</v>
      </c>
      <c r="EB26" t="e">
        <f>#REF!+"8O&lt;!ok"</f>
        <v>#REF!</v>
      </c>
      <c r="EC26" t="e">
        <f>#REF!+"8O&lt;!ol"</f>
        <v>#REF!</v>
      </c>
      <c r="ED26" t="e">
        <f>#REF!+"8O&lt;!om"</f>
        <v>#REF!</v>
      </c>
      <c r="EE26" t="e">
        <f>#REF!+"8O&lt;!on"</f>
        <v>#REF!</v>
      </c>
      <c r="EF26" t="e">
        <f>#REF!+"8O&lt;!oo"</f>
        <v>#REF!</v>
      </c>
      <c r="EG26" t="e">
        <f>#REF!+"8O&lt;!op"</f>
        <v>#REF!</v>
      </c>
      <c r="EH26" t="e">
        <f>#REF!+"8O&lt;!oq"</f>
        <v>#REF!</v>
      </c>
      <c r="EI26" t="e">
        <f>#REF!+"8O&lt;!or"</f>
        <v>#REF!</v>
      </c>
      <c r="EJ26" t="e">
        <f>#REF!+"8O&lt;!os"</f>
        <v>#REF!</v>
      </c>
      <c r="EK26" t="e">
        <f>#REF!+"8O&lt;!ot"</f>
        <v>#REF!</v>
      </c>
      <c r="EL26" t="e">
        <f>#REF!+"8O&lt;!ou"</f>
        <v>#REF!</v>
      </c>
      <c r="EM26" t="e">
        <f>#REF!+"8O&lt;!ov"</f>
        <v>#REF!</v>
      </c>
      <c r="EN26" t="e">
        <f>#REF!+"8O&lt;!ow"</f>
        <v>#REF!</v>
      </c>
      <c r="EO26" t="e">
        <f>#REF!+"8O&lt;!ox"</f>
        <v>#REF!</v>
      </c>
      <c r="EP26" t="e">
        <f>#REF!+"8O&lt;!oy"</f>
        <v>#REF!</v>
      </c>
      <c r="EQ26" t="e">
        <f>#REF!+"8O&lt;!oz"</f>
        <v>#REF!</v>
      </c>
      <c r="ER26" t="e">
        <f>#REF!+"8O&lt;!o{"</f>
        <v>#REF!</v>
      </c>
      <c r="ES26" t="e">
        <f>#REF!+"8O&lt;!o|"</f>
        <v>#REF!</v>
      </c>
      <c r="ET26" t="e">
        <f>#REF!+"8O&lt;!o}"</f>
        <v>#REF!</v>
      </c>
      <c r="EU26" t="e">
        <f>#REF!+"8O&lt;!o~"</f>
        <v>#REF!</v>
      </c>
      <c r="EV26" t="e">
        <f>#REF!+"8O&lt;!p#"</f>
        <v>#REF!</v>
      </c>
      <c r="EW26" t="e">
        <f>#REF!+"8O&lt;!p$"</f>
        <v>#REF!</v>
      </c>
      <c r="EX26" t="e">
        <f>#REF!+"8O&lt;!p%"</f>
        <v>#REF!</v>
      </c>
      <c r="EY26" t="e">
        <f>#REF!+"8O&lt;!p&amp;"</f>
        <v>#REF!</v>
      </c>
      <c r="EZ26" t="e">
        <f>#REF!+"8O&lt;!p'"</f>
        <v>#REF!</v>
      </c>
      <c r="FA26" t="e">
        <f>#REF!+"8O&lt;!p("</f>
        <v>#REF!</v>
      </c>
      <c r="FB26" t="e">
        <f>#REF!+"8O&lt;!p)"</f>
        <v>#REF!</v>
      </c>
      <c r="FC26" t="e">
        <f>#REF!+"8O&lt;!p."</f>
        <v>#REF!</v>
      </c>
      <c r="FD26" t="e">
        <f>#REF!+"8O&lt;!p/"</f>
        <v>#REF!</v>
      </c>
      <c r="FE26" t="e">
        <f>#REF!+"8O&lt;!p0"</f>
        <v>#REF!</v>
      </c>
      <c r="FF26" t="e">
        <f>#REF!+"8O&lt;!p1"</f>
        <v>#REF!</v>
      </c>
      <c r="FG26" t="e">
        <f>#REF!+"8O&lt;!p2"</f>
        <v>#REF!</v>
      </c>
      <c r="FH26" t="e">
        <f>#REF!+"8O&lt;!p3"</f>
        <v>#REF!</v>
      </c>
      <c r="FI26" t="e">
        <f>#REF!+"8O&lt;!p4"</f>
        <v>#REF!</v>
      </c>
      <c r="FJ26" t="e">
        <f>#REF!+"8O&lt;!p5"</f>
        <v>#REF!</v>
      </c>
      <c r="FK26" t="e">
        <f>#REF!+"8O&lt;!p6"</f>
        <v>#REF!</v>
      </c>
      <c r="FL26" t="e">
        <f>#REF!+"8O&lt;!p7"</f>
        <v>#REF!</v>
      </c>
      <c r="FM26" t="e">
        <f>#REF!+"8O&lt;!p8"</f>
        <v>#REF!</v>
      </c>
      <c r="FN26" t="e">
        <f>#REF!+"8O&lt;!p9"</f>
        <v>#REF!</v>
      </c>
      <c r="FO26" t="e">
        <f>#REF!+"8O&lt;!p:"</f>
        <v>#REF!</v>
      </c>
      <c r="FP26" t="e">
        <f>#REF!+"8O&lt;!p;"</f>
        <v>#REF!</v>
      </c>
      <c r="FQ26" t="e">
        <f>#REF!+"8O&lt;!p&lt;"</f>
        <v>#REF!</v>
      </c>
      <c r="FR26" t="e">
        <f>#REF!+"8O&lt;!p="</f>
        <v>#REF!</v>
      </c>
      <c r="FS26" t="e">
        <f>#REF!+"8O&lt;!p&gt;"</f>
        <v>#REF!</v>
      </c>
      <c r="FT26" t="e">
        <f>#REF!+"8O&lt;!p?"</f>
        <v>#REF!</v>
      </c>
      <c r="FU26" t="e">
        <f>#REF!+"8O&lt;!p@"</f>
        <v>#REF!</v>
      </c>
      <c r="FV26" t="e">
        <f>#REF!+"8O&lt;!pA"</f>
        <v>#REF!</v>
      </c>
      <c r="FW26" t="e">
        <f>#REF!+"8O&lt;!pB"</f>
        <v>#REF!</v>
      </c>
      <c r="FX26" t="e">
        <f>#REF!+"8O&lt;!pC"</f>
        <v>#REF!</v>
      </c>
      <c r="FY26" t="e">
        <f>#REF!+"8O&lt;!pD"</f>
        <v>#REF!</v>
      </c>
      <c r="FZ26" t="e">
        <f>#REF!+"8O&lt;!pE"</f>
        <v>#REF!</v>
      </c>
      <c r="GA26" t="e">
        <f>#REF!+"8O&lt;!pF"</f>
        <v>#REF!</v>
      </c>
      <c r="GB26" t="e">
        <f>#REF!+"8O&lt;!pG"</f>
        <v>#REF!</v>
      </c>
      <c r="GC26" t="e">
        <f>#REF!+"8O&lt;!pH"</f>
        <v>#REF!</v>
      </c>
      <c r="GD26" t="e">
        <f>#REF!+"8O&lt;!pI"</f>
        <v>#REF!</v>
      </c>
      <c r="GE26" t="e">
        <f>#REF!+"8O&lt;!pJ"</f>
        <v>#REF!</v>
      </c>
      <c r="GF26" t="e">
        <f>#REF!+"8O&lt;!pK"</f>
        <v>#REF!</v>
      </c>
      <c r="GG26" t="e">
        <f>#REF!+"8O&lt;!pL"</f>
        <v>#REF!</v>
      </c>
      <c r="GH26" t="e">
        <f>#REF!+"8O&lt;!pM"</f>
        <v>#REF!</v>
      </c>
      <c r="GI26" t="e">
        <f>#REF!+"8O&lt;!pN"</f>
        <v>#REF!</v>
      </c>
      <c r="GJ26" t="e">
        <f>#REF!+"8O&lt;!pO"</f>
        <v>#REF!</v>
      </c>
      <c r="GK26" t="e">
        <f>#REF!+"8O&lt;!pP"</f>
        <v>#REF!</v>
      </c>
      <c r="GL26" t="e">
        <f>#REF!+"8O&lt;!pQ"</f>
        <v>#REF!</v>
      </c>
      <c r="GM26" t="e">
        <f>#REF!+"8O&lt;!pR"</f>
        <v>#REF!</v>
      </c>
      <c r="GN26" t="e">
        <f>#REF!+"8O&lt;!pS"</f>
        <v>#REF!</v>
      </c>
      <c r="GO26" t="e">
        <f>#REF!+"8O&lt;!pT"</f>
        <v>#REF!</v>
      </c>
      <c r="GP26" t="e">
        <f>#REF!+"8O&lt;!pU"</f>
        <v>#REF!</v>
      </c>
      <c r="GQ26" t="e">
        <f>#REF!+"8O&lt;!pV"</f>
        <v>#REF!</v>
      </c>
      <c r="GR26" t="e">
        <f>#REF!+"8O&lt;!pW"</f>
        <v>#REF!</v>
      </c>
      <c r="GS26" t="e">
        <f>#REF!+"8O&lt;!pX"</f>
        <v>#REF!</v>
      </c>
      <c r="GT26" t="e">
        <f>#REF!+"8O&lt;!pY"</f>
        <v>#REF!</v>
      </c>
      <c r="GU26" t="e">
        <f>#REF!+"8O&lt;!pZ"</f>
        <v>#REF!</v>
      </c>
      <c r="GV26" t="e">
        <f>#REF!+"8O&lt;!p["</f>
        <v>#REF!</v>
      </c>
      <c r="GW26" t="e">
        <f>#REF!+"8O&lt;!p\"</f>
        <v>#REF!</v>
      </c>
      <c r="GX26" t="e">
        <f>#REF!+"8O&lt;!p]"</f>
        <v>#REF!</v>
      </c>
      <c r="GY26" t="e">
        <f>#REF!+"8O&lt;!p^"</f>
        <v>#REF!</v>
      </c>
      <c r="GZ26" t="e">
        <f>#REF!+"8O&lt;!p_"</f>
        <v>#REF!</v>
      </c>
      <c r="HA26" t="e">
        <f>#REF!+"8O&lt;!p`"</f>
        <v>#REF!</v>
      </c>
      <c r="HB26" t="e">
        <f>#REF!+"8O&lt;!pa"</f>
        <v>#REF!</v>
      </c>
      <c r="HC26" t="e">
        <f>#REF!+"8O&lt;!pb"</f>
        <v>#REF!</v>
      </c>
      <c r="HD26" t="e">
        <f>#REF!+"8O&lt;!pc"</f>
        <v>#REF!</v>
      </c>
      <c r="HE26" t="e">
        <f>#REF!+"8O&lt;!pd"</f>
        <v>#REF!</v>
      </c>
      <c r="HF26" t="e">
        <f>#REF!+"8O&lt;!pe"</f>
        <v>#REF!</v>
      </c>
      <c r="HG26" t="e">
        <f>#REF!+"8O&lt;!pf"</f>
        <v>#REF!</v>
      </c>
      <c r="HH26" t="e">
        <f>#REF!+"8O&lt;!pg"</f>
        <v>#REF!</v>
      </c>
      <c r="HI26" t="e">
        <f>#REF!+"8O&lt;!ph"</f>
        <v>#REF!</v>
      </c>
      <c r="HJ26" t="e">
        <f>#REF!+"8O&lt;!pi"</f>
        <v>#REF!</v>
      </c>
      <c r="HK26" t="e">
        <f>#REF!+"8O&lt;!pj"</f>
        <v>#REF!</v>
      </c>
      <c r="HL26" t="e">
        <f>#REF!+"8O&lt;!pk"</f>
        <v>#REF!</v>
      </c>
      <c r="HM26" t="e">
        <f>#REF!+"8O&lt;!pl"</f>
        <v>#REF!</v>
      </c>
      <c r="HN26" t="e">
        <f>#REF!+"8O&lt;!pm"</f>
        <v>#REF!</v>
      </c>
      <c r="HO26" t="e">
        <f>#REF!+"8O&lt;!pn"</f>
        <v>#REF!</v>
      </c>
      <c r="HP26" t="e">
        <f>#REF!+"8O&lt;!po"</f>
        <v>#REF!</v>
      </c>
      <c r="HQ26" t="e">
        <f>#REF!+"8O&lt;!pp"</f>
        <v>#REF!</v>
      </c>
      <c r="HR26" t="e">
        <f>#REF!+"8O&lt;!pq"</f>
        <v>#REF!</v>
      </c>
      <c r="HS26" t="e">
        <f>#REF!+"8O&lt;!pr"</f>
        <v>#REF!</v>
      </c>
      <c r="HT26" t="e">
        <f>#REF!+"8O&lt;!ps"</f>
        <v>#REF!</v>
      </c>
      <c r="HU26" t="e">
        <f>#REF!+"8O&lt;!pt"</f>
        <v>#REF!</v>
      </c>
      <c r="HV26" t="e">
        <f>#REF!+"8O&lt;!pu"</f>
        <v>#REF!</v>
      </c>
      <c r="HW26" t="e">
        <f>#REF!+"8O&lt;!pv"</f>
        <v>#REF!</v>
      </c>
      <c r="HX26" t="e">
        <f>#REF!+"8O&lt;!pw"</f>
        <v>#REF!</v>
      </c>
      <c r="HY26" t="e">
        <f>#REF!+"8O&lt;!px"</f>
        <v>#REF!</v>
      </c>
      <c r="HZ26" t="e">
        <f>#REF!+"8O&lt;!py"</f>
        <v>#REF!</v>
      </c>
      <c r="IA26" t="e">
        <f>#REF!+"8O&lt;!pz"</f>
        <v>#REF!</v>
      </c>
      <c r="IB26" t="e">
        <f>#REF!+"8O&lt;!p{"</f>
        <v>#REF!</v>
      </c>
      <c r="IC26" t="e">
        <f>#REF!+"8O&lt;!p|"</f>
        <v>#REF!</v>
      </c>
      <c r="ID26" t="e">
        <f>#REF!+"8O&lt;!p}"</f>
        <v>#REF!</v>
      </c>
      <c r="IE26" t="e">
        <f>#REF!+"8O&lt;!p~"</f>
        <v>#REF!</v>
      </c>
      <c r="IF26" t="e">
        <f>#REF!+"8O&lt;!q#"</f>
        <v>#REF!</v>
      </c>
      <c r="IG26" t="e">
        <f>#REF!+"8O&lt;!q$"</f>
        <v>#REF!</v>
      </c>
      <c r="IH26" t="e">
        <f>#REF!+"8O&lt;!q%"</f>
        <v>#REF!</v>
      </c>
      <c r="II26" t="e">
        <f>#REF!+"8O&lt;!q&amp;"</f>
        <v>#REF!</v>
      </c>
      <c r="IJ26" t="e">
        <f>#REF!+"8O&lt;!q'"</f>
        <v>#REF!</v>
      </c>
      <c r="IK26" t="e">
        <f>#REF!+"8O&lt;!q("</f>
        <v>#REF!</v>
      </c>
      <c r="IL26" t="e">
        <f>#REF!+"8O&lt;!q)"</f>
        <v>#REF!</v>
      </c>
      <c r="IM26" t="e">
        <f>#REF!+"8O&lt;!q."</f>
        <v>#REF!</v>
      </c>
      <c r="IN26" t="e">
        <f>#REF!+"8O&lt;!q/"</f>
        <v>#REF!</v>
      </c>
      <c r="IO26" t="e">
        <f>#REF!+"8O&lt;!q0"</f>
        <v>#REF!</v>
      </c>
      <c r="IP26" t="e">
        <f>#REF!+"8O&lt;!q1"</f>
        <v>#REF!</v>
      </c>
      <c r="IQ26" t="e">
        <f>#REF!+"8O&lt;!q2"</f>
        <v>#REF!</v>
      </c>
      <c r="IR26" t="e">
        <f>#REF!+"8O&lt;!q3"</f>
        <v>#REF!</v>
      </c>
      <c r="IS26" t="e">
        <f>#REF!+"8O&lt;!q4"</f>
        <v>#REF!</v>
      </c>
      <c r="IT26" t="e">
        <f>#REF!+"8O&lt;!q5"</f>
        <v>#REF!</v>
      </c>
      <c r="IU26" t="e">
        <f>#REF!+"8O&lt;!q6"</f>
        <v>#REF!</v>
      </c>
      <c r="IV26" t="e">
        <f>#REF!+"8O&lt;!q7"</f>
        <v>#REF!</v>
      </c>
    </row>
    <row r="27" spans="6:256" x14ac:dyDescent="0.25">
      <c r="F27" t="e">
        <f>#REF!+"8O&lt;!q8"</f>
        <v>#REF!</v>
      </c>
      <c r="G27" t="e">
        <f>#REF!+"8O&lt;!q9"</f>
        <v>#REF!</v>
      </c>
      <c r="H27" t="e">
        <f>#REF!+"8O&lt;!q:"</f>
        <v>#REF!</v>
      </c>
      <c r="I27" t="e">
        <f>#REF!+"8O&lt;!q;"</f>
        <v>#REF!</v>
      </c>
      <c r="J27" t="e">
        <f>#REF!+"8O&lt;!q&lt;"</f>
        <v>#REF!</v>
      </c>
      <c r="K27" t="e">
        <f>#REF!+"8O&lt;!q="</f>
        <v>#REF!</v>
      </c>
      <c r="L27" t="e">
        <f>#REF!+"8O&lt;!q&gt;"</f>
        <v>#REF!</v>
      </c>
      <c r="M27" t="e">
        <f>#REF!+"8O&lt;!q?"</f>
        <v>#REF!</v>
      </c>
      <c r="N27" t="e">
        <f>#REF!+"8O&lt;!q@"</f>
        <v>#REF!</v>
      </c>
      <c r="O27" t="e">
        <f>#REF!+"8O&lt;!qA"</f>
        <v>#REF!</v>
      </c>
      <c r="P27" t="e">
        <f>#REF!+"8O&lt;!qB"</f>
        <v>#REF!</v>
      </c>
      <c r="Q27" t="e">
        <f>#REF!+"8O&lt;!qC"</f>
        <v>#REF!</v>
      </c>
      <c r="R27" t="e">
        <f>#REF!+"8O&lt;!qD"</f>
        <v>#REF!</v>
      </c>
      <c r="S27" t="e">
        <f>#REF!+"8O&lt;!qE"</f>
        <v>#REF!</v>
      </c>
      <c r="T27" t="e">
        <f>#REF!+"8O&lt;!qF"</f>
        <v>#REF!</v>
      </c>
      <c r="U27" t="e">
        <f>#REF!+"8O&lt;!qG"</f>
        <v>#REF!</v>
      </c>
      <c r="V27" t="e">
        <f>#REF!+"8O&lt;!qH"</f>
        <v>#REF!</v>
      </c>
      <c r="W27" t="e">
        <f>#REF!+"8O&lt;!qI"</f>
        <v>#REF!</v>
      </c>
      <c r="X27" t="e">
        <f>#REF!+"8O&lt;!qJ"</f>
        <v>#REF!</v>
      </c>
      <c r="Y27" t="e">
        <f>#REF!+"8O&lt;!qK"</f>
        <v>#REF!</v>
      </c>
      <c r="Z27" t="e">
        <f>#REF!+"8O&lt;!qL"</f>
        <v>#REF!</v>
      </c>
      <c r="AA27" t="e">
        <f>#REF!+"8O&lt;!qM"</f>
        <v>#REF!</v>
      </c>
      <c r="AB27" t="e">
        <f>#REF!+"8O&lt;!qN"</f>
        <v>#REF!</v>
      </c>
      <c r="AC27" t="e">
        <f>#REF!+"8O&lt;!qO"</f>
        <v>#REF!</v>
      </c>
      <c r="AD27" t="e">
        <f>#REF!+"8O&lt;!qP"</f>
        <v>#REF!</v>
      </c>
      <c r="AE27" t="e">
        <f>#REF!+"8O&lt;!qQ"</f>
        <v>#REF!</v>
      </c>
      <c r="AF27" t="e">
        <f>#REF!+"8O&lt;!qR"</f>
        <v>#REF!</v>
      </c>
      <c r="AG27" t="e">
        <f>#REF!+"8O&lt;!qS"</f>
        <v>#REF!</v>
      </c>
      <c r="AH27" t="e">
        <f>#REF!+"8O&lt;!qT"</f>
        <v>#REF!</v>
      </c>
      <c r="AI27" t="e">
        <f>#REF!+"8O&lt;!qU"</f>
        <v>#REF!</v>
      </c>
      <c r="AJ27" t="e">
        <f>#REF!+"8O&lt;!qV"</f>
        <v>#REF!</v>
      </c>
      <c r="AK27" t="e">
        <f>#REF!+"8O&lt;!qW"</f>
        <v>#REF!</v>
      </c>
      <c r="AL27" t="e">
        <f>#REF!+"8O&lt;!qX"</f>
        <v>#REF!</v>
      </c>
      <c r="AM27" t="e">
        <f>#REF!+"8O&lt;!qY"</f>
        <v>#REF!</v>
      </c>
      <c r="AN27" t="e">
        <f>#REF!+"8O&lt;!qZ"</f>
        <v>#REF!</v>
      </c>
      <c r="AO27" t="e">
        <f>#REF!+"8O&lt;!q["</f>
        <v>#REF!</v>
      </c>
      <c r="AP27" t="e">
        <f>#REF!+"8O&lt;!q\"</f>
        <v>#REF!</v>
      </c>
      <c r="AQ27" t="e">
        <f>#REF!+"8O&lt;!q]"</f>
        <v>#REF!</v>
      </c>
      <c r="AR27" t="e">
        <f>#REF!+"8O&lt;!q^"</f>
        <v>#REF!</v>
      </c>
      <c r="AS27" t="e">
        <f>#REF!+"8O&lt;!q_"</f>
        <v>#REF!</v>
      </c>
      <c r="AT27" t="e">
        <f>#REF!+"8O&lt;!q`"</f>
        <v>#REF!</v>
      </c>
      <c r="AU27" t="e">
        <f>#REF!+"8O&lt;!qa"</f>
        <v>#REF!</v>
      </c>
      <c r="AV27" t="e">
        <f>#REF!+"8O&lt;!qb"</f>
        <v>#REF!</v>
      </c>
      <c r="AW27" t="e">
        <f>#REF!+"8O&lt;!qc"</f>
        <v>#REF!</v>
      </c>
      <c r="AX27" t="e">
        <f>#REF!+"8O&lt;!qd"</f>
        <v>#REF!</v>
      </c>
      <c r="AY27" t="e">
        <f>#REF!+"8O&lt;!qe"</f>
        <v>#REF!</v>
      </c>
      <c r="AZ27" t="e">
        <f>#REF!+"8O&lt;!qf"</f>
        <v>#REF!</v>
      </c>
      <c r="BA27" t="e">
        <f>#REF!+"8O&lt;!qg"</f>
        <v>#REF!</v>
      </c>
      <c r="BB27" t="e">
        <f>#REF!+"8O&lt;!qh"</f>
        <v>#REF!</v>
      </c>
      <c r="BC27" t="e">
        <f>#REF!+"8O&lt;!qi"</f>
        <v>#REF!</v>
      </c>
      <c r="BD27" t="e">
        <f>#REF!+"8O&lt;!qj"</f>
        <v>#REF!</v>
      </c>
      <c r="BE27" t="e">
        <f>#REF!+"8O&lt;!qk"</f>
        <v>#REF!</v>
      </c>
      <c r="BF27" t="e">
        <f>#REF!+"8O&lt;!ql"</f>
        <v>#REF!</v>
      </c>
      <c r="BG27" t="e">
        <f>#REF!+"8O&lt;!qm"</f>
        <v>#REF!</v>
      </c>
      <c r="BH27" t="e">
        <f>#REF!+"8O&lt;!qn"</f>
        <v>#REF!</v>
      </c>
      <c r="BI27" t="e">
        <f>#REF!+"8O&lt;!qo"</f>
        <v>#REF!</v>
      </c>
      <c r="BJ27" t="e">
        <f>#REF!+"8O&lt;!qp"</f>
        <v>#REF!</v>
      </c>
      <c r="BK27" t="e">
        <f>#REF!+"8O&lt;!qq"</f>
        <v>#REF!</v>
      </c>
      <c r="BL27" t="e">
        <f>#REF!+"8O&lt;!qr"</f>
        <v>#REF!</v>
      </c>
      <c r="BM27" t="e">
        <f>#REF!+"8O&lt;!qs"</f>
        <v>#REF!</v>
      </c>
      <c r="BN27" t="e">
        <f>#REF!+"8O&lt;!qt"</f>
        <v>#REF!</v>
      </c>
      <c r="BO27" t="e">
        <f>#REF!+"8O&lt;!qu"</f>
        <v>#REF!</v>
      </c>
      <c r="BP27" t="e">
        <f>#REF!+"8O&lt;!qv"</f>
        <v>#REF!</v>
      </c>
      <c r="BQ27" t="e">
        <f>#REF!+"8O&lt;!qw"</f>
        <v>#REF!</v>
      </c>
      <c r="BR27" t="e">
        <f>#REF!+"8O&lt;!qx"</f>
        <v>#REF!</v>
      </c>
      <c r="BS27" t="e">
        <f>#REF!+"8O&lt;!qy"</f>
        <v>#REF!</v>
      </c>
      <c r="BT27" t="e">
        <f>#REF!+"8O&lt;!qz"</f>
        <v>#REF!</v>
      </c>
      <c r="BU27" t="e">
        <f>#REF!+"8O&lt;!q{"</f>
        <v>#REF!</v>
      </c>
      <c r="BV27" t="e">
        <f>#REF!+"8O&lt;!q|"</f>
        <v>#REF!</v>
      </c>
      <c r="BW27" t="e">
        <f>#REF!+"8O&lt;!q}"</f>
        <v>#REF!</v>
      </c>
      <c r="BX27" t="e">
        <f>#REF!+"8O&lt;!q~"</f>
        <v>#REF!</v>
      </c>
      <c r="BY27" t="e">
        <f>#REF!+"8O&lt;!r#"</f>
        <v>#REF!</v>
      </c>
      <c r="BZ27" t="e">
        <f>#REF!+"8O&lt;!r$"</f>
        <v>#REF!</v>
      </c>
      <c r="CA27" t="e">
        <f>#REF!+"8O&lt;!r%"</f>
        <v>#REF!</v>
      </c>
      <c r="CB27" t="e">
        <f>#REF!+"8O&lt;!r&amp;"</f>
        <v>#REF!</v>
      </c>
      <c r="CC27" t="e">
        <f>#REF!+"8O&lt;!r'"</f>
        <v>#REF!</v>
      </c>
      <c r="CD27" t="e">
        <f>#REF!+"8O&lt;!r("</f>
        <v>#REF!</v>
      </c>
      <c r="CE27" t="e">
        <f>#REF!+"8O&lt;!r)"</f>
        <v>#REF!</v>
      </c>
      <c r="CF27" t="e">
        <f>#REF!+"8O&lt;!r."</f>
        <v>#REF!</v>
      </c>
      <c r="CG27" t="e">
        <f>#REF!+"8O&lt;!r/"</f>
        <v>#REF!</v>
      </c>
      <c r="CH27" t="e">
        <f>#REF!+"8O&lt;!r0"</f>
        <v>#REF!</v>
      </c>
      <c r="CI27" t="e">
        <f>#REF!+"8O&lt;!r1"</f>
        <v>#REF!</v>
      </c>
      <c r="CJ27" t="e">
        <f>#REF!+"8O&lt;!r2"</f>
        <v>#REF!</v>
      </c>
      <c r="CK27" t="e">
        <f>#REF!+"8O&lt;!r3"</f>
        <v>#REF!</v>
      </c>
      <c r="CL27" t="e">
        <f>#REF!+"8O&lt;!r4"</f>
        <v>#REF!</v>
      </c>
      <c r="CM27" t="e">
        <f>#REF!+"8O&lt;!r5"</f>
        <v>#REF!</v>
      </c>
      <c r="CN27" t="e">
        <f>#REF!+"8O&lt;!r6"</f>
        <v>#REF!</v>
      </c>
      <c r="CO27" t="e">
        <f>#REF!+"8O&lt;!r7"</f>
        <v>#REF!</v>
      </c>
      <c r="CP27" t="e">
        <f>#REF!+"8O&lt;!r8"</f>
        <v>#REF!</v>
      </c>
      <c r="CQ27" t="e">
        <f>#REF!+"8O&lt;!r9"</f>
        <v>#REF!</v>
      </c>
      <c r="CR27" t="e">
        <f>#REF!+"8O&lt;!r:"</f>
        <v>#REF!</v>
      </c>
      <c r="CS27" t="e">
        <f>#REF!+"8O&lt;!r;"</f>
        <v>#REF!</v>
      </c>
      <c r="CT27" t="e">
        <f>#REF!+"8O&lt;!r&lt;"</f>
        <v>#REF!</v>
      </c>
      <c r="CU27" t="e">
        <f>#REF!+"8O&lt;!r="</f>
        <v>#REF!</v>
      </c>
      <c r="CV27" t="e">
        <f>#REF!+"8O&lt;!r&gt;"</f>
        <v>#REF!</v>
      </c>
      <c r="CW27" t="e">
        <f>#REF!+"8O&lt;!r?"</f>
        <v>#REF!</v>
      </c>
      <c r="CX27" t="e">
        <f>#REF!+"8O&lt;!r@"</f>
        <v>#REF!</v>
      </c>
      <c r="CY27" t="e">
        <f>#REF!+"8O&lt;!rA"</f>
        <v>#REF!</v>
      </c>
      <c r="CZ27" t="e">
        <f>#REF!+"8O&lt;!rB"</f>
        <v>#REF!</v>
      </c>
      <c r="DA27" t="e">
        <f>#REF!+"8O&lt;!rC"</f>
        <v>#REF!</v>
      </c>
      <c r="DB27" t="e">
        <f>#REF!+"8O&lt;!rD"</f>
        <v>#REF!</v>
      </c>
      <c r="DC27" t="e">
        <f>#REF!+"8O&lt;!rE"</f>
        <v>#REF!</v>
      </c>
      <c r="DD27" t="e">
        <f>#REF!+"8O&lt;!rF"</f>
        <v>#REF!</v>
      </c>
      <c r="DE27" t="e">
        <f>#REF!+"8O&lt;!rG"</f>
        <v>#REF!</v>
      </c>
      <c r="DF27" t="e">
        <f>#REF!+"8O&lt;!rH"</f>
        <v>#REF!</v>
      </c>
      <c r="DG27" t="e">
        <f>#REF!+"8O&lt;!rI"</f>
        <v>#REF!</v>
      </c>
      <c r="DH27" t="e">
        <f>#REF!+"8O&lt;!rJ"</f>
        <v>#REF!</v>
      </c>
      <c r="DI27" t="e">
        <f>#REF!+"8O&lt;!rK"</f>
        <v>#REF!</v>
      </c>
      <c r="DJ27" t="e">
        <f>#REF!+"8O&lt;!rL"</f>
        <v>#REF!</v>
      </c>
      <c r="DK27" t="e">
        <f>#REF!+"8O&lt;!rM"</f>
        <v>#REF!</v>
      </c>
      <c r="DL27" t="e">
        <f>#REF!+"8O&lt;!rN"</f>
        <v>#REF!</v>
      </c>
      <c r="DM27" t="e">
        <f>#REF!+"8O&lt;!rO"</f>
        <v>#REF!</v>
      </c>
      <c r="DN27" t="e">
        <f>#REF!+"8O&lt;!rP"</f>
        <v>#REF!</v>
      </c>
      <c r="DO27" t="e">
        <f>#REF!+"8O&lt;!rQ"</f>
        <v>#REF!</v>
      </c>
      <c r="DP27" t="e">
        <f>#REF!+"8O&lt;!rR"</f>
        <v>#REF!</v>
      </c>
      <c r="DQ27" t="e">
        <f>#REF!+"8O&lt;!rS"</f>
        <v>#REF!</v>
      </c>
      <c r="DR27" t="e">
        <f>#REF!+"8O&lt;!rT"</f>
        <v>#REF!</v>
      </c>
      <c r="DS27" t="e">
        <f>#REF!+"8O&lt;!rU"</f>
        <v>#REF!</v>
      </c>
      <c r="DT27" t="e">
        <f>#REF!+"8O&lt;!rV"</f>
        <v>#REF!</v>
      </c>
      <c r="DU27" t="e">
        <f>#REF!+"8O&lt;!rW"</f>
        <v>#REF!</v>
      </c>
      <c r="DV27" t="e">
        <f>#REF!+"8O&lt;!rX"</f>
        <v>#REF!</v>
      </c>
      <c r="DW27" t="e">
        <f>#REF!+"8O&lt;!rY"</f>
        <v>#REF!</v>
      </c>
      <c r="DX27" t="e">
        <f>#REF!+"8O&lt;!rZ"</f>
        <v>#REF!</v>
      </c>
      <c r="DY27" t="e">
        <f>#REF!+"8O&lt;!r["</f>
        <v>#REF!</v>
      </c>
      <c r="DZ27" t="e">
        <f>#REF!+"8O&lt;!r\"</f>
        <v>#REF!</v>
      </c>
      <c r="EA27" t="e">
        <f>#REF!+"8O&lt;!r]"</f>
        <v>#REF!</v>
      </c>
      <c r="EB27" t="e">
        <f>#REF!+"8O&lt;!r^"</f>
        <v>#REF!</v>
      </c>
      <c r="EC27" t="e">
        <f>#REF!+"8O&lt;!r_"</f>
        <v>#REF!</v>
      </c>
      <c r="ED27" t="e">
        <f>#REF!+"8O&lt;!r`"</f>
        <v>#REF!</v>
      </c>
      <c r="EE27" t="e">
        <f>#REF!+"8O&lt;!ra"</f>
        <v>#REF!</v>
      </c>
      <c r="EF27" t="e">
        <f>#REF!+"8O&lt;!rb"</f>
        <v>#REF!</v>
      </c>
      <c r="EG27" t="e">
        <f>#REF!+"8O&lt;!rc"</f>
        <v>#REF!</v>
      </c>
      <c r="EH27" t="e">
        <f>#REF!+"8O&lt;!rd"</f>
        <v>#REF!</v>
      </c>
      <c r="EI27" t="e">
        <f>#REF!+"8O&lt;!re"</f>
        <v>#REF!</v>
      </c>
      <c r="EJ27" t="e">
        <f>#REF!+"8O&lt;!rf"</f>
        <v>#REF!</v>
      </c>
      <c r="EK27" t="e">
        <f>#REF!+"8O&lt;!rg"</f>
        <v>#REF!</v>
      </c>
      <c r="EL27" t="e">
        <f>#REF!+"8O&lt;!rh"</f>
        <v>#REF!</v>
      </c>
      <c r="EM27" t="e">
        <f>#REF!+"8O&lt;!ri"</f>
        <v>#REF!</v>
      </c>
      <c r="EN27" t="e">
        <f>#REF!+"8O&lt;!rj"</f>
        <v>#REF!</v>
      </c>
      <c r="EO27" t="e">
        <f>#REF!+"8O&lt;!rk"</f>
        <v>#REF!</v>
      </c>
      <c r="EP27" t="e">
        <f>#REF!+"8O&lt;!rl"</f>
        <v>#REF!</v>
      </c>
      <c r="EQ27" t="e">
        <f>#REF!+"8O&lt;!rm"</f>
        <v>#REF!</v>
      </c>
      <c r="ER27" t="e">
        <f>#REF!+"8O&lt;!rn"</f>
        <v>#REF!</v>
      </c>
      <c r="ES27" t="e">
        <f>#REF!+"8O&lt;!ro"</f>
        <v>#REF!</v>
      </c>
      <c r="ET27" t="e">
        <f>#REF!+"8O&lt;!rp"</f>
        <v>#REF!</v>
      </c>
      <c r="EU27" t="e">
        <f>#REF!+"8O&lt;!rq"</f>
        <v>#REF!</v>
      </c>
      <c r="EV27" t="e">
        <f>#REF!+"8O&lt;!rr"</f>
        <v>#REF!</v>
      </c>
      <c r="EW27" t="e">
        <f>#REF!+"8O&lt;!rs"</f>
        <v>#REF!</v>
      </c>
      <c r="EX27" t="e">
        <f>#REF!+"8O&lt;!rt"</f>
        <v>#REF!</v>
      </c>
      <c r="EY27" t="e">
        <f>#REF!+"8O&lt;!ru"</f>
        <v>#REF!</v>
      </c>
      <c r="EZ27" t="e">
        <f>#REF!+"8O&lt;!rv"</f>
        <v>#REF!</v>
      </c>
      <c r="FA27" t="e">
        <f>#REF!+"8O&lt;!rw"</f>
        <v>#REF!</v>
      </c>
      <c r="FB27" t="e">
        <f>#REF!+"8O&lt;!rx"</f>
        <v>#REF!</v>
      </c>
      <c r="FC27" t="e">
        <f>#REF!+"8O&lt;!ry"</f>
        <v>#REF!</v>
      </c>
      <c r="FD27" t="e">
        <f>#REF!+"8O&lt;!rz"</f>
        <v>#REF!</v>
      </c>
      <c r="FE27" t="e">
        <f>#REF!+"8O&lt;!r{"</f>
        <v>#REF!</v>
      </c>
      <c r="FF27" t="e">
        <f>#REF!+"8O&lt;!r|"</f>
        <v>#REF!</v>
      </c>
      <c r="FG27" t="e">
        <f>#REF!+"8O&lt;!r}"</f>
        <v>#REF!</v>
      </c>
      <c r="FH27" t="e">
        <f>#REF!+"8O&lt;!r~"</f>
        <v>#REF!</v>
      </c>
      <c r="FI27" t="e">
        <f>#REF!+"8O&lt;!s#"</f>
        <v>#REF!</v>
      </c>
      <c r="FJ27" t="e">
        <f>#REF!+"8O&lt;!s$"</f>
        <v>#REF!</v>
      </c>
      <c r="FK27" t="e">
        <f>#REF!+"8O&lt;!s%"</f>
        <v>#REF!</v>
      </c>
      <c r="FL27" t="e">
        <f>#REF!+"8O&lt;!s&amp;"</f>
        <v>#REF!</v>
      </c>
      <c r="FM27" t="e">
        <f>#REF!+"8O&lt;!s'"</f>
        <v>#REF!</v>
      </c>
      <c r="FN27" t="e">
        <f>#REF!+"8O&lt;!s("</f>
        <v>#REF!</v>
      </c>
      <c r="FO27" t="e">
        <f>#REF!+"8O&lt;!s)"</f>
        <v>#REF!</v>
      </c>
      <c r="FP27" t="e">
        <f>#REF!+"8O&lt;!s."</f>
        <v>#REF!</v>
      </c>
      <c r="FQ27" t="e">
        <f>#REF!+"8O&lt;!s/"</f>
        <v>#REF!</v>
      </c>
      <c r="FR27" t="e">
        <f>#REF!+"8O&lt;!s0"</f>
        <v>#REF!</v>
      </c>
      <c r="FS27" t="e">
        <f>#REF!+"8O&lt;!s1"</f>
        <v>#REF!</v>
      </c>
      <c r="FT27" t="e">
        <f>#REF!+"8O&lt;!s2"</f>
        <v>#REF!</v>
      </c>
      <c r="FU27" t="e">
        <f>#REF!+"8O&lt;!s3"</f>
        <v>#REF!</v>
      </c>
      <c r="FV27" t="e">
        <f>#REF!+"8O&lt;!s4"</f>
        <v>#REF!</v>
      </c>
      <c r="FW27" t="e">
        <f>#REF!+"8O&lt;!s5"</f>
        <v>#REF!</v>
      </c>
      <c r="FX27" t="e">
        <f>#REF!+"8O&lt;!s6"</f>
        <v>#REF!</v>
      </c>
      <c r="FY27" t="e">
        <f>#REF!+"8O&lt;!s7"</f>
        <v>#REF!</v>
      </c>
      <c r="FZ27" t="e">
        <f>#REF!+"8O&lt;!s8"</f>
        <v>#REF!</v>
      </c>
      <c r="GA27" t="e">
        <f>#REF!+"8O&lt;!s9"</f>
        <v>#REF!</v>
      </c>
      <c r="GB27" t="e">
        <f>#REF!+"8O&lt;!s:"</f>
        <v>#REF!</v>
      </c>
      <c r="GC27" t="e">
        <f>#REF!+"8O&lt;!s;"</f>
        <v>#REF!</v>
      </c>
      <c r="GD27" t="e">
        <f>#REF!+"8O&lt;!s&lt;"</f>
        <v>#REF!</v>
      </c>
      <c r="GE27" t="e">
        <f>#REF!+"8O&lt;!s="</f>
        <v>#REF!</v>
      </c>
      <c r="GF27" t="e">
        <f>#REF!+"8O&lt;!s&gt;"</f>
        <v>#REF!</v>
      </c>
      <c r="GG27" t="e">
        <f>#REF!+"8O&lt;!s?"</f>
        <v>#REF!</v>
      </c>
      <c r="GH27" t="e">
        <f>#REF!+"8O&lt;!s@"</f>
        <v>#REF!</v>
      </c>
      <c r="GI27" t="e">
        <f>#REF!+"8O&lt;!sA"</f>
        <v>#REF!</v>
      </c>
      <c r="GJ27" t="e">
        <f>#REF!+"8O&lt;!sB"</f>
        <v>#REF!</v>
      </c>
      <c r="GK27" t="e">
        <f>#REF!+"8O&lt;!sC"</f>
        <v>#REF!</v>
      </c>
      <c r="GL27" t="e">
        <f>#REF!+"8O&lt;!sD"</f>
        <v>#REF!</v>
      </c>
      <c r="GM27" t="e">
        <f>#REF!+"8O&lt;!sE"</f>
        <v>#REF!</v>
      </c>
      <c r="GN27" t="e">
        <f>#REF!+"8O&lt;!sF"</f>
        <v>#REF!</v>
      </c>
      <c r="GO27" t="e">
        <f>#REF!+"8O&lt;!sG"</f>
        <v>#REF!</v>
      </c>
      <c r="GP27" t="e">
        <f>#REF!+"8O&lt;!sH"</f>
        <v>#REF!</v>
      </c>
      <c r="GQ27" t="e">
        <f>#REF!+"8O&lt;!sI"</f>
        <v>#REF!</v>
      </c>
      <c r="GR27" t="e">
        <f>#REF!+"8O&lt;!sJ"</f>
        <v>#REF!</v>
      </c>
      <c r="GS27" t="e">
        <f>#REF!+"8O&lt;!sK"</f>
        <v>#REF!</v>
      </c>
      <c r="GT27" t="e">
        <f>#REF!+"8O&lt;!sL"</f>
        <v>#REF!</v>
      </c>
      <c r="GU27" t="e">
        <f>#REF!+"8O&lt;!sM"</f>
        <v>#REF!</v>
      </c>
      <c r="GV27" t="e">
        <f>#REF!+"8O&lt;!sN"</f>
        <v>#REF!</v>
      </c>
      <c r="GW27" t="e">
        <f>#REF!+"8O&lt;!sO"</f>
        <v>#REF!</v>
      </c>
      <c r="GX27" t="e">
        <f>#REF!+"8O&lt;!sP"</f>
        <v>#REF!</v>
      </c>
      <c r="GY27" t="e">
        <f>#REF!+"8O&lt;!sQ"</f>
        <v>#REF!</v>
      </c>
      <c r="GZ27" t="e">
        <f>#REF!+"8O&lt;!sR"</f>
        <v>#REF!</v>
      </c>
      <c r="HA27" t="e">
        <f>#REF!+"8O&lt;!sS"</f>
        <v>#REF!</v>
      </c>
      <c r="HB27" t="e">
        <f>#REF!+"8O&lt;!sT"</f>
        <v>#REF!</v>
      </c>
      <c r="HC27" t="e">
        <f>#REF!+"8O&lt;!sU"</f>
        <v>#REF!</v>
      </c>
      <c r="HD27" t="e">
        <f>#REF!+"8O&lt;!sV"</f>
        <v>#REF!</v>
      </c>
      <c r="HE27" t="e">
        <f>#REF!+"8O&lt;!sW"</f>
        <v>#REF!</v>
      </c>
      <c r="HF27" t="e">
        <f>#REF!+"8O&lt;!sX"</f>
        <v>#REF!</v>
      </c>
      <c r="HG27" t="e">
        <f>#REF!+"8O&lt;!sY"</f>
        <v>#REF!</v>
      </c>
      <c r="HH27" t="e">
        <f>#REF!+"8O&lt;!sZ"</f>
        <v>#REF!</v>
      </c>
      <c r="HI27" t="e">
        <f>#REF!+"8O&lt;!s["</f>
        <v>#REF!</v>
      </c>
      <c r="HJ27" t="e">
        <f>#REF!+"8O&lt;!s\"</f>
        <v>#REF!</v>
      </c>
      <c r="HK27" t="e">
        <f>#REF!+"8O&lt;!s]"</f>
        <v>#REF!</v>
      </c>
      <c r="HL27" t="e">
        <f>#REF!+"8O&lt;!s^"</f>
        <v>#REF!</v>
      </c>
      <c r="HM27" t="e">
        <f>#REF!+"8O&lt;!s_"</f>
        <v>#REF!</v>
      </c>
      <c r="HN27" t="e">
        <f>#REF!+"8O&lt;!s`"</f>
        <v>#REF!</v>
      </c>
      <c r="HO27" t="e">
        <f>#REF!+"8O&lt;!sa"</f>
        <v>#REF!</v>
      </c>
      <c r="HP27" t="e">
        <f>#REF!+"8O&lt;!sb"</f>
        <v>#REF!</v>
      </c>
      <c r="HQ27" t="e">
        <f>#REF!+"8O&lt;!sc"</f>
        <v>#REF!</v>
      </c>
      <c r="HR27" t="e">
        <f>#REF!+"8O&lt;!sd"</f>
        <v>#REF!</v>
      </c>
      <c r="HS27" t="e">
        <f>#REF!+"8O&lt;!se"</f>
        <v>#REF!</v>
      </c>
      <c r="HT27" t="e">
        <f>#REF!+"8O&lt;!sf"</f>
        <v>#REF!</v>
      </c>
      <c r="HU27" t="e">
        <f>#REF!+"8O&lt;!sg"</f>
        <v>#REF!</v>
      </c>
      <c r="HV27" t="e">
        <f>#REF!+"8O&lt;!sh"</f>
        <v>#REF!</v>
      </c>
      <c r="HW27" t="e">
        <f>#REF!+"8O&lt;!si"</f>
        <v>#REF!</v>
      </c>
      <c r="HX27" t="e">
        <f>#REF!+"8O&lt;!sj"</f>
        <v>#REF!</v>
      </c>
      <c r="HY27" t="e">
        <f>#REF!+"8O&lt;!sk"</f>
        <v>#REF!</v>
      </c>
      <c r="HZ27" t="e">
        <f>#REF!+"8O&lt;!sl"</f>
        <v>#REF!</v>
      </c>
      <c r="IA27" t="e">
        <f>#REF!+"8O&lt;!sm"</f>
        <v>#REF!</v>
      </c>
      <c r="IB27" t="e">
        <f>#REF!+"8O&lt;!sn"</f>
        <v>#REF!</v>
      </c>
      <c r="IC27" t="e">
        <f>#REF!+"8O&lt;!so"</f>
        <v>#REF!</v>
      </c>
      <c r="ID27" t="e">
        <f>#REF!+"8O&lt;!sp"</f>
        <v>#REF!</v>
      </c>
      <c r="IE27" t="e">
        <f>#REF!+"8O&lt;!sq"</f>
        <v>#REF!</v>
      </c>
      <c r="IF27" t="e">
        <f>#REF!+"8O&lt;!sr"</f>
        <v>#REF!</v>
      </c>
      <c r="IG27" t="e">
        <f>#REF!+"8O&lt;!ss"</f>
        <v>#REF!</v>
      </c>
      <c r="IH27" t="e">
        <f>#REF!+"8O&lt;!st"</f>
        <v>#REF!</v>
      </c>
      <c r="II27" t="e">
        <f>#REF!+"8O&lt;!su"</f>
        <v>#REF!</v>
      </c>
      <c r="IJ27" t="e">
        <f>#REF!+"8O&lt;!sv"</f>
        <v>#REF!</v>
      </c>
      <c r="IK27" t="e">
        <f>#REF!+"8O&lt;!sw"</f>
        <v>#REF!</v>
      </c>
      <c r="IL27" t="e">
        <f>#REF!+"8O&lt;!sx"</f>
        <v>#REF!</v>
      </c>
      <c r="IM27" t="e">
        <f>#REF!+"8O&lt;!sy"</f>
        <v>#REF!</v>
      </c>
      <c r="IN27" t="e">
        <f>#REF!+"8O&lt;!sz"</f>
        <v>#REF!</v>
      </c>
      <c r="IO27" t="e">
        <f>#REF!+"8O&lt;!s{"</f>
        <v>#REF!</v>
      </c>
      <c r="IP27" t="e">
        <f>#REF!+"8O&lt;!s|"</f>
        <v>#REF!</v>
      </c>
      <c r="IQ27" t="e">
        <f>#REF!+"8O&lt;!s}"</f>
        <v>#REF!</v>
      </c>
      <c r="IR27" t="e">
        <f>#REF!+"8O&lt;!s~"</f>
        <v>#REF!</v>
      </c>
      <c r="IS27" t="e">
        <f>#REF!+"8O&lt;!t#"</f>
        <v>#REF!</v>
      </c>
      <c r="IT27" t="e">
        <f>#REF!+"8O&lt;!t$"</f>
        <v>#REF!</v>
      </c>
      <c r="IU27" t="e">
        <f>#REF!+"8O&lt;!t%"</f>
        <v>#REF!</v>
      </c>
      <c r="IV27" t="e">
        <f>#REF!+"8O&lt;!t&amp;"</f>
        <v>#REF!</v>
      </c>
    </row>
    <row r="28" spans="6:256" x14ac:dyDescent="0.25">
      <c r="F28" t="e">
        <f>#REF!+"8O&lt;!t'"</f>
        <v>#REF!</v>
      </c>
      <c r="G28" t="e">
        <f>#REF!+"8O&lt;!t("</f>
        <v>#REF!</v>
      </c>
      <c r="H28" t="e">
        <f>#REF!+"8O&lt;!t)"</f>
        <v>#REF!</v>
      </c>
      <c r="I28" t="e">
        <f>#REF!+"8O&lt;!t."</f>
        <v>#REF!</v>
      </c>
      <c r="J28" t="e">
        <f>#REF!+"8O&lt;!t/"</f>
        <v>#REF!</v>
      </c>
      <c r="K28" t="e">
        <f>#REF!+"8O&lt;!t0"</f>
        <v>#REF!</v>
      </c>
      <c r="L28" t="e">
        <f>#REF!+"8O&lt;!t1"</f>
        <v>#REF!</v>
      </c>
      <c r="M28" t="e">
        <f>#REF!+"8O&lt;!t2"</f>
        <v>#REF!</v>
      </c>
      <c r="N28" t="e">
        <f>#REF!+"8O&lt;!t3"</f>
        <v>#REF!</v>
      </c>
      <c r="O28" t="e">
        <f>#REF!+"8O&lt;!t4"</f>
        <v>#REF!</v>
      </c>
      <c r="P28" t="e">
        <f>#REF!+"8O&lt;!t5"</f>
        <v>#REF!</v>
      </c>
      <c r="Q28" t="e">
        <f>#REF!+"8O&lt;!t6"</f>
        <v>#REF!</v>
      </c>
      <c r="R28" t="e">
        <f>#REF!+"8O&lt;!t7"</f>
        <v>#REF!</v>
      </c>
      <c r="S28" t="e">
        <f>#REF!+"8O&lt;!t8"</f>
        <v>#REF!</v>
      </c>
      <c r="T28" t="e">
        <f>#REF!+"8O&lt;!t9"</f>
        <v>#REF!</v>
      </c>
      <c r="U28" t="e">
        <f>#REF!+"8O&lt;!t:"</f>
        <v>#REF!</v>
      </c>
      <c r="V28" t="e">
        <f>#REF!+"8O&lt;!t;"</f>
        <v>#REF!</v>
      </c>
      <c r="W28" t="e">
        <f>#REF!+"8O&lt;!t&lt;"</f>
        <v>#REF!</v>
      </c>
      <c r="X28" t="e">
        <f>#REF!+"8O&lt;!t="</f>
        <v>#REF!</v>
      </c>
      <c r="Y28" t="e">
        <f>#REF!+"8O&lt;!t&gt;"</f>
        <v>#REF!</v>
      </c>
      <c r="Z28" t="e">
        <f>#REF!+"8O&lt;!t?"</f>
        <v>#REF!</v>
      </c>
      <c r="AA28" t="e">
        <f>#REF!+"8O&lt;!t@"</f>
        <v>#REF!</v>
      </c>
      <c r="AB28" t="e">
        <f>#REF!+"8O&lt;!tA"</f>
        <v>#REF!</v>
      </c>
      <c r="AC28" t="e">
        <f>#REF!+"8O&lt;!tB"</f>
        <v>#REF!</v>
      </c>
      <c r="AD28" t="e">
        <f>#REF!+"8O&lt;!tC"</f>
        <v>#REF!</v>
      </c>
      <c r="AE28" t="e">
        <f>#REF!+"8O&lt;!tD"</f>
        <v>#REF!</v>
      </c>
      <c r="AF28" t="e">
        <f>#REF!+"8O&lt;!tE"</f>
        <v>#REF!</v>
      </c>
      <c r="AG28" t="e">
        <f>#REF!+"8O&lt;!tF"</f>
        <v>#REF!</v>
      </c>
      <c r="AH28" t="e">
        <f>#REF!+"8O&lt;!tG"</f>
        <v>#REF!</v>
      </c>
      <c r="AI28" t="e">
        <f>#REF!+"8O&lt;!tH"</f>
        <v>#REF!</v>
      </c>
      <c r="AJ28" t="e">
        <f>#REF!+"8O&lt;!tI"</f>
        <v>#REF!</v>
      </c>
      <c r="AK28" t="e">
        <f>#REF!+"8O&lt;!tJ"</f>
        <v>#REF!</v>
      </c>
      <c r="AL28" t="e">
        <f>#REF!+"8O&lt;!tK"</f>
        <v>#REF!</v>
      </c>
      <c r="AM28" t="e">
        <f>#REF!+"8O&lt;!tL"</f>
        <v>#REF!</v>
      </c>
      <c r="AN28" t="e">
        <f>#REF!+"8O&lt;!tM"</f>
        <v>#REF!</v>
      </c>
      <c r="AO28" t="e">
        <f>#REF!+"8O&lt;!tN"</f>
        <v>#REF!</v>
      </c>
      <c r="AP28" t="e">
        <f>#REF!+"8O&lt;!tO"</f>
        <v>#REF!</v>
      </c>
      <c r="AQ28" t="e">
        <f>#REF!+"8O&lt;!tP"</f>
        <v>#REF!</v>
      </c>
      <c r="AR28" t="e">
        <f>#REF!+"8O&lt;!tQ"</f>
        <v>#REF!</v>
      </c>
      <c r="AS28" t="e">
        <f>#REF!+"8O&lt;!tR"</f>
        <v>#REF!</v>
      </c>
      <c r="AT28" t="e">
        <f>#REF!+"8O&lt;!tS"</f>
        <v>#REF!</v>
      </c>
      <c r="AU28" t="e">
        <f>#REF!+"8O&lt;!tT"</f>
        <v>#REF!</v>
      </c>
      <c r="AV28" t="e">
        <f>#REF!+"8O&lt;!tU"</f>
        <v>#REF!</v>
      </c>
      <c r="AW28" t="e">
        <f>#REF!+"8O&lt;!tV"</f>
        <v>#REF!</v>
      </c>
      <c r="AX28" t="e">
        <f>#REF!+"8O&lt;!tW"</f>
        <v>#REF!</v>
      </c>
      <c r="AY28" t="e">
        <f>#REF!+"8O&lt;!tX"</f>
        <v>#REF!</v>
      </c>
      <c r="AZ28" t="e">
        <f>#REF!+"8O&lt;!tY"</f>
        <v>#REF!</v>
      </c>
      <c r="BA28" t="e">
        <f>#REF!+"8O&lt;!tZ"</f>
        <v>#REF!</v>
      </c>
      <c r="BB28" t="e">
        <f>#REF!+"8O&lt;!t["</f>
        <v>#REF!</v>
      </c>
      <c r="BC28" t="e">
        <f>#REF!+"8O&lt;!t\"</f>
        <v>#REF!</v>
      </c>
      <c r="BD28" t="e">
        <f>#REF!+"8O&lt;!t]"</f>
        <v>#REF!</v>
      </c>
      <c r="BE28" t="e">
        <f>#REF!+"8O&lt;!t^"</f>
        <v>#REF!</v>
      </c>
      <c r="BF28" t="e">
        <f>#REF!+"8O&lt;!t_"</f>
        <v>#REF!</v>
      </c>
      <c r="BG28" t="e">
        <f>#REF!+"8O&lt;!t`"</f>
        <v>#REF!</v>
      </c>
      <c r="BH28" t="e">
        <f>#REF!+"8O&lt;!ta"</f>
        <v>#REF!</v>
      </c>
      <c r="BI28" t="e">
        <f>#REF!+"8O&lt;!tb"</f>
        <v>#REF!</v>
      </c>
      <c r="BJ28" t="e">
        <f>#REF!+"8O&lt;!tc"</f>
        <v>#REF!</v>
      </c>
      <c r="BK28" t="e">
        <f>#REF!+"8O&lt;!td"</f>
        <v>#REF!</v>
      </c>
      <c r="BL28" t="e">
        <f>#REF!+"8O&lt;!te"</f>
        <v>#REF!</v>
      </c>
      <c r="BM28" t="e">
        <f>#REF!+"8O&lt;!tf"</f>
        <v>#REF!</v>
      </c>
      <c r="BN28" t="e">
        <f>#REF!+"8O&lt;!tg"</f>
        <v>#REF!</v>
      </c>
      <c r="BO28" t="e">
        <f>#REF!+"8O&lt;!th"</f>
        <v>#REF!</v>
      </c>
      <c r="BP28" t="e">
        <f>#REF!+"8O&lt;!ti"</f>
        <v>#REF!</v>
      </c>
      <c r="BQ28" t="e">
        <f>#REF!+"8O&lt;!tj"</f>
        <v>#REF!</v>
      </c>
      <c r="BR28" t="e">
        <f>#REF!+"8O&lt;!tk"</f>
        <v>#REF!</v>
      </c>
      <c r="BS28" t="e">
        <f>#REF!+"8O&lt;!tl"</f>
        <v>#REF!</v>
      </c>
      <c r="BT28" t="e">
        <f>#REF!+"8O&lt;!tm"</f>
        <v>#REF!</v>
      </c>
      <c r="BU28" t="e">
        <f>#REF!+"8O&lt;!tn"</f>
        <v>#REF!</v>
      </c>
      <c r="BV28" t="e">
        <f>#REF!+"8O&lt;!to"</f>
        <v>#REF!</v>
      </c>
      <c r="BW28" t="e">
        <f>#REF!+"8O&lt;!tp"</f>
        <v>#REF!</v>
      </c>
      <c r="BX28" t="e">
        <f>#REF!+"8O&lt;!tq"</f>
        <v>#REF!</v>
      </c>
      <c r="BY28" t="e">
        <f>#REF!+"8O&lt;!tr"</f>
        <v>#REF!</v>
      </c>
      <c r="BZ28" t="e">
        <f>#REF!+"8O&lt;!ts"</f>
        <v>#REF!</v>
      </c>
      <c r="CA28" t="e">
        <f>#REF!+"8O&lt;!tt"</f>
        <v>#REF!</v>
      </c>
      <c r="CB28" t="e">
        <f>#REF!+"8O&lt;!tu"</f>
        <v>#REF!</v>
      </c>
      <c r="CC28" t="e">
        <f>#REF!+"8O&lt;!tv"</f>
        <v>#REF!</v>
      </c>
      <c r="CD28" t="e">
        <f>#REF!+"8O&lt;!tw"</f>
        <v>#REF!</v>
      </c>
      <c r="CE28" t="e">
        <f>#REF!+"8O&lt;!tx"</f>
        <v>#REF!</v>
      </c>
      <c r="CF28" s="59" t="e">
        <f>#REF!+"8O&lt;!ty"</f>
        <v>#REF!</v>
      </c>
      <c r="CG28" t="e">
        <f>#REF!+"8O&lt;!tz"</f>
        <v>#REF!</v>
      </c>
      <c r="CH28" t="e">
        <f>#REF!+"8O&lt;!t{"</f>
        <v>#REF!</v>
      </c>
      <c r="CI28" t="e">
        <f>#REF!+"8O&lt;!t|"</f>
        <v>#REF!</v>
      </c>
      <c r="CJ28" t="e">
        <f>#REF!+"8O&lt;!t}"</f>
        <v>#REF!</v>
      </c>
      <c r="CK28" t="e">
        <f>#REF!+"8O&lt;!t~"</f>
        <v>#REF!</v>
      </c>
      <c r="CL28" t="e">
        <f>#REF!+"8O&lt;!u#"</f>
        <v>#REF!</v>
      </c>
      <c r="CM28" t="e">
        <f>#REF!+"8O&lt;!u$"</f>
        <v>#REF!</v>
      </c>
      <c r="CN28" t="e">
        <f>#REF!+"8O&lt;!u%"</f>
        <v>#REF!</v>
      </c>
      <c r="CO28" t="e">
        <f>#REF!+"8O&lt;!u&amp;"</f>
        <v>#REF!</v>
      </c>
      <c r="CP28" t="e">
        <f>#REF!+"8O&lt;!u'"</f>
        <v>#REF!</v>
      </c>
      <c r="CQ28" t="e">
        <f>#REF!+"8O&lt;!u("</f>
        <v>#REF!</v>
      </c>
      <c r="CR28" t="e">
        <f>#REF!+"8O&lt;!u)"</f>
        <v>#REF!</v>
      </c>
      <c r="CS28" t="e">
        <f>#REF!+"8O&lt;!u."</f>
        <v>#REF!</v>
      </c>
      <c r="CT28" t="e">
        <f>#REF!+"8O&lt;!u/"</f>
        <v>#REF!</v>
      </c>
      <c r="CU28" t="e">
        <f>#REF!+"8O&lt;!u0"</f>
        <v>#REF!</v>
      </c>
      <c r="CV28" t="e">
        <f>#REF!+"8O&lt;!u1"</f>
        <v>#REF!</v>
      </c>
      <c r="CW28" t="e">
        <f>#REF!+"8O&lt;!u2"</f>
        <v>#REF!</v>
      </c>
      <c r="CX28" t="e">
        <f>#REF!+"8O&lt;!u3"</f>
        <v>#REF!</v>
      </c>
      <c r="CY28" t="e">
        <f>#REF!+"8O&lt;!u4"</f>
        <v>#REF!</v>
      </c>
      <c r="CZ28" t="e">
        <f>#REF!+"8O&lt;!u5"</f>
        <v>#REF!</v>
      </c>
      <c r="DA28" t="e">
        <f>#REF!+"8O&lt;!u6"</f>
        <v>#REF!</v>
      </c>
      <c r="DB28" t="e">
        <f>#REF!+"8O&lt;!u7"</f>
        <v>#REF!</v>
      </c>
      <c r="DC28" t="e">
        <f>#REF!+"8O&lt;!u8"</f>
        <v>#REF!</v>
      </c>
      <c r="DD28" t="e">
        <f>#REF!+"8O&lt;!u9"</f>
        <v>#REF!</v>
      </c>
      <c r="DE28" t="e">
        <f>#REF!+"8O&lt;!u:"</f>
        <v>#REF!</v>
      </c>
      <c r="DF28" t="e">
        <f>#REF!+"8O&lt;!u;"</f>
        <v>#REF!</v>
      </c>
      <c r="DG28" t="e">
        <f>#REF!+"8O&lt;!u&lt;"</f>
        <v>#REF!</v>
      </c>
      <c r="DH28" t="e">
        <f>#REF!+"8O&lt;!u="</f>
        <v>#REF!</v>
      </c>
      <c r="DI28" t="e">
        <f>#REF!+"8O&lt;!u&gt;"</f>
        <v>#REF!</v>
      </c>
      <c r="DJ28" t="e">
        <f>#REF!+"8O&lt;!u?"</f>
        <v>#REF!</v>
      </c>
      <c r="DK28" t="e">
        <f>#REF!+"8O&lt;!u@"</f>
        <v>#REF!</v>
      </c>
      <c r="DL28" t="e">
        <f>#REF!+"8O&lt;!uA"</f>
        <v>#REF!</v>
      </c>
      <c r="DM28" t="e">
        <f>#REF!+"8O&lt;!uB"</f>
        <v>#REF!</v>
      </c>
      <c r="DN28" t="e">
        <f>#REF!+"8O&lt;!uC"</f>
        <v>#REF!</v>
      </c>
      <c r="DO28" t="e">
        <f>#REF!+"8O&lt;!uD"</f>
        <v>#REF!</v>
      </c>
      <c r="DP28" t="e">
        <f>#REF!+"8O&lt;!uE"</f>
        <v>#REF!</v>
      </c>
      <c r="DQ28" t="e">
        <f>#REF!+"8O&lt;!uF"</f>
        <v>#REF!</v>
      </c>
      <c r="DR28" t="e">
        <f>#REF!+"8O&lt;!uG"</f>
        <v>#REF!</v>
      </c>
      <c r="DS28" t="e">
        <f>#REF!+"8O&lt;!uH"</f>
        <v>#REF!</v>
      </c>
      <c r="DT28" t="e">
        <f>#REF!+"8O&lt;!uI"</f>
        <v>#REF!</v>
      </c>
      <c r="DU28" t="e">
        <f>#REF!+"8O&lt;!uJ"</f>
        <v>#REF!</v>
      </c>
      <c r="DV28" t="e">
        <f>#REF!+"8O&lt;!uK"</f>
        <v>#REF!</v>
      </c>
      <c r="DW28" t="e">
        <f>#REF!+"8O&lt;!uL"</f>
        <v>#REF!</v>
      </c>
      <c r="DX28" t="e">
        <f>#REF!+"8O&lt;!uM"</f>
        <v>#REF!</v>
      </c>
      <c r="DY28" t="e">
        <f>#REF!+"8O&lt;!uN"</f>
        <v>#REF!</v>
      </c>
      <c r="DZ28" t="e">
        <f>#REF!+"8O&lt;!uO"</f>
        <v>#REF!</v>
      </c>
      <c r="EA28" t="e">
        <f>#REF!+"8O&lt;!uP"</f>
        <v>#REF!</v>
      </c>
      <c r="EB28" t="e">
        <f>#REF!+"8O&lt;!uQ"</f>
        <v>#REF!</v>
      </c>
      <c r="EC28" t="e">
        <f>#REF!+"8O&lt;!uR"</f>
        <v>#REF!</v>
      </c>
      <c r="ED28" t="e">
        <f>#REF!+"8O&lt;!uS"</f>
        <v>#REF!</v>
      </c>
      <c r="EE28" t="e">
        <f>#REF!+"8O&lt;!uT"</f>
        <v>#REF!</v>
      </c>
      <c r="EF28" t="e">
        <f>#REF!+"8O&lt;!uU"</f>
        <v>#REF!</v>
      </c>
      <c r="EG28" t="e">
        <f>#REF!+"8O&lt;!uV"</f>
        <v>#REF!</v>
      </c>
      <c r="EH28" t="e">
        <f>#REF!+"8O&lt;!uW"</f>
        <v>#REF!</v>
      </c>
      <c r="EI28" t="e">
        <f>#REF!+"8O&lt;!uX"</f>
        <v>#REF!</v>
      </c>
      <c r="EJ28" t="e">
        <f>#REF!+"8O&lt;!uY"</f>
        <v>#REF!</v>
      </c>
      <c r="EK28" t="e">
        <f>#REF!+"8O&lt;!uZ"</f>
        <v>#REF!</v>
      </c>
      <c r="EL28" t="e">
        <f>#REF!+"8O&lt;!u["</f>
        <v>#REF!</v>
      </c>
      <c r="EM28" t="e">
        <f>#REF!+"8O&lt;!u\"</f>
        <v>#REF!</v>
      </c>
      <c r="EN28" t="e">
        <f>#REF!+"8O&lt;!u]"</f>
        <v>#REF!</v>
      </c>
      <c r="EO28" t="e">
        <f>#REF!+"8O&lt;!u^"</f>
        <v>#REF!</v>
      </c>
      <c r="EP28" t="e">
        <f>#REF!+"8O&lt;!u_"</f>
        <v>#REF!</v>
      </c>
      <c r="EQ28" t="e">
        <f>#REF!+"8O&lt;!u`"</f>
        <v>#REF!</v>
      </c>
      <c r="ER28" t="e">
        <f>#REF!+"8O&lt;!ua"</f>
        <v>#REF!</v>
      </c>
      <c r="ES28" t="e">
        <f>#REF!+"8O&lt;!ub"</f>
        <v>#REF!</v>
      </c>
      <c r="ET28" t="e">
        <f>#REF!+"8O&lt;!uc"</f>
        <v>#REF!</v>
      </c>
      <c r="EU28" t="e">
        <f>#REF!+"8O&lt;!ud"</f>
        <v>#REF!</v>
      </c>
      <c r="EV28" t="e">
        <f>#REF!+"8O&lt;!ue"</f>
        <v>#REF!</v>
      </c>
      <c r="EW28" t="e">
        <f>#REF!+"8O&lt;!uf"</f>
        <v>#REF!</v>
      </c>
      <c r="EX28" t="e">
        <f>#REF!+"8O&lt;!ug"</f>
        <v>#REF!</v>
      </c>
      <c r="EY28" t="e">
        <f>#REF!+"8O&lt;!uh"</f>
        <v>#REF!</v>
      </c>
      <c r="EZ28" t="e">
        <f>#REF!+"8O&lt;!ui"</f>
        <v>#REF!</v>
      </c>
      <c r="FA28" t="e">
        <f>#REF!+"8O&lt;!uj"</f>
        <v>#REF!</v>
      </c>
      <c r="FB28" t="e">
        <f>#REF!+"8O&lt;!uk"</f>
        <v>#REF!</v>
      </c>
      <c r="FC28" t="e">
        <f>#REF!+"8O&lt;!ul"</f>
        <v>#REF!</v>
      </c>
      <c r="FD28" t="e">
        <f>#REF!+"8O&lt;!um"</f>
        <v>#REF!</v>
      </c>
      <c r="FE28" t="e">
        <f>#REF!+"8O&lt;!un"</f>
        <v>#REF!</v>
      </c>
      <c r="FF28" t="e">
        <f>#REF!+"8O&lt;!uo"</f>
        <v>#REF!</v>
      </c>
      <c r="FG28" t="e">
        <f>#REF!+"8O&lt;!up"</f>
        <v>#REF!</v>
      </c>
      <c r="FH28" t="e">
        <f>#REF!+"8O&lt;!uq"</f>
        <v>#REF!</v>
      </c>
      <c r="FI28" t="e">
        <f>#REF!+"8O&lt;!ur"</f>
        <v>#REF!</v>
      </c>
      <c r="FJ28" t="e">
        <f>#REF!+"8O&lt;!us"</f>
        <v>#REF!</v>
      </c>
      <c r="FK28" t="e">
        <f>#REF!+"8O&lt;!ut"</f>
        <v>#REF!</v>
      </c>
      <c r="FL28" t="e">
        <f>#REF!+"8O&lt;!uu"</f>
        <v>#REF!</v>
      </c>
      <c r="FM28" t="e">
        <f>#REF!+"8O&lt;!uv"</f>
        <v>#REF!</v>
      </c>
      <c r="FN28" t="e">
        <f>#REF!+"8O&lt;!uw"</f>
        <v>#REF!</v>
      </c>
      <c r="FO28" t="e">
        <f>#REF!+"8O&lt;!ux"</f>
        <v>#REF!</v>
      </c>
      <c r="FP28" t="e">
        <f>#REF!+"8O&lt;!uy"</f>
        <v>#REF!</v>
      </c>
      <c r="FQ28" t="e">
        <f>#REF!+"8O&lt;!uz"</f>
        <v>#REF!</v>
      </c>
      <c r="FR28" t="e">
        <f>#REF!+"8O&lt;!u{"</f>
        <v>#REF!</v>
      </c>
      <c r="FS28" t="e">
        <f>#REF!+"8O&lt;!u|"</f>
        <v>#REF!</v>
      </c>
      <c r="FT28" t="e">
        <f>#REF!+"8O&lt;!u}"</f>
        <v>#REF!</v>
      </c>
      <c r="FU28" t="e">
        <f>#REF!+"8O&lt;!u~"</f>
        <v>#REF!</v>
      </c>
      <c r="FV28" t="e">
        <f>#REF!+"8O&lt;!v#"</f>
        <v>#REF!</v>
      </c>
      <c r="FW28" t="e">
        <f>#REF!+"8O&lt;!v$"</f>
        <v>#REF!</v>
      </c>
      <c r="FX28" t="e">
        <f>#REF!+"8O&lt;!v%"</f>
        <v>#REF!</v>
      </c>
      <c r="FY28" t="e">
        <f>#REF!+"8O&lt;!v&amp;"</f>
        <v>#REF!</v>
      </c>
      <c r="FZ28" t="e">
        <f>#REF!+"8O&lt;!v'"</f>
        <v>#REF!</v>
      </c>
      <c r="GA28" t="e">
        <f>#REF!+"8O&lt;!v("</f>
        <v>#REF!</v>
      </c>
      <c r="GB28" t="e">
        <f>#REF!+"8O&lt;!v)"</f>
        <v>#REF!</v>
      </c>
      <c r="GC28" t="e">
        <f>#REF!+"8O&lt;!v."</f>
        <v>#REF!</v>
      </c>
      <c r="GD28" t="e">
        <f>#REF!+"8O&lt;!v/"</f>
        <v>#REF!</v>
      </c>
      <c r="GE28" t="e">
        <f>#REF!+"8O&lt;!v0"</f>
        <v>#REF!</v>
      </c>
      <c r="GF28" t="e">
        <f>#REF!+"8O&lt;!v1"</f>
        <v>#REF!</v>
      </c>
      <c r="GG28" t="e">
        <f>#REF!+"8O&lt;!v2"</f>
        <v>#REF!</v>
      </c>
      <c r="GH28" t="e">
        <f>#REF!+"8O&lt;!v3"</f>
        <v>#REF!</v>
      </c>
      <c r="GI28" t="e">
        <f>#REF!+"8O&lt;!v4"</f>
        <v>#REF!</v>
      </c>
      <c r="GJ28" t="e">
        <f>#REF!+"8O&lt;!v5"</f>
        <v>#REF!</v>
      </c>
      <c r="GK28" t="e">
        <f>#REF!+"8O&lt;!v6"</f>
        <v>#REF!</v>
      </c>
      <c r="GL28" t="e">
        <f>#REF!+"8O&lt;!v7"</f>
        <v>#REF!</v>
      </c>
      <c r="GM28" t="e">
        <f>#REF!+"8O&lt;!v8"</f>
        <v>#REF!</v>
      </c>
      <c r="GN28" t="e">
        <f>#REF!+"8O&lt;!v9"</f>
        <v>#REF!</v>
      </c>
      <c r="GO28" t="e">
        <f>#REF!+"8O&lt;!v:"</f>
        <v>#REF!</v>
      </c>
      <c r="GP28" t="e">
        <f>#REF!+"8O&lt;!v;"</f>
        <v>#REF!</v>
      </c>
      <c r="GQ28" t="e">
        <f>#REF!+"8O&lt;!v&lt;"</f>
        <v>#REF!</v>
      </c>
      <c r="GR28" t="e">
        <f>#REF!+"8O&lt;!v="</f>
        <v>#REF!</v>
      </c>
      <c r="GS28" t="e">
        <f>#REF!+"8O&lt;!v&gt;"</f>
        <v>#REF!</v>
      </c>
      <c r="GT28" t="e">
        <f>#REF!+"8O&lt;!v?"</f>
        <v>#REF!</v>
      </c>
      <c r="GU28" t="e">
        <f>#REF!+"8O&lt;!v@"</f>
        <v>#REF!</v>
      </c>
      <c r="GV28" t="e">
        <f>#REF!+"8O&lt;!vA"</f>
        <v>#REF!</v>
      </c>
      <c r="GW28" t="e">
        <f>#REF!+"8O&lt;!vB"</f>
        <v>#REF!</v>
      </c>
      <c r="GX28" t="e">
        <f>#REF!+"8O&lt;!vC"</f>
        <v>#REF!</v>
      </c>
      <c r="GY28" t="e">
        <f>#REF!+"8O&lt;!vD"</f>
        <v>#REF!</v>
      </c>
      <c r="GZ28" t="e">
        <f>#REF!+"8O&lt;!vE"</f>
        <v>#REF!</v>
      </c>
      <c r="HA28" t="e">
        <f>#REF!+"8O&lt;!vF"</f>
        <v>#REF!</v>
      </c>
      <c r="HB28" t="e">
        <f>#REF!+"8O&lt;!vG"</f>
        <v>#REF!</v>
      </c>
      <c r="HC28" t="e">
        <f>#REF!+"8O&lt;!vH"</f>
        <v>#REF!</v>
      </c>
      <c r="HD28" t="e">
        <f>#REF!+"8O&lt;!vI"</f>
        <v>#REF!</v>
      </c>
      <c r="HE28" t="e">
        <f>#REF!+"8O&lt;!vJ"</f>
        <v>#REF!</v>
      </c>
      <c r="HF28" t="e">
        <f>#REF!+"8O&lt;!vK"</f>
        <v>#REF!</v>
      </c>
      <c r="HG28" t="e">
        <f>#REF!+"8O&lt;!vL"</f>
        <v>#REF!</v>
      </c>
      <c r="HH28" t="e">
        <f>#REF!+"8O&lt;!vM"</f>
        <v>#REF!</v>
      </c>
      <c r="HI28" t="e">
        <f>#REF!+"8O&lt;!vN"</f>
        <v>#REF!</v>
      </c>
      <c r="HJ28" t="e">
        <f>#REF!+"8O&lt;!vO"</f>
        <v>#REF!</v>
      </c>
      <c r="HK28" t="e">
        <f>#REF!+"8O&lt;!vP"</f>
        <v>#REF!</v>
      </c>
      <c r="HL28" t="e">
        <f>#REF!+"8O&lt;!vQ"</f>
        <v>#REF!</v>
      </c>
      <c r="HM28" t="e">
        <f>#REF!+"8O&lt;!vR"</f>
        <v>#REF!</v>
      </c>
      <c r="HN28" t="e">
        <f>#REF!+"8O&lt;!vS"</f>
        <v>#REF!</v>
      </c>
      <c r="HO28" t="e">
        <f>#REF!+"8O&lt;!vT"</f>
        <v>#REF!</v>
      </c>
      <c r="HP28" t="e">
        <f>#REF!+"8O&lt;!vU"</f>
        <v>#REF!</v>
      </c>
      <c r="HQ28" t="e">
        <f>#REF!+"8O&lt;!vV"</f>
        <v>#REF!</v>
      </c>
      <c r="HR28" t="e">
        <f>#REF!+"8O&lt;!vW"</f>
        <v>#REF!</v>
      </c>
      <c r="HS28" t="e">
        <f>#REF!+"8O&lt;!vX"</f>
        <v>#REF!</v>
      </c>
      <c r="HT28" t="e">
        <f>#REF!+"8O&lt;!vY"</f>
        <v>#REF!</v>
      </c>
      <c r="HU28" t="e">
        <f>#REF!+"8O&lt;!vZ"</f>
        <v>#REF!</v>
      </c>
      <c r="HV28" t="e">
        <f>#REF!+"8O&lt;!v["</f>
        <v>#REF!</v>
      </c>
      <c r="HW28" t="e">
        <f>#REF!+"8O&lt;!v\"</f>
        <v>#REF!</v>
      </c>
      <c r="HX28" t="e">
        <f>#REF!+"8O&lt;!v]"</f>
        <v>#REF!</v>
      </c>
      <c r="HY28" t="e">
        <f>#REF!+"8O&lt;!v^"</f>
        <v>#REF!</v>
      </c>
      <c r="HZ28" t="e">
        <f>#REF!+"8O&lt;!v_"</f>
        <v>#REF!</v>
      </c>
      <c r="IA28" t="e">
        <f>#REF!+"8O&lt;!v`"</f>
        <v>#REF!</v>
      </c>
      <c r="IB28" t="e">
        <f>#REF!+"8O&lt;!va"</f>
        <v>#REF!</v>
      </c>
      <c r="IC28" t="e">
        <f>#REF!+"8O&lt;!vb"</f>
        <v>#REF!</v>
      </c>
      <c r="ID28" t="e">
        <f>#REF!+"8O&lt;!vc"</f>
        <v>#REF!</v>
      </c>
      <c r="IE28" t="e">
        <f>#REF!+"8O&lt;!vd"</f>
        <v>#REF!</v>
      </c>
      <c r="IF28" t="e">
        <f>#REF!+"8O&lt;!ve"</f>
        <v>#REF!</v>
      </c>
      <c r="IG28" t="e">
        <f>#REF!+"8O&lt;!vf"</f>
        <v>#REF!</v>
      </c>
      <c r="IH28" t="e">
        <f>#REF!+"8O&lt;!vg"</f>
        <v>#REF!</v>
      </c>
      <c r="II28" t="e">
        <f>#REF!+"8O&lt;!vh"</f>
        <v>#REF!</v>
      </c>
      <c r="IJ28" t="e">
        <f>#REF!+"8O&lt;!vi"</f>
        <v>#REF!</v>
      </c>
      <c r="IK28" t="e">
        <f>#REF!+"8O&lt;!vj"</f>
        <v>#REF!</v>
      </c>
      <c r="IL28" t="e">
        <f>#REF!+"8O&lt;!vk"</f>
        <v>#REF!</v>
      </c>
      <c r="IM28" t="e">
        <f>#REF!+"8O&lt;!vl"</f>
        <v>#REF!</v>
      </c>
      <c r="IN28" t="e">
        <f>#REF!+"8O&lt;!vm"</f>
        <v>#REF!</v>
      </c>
      <c r="IO28" t="e">
        <f>#REF!+"8O&lt;!vn"</f>
        <v>#REF!</v>
      </c>
      <c r="IP28" t="e">
        <f>#REF!+"8O&lt;!vo"</f>
        <v>#REF!</v>
      </c>
      <c r="IQ28" t="e">
        <f>#REF!+"8O&lt;!vp"</f>
        <v>#REF!</v>
      </c>
      <c r="IR28" t="e">
        <f>#REF!+"8O&lt;!vq"</f>
        <v>#REF!</v>
      </c>
      <c r="IS28" t="e">
        <f>#REF!+"8O&lt;!vr"</f>
        <v>#REF!</v>
      </c>
      <c r="IT28" t="e">
        <f>#REF!+"8O&lt;!vs"</f>
        <v>#REF!</v>
      </c>
      <c r="IU28" t="e">
        <f>#REF!+"8O&lt;!vt"</f>
        <v>#REF!</v>
      </c>
      <c r="IV28" t="e">
        <f>#REF!+"8O&lt;!vu"</f>
        <v>#REF!</v>
      </c>
    </row>
    <row r="29" spans="6:256" x14ac:dyDescent="0.25">
      <c r="F29" t="e">
        <f>#REF!+"8O&lt;!vv"</f>
        <v>#REF!</v>
      </c>
      <c r="G29" t="e">
        <f>#REF!+"8O&lt;!vw"</f>
        <v>#REF!</v>
      </c>
      <c r="H29" t="e">
        <f>#REF!+"8O&lt;!vx"</f>
        <v>#REF!</v>
      </c>
      <c r="I29" t="e">
        <f>#REF!+"8O&lt;!vy"</f>
        <v>#REF!</v>
      </c>
      <c r="J29" t="e">
        <f>#REF!+"8O&lt;!vz"</f>
        <v>#REF!</v>
      </c>
      <c r="K29" t="e">
        <f>#REF!+"8O&lt;!v{"</f>
        <v>#REF!</v>
      </c>
      <c r="L29" t="e">
        <f>#REF!+"8O&lt;!v|"</f>
        <v>#REF!</v>
      </c>
      <c r="M29" t="e">
        <f>#REF!+"8O&lt;!v}"</f>
        <v>#REF!</v>
      </c>
      <c r="N29" t="e">
        <f>#REF!+"8O&lt;!v~"</f>
        <v>#REF!</v>
      </c>
      <c r="O29" t="e">
        <f>#REF!+"8O&lt;!w#"</f>
        <v>#REF!</v>
      </c>
      <c r="P29" t="e">
        <f>#REF!+"8O&lt;!w$"</f>
        <v>#REF!</v>
      </c>
      <c r="Q29" t="e">
        <f>#REF!+"8O&lt;!w%"</f>
        <v>#REF!</v>
      </c>
      <c r="R29" t="e">
        <f>#REF!+"8O&lt;!w&amp;"</f>
        <v>#REF!</v>
      </c>
      <c r="S29" t="e">
        <f>#REF!+"8O&lt;!w'"</f>
        <v>#REF!</v>
      </c>
      <c r="T29" t="e">
        <f>#REF!+"8O&lt;!w("</f>
        <v>#REF!</v>
      </c>
      <c r="U29" t="e">
        <f>#REF!+"8O&lt;!w)"</f>
        <v>#REF!</v>
      </c>
      <c r="V29" t="e">
        <f>#REF!+"8O&lt;!w."</f>
        <v>#REF!</v>
      </c>
      <c r="W29" t="e">
        <f>#REF!+"8O&lt;!w/"</f>
        <v>#REF!</v>
      </c>
      <c r="X29" t="e">
        <f>#REF!+"8O&lt;!w0"</f>
        <v>#REF!</v>
      </c>
      <c r="Y29" t="e">
        <f>#REF!+"8O&lt;!w1"</f>
        <v>#REF!</v>
      </c>
      <c r="Z29" t="e">
        <f>#REF!+"8O&lt;!w2"</f>
        <v>#REF!</v>
      </c>
      <c r="AA29" t="e">
        <f>#REF!+"8O&lt;!w3"</f>
        <v>#REF!</v>
      </c>
      <c r="AB29" t="e">
        <f>#REF!+"8O&lt;!w4"</f>
        <v>#REF!</v>
      </c>
      <c r="AC29" t="e">
        <f>#REF!+"8O&lt;!w5"</f>
        <v>#REF!</v>
      </c>
      <c r="AD29" t="e">
        <f>#REF!+"8O&lt;!w6"</f>
        <v>#REF!</v>
      </c>
      <c r="AE29" t="e">
        <f>#REF!+"8O&lt;!w7"</f>
        <v>#REF!</v>
      </c>
      <c r="AF29" t="e">
        <f>#REF!+"8O&lt;!w8"</f>
        <v>#REF!</v>
      </c>
      <c r="AG29" t="e">
        <f>#REF!+"8O&lt;!w9"</f>
        <v>#REF!</v>
      </c>
      <c r="AH29" t="e">
        <f>#REF!+"8O&lt;!w:"</f>
        <v>#REF!</v>
      </c>
      <c r="AI29" t="e">
        <f>#REF!+"8O&lt;!w;"</f>
        <v>#REF!</v>
      </c>
      <c r="AJ29" t="e">
        <f>#REF!+"8O&lt;!w&lt;"</f>
        <v>#REF!</v>
      </c>
      <c r="AK29" t="e">
        <f>#REF!+"8O&lt;!w="</f>
        <v>#REF!</v>
      </c>
      <c r="AL29" t="e">
        <f>#REF!+"8O&lt;!w&gt;"</f>
        <v>#REF!</v>
      </c>
      <c r="AM29" t="e">
        <f>#REF!+"8O&lt;!w?"</f>
        <v>#REF!</v>
      </c>
      <c r="AN29" t="e">
        <f>#REF!+"8O&lt;!w@"</f>
        <v>#REF!</v>
      </c>
      <c r="AO29" t="e">
        <f>#REF!+"8O&lt;!wA"</f>
        <v>#REF!</v>
      </c>
      <c r="AP29" t="e">
        <f>#REF!+"8O&lt;!wB"</f>
        <v>#REF!</v>
      </c>
      <c r="AQ29" t="e">
        <f>#REF!+"8O&lt;!wC"</f>
        <v>#REF!</v>
      </c>
      <c r="AR29" t="e">
        <f>#REF!+"8O&lt;!wD"</f>
        <v>#REF!</v>
      </c>
      <c r="AS29" t="e">
        <f>#REF!+"8O&lt;!wE"</f>
        <v>#REF!</v>
      </c>
      <c r="AT29" t="e">
        <f>#REF!+"8O&lt;!wF"</f>
        <v>#REF!</v>
      </c>
      <c r="AU29" t="e">
        <f>#REF!+"8O&lt;!wG"</f>
        <v>#REF!</v>
      </c>
      <c r="AV29" t="e">
        <f>#REF!+"8O&lt;!wH"</f>
        <v>#REF!</v>
      </c>
      <c r="AW29" t="e">
        <f>#REF!+"8O&lt;!wI"</f>
        <v>#REF!</v>
      </c>
      <c r="AX29" t="e">
        <f>#REF!+"8O&lt;!wJ"</f>
        <v>#REF!</v>
      </c>
      <c r="AY29" t="e">
        <f>#REF!+"8O&lt;!wK"</f>
        <v>#REF!</v>
      </c>
      <c r="AZ29" t="e">
        <f>#REF!+"8O&lt;!wL"</f>
        <v>#REF!</v>
      </c>
      <c r="BA29" t="e">
        <f>#REF!+"8O&lt;!wM"</f>
        <v>#REF!</v>
      </c>
      <c r="BB29" t="e">
        <f>#REF!+"8O&lt;!wN"</f>
        <v>#REF!</v>
      </c>
      <c r="BC29" t="e">
        <f>#REF!+"8O&lt;!wO"</f>
        <v>#REF!</v>
      </c>
      <c r="BD29" t="e">
        <f>#REF!+"8O&lt;!wP"</f>
        <v>#REF!</v>
      </c>
      <c r="BE29" t="e">
        <f>#REF!+"8O&lt;!wQ"</f>
        <v>#REF!</v>
      </c>
      <c r="BF29" t="e">
        <f>#REF!+"8O&lt;!wR"</f>
        <v>#REF!</v>
      </c>
      <c r="BG29" t="e">
        <f>#REF!+"8O&lt;!wS"</f>
        <v>#REF!</v>
      </c>
      <c r="BH29" t="e">
        <f>#REF!+"8O&lt;!wT"</f>
        <v>#REF!</v>
      </c>
      <c r="BI29" t="e">
        <f>#REF!+"8O&lt;!wU"</f>
        <v>#REF!</v>
      </c>
      <c r="BJ29" t="e">
        <f>#REF!+"8O&lt;!wV"</f>
        <v>#REF!</v>
      </c>
      <c r="BK29" t="e">
        <f>#REF!+"8O&lt;!wW"</f>
        <v>#REF!</v>
      </c>
      <c r="BL29" t="e">
        <f>#REF!+"8O&lt;!wX"</f>
        <v>#REF!</v>
      </c>
      <c r="BM29" t="e">
        <f>#REF!+"8O&lt;!wY"</f>
        <v>#REF!</v>
      </c>
      <c r="BN29" t="e">
        <f>#REF!+"8O&lt;!wZ"</f>
        <v>#REF!</v>
      </c>
      <c r="BO29" t="e">
        <f>#REF!+"8O&lt;!w["</f>
        <v>#REF!</v>
      </c>
      <c r="BP29" t="e">
        <f>#REF!+"8O&lt;!w\"</f>
        <v>#REF!</v>
      </c>
      <c r="BQ29" t="e">
        <f>#REF!+"8O&lt;!w]"</f>
        <v>#REF!</v>
      </c>
      <c r="BR29" t="e">
        <f>#REF!+"8O&lt;!w^"</f>
        <v>#REF!</v>
      </c>
      <c r="BS29" t="e">
        <f>#REF!+"8O&lt;!w_"</f>
        <v>#REF!</v>
      </c>
      <c r="BT29" t="e">
        <f>#REF!+"8O&lt;!w`"</f>
        <v>#REF!</v>
      </c>
      <c r="BU29" t="e">
        <f>#REF!+"8O&lt;!wa"</f>
        <v>#REF!</v>
      </c>
      <c r="BV29" t="e">
        <f>#REF!+"8O&lt;!wb"</f>
        <v>#REF!</v>
      </c>
      <c r="BW29" t="e">
        <f>#REF!+"8O&lt;!wc"</f>
        <v>#REF!</v>
      </c>
      <c r="BX29" t="e">
        <f>#REF!+"8O&lt;!wd"</f>
        <v>#REF!</v>
      </c>
      <c r="BY29" t="e">
        <f>#REF!+"8O&lt;!we"</f>
        <v>#REF!</v>
      </c>
      <c r="BZ29" t="e">
        <f>#REF!+"8O&lt;!wf"</f>
        <v>#REF!</v>
      </c>
      <c r="CA29" t="e">
        <f>#REF!+"8O&lt;!wg"</f>
        <v>#REF!</v>
      </c>
      <c r="CB29" t="e">
        <f>#REF!+"8O&lt;!wh"</f>
        <v>#REF!</v>
      </c>
      <c r="CC29" t="e">
        <f>#REF!+"8O&lt;!wi"</f>
        <v>#REF!</v>
      </c>
      <c r="CD29" t="e">
        <f>#REF!+"8O&lt;!wj"</f>
        <v>#REF!</v>
      </c>
      <c r="CE29" t="e">
        <f>#REF!+"8O&lt;!wk"</f>
        <v>#REF!</v>
      </c>
      <c r="CF29" t="e">
        <f>#REF!+"8O&lt;!wl"</f>
        <v>#REF!</v>
      </c>
      <c r="CG29" t="e">
        <f>#REF!+"8O&lt;!wm"</f>
        <v>#REF!</v>
      </c>
      <c r="CH29" t="e">
        <f>#REF!+"8O&lt;!wn"</f>
        <v>#REF!</v>
      </c>
      <c r="CI29" t="e">
        <f>#REF!+"8O&lt;!wo"</f>
        <v>#REF!</v>
      </c>
      <c r="CJ29" t="e">
        <f>#REF!+"8O&lt;!wp"</f>
        <v>#REF!</v>
      </c>
      <c r="CK29" t="e">
        <f>#REF!+"8O&lt;!wq"</f>
        <v>#REF!</v>
      </c>
      <c r="CL29" t="e">
        <f>#REF!+"8O&lt;!wr"</f>
        <v>#REF!</v>
      </c>
      <c r="CM29" t="e">
        <f>#REF!+"8O&lt;!ws"</f>
        <v>#REF!</v>
      </c>
      <c r="CN29" t="e">
        <f>#REF!+"8O&lt;!wt"</f>
        <v>#REF!</v>
      </c>
      <c r="CO29" t="e">
        <f>#REF!+"8O&lt;!wu"</f>
        <v>#REF!</v>
      </c>
      <c r="CP29" t="e">
        <f>#REF!+"8O&lt;!wv"</f>
        <v>#REF!</v>
      </c>
      <c r="CQ29" t="e">
        <f>#REF!+"8O&lt;!ww"</f>
        <v>#REF!</v>
      </c>
      <c r="CR29" t="e">
        <f>#REF!+"8O&lt;!wx"</f>
        <v>#REF!</v>
      </c>
      <c r="CS29" t="e">
        <f>#REF!+"8O&lt;!wy"</f>
        <v>#REF!</v>
      </c>
      <c r="CT29" t="e">
        <f>#REF!+"8O&lt;!wz"</f>
        <v>#REF!</v>
      </c>
      <c r="CU29" t="e">
        <f>#REF!+"8O&lt;!w{"</f>
        <v>#REF!</v>
      </c>
      <c r="CV29" t="e">
        <f>#REF!+"8O&lt;!w|"</f>
        <v>#REF!</v>
      </c>
      <c r="CW29" t="e">
        <f>#REF!+"8O&lt;!w}"</f>
        <v>#REF!</v>
      </c>
      <c r="CX29" t="e">
        <f>#REF!+"8O&lt;!w~"</f>
        <v>#REF!</v>
      </c>
      <c r="CY29" t="e">
        <f>#REF!+"8O&lt;!x#"</f>
        <v>#REF!</v>
      </c>
      <c r="CZ29" t="e">
        <f>#REF!+"8O&lt;!x$"</f>
        <v>#REF!</v>
      </c>
      <c r="DA29" t="e">
        <f>#REF!+"8O&lt;!x%"</f>
        <v>#REF!</v>
      </c>
      <c r="DB29" t="e">
        <f>#REF!+"8O&lt;!x&amp;"</f>
        <v>#REF!</v>
      </c>
      <c r="DC29" t="e">
        <f>#REF!+"8O&lt;!x'"</f>
        <v>#REF!</v>
      </c>
      <c r="DD29" t="e">
        <f>#REF!+"8O&lt;!x("</f>
        <v>#REF!</v>
      </c>
      <c r="DE29" t="e">
        <f>#REF!+"8O&lt;!x)"</f>
        <v>#REF!</v>
      </c>
      <c r="DF29" t="e">
        <f>#REF!+"8O&lt;!x."</f>
        <v>#REF!</v>
      </c>
      <c r="DG29" t="e">
        <f>#REF!+"8O&lt;!x/"</f>
        <v>#REF!</v>
      </c>
      <c r="DH29" t="e">
        <f>#REF!+"8O&lt;!x0"</f>
        <v>#REF!</v>
      </c>
      <c r="DI29" t="e">
        <f>#REF!+"8O&lt;!x1"</f>
        <v>#REF!</v>
      </c>
      <c r="DJ29" t="e">
        <f>#REF!+"8O&lt;!x2"</f>
        <v>#REF!</v>
      </c>
      <c r="DK29" t="e">
        <f>#REF!+"8O&lt;!x3"</f>
        <v>#REF!</v>
      </c>
      <c r="DL29" t="e">
        <f>#REF!+"8O&lt;!x4"</f>
        <v>#REF!</v>
      </c>
      <c r="DM29" t="e">
        <f>#REF!+"8O&lt;!x5"</f>
        <v>#REF!</v>
      </c>
      <c r="DN29" t="e">
        <f>#REF!+"8O&lt;!x6"</f>
        <v>#REF!</v>
      </c>
      <c r="DO29" t="e">
        <f>#REF!+"8O&lt;!x7"</f>
        <v>#REF!</v>
      </c>
      <c r="DP29" t="e">
        <f>#REF!+"8O&lt;!x8"</f>
        <v>#REF!</v>
      </c>
      <c r="DQ29" t="e">
        <f>#REF!+"8O&lt;!x9"</f>
        <v>#REF!</v>
      </c>
      <c r="DR29" t="e">
        <f>#REF!+"8O&lt;!x:"</f>
        <v>#REF!</v>
      </c>
      <c r="DS29" t="e">
        <f>#REF!+"8O&lt;!x;"</f>
        <v>#REF!</v>
      </c>
      <c r="DT29" t="e">
        <f>#REF!+"8O&lt;!x&lt;"</f>
        <v>#REF!</v>
      </c>
      <c r="DU29" t="e">
        <f>#REF!+"8O&lt;!x="</f>
        <v>#REF!</v>
      </c>
      <c r="DV29" t="e">
        <f>#REF!+"8O&lt;!x&gt;"</f>
        <v>#REF!</v>
      </c>
      <c r="DW29" t="e">
        <f>#REF!+"8O&lt;!x?"</f>
        <v>#REF!</v>
      </c>
      <c r="DX29" t="e">
        <f>#REF!+"8O&lt;!x@"</f>
        <v>#REF!</v>
      </c>
      <c r="DY29" t="e">
        <f>#REF!+"8O&lt;!xA"</f>
        <v>#REF!</v>
      </c>
      <c r="DZ29" t="e">
        <f>#REF!+"8O&lt;!xB"</f>
        <v>#REF!</v>
      </c>
      <c r="EA29" t="e">
        <f>#REF!+"8O&lt;!xC"</f>
        <v>#REF!</v>
      </c>
      <c r="EB29" t="e">
        <f>#REF!+"8O&lt;!xD"</f>
        <v>#REF!</v>
      </c>
      <c r="EC29" t="e">
        <f>#REF!+"8O&lt;!xE"</f>
        <v>#REF!</v>
      </c>
      <c r="ED29" t="e">
        <f>#REF!+"8O&lt;!xF"</f>
        <v>#REF!</v>
      </c>
      <c r="EE29" t="e">
        <f>#REF!+"8O&lt;!xG"</f>
        <v>#REF!</v>
      </c>
      <c r="EF29" t="e">
        <f>#REF!+"8O&lt;!xH"</f>
        <v>#REF!</v>
      </c>
      <c r="EG29" t="e">
        <f>#REF!+"8O&lt;!xI"</f>
        <v>#REF!</v>
      </c>
      <c r="EH29" t="e">
        <f>#REF!+"8O&lt;!xJ"</f>
        <v>#REF!</v>
      </c>
      <c r="EI29" t="e">
        <f>#REF!+"8O&lt;!xK"</f>
        <v>#REF!</v>
      </c>
      <c r="EJ29" t="e">
        <f>#REF!+"8O&lt;!xL"</f>
        <v>#REF!</v>
      </c>
      <c r="EK29" t="e">
        <f>#REF!+"8O&lt;!xM"</f>
        <v>#REF!</v>
      </c>
      <c r="EL29" t="e">
        <f>#REF!+"8O&lt;!xN"</f>
        <v>#REF!</v>
      </c>
      <c r="EM29" t="e">
        <f>#REF!+"8O&lt;!xO"</f>
        <v>#REF!</v>
      </c>
      <c r="EN29" t="e">
        <f>#REF!+"8O&lt;!xP"</f>
        <v>#REF!</v>
      </c>
      <c r="EO29" t="e">
        <f>#REF!+"8O&lt;!xQ"</f>
        <v>#REF!</v>
      </c>
      <c r="EP29" t="e">
        <f>#REF!+"8O&lt;!xR"</f>
        <v>#REF!</v>
      </c>
      <c r="EQ29" t="e">
        <f>#REF!+"8O&lt;!xS"</f>
        <v>#REF!</v>
      </c>
      <c r="ER29" t="e">
        <f>#REF!+"8O&lt;!xT"</f>
        <v>#REF!</v>
      </c>
      <c r="ES29" t="e">
        <f>#REF!+"8O&lt;!xU"</f>
        <v>#REF!</v>
      </c>
      <c r="ET29" t="e">
        <f>#REF!+"8O&lt;!xV"</f>
        <v>#REF!</v>
      </c>
      <c r="EU29" t="e">
        <f>#REF!+"8O&lt;!xW"</f>
        <v>#REF!</v>
      </c>
      <c r="EV29" t="e">
        <f>#REF!+"8O&lt;!xX"</f>
        <v>#REF!</v>
      </c>
      <c r="EW29" t="e">
        <f>#REF!+"8O&lt;!xY"</f>
        <v>#REF!</v>
      </c>
      <c r="EX29" t="e">
        <f>#REF!+"8O&lt;!xZ"</f>
        <v>#REF!</v>
      </c>
      <c r="EY29" t="e">
        <f>#REF!+"8O&lt;!x["</f>
        <v>#REF!</v>
      </c>
      <c r="EZ29" t="e">
        <f>#REF!+"8O&lt;!x\"</f>
        <v>#REF!</v>
      </c>
      <c r="FA29" t="e">
        <f>#REF!+"8O&lt;!x]"</f>
        <v>#REF!</v>
      </c>
      <c r="FB29" t="e">
        <f>#REF!+"8O&lt;!x^"</f>
        <v>#REF!</v>
      </c>
      <c r="FC29" t="e">
        <f>#REF!+"8O&lt;!x_"</f>
        <v>#REF!</v>
      </c>
      <c r="FD29" t="e">
        <f>#REF!+"8O&lt;!x`"</f>
        <v>#REF!</v>
      </c>
      <c r="FE29" t="e">
        <f>#REF!+"8O&lt;!xa"</f>
        <v>#REF!</v>
      </c>
      <c r="FF29" t="e">
        <f>#REF!+"8O&lt;!xb"</f>
        <v>#REF!</v>
      </c>
      <c r="FG29" t="e">
        <f>#REF!+"8O&lt;!xc"</f>
        <v>#REF!</v>
      </c>
      <c r="FH29" t="e">
        <f>#REF!+"8O&lt;!xd"</f>
        <v>#REF!</v>
      </c>
      <c r="FI29" t="e">
        <f>#REF!+"8O&lt;!xe"</f>
        <v>#REF!</v>
      </c>
      <c r="FJ29" s="60" t="e">
        <f>#REF!+"8O&lt;!xf"</f>
        <v>#REF!</v>
      </c>
      <c r="FK29" t="e">
        <f>#REF!+"8O&lt;!xg"</f>
        <v>#REF!</v>
      </c>
      <c r="FL29" t="e">
        <f>#REF!+"8O&lt;!xh"</f>
        <v>#REF!</v>
      </c>
      <c r="FM29" s="60" t="e">
        <f>#REF!+"8O&lt;!xi"</f>
        <v>#REF!</v>
      </c>
      <c r="FN29" t="e">
        <f>#REF!+"8O&lt;!xj"</f>
        <v>#REF!</v>
      </c>
      <c r="FO29" s="59" t="e">
        <f>#REF!+"8O&lt;!xk"</f>
        <v>#REF!</v>
      </c>
      <c r="FP29" s="60" t="e">
        <f>#REF!+"8O&lt;!xl"</f>
        <v>#REF!</v>
      </c>
      <c r="FQ29" t="e">
        <f>#REF!+"8O&lt;!xm"</f>
        <v>#REF!</v>
      </c>
      <c r="FR29" t="e">
        <f>#REF!+"8O&lt;!xn"</f>
        <v>#REF!</v>
      </c>
      <c r="FS29" t="e">
        <f>#REF!+"8O&lt;!xo"</f>
        <v>#REF!</v>
      </c>
      <c r="FT29" s="59" t="e">
        <f>#REF!+"8O&lt;!xp"</f>
        <v>#REF!</v>
      </c>
      <c r="FU29" s="60" t="e">
        <f>#REF!+"8O&lt;!xq"</f>
        <v>#REF!</v>
      </c>
      <c r="FV29" t="e">
        <f>#REF!+"8O&lt;!xr"</f>
        <v>#REF!</v>
      </c>
      <c r="FW29" t="e">
        <f>#REF!+"8O&lt;!xs"</f>
        <v>#REF!</v>
      </c>
      <c r="FX29" t="e">
        <f>#REF!+"8O&lt;!xt"</f>
        <v>#REF!</v>
      </c>
      <c r="FY29" s="59" t="e">
        <f>#REF!+"8O&lt;!xu"</f>
        <v>#REF!</v>
      </c>
      <c r="FZ29" s="60" t="e">
        <f>#REF!+"8O&lt;!xv"</f>
        <v>#REF!</v>
      </c>
      <c r="GA29" t="e">
        <f>#REF!+"8O&lt;!xw"</f>
        <v>#REF!</v>
      </c>
      <c r="GB29" t="e">
        <f>#REF!+"8O&lt;!xx"</f>
        <v>#REF!</v>
      </c>
      <c r="GC29" t="e">
        <f>#REF!+"8O&lt;!xy"</f>
        <v>#REF!</v>
      </c>
      <c r="GD29" s="59" t="e">
        <f>#REF!+"8O&lt;!xz"</f>
        <v>#REF!</v>
      </c>
      <c r="GE29" s="60" t="e">
        <f>#REF!+"8O&lt;!x{"</f>
        <v>#REF!</v>
      </c>
      <c r="GF29" t="e">
        <f>#REF!+"8O&lt;!x|"</f>
        <v>#REF!</v>
      </c>
      <c r="GG29" t="e">
        <f>#REF!+"8O&lt;!x}"</f>
        <v>#REF!</v>
      </c>
      <c r="GH29" t="e">
        <f>#REF!+"8O&lt;!x~"</f>
        <v>#REF!</v>
      </c>
      <c r="GI29" s="59" t="e">
        <f>#REF!+"8O&lt;!y#"</f>
        <v>#REF!</v>
      </c>
      <c r="GJ29" s="60" t="e">
        <f>#REF!+"8O&lt;!y$"</f>
        <v>#REF!</v>
      </c>
      <c r="GK29" t="e">
        <f>#REF!+"8O&lt;!y%"</f>
        <v>#REF!</v>
      </c>
      <c r="GL29" t="e">
        <f>#REF!+"8O&lt;!y&amp;"</f>
        <v>#REF!</v>
      </c>
      <c r="GM29" t="e">
        <f>#REF!+"8O&lt;!y'"</f>
        <v>#REF!</v>
      </c>
      <c r="GN29" s="59" t="e">
        <f>#REF!+"8O&lt;!y("</f>
        <v>#REF!</v>
      </c>
      <c r="GO29" t="e">
        <f>#REF!+"8O&lt;!y)"</f>
        <v>#REF!</v>
      </c>
      <c r="GP29" t="e">
        <f>#REF!+"8O&lt;!y."</f>
        <v>#REF!</v>
      </c>
      <c r="GQ29" t="e">
        <f>#REF!+"8O&lt;!y/"</f>
        <v>#REF!</v>
      </c>
      <c r="GR29" t="e">
        <f>#REF!+"8O&lt;!y0"</f>
        <v>#REF!</v>
      </c>
      <c r="GS29" s="59" t="e">
        <f>#REF!+"8O&lt;!y1"</f>
        <v>#REF!</v>
      </c>
      <c r="GT29" t="e">
        <f>#REF!+"8O&lt;!y2"</f>
        <v>#REF!</v>
      </c>
      <c r="GU29" t="e">
        <f>#REF!+"8O&lt;!y3"</f>
        <v>#REF!</v>
      </c>
      <c r="GV29" t="e">
        <f>#REF!+"8O&lt;!y4"</f>
        <v>#REF!</v>
      </c>
      <c r="GW29" t="e">
        <f>#REF!+"8O&lt;!y5"</f>
        <v>#REF!</v>
      </c>
      <c r="GX29" t="e">
        <f>#REF!+"8O&lt;!y6"</f>
        <v>#REF!</v>
      </c>
      <c r="GY29" t="e">
        <f>#REF!+"8O&lt;!y7"</f>
        <v>#REF!</v>
      </c>
      <c r="GZ29" t="e">
        <f>#REF!+"8O&lt;!y8"</f>
        <v>#REF!</v>
      </c>
      <c r="HA29" t="e">
        <f>#REF!+"8O&lt;!y9"</f>
        <v>#REF!</v>
      </c>
      <c r="HB29" t="e">
        <f>#REF!+"8O&lt;!y:"</f>
        <v>#REF!</v>
      </c>
      <c r="HC29" t="e">
        <f>#REF!+"8O&lt;!y;"</f>
        <v>#REF!</v>
      </c>
      <c r="HD29" t="e">
        <f>#REF!+"8O&lt;!y&lt;"</f>
        <v>#REF!</v>
      </c>
      <c r="HE29" t="e">
        <f>#REF!+"8O&lt;!y="</f>
        <v>#REF!</v>
      </c>
      <c r="HF29" t="e">
        <f>#REF!+"8O&lt;!y&gt;"</f>
        <v>#REF!</v>
      </c>
      <c r="HG29" t="e">
        <f>#REF!+"8O&lt;!y?"</f>
        <v>#REF!</v>
      </c>
      <c r="HH29" t="e">
        <f>#REF!+"8O&lt;!y@"</f>
        <v>#REF!</v>
      </c>
      <c r="HI29" t="e">
        <f>#REF!+"8O&lt;!yA"</f>
        <v>#REF!</v>
      </c>
      <c r="HJ29" t="e">
        <f>#REF!+"8O&lt;!yB"</f>
        <v>#REF!</v>
      </c>
      <c r="HK29" t="e">
        <f>#REF!+"8O&lt;!yC"</f>
        <v>#REF!</v>
      </c>
      <c r="HL29" t="e">
        <f>#REF!+"8O&lt;!yD"</f>
        <v>#REF!</v>
      </c>
      <c r="HM29" t="e">
        <f>#REF!+"8O&lt;!yE"</f>
        <v>#REF!</v>
      </c>
      <c r="HN29" t="e">
        <f>#REF!+"8O&lt;!yF"</f>
        <v>#REF!</v>
      </c>
      <c r="HO29" t="e">
        <f>#REF!+"8O&lt;!yG"</f>
        <v>#REF!</v>
      </c>
      <c r="HP29" t="e">
        <f>#REF!+"8O&lt;!yH"</f>
        <v>#REF!</v>
      </c>
      <c r="HQ29" t="e">
        <f>#REF!+"8O&lt;!yI"</f>
        <v>#REF!</v>
      </c>
      <c r="HR29" t="e">
        <f>#REF!+"8O&lt;!yJ"</f>
        <v>#REF!</v>
      </c>
      <c r="HS29" t="e">
        <f>#REF!+"8O&lt;!yK"</f>
        <v>#REF!</v>
      </c>
      <c r="HT29" t="e">
        <f>#REF!+"8O&lt;!yL"</f>
        <v>#REF!</v>
      </c>
      <c r="HU29" t="e">
        <f>#REF!+"8O&lt;!yM"</f>
        <v>#REF!</v>
      </c>
      <c r="HV29" t="e">
        <f>#REF!+"8O&lt;!yN"</f>
        <v>#REF!</v>
      </c>
      <c r="HW29" t="e">
        <f>#REF!+"8O&lt;!yO"</f>
        <v>#REF!</v>
      </c>
      <c r="HX29" t="e">
        <f>#REF!+"8O&lt;!yP"</f>
        <v>#REF!</v>
      </c>
      <c r="HY29" t="e">
        <f>#REF!+"8O&lt;!yQ"</f>
        <v>#REF!</v>
      </c>
      <c r="HZ29" t="e">
        <f>#REF!+"8O&lt;!yR"</f>
        <v>#REF!</v>
      </c>
      <c r="IA29" t="e">
        <f>#REF!+"8O&lt;!yS"</f>
        <v>#REF!</v>
      </c>
      <c r="IB29" t="e">
        <f>#REF!+"8O&lt;!yT"</f>
        <v>#REF!</v>
      </c>
      <c r="IC29" t="e">
        <f>#REF!+"8O&lt;!yU"</f>
        <v>#REF!</v>
      </c>
      <c r="ID29" t="e">
        <f>#REF!+"8O&lt;!yV"</f>
        <v>#REF!</v>
      </c>
      <c r="IE29" t="e">
        <f>#REF!+"8O&lt;!yW"</f>
        <v>#REF!</v>
      </c>
      <c r="IF29" t="e">
        <f>#REF!+"8O&lt;!yX"</f>
        <v>#REF!</v>
      </c>
      <c r="IG29" t="e">
        <f>#REF!+"8O&lt;!yY"</f>
        <v>#REF!</v>
      </c>
      <c r="IH29" t="e">
        <f>#REF!+"8O&lt;!yZ"</f>
        <v>#REF!</v>
      </c>
      <c r="II29" t="e">
        <f>#REF!+"8O&lt;!y["</f>
        <v>#REF!</v>
      </c>
      <c r="IJ29" t="e">
        <f>#REF!+"8O&lt;!y\"</f>
        <v>#REF!</v>
      </c>
      <c r="IK29" t="e">
        <f>#REF!+"8O&lt;!y]"</f>
        <v>#REF!</v>
      </c>
      <c r="IL29" t="e">
        <f>#REF!+"8O&lt;!y^"</f>
        <v>#REF!</v>
      </c>
      <c r="IM29" t="e">
        <f>#REF!+"8O&lt;!y_"</f>
        <v>#REF!</v>
      </c>
      <c r="IN29" t="e">
        <f>#REF!+"8O&lt;!y`"</f>
        <v>#REF!</v>
      </c>
      <c r="IO29" t="e">
        <f>#REF!+"8O&lt;!ya"</f>
        <v>#REF!</v>
      </c>
      <c r="IP29" t="e">
        <f>#REF!+"8O&lt;!yb"</f>
        <v>#REF!</v>
      </c>
      <c r="IQ29" t="e">
        <f>#REF!+"8O&lt;!yc"</f>
        <v>#REF!</v>
      </c>
      <c r="IR29" t="e">
        <f>#REF!+"8O&lt;!yd"</f>
        <v>#REF!</v>
      </c>
      <c r="IS29" t="e">
        <f>#REF!+"8O&lt;!ye"</f>
        <v>#REF!</v>
      </c>
      <c r="IT29" t="e">
        <f>#REF!+"8O&lt;!yf"</f>
        <v>#REF!</v>
      </c>
      <c r="IU29" t="e">
        <f>#REF!+"8O&lt;!yg"</f>
        <v>#REF!</v>
      </c>
      <c r="IV29" t="e">
        <f>#REF!+"8O&lt;!yh"</f>
        <v>#REF!</v>
      </c>
    </row>
    <row r="30" spans="6:256" x14ac:dyDescent="0.25">
      <c r="F30" t="e">
        <f>#REF!+"8O&lt;!yi"</f>
        <v>#REF!</v>
      </c>
      <c r="G30" t="e">
        <f>#REF!+"8O&lt;!yj"</f>
        <v>#REF!</v>
      </c>
      <c r="H30" t="e">
        <f>#REF!+"8O&lt;!yk"</f>
        <v>#REF!</v>
      </c>
      <c r="I30" t="e">
        <f>#REF!+"8O&lt;!yl"</f>
        <v>#REF!</v>
      </c>
      <c r="J30" t="e">
        <f>#REF!+"8O&lt;!ym"</f>
        <v>#REF!</v>
      </c>
      <c r="K30" t="e">
        <f>#REF!+"8O&lt;!yn"</f>
        <v>#REF!</v>
      </c>
      <c r="L30" t="e">
        <f>#REF!+"8O&lt;!yo"</f>
        <v>#REF!</v>
      </c>
      <c r="M30" t="e">
        <f>#REF!+"8O&lt;!yp"</f>
        <v>#REF!</v>
      </c>
      <c r="N30" t="e">
        <f>#REF!+"8O&lt;!yq"</f>
        <v>#REF!</v>
      </c>
      <c r="O30" t="e">
        <f>#REF!+"8O&lt;!yr"</f>
        <v>#REF!</v>
      </c>
      <c r="P30" t="e">
        <f>#REF!+"8O&lt;!ys"</f>
        <v>#REF!</v>
      </c>
      <c r="Q30" t="e">
        <f>#REF!+"8O&lt;!yt"</f>
        <v>#REF!</v>
      </c>
      <c r="R30" t="e">
        <f>#REF!+"8O&lt;!yu"</f>
        <v>#REF!</v>
      </c>
      <c r="S30" t="e">
        <f>#REF!+"8O&lt;!yv"</f>
        <v>#REF!</v>
      </c>
      <c r="T30" t="e">
        <f>#REF!+"8O&lt;!yw"</f>
        <v>#REF!</v>
      </c>
      <c r="U30" t="e">
        <f>#REF!+"8O&lt;!yx"</f>
        <v>#REF!</v>
      </c>
      <c r="V30" t="e">
        <f>#REF!+"8O&lt;!yy"</f>
        <v>#REF!</v>
      </c>
      <c r="W30" t="e">
        <f>#REF!+"8O&lt;!yz"</f>
        <v>#REF!</v>
      </c>
      <c r="X30" t="e">
        <f>#REF!+"8O&lt;!y{"</f>
        <v>#REF!</v>
      </c>
      <c r="Y30" t="e">
        <f>#REF!+"8O&lt;!y|"</f>
        <v>#REF!</v>
      </c>
      <c r="Z30" t="e">
        <f>#REF!+"8O&lt;!y}"</f>
        <v>#REF!</v>
      </c>
      <c r="AA30" t="e">
        <f>#REF!+"8O&lt;!y~"</f>
        <v>#REF!</v>
      </c>
      <c r="AB30" t="e">
        <f>#REF!+"8O&lt;!z#"</f>
        <v>#REF!</v>
      </c>
      <c r="AC30" t="e">
        <f>#REF!+"8O&lt;!z$"</f>
        <v>#REF!</v>
      </c>
      <c r="AD30" t="e">
        <f>#REF!+"8O&lt;!z%"</f>
        <v>#REF!</v>
      </c>
      <c r="AE30" t="e">
        <f>#REF!+"8O&lt;!z&amp;"</f>
        <v>#REF!</v>
      </c>
      <c r="AF30" t="e">
        <f>#REF!+"8O&lt;!z'"</f>
        <v>#REF!</v>
      </c>
      <c r="AG30" t="e">
        <f>#REF!+"8O&lt;!z("</f>
        <v>#REF!</v>
      </c>
      <c r="AH30" t="e">
        <f>#REF!+"8O&lt;!z)"</f>
        <v>#REF!</v>
      </c>
      <c r="AI30" t="e">
        <f>#REF!+"8O&lt;!z."</f>
        <v>#REF!</v>
      </c>
      <c r="AJ30" t="e">
        <f>#REF!+"8O&lt;!z/"</f>
        <v>#REF!</v>
      </c>
      <c r="AK30" t="e">
        <f>#REF!+"8O&lt;!z0"</f>
        <v>#REF!</v>
      </c>
      <c r="AL30" t="e">
        <f>#REF!+"8O&lt;!z1"</f>
        <v>#REF!</v>
      </c>
      <c r="AM30" t="e">
        <f>#REF!+"8O&lt;!z2"</f>
        <v>#REF!</v>
      </c>
      <c r="AN30" t="e">
        <f>#REF!+"8O&lt;!z3"</f>
        <v>#REF!</v>
      </c>
      <c r="AO30" t="e">
        <f>#REF!+"8O&lt;!z4"</f>
        <v>#REF!</v>
      </c>
      <c r="AP30" t="e">
        <f>#REF!+"8O&lt;!z5"</f>
        <v>#REF!</v>
      </c>
      <c r="AQ30" t="e">
        <f>#REF!+"8O&lt;!z6"</f>
        <v>#REF!</v>
      </c>
      <c r="AR30" t="e">
        <f>#REF!+"8O&lt;!z7"</f>
        <v>#REF!</v>
      </c>
      <c r="AS30" t="e">
        <f>#REF!+"8O&lt;!z8"</f>
        <v>#REF!</v>
      </c>
      <c r="AT30" t="e">
        <f>#REF!+"8O&lt;!z9"</f>
        <v>#REF!</v>
      </c>
      <c r="AU30" t="e">
        <f>#REF!+"8O&lt;!z:"</f>
        <v>#REF!</v>
      </c>
      <c r="AV30" t="e">
        <f>#REF!+"8O&lt;!z;"</f>
        <v>#REF!</v>
      </c>
      <c r="AW30" t="e">
        <f>#REF!+"8O&lt;!z&lt;"</f>
        <v>#REF!</v>
      </c>
      <c r="AX30" t="e">
        <f>#REF!+"8O&lt;!z="</f>
        <v>#REF!</v>
      </c>
      <c r="AY30" t="e">
        <f>#REF!+"8O&lt;!z&gt;"</f>
        <v>#REF!</v>
      </c>
      <c r="AZ30" t="e">
        <f>#REF!+"8O&lt;!z?"</f>
        <v>#REF!</v>
      </c>
      <c r="BA30" t="e">
        <f>#REF!+"8O&lt;!z@"</f>
        <v>#REF!</v>
      </c>
      <c r="BB30" t="e">
        <f>#REF!+"8O&lt;!zA"</f>
        <v>#REF!</v>
      </c>
      <c r="BC30" t="e">
        <f>#REF!+"8O&lt;!zB"</f>
        <v>#REF!</v>
      </c>
      <c r="BD30" t="e">
        <f>#REF!+"8O&lt;!zC"</f>
        <v>#REF!</v>
      </c>
      <c r="BE30" t="e">
        <f>#REF!+"8O&lt;!zD"</f>
        <v>#REF!</v>
      </c>
      <c r="BF30" t="e">
        <f>#REF!+"8O&lt;!zE"</f>
        <v>#REF!</v>
      </c>
      <c r="BG30" t="e">
        <f>#REF!+"8O&lt;!zF"</f>
        <v>#REF!</v>
      </c>
      <c r="BH30" t="e">
        <f>#REF!+"8O&lt;!zG"</f>
        <v>#REF!</v>
      </c>
      <c r="BI30" t="e">
        <f>#REF!+"8O&lt;!zH"</f>
        <v>#REF!</v>
      </c>
      <c r="BJ30" t="e">
        <f>#REF!+"8O&lt;!zI"</f>
        <v>#REF!</v>
      </c>
      <c r="BK30" t="e">
        <f>#REF!+"8O&lt;!zJ"</f>
        <v>#REF!</v>
      </c>
      <c r="BL30" t="e">
        <f>#REF!+"8O&lt;!zK"</f>
        <v>#REF!</v>
      </c>
      <c r="BM30" t="e">
        <f>#REF!+"8O&lt;!zL"</f>
        <v>#REF!</v>
      </c>
      <c r="BN30" t="e">
        <f>#REF!+"8O&lt;!zM"</f>
        <v>#REF!</v>
      </c>
      <c r="BO30" t="e">
        <f>#REF!+"8O&lt;!zN"</f>
        <v>#REF!</v>
      </c>
      <c r="BP30" t="e">
        <f>#REF!+"8O&lt;!zO"</f>
        <v>#REF!</v>
      </c>
      <c r="BQ30" t="e">
        <f>#REF!+"8O&lt;!zP"</f>
        <v>#REF!</v>
      </c>
      <c r="BR30" t="e">
        <f>#REF!+"8O&lt;!zQ"</f>
        <v>#REF!</v>
      </c>
      <c r="BS30" t="e">
        <f>#REF!+"8O&lt;!zR"</f>
        <v>#REF!</v>
      </c>
      <c r="BT30" t="e">
        <f>#REF!+"8O&lt;!zS"</f>
        <v>#REF!</v>
      </c>
      <c r="BU30" t="e">
        <f>#REF!+"8O&lt;!zT"</f>
        <v>#REF!</v>
      </c>
      <c r="BV30" t="e">
        <f>#REF!+"8O&lt;!zU"</f>
        <v>#REF!</v>
      </c>
      <c r="BW30" s="59" t="e">
        <f>#REF!+"8O&lt;!zV"</f>
        <v>#REF!</v>
      </c>
      <c r="BX30" t="e">
        <f>#REF!+"8O&lt;!zW"</f>
        <v>#REF!</v>
      </c>
      <c r="BY30" t="e">
        <f>#REF!+"8O&lt;!zX"</f>
        <v>#REF!</v>
      </c>
      <c r="BZ30" t="e">
        <f>#REF!+"8O&lt;!zY"</f>
        <v>#REF!</v>
      </c>
      <c r="CA30" t="e">
        <f>#REF!+"8O&lt;!zZ"</f>
        <v>#REF!</v>
      </c>
      <c r="CB30" t="e">
        <f>#REF!+"8O&lt;!z["</f>
        <v>#REF!</v>
      </c>
      <c r="CC30" t="e">
        <f>#REF!+"8O&lt;!z\"</f>
        <v>#REF!</v>
      </c>
      <c r="CD30" t="e">
        <f>#REF!+"8O&lt;!z]"</f>
        <v>#REF!</v>
      </c>
      <c r="CE30" t="e">
        <f>#REF!+"8O&lt;!z^"</f>
        <v>#REF!</v>
      </c>
      <c r="CF30" t="e">
        <f>#REF!+"8O&lt;!z_"</f>
        <v>#REF!</v>
      </c>
      <c r="CG30" t="e">
        <f>#REF!+"8O&lt;!z`"</f>
        <v>#REF!</v>
      </c>
      <c r="CH30" t="e">
        <f>#REF!+"8O&lt;!za"</f>
        <v>#REF!</v>
      </c>
      <c r="CI30" t="e">
        <f>#REF!+"8O&lt;!zb"</f>
        <v>#REF!</v>
      </c>
      <c r="CJ30" t="e">
        <f>#REF!+"8O&lt;!zc"</f>
        <v>#REF!</v>
      </c>
      <c r="CK30" t="e">
        <f>#REF!+"8O&lt;!zd"</f>
        <v>#REF!</v>
      </c>
      <c r="CL30" t="e">
        <f>#REF!+"8O&lt;!ze"</f>
        <v>#REF!</v>
      </c>
      <c r="CM30" t="e">
        <f>#REF!+"8O&lt;!zf"</f>
        <v>#REF!</v>
      </c>
      <c r="CN30" t="e">
        <f>#REF!+"8O&lt;!zg"</f>
        <v>#REF!</v>
      </c>
      <c r="CO30" t="e">
        <f>#REF!+"8O&lt;!zh"</f>
        <v>#REF!</v>
      </c>
      <c r="CP30" t="e">
        <f>#REF!+"8O&lt;!zi"</f>
        <v>#REF!</v>
      </c>
      <c r="CQ30" t="e">
        <f>#REF!+"8O&lt;!zj"</f>
        <v>#REF!</v>
      </c>
      <c r="CR30" t="e">
        <f>#REF!+"8O&lt;!zk"</f>
        <v>#REF!</v>
      </c>
      <c r="CS30" t="e">
        <f>#REF!+"8O&lt;!zl"</f>
        <v>#REF!</v>
      </c>
      <c r="CT30" t="e">
        <f>CAPEC!A:A*"8O&lt;!zm"</f>
        <v>#VALUE!</v>
      </c>
      <c r="CU30" t="e">
        <f>CAPEC!C:C*"8O&lt;!zn"</f>
        <v>#VALUE!</v>
      </c>
      <c r="CV30" t="e">
        <f>CAPEC!D:D*"8O&lt;!zo"</f>
        <v>#VALUE!</v>
      </c>
      <c r="CW30" t="e">
        <f>CAPEC!E:E*"8O&lt;!zp"</f>
        <v>#VALUE!</v>
      </c>
      <c r="CX30" t="e">
        <f>CAPEC!F:F*"8O&lt;!zq"</f>
        <v>#VALUE!</v>
      </c>
      <c r="CY30" t="e">
        <f>CAPEC!G:G*"8O&lt;!zr"</f>
        <v>#VALUE!</v>
      </c>
      <c r="CZ30" t="e">
        <f>CAPEC!#REF!*"8O&lt;!zs"</f>
        <v>#REF!</v>
      </c>
      <c r="DA30" t="e">
        <f>CAPEC!H:H*"8O&lt;!zt"</f>
        <v>#VALUE!</v>
      </c>
      <c r="DB30" t="e">
        <f>CAPEC!I:I*"8O&lt;!zu"</f>
        <v>#VALUE!</v>
      </c>
      <c r="DC30" t="e">
        <f>CAPEC!J:J*"8O&lt;!zv"</f>
        <v>#VALUE!</v>
      </c>
      <c r="DD30" t="e">
        <f>CAPEC!K:K*"8O&lt;!zw"</f>
        <v>#VALUE!</v>
      </c>
      <c r="DE30" t="e">
        <f>CAPEC!L:L*"8O&lt;!zx"</f>
        <v>#VALUE!</v>
      </c>
      <c r="DF30" t="e">
        <f>CAPEC!M:M*"8O&lt;!zy"</f>
        <v>#VALUE!</v>
      </c>
      <c r="DG30" t="e">
        <f>CAPEC!N:N*"8O&lt;!zz"</f>
        <v>#VALUE!</v>
      </c>
      <c r="DH30" t="e">
        <f>CAPEC!O:O*"8O&lt;!z{"</f>
        <v>#VALUE!</v>
      </c>
      <c r="DI30" t="e">
        <f>CAPEC!P:P*"8O&lt;!z|"</f>
        <v>#VALUE!</v>
      </c>
      <c r="DJ30" t="e">
        <f>CAPEC!Q:Q*"8O&lt;!z}"</f>
        <v>#VALUE!</v>
      </c>
      <c r="DK30" t="e">
        <f>CAPEC!R:R*"8O&lt;!z~"</f>
        <v>#VALUE!</v>
      </c>
      <c r="DL30" t="e">
        <f>CAPEC!S:S*"8O&lt;!{#"</f>
        <v>#VALUE!</v>
      </c>
      <c r="DM30" t="e">
        <f>CAPEC!T:T*"8O&lt;!{$"</f>
        <v>#VALUE!</v>
      </c>
      <c r="DN30" t="e">
        <f>CAPEC!U:U*"8O&lt;!{%"</f>
        <v>#VALUE!</v>
      </c>
      <c r="DO30" t="e">
        <f>CAPEC!V:V*"8O&lt;!{&amp;"</f>
        <v>#VALUE!</v>
      </c>
      <c r="DP30" t="e">
        <f>CAPEC!W:W*"8O&lt;!{'"</f>
        <v>#VALUE!</v>
      </c>
      <c r="DQ30" t="e">
        <f>CAPEC!X:X*"8O&lt;!{("</f>
        <v>#VALUE!</v>
      </c>
      <c r="DR30" t="e">
        <f>CAPEC!Y:Y*"8O&lt;!{)"</f>
        <v>#VALUE!</v>
      </c>
      <c r="DS30" t="e">
        <f>CAPEC!Z:Z*"8O&lt;!{."</f>
        <v>#VALUE!</v>
      </c>
      <c r="DT30" t="e">
        <f>CAPEC!AA:AA*"8O&lt;!{/"</f>
        <v>#VALUE!</v>
      </c>
      <c r="DU30" t="e">
        <f>CAPEC!AB:AB*"8O&lt;!{0"</f>
        <v>#VALUE!</v>
      </c>
      <c r="DV30" t="e">
        <f>CAPEC!AC:AC*"8O&lt;!{1"</f>
        <v>#VALUE!</v>
      </c>
      <c r="DW30" t="e">
        <f>CAPEC!AD:AD*"8O&lt;!{2"</f>
        <v>#VALUE!</v>
      </c>
      <c r="DX30" t="e">
        <f>CAPEC!AE:AE*"8O&lt;!{3"</f>
        <v>#VALUE!</v>
      </c>
      <c r="DY30" t="e">
        <f>CAPEC!AF:AF*"8O&lt;!{4"</f>
        <v>#VALUE!</v>
      </c>
      <c r="DZ30" t="e">
        <f>CAPEC!AG:AG*"8O&lt;!{5"</f>
        <v>#VALUE!</v>
      </c>
      <c r="EA30" t="e">
        <f>CAPEC!AH:AH*"8O&lt;!{6"</f>
        <v>#VALUE!</v>
      </c>
      <c r="EB30" t="e">
        <f>CAPEC!AI:AI*"8O&lt;!{7"</f>
        <v>#VALUE!</v>
      </c>
      <c r="EC30" t="e">
        <f>CAPEC!AJ:AJ*"8O&lt;!{8"</f>
        <v>#VALUE!</v>
      </c>
      <c r="ED30" t="e">
        <f>CAPEC!AK:AK*"8O&lt;!{9"</f>
        <v>#VALUE!</v>
      </c>
      <c r="EE30" t="e">
        <f>CAPEC!AL:AL*"8O&lt;!{:"</f>
        <v>#VALUE!</v>
      </c>
      <c r="EF30" t="e">
        <f>CAPEC!AM:AM*"8O&lt;!{;"</f>
        <v>#VALUE!</v>
      </c>
      <c r="EG30" t="e">
        <f>CAPEC!AN:AN*"8O&lt;!{&lt;"</f>
        <v>#VALUE!</v>
      </c>
      <c r="EH30" t="e">
        <f>CAPEC!AO:AO*"8O&lt;!{="</f>
        <v>#VALUE!</v>
      </c>
      <c r="EI30" t="e">
        <f>CAPEC!AP:AP*"8O&lt;!{&gt;"</f>
        <v>#VALUE!</v>
      </c>
      <c r="EJ30" t="e">
        <f>CAPEC!AQ:AQ*"8O&lt;!{?"</f>
        <v>#VALUE!</v>
      </c>
      <c r="EK30" t="e">
        <f>CAPEC!AR:AR*"8O&lt;!{@"</f>
        <v>#VALUE!</v>
      </c>
      <c r="EL30" t="e">
        <f>CAPEC!AS:AS*"8O&lt;!{A"</f>
        <v>#VALUE!</v>
      </c>
      <c r="EM30" t="e">
        <f>CAPEC!AT:AT*"8O&lt;!{B"</f>
        <v>#VALUE!</v>
      </c>
      <c r="EN30" t="e">
        <f>CAPEC!AU:AU*"8O&lt;!{C"</f>
        <v>#VALUE!</v>
      </c>
      <c r="EO30" t="e">
        <f>CAPEC!AV:AV*"8O&lt;!{D"</f>
        <v>#VALUE!</v>
      </c>
      <c r="EP30" t="e">
        <f>CAPEC!AW:AW*"8O&lt;!{E"</f>
        <v>#VALUE!</v>
      </c>
      <c r="EQ30" t="e">
        <f>CAPEC!AX:AX*"8O&lt;!{F"</f>
        <v>#VALUE!</v>
      </c>
      <c r="ER30" t="e">
        <f>CAPEC!AY:AY*"8O&lt;!{G"</f>
        <v>#VALUE!</v>
      </c>
      <c r="ES30" t="e">
        <f>CAPEC!AZ:AZ*"8O&lt;!{H"</f>
        <v>#VALUE!</v>
      </c>
      <c r="ET30" t="e">
        <f>CAPEC!BA:BA*"8O&lt;!{I"</f>
        <v>#VALUE!</v>
      </c>
      <c r="EU30" t="e">
        <f>CAPEC!BB:BB*"8O&lt;!{J"</f>
        <v>#VALUE!</v>
      </c>
      <c r="EV30" t="e">
        <f>CAPEC!BC:BC*"8O&lt;!{K"</f>
        <v>#VALUE!</v>
      </c>
      <c r="EW30" t="e">
        <f>CAPEC!BD:BD*"8O&lt;!{L"</f>
        <v>#VALUE!</v>
      </c>
      <c r="EX30" t="e">
        <f>CAPEC!BE:BE*"8O&lt;!{M"</f>
        <v>#VALUE!</v>
      </c>
      <c r="EY30" t="e">
        <f>CAPEC!1:1-"8O&lt;!{N"</f>
        <v>#VALUE!</v>
      </c>
      <c r="EZ30" t="e">
        <f>CAPEC!2:2-"8O&lt;!{O"</f>
        <v>#VALUE!</v>
      </c>
      <c r="FA30" t="e">
        <f>CAPEC!3:3-"8O&lt;!{P"</f>
        <v>#VALUE!</v>
      </c>
      <c r="FB30" t="e">
        <f>CAPEC!4:4-"8O&lt;!{Q"</f>
        <v>#VALUE!</v>
      </c>
      <c r="FC30" t="e">
        <f>CAPEC!5:5-"8O&lt;!{R"</f>
        <v>#VALUE!</v>
      </c>
      <c r="FD30" t="e">
        <f>CAPEC!6:6-"8O&lt;!{S"</f>
        <v>#VALUE!</v>
      </c>
      <c r="FE30" t="e">
        <f>CAPEC!7:7-"8O&lt;!{T"</f>
        <v>#VALUE!</v>
      </c>
      <c r="FF30" t="e">
        <f>CAPEC!8:8-"8O&lt;!{U"</f>
        <v>#VALUE!</v>
      </c>
      <c r="FG30" t="e">
        <f>CAPEC!9:9-"8O&lt;!{V"</f>
        <v>#VALUE!</v>
      </c>
      <c r="FH30" t="e">
        <f>CAPEC!10:10-"8O&lt;!{W"</f>
        <v>#VALUE!</v>
      </c>
      <c r="FI30" t="e">
        <f>CAPEC!11:11-"8O&lt;!{X"</f>
        <v>#VALUE!</v>
      </c>
      <c r="FJ30" t="e">
        <f>CAPEC!12:12-"8O&lt;!{Y"</f>
        <v>#VALUE!</v>
      </c>
      <c r="FK30" t="e">
        <f>CAPEC!13:13-"8O&lt;!{Z"</f>
        <v>#VALUE!</v>
      </c>
      <c r="FL30" t="e">
        <f>CAPEC!14:14-"8O&lt;!{["</f>
        <v>#VALUE!</v>
      </c>
      <c r="FM30" t="e">
        <f>CAPEC!15:15-"8O&lt;!{\"</f>
        <v>#VALUE!</v>
      </c>
      <c r="FN30" t="e">
        <f>CAPEC!16:16-"8O&lt;!{]"</f>
        <v>#VALUE!</v>
      </c>
      <c r="FO30" t="e">
        <f>CAPEC!17:17-"8O&lt;!{^"</f>
        <v>#VALUE!</v>
      </c>
      <c r="FP30" t="e">
        <f>CAPEC!18:18-"8O&lt;!{_"</f>
        <v>#VALUE!</v>
      </c>
      <c r="FQ30" t="e">
        <f>CAPEC!19:19-"8O&lt;!{`"</f>
        <v>#VALUE!</v>
      </c>
      <c r="FR30" t="e">
        <f>CAPEC!20:20-"8O&lt;!{a"</f>
        <v>#VALUE!</v>
      </c>
      <c r="FS30" t="e">
        <f>CAPEC!21:21-"8O&lt;!{b"</f>
        <v>#VALUE!</v>
      </c>
      <c r="FT30" t="e">
        <f>CAPEC!22:22-"8O&lt;!{c"</f>
        <v>#VALUE!</v>
      </c>
      <c r="FU30" t="e">
        <f>CAPEC!23:23-"8O&lt;!{d"</f>
        <v>#VALUE!</v>
      </c>
      <c r="FV30" t="e">
        <f>CAPEC!24:24-"8O&lt;!{e"</f>
        <v>#VALUE!</v>
      </c>
      <c r="FW30" t="e">
        <f>CAPEC!25:25-"8O&lt;!{f"</f>
        <v>#VALUE!</v>
      </c>
      <c r="FX30" t="e">
        <f>CAPEC!26:26-"8O&lt;!{g"</f>
        <v>#VALUE!</v>
      </c>
      <c r="FY30" t="e">
        <f>CAPEC!27:27-"8O&lt;!{h"</f>
        <v>#VALUE!</v>
      </c>
      <c r="FZ30" t="e">
        <f>CAPEC!28:28-"8O&lt;!{i"</f>
        <v>#VALUE!</v>
      </c>
      <c r="GA30" t="e">
        <f>CAPEC!29:29-"8O&lt;!{j"</f>
        <v>#VALUE!</v>
      </c>
      <c r="GB30" t="e">
        <f>CAPEC!30:30-"8O&lt;!{k"</f>
        <v>#VALUE!</v>
      </c>
      <c r="GC30" t="e">
        <f>CAPEC!31:31-"8O&lt;!{l"</f>
        <v>#VALUE!</v>
      </c>
      <c r="GD30" t="e">
        <f>CAPEC!32:32-"8O&lt;!{m"</f>
        <v>#VALUE!</v>
      </c>
      <c r="GE30" t="e">
        <f>CAPEC!33:33-"8O&lt;!{n"</f>
        <v>#VALUE!</v>
      </c>
      <c r="GF30" t="e">
        <f>CAPEC!34:34-"8O&lt;!{o"</f>
        <v>#VALUE!</v>
      </c>
      <c r="GG30" t="e">
        <f>CAPEC!35:35-"8O&lt;!{p"</f>
        <v>#VALUE!</v>
      </c>
      <c r="GH30" t="e">
        <f>CAPEC!36:36-"8O&lt;!{q"</f>
        <v>#VALUE!</v>
      </c>
      <c r="GI30" t="e">
        <f>CAPEC!37:37-"8O&lt;!{r"</f>
        <v>#VALUE!</v>
      </c>
      <c r="GJ30" t="e">
        <f>CAPEC!38:38-"8O&lt;!{s"</f>
        <v>#VALUE!</v>
      </c>
      <c r="GK30" t="e">
        <f>CAPEC!39:39-"8O&lt;!{t"</f>
        <v>#VALUE!</v>
      </c>
      <c r="GL30" t="e">
        <f>CAPEC!40:40-"8O&lt;!{u"</f>
        <v>#VALUE!</v>
      </c>
      <c r="GM30" t="e">
        <f>CAPEC!41:41-"8O&lt;!{v"</f>
        <v>#VALUE!</v>
      </c>
      <c r="GN30" t="e">
        <f>CAPEC!42:42-"8O&lt;!{w"</f>
        <v>#VALUE!</v>
      </c>
      <c r="GO30" t="e">
        <f>CAPEC!43:43-"8O&lt;!{x"</f>
        <v>#VALUE!</v>
      </c>
      <c r="GP30" t="e">
        <f>CAPEC!44:44-"8O&lt;!{y"</f>
        <v>#VALUE!</v>
      </c>
      <c r="GQ30" t="e">
        <f>CAPEC!45:45-"8O&lt;!{z"</f>
        <v>#VALUE!</v>
      </c>
      <c r="GR30" t="e">
        <f>CAPEC!46:46-"8O&lt;!{{"</f>
        <v>#VALUE!</v>
      </c>
      <c r="GS30" t="e">
        <f>CAPEC!47:47-"8O&lt;!{|"</f>
        <v>#VALUE!</v>
      </c>
      <c r="GT30" t="e">
        <f>CAPEC!48:48-"8O&lt;!{}"</f>
        <v>#VALUE!</v>
      </c>
      <c r="GU30" t="e">
        <f>CAPEC!49:49-"8O&lt;!{~"</f>
        <v>#VALUE!</v>
      </c>
      <c r="GV30" t="e">
        <f>CAPEC!50:50-"8O&lt;!|#"</f>
        <v>#VALUE!</v>
      </c>
      <c r="GW30" t="e">
        <f>CAPEC!51:51-"8O&lt;!|$"</f>
        <v>#VALUE!</v>
      </c>
      <c r="GX30" t="e">
        <f>CAPEC!52:52-"8O&lt;!|%"</f>
        <v>#VALUE!</v>
      </c>
      <c r="GY30" t="e">
        <f>CAPEC!53:53-"8O&lt;!|&amp;"</f>
        <v>#VALUE!</v>
      </c>
      <c r="GZ30" t="e">
        <f>CAPEC!54:54-"8O&lt;!|'"</f>
        <v>#VALUE!</v>
      </c>
      <c r="HA30" t="e">
        <f>CAPEC!55:55-"8O&lt;!|("</f>
        <v>#VALUE!</v>
      </c>
      <c r="HB30" t="e">
        <f>CAPEC!56:56-"8O&lt;!|)"</f>
        <v>#VALUE!</v>
      </c>
      <c r="HC30" t="e">
        <f>CAPEC!57:57-"8O&lt;!|."</f>
        <v>#VALUE!</v>
      </c>
      <c r="HD30" t="e">
        <f>CAPEC!58:58-"8O&lt;!|/"</f>
        <v>#VALUE!</v>
      </c>
      <c r="HE30" t="e">
        <f>CAPEC!59:59-"8O&lt;!|0"</f>
        <v>#VALUE!</v>
      </c>
      <c r="HF30" t="e">
        <f>CAPEC!60:60-"8O&lt;!|1"</f>
        <v>#VALUE!</v>
      </c>
      <c r="HG30" t="e">
        <f>CAPEC!61:61-"8O&lt;!|2"</f>
        <v>#VALUE!</v>
      </c>
      <c r="HH30" t="e">
        <f>CAPEC!62:62-"8O&lt;!|3"</f>
        <v>#VALUE!</v>
      </c>
      <c r="HI30" t="e">
        <f>CAPEC!63:63-"8O&lt;!|4"</f>
        <v>#VALUE!</v>
      </c>
      <c r="HJ30" t="e">
        <f>CAPEC!64:64-"8O&lt;!|5"</f>
        <v>#VALUE!</v>
      </c>
      <c r="HK30" t="e">
        <f>CAPEC!65:65-"8O&lt;!|6"</f>
        <v>#VALUE!</v>
      </c>
      <c r="HL30" t="e">
        <f>CAPEC!66:66-"8O&lt;!|7"</f>
        <v>#VALUE!</v>
      </c>
      <c r="HM30" t="e">
        <f>CAPEC!67:67-"8O&lt;!|8"</f>
        <v>#VALUE!</v>
      </c>
      <c r="HN30" t="e">
        <f>CAPEC!68:68-"8O&lt;!|9"</f>
        <v>#VALUE!</v>
      </c>
      <c r="HO30" t="e">
        <f>CAPEC!69:69-"8O&lt;!|:"</f>
        <v>#VALUE!</v>
      </c>
      <c r="HP30" t="e">
        <f>CAPEC!70:70-"8O&lt;!|;"</f>
        <v>#VALUE!</v>
      </c>
      <c r="HQ30" t="e">
        <f>CAPEC!71:71-"8O&lt;!|&lt;"</f>
        <v>#VALUE!</v>
      </c>
      <c r="HR30" t="e">
        <f>CAPEC!72:72-"8O&lt;!|="</f>
        <v>#VALUE!</v>
      </c>
      <c r="HS30" t="e">
        <f>CAPEC!73:73-"8O&lt;!|&gt;"</f>
        <v>#VALUE!</v>
      </c>
      <c r="HT30" t="e">
        <f>CAPEC!74:74-"8O&lt;!|?"</f>
        <v>#VALUE!</v>
      </c>
      <c r="HU30" t="e">
        <f>CAPEC!75:75-"8O&lt;!|@"</f>
        <v>#VALUE!</v>
      </c>
      <c r="HV30" t="e">
        <f>CAPEC!76:76-"8O&lt;!|A"</f>
        <v>#VALUE!</v>
      </c>
      <c r="HW30" t="e">
        <f>CAPEC!77:77-"8O&lt;!|B"</f>
        <v>#VALUE!</v>
      </c>
      <c r="HX30" t="e">
        <f>CAPEC!78:78-"8O&lt;!|C"</f>
        <v>#VALUE!</v>
      </c>
      <c r="HY30" t="e">
        <f>CAPEC!79:79-"8O&lt;!|D"</f>
        <v>#VALUE!</v>
      </c>
      <c r="HZ30" t="e">
        <f>CAPEC!80:80-"8O&lt;!|E"</f>
        <v>#VALUE!</v>
      </c>
      <c r="IA30" t="e">
        <f>CAPEC!81:81-"8O&lt;!|F"</f>
        <v>#VALUE!</v>
      </c>
      <c r="IB30" t="e">
        <f>CAPEC!82:82-"8O&lt;!|G"</f>
        <v>#VALUE!</v>
      </c>
      <c r="IC30" t="e">
        <f>CAPEC!83:83-"8O&lt;!|H"</f>
        <v>#VALUE!</v>
      </c>
      <c r="ID30" t="e">
        <f>CAPEC!84:84-"8O&lt;!|I"</f>
        <v>#VALUE!</v>
      </c>
      <c r="IE30" t="e">
        <f>CAPEC!85:85-"8O&lt;!|J"</f>
        <v>#VALUE!</v>
      </c>
      <c r="IF30" t="e">
        <f>CAPEC!86:86-"8O&lt;!|K"</f>
        <v>#VALUE!</v>
      </c>
      <c r="IG30" t="e">
        <f>CAPEC!87:87-"8O&lt;!|L"</f>
        <v>#VALUE!</v>
      </c>
      <c r="IH30" t="e">
        <f>CAPEC!88:88-"8O&lt;!|M"</f>
        <v>#VALUE!</v>
      </c>
      <c r="II30" t="e">
        <f>CAPEC!89:89-"8O&lt;!|N"</f>
        <v>#VALUE!</v>
      </c>
      <c r="IJ30" t="e">
        <f>CAPEC!90:90-"8O&lt;!|O"</f>
        <v>#VALUE!</v>
      </c>
      <c r="IK30" t="e">
        <f>CAPEC!91:91-"8O&lt;!|P"</f>
        <v>#VALUE!</v>
      </c>
      <c r="IL30" t="e">
        <f>CAPEC!92:92-"8O&lt;!|Q"</f>
        <v>#VALUE!</v>
      </c>
      <c r="IM30" t="e">
        <f>CAPEC!93:93-"8O&lt;!|R"</f>
        <v>#VALUE!</v>
      </c>
      <c r="IN30" t="e">
        <f>CAPEC!94:94-"8O&lt;!|S"</f>
        <v>#VALUE!</v>
      </c>
      <c r="IO30" t="e">
        <f>CAPEC!95:95-"8O&lt;!|T"</f>
        <v>#VALUE!</v>
      </c>
      <c r="IP30" t="e">
        <f>CAPEC!96:96-"8O&lt;!|U"</f>
        <v>#VALUE!</v>
      </c>
      <c r="IQ30" t="e">
        <f>CAPEC!97:97-"8O&lt;!|V"</f>
        <v>#VALUE!</v>
      </c>
      <c r="IR30" t="e">
        <f>CAPEC!98:98-"8O&lt;!|W"</f>
        <v>#VALUE!</v>
      </c>
      <c r="IS30" t="e">
        <f>CAPEC!99:99-"8O&lt;!|X"</f>
        <v>#VALUE!</v>
      </c>
      <c r="IT30" t="e">
        <f>CAPEC!100:100-"8O&lt;!|Y"</f>
        <v>#VALUE!</v>
      </c>
      <c r="IU30" t="e">
        <f>CAPEC!101:101-"8O&lt;!|Z"</f>
        <v>#VALUE!</v>
      </c>
      <c r="IV30" t="e">
        <f>CAPEC!102:102-"8O&lt;!|["</f>
        <v>#VALUE!</v>
      </c>
    </row>
    <row r="31" spans="6:256" x14ac:dyDescent="0.25">
      <c r="F31" t="e">
        <f>CAPEC!103:103-"8O&lt;!|\"</f>
        <v>#VALUE!</v>
      </c>
      <c r="G31" t="e">
        <f>CAPEC!104:104-"8O&lt;!|]"</f>
        <v>#VALUE!</v>
      </c>
      <c r="H31" t="e">
        <f>CAPEC!105:105-"8O&lt;!|^"</f>
        <v>#VALUE!</v>
      </c>
      <c r="I31" t="e">
        <f>CAPEC!106:106-"8O&lt;!|_"</f>
        <v>#VALUE!</v>
      </c>
      <c r="J31" t="e">
        <f>CAPEC!107:107-"8O&lt;!|`"</f>
        <v>#VALUE!</v>
      </c>
      <c r="K31" t="e">
        <f>CAPEC!108:108-"8O&lt;!|a"</f>
        <v>#VALUE!</v>
      </c>
      <c r="L31" t="e">
        <f>CAPEC!109:109-"8O&lt;!|b"</f>
        <v>#VALUE!</v>
      </c>
      <c r="M31" t="e">
        <f>CAPEC!110:110-"8O&lt;!|c"</f>
        <v>#VALUE!</v>
      </c>
      <c r="N31" t="e">
        <f>CAPEC!111:111-"8O&lt;!|d"</f>
        <v>#VALUE!</v>
      </c>
      <c r="O31" t="e">
        <f>CAPEC!112:112-"8O&lt;!|e"</f>
        <v>#VALUE!</v>
      </c>
      <c r="P31" t="e">
        <f>CAPEC!113:113-"8O&lt;!|f"</f>
        <v>#VALUE!</v>
      </c>
      <c r="Q31" t="e">
        <f>CAPEC!114:114-"8O&lt;!|g"</f>
        <v>#VALUE!</v>
      </c>
      <c r="R31" t="e">
        <f>CAPEC!115:115-"8O&lt;!|h"</f>
        <v>#VALUE!</v>
      </c>
      <c r="S31" t="e">
        <f>CAPEC!116:116-"8O&lt;!|i"</f>
        <v>#VALUE!</v>
      </c>
      <c r="T31" t="e">
        <f>CAPEC!117:117-"8O&lt;!|j"</f>
        <v>#VALUE!</v>
      </c>
      <c r="U31" t="e">
        <f>CAPEC!118:118-"8O&lt;!|k"</f>
        <v>#VALUE!</v>
      </c>
      <c r="V31" t="e">
        <f>CAPEC!119:119-"8O&lt;!|l"</f>
        <v>#VALUE!</v>
      </c>
      <c r="W31" t="e">
        <f>CAPEC!120:120-"8O&lt;!|m"</f>
        <v>#VALUE!</v>
      </c>
      <c r="X31" t="e">
        <f>CAPEC!121:121-"8O&lt;!|n"</f>
        <v>#VALUE!</v>
      </c>
      <c r="Y31" t="e">
        <f>CAPEC!122:122-"8O&lt;!|o"</f>
        <v>#VALUE!</v>
      </c>
      <c r="Z31" t="e">
        <f>CAPEC!123:123-"8O&lt;!|p"</f>
        <v>#VALUE!</v>
      </c>
      <c r="AA31" t="e">
        <f>CAPEC!124:124-"8O&lt;!|q"</f>
        <v>#VALUE!</v>
      </c>
      <c r="AB31" t="e">
        <f>CAPEC!125:125-"8O&lt;!|r"</f>
        <v>#VALUE!</v>
      </c>
      <c r="AC31" t="e">
        <f>CAPEC!126:126-"8O&lt;!|s"</f>
        <v>#VALUE!</v>
      </c>
      <c r="AD31" t="e">
        <f>CAPEC!127:127-"8O&lt;!|t"</f>
        <v>#VALUE!</v>
      </c>
      <c r="AE31" t="e">
        <f>CAPEC!128:128-"8O&lt;!|u"</f>
        <v>#VALUE!</v>
      </c>
      <c r="AF31" t="e">
        <f>CAPEC!129:129-"8O&lt;!|v"</f>
        <v>#VALUE!</v>
      </c>
      <c r="AG31" t="e">
        <f>CAPEC!130:130-"8O&lt;!|w"</f>
        <v>#VALUE!</v>
      </c>
      <c r="AH31" t="e">
        <f>CAPEC!131:131-"8O&lt;!|x"</f>
        <v>#VALUE!</v>
      </c>
      <c r="AI31" t="e">
        <f>CAPEC!132:132-"8O&lt;!|y"</f>
        <v>#VALUE!</v>
      </c>
      <c r="AJ31" t="e">
        <f>CAPEC!133:133-"8O&lt;!|z"</f>
        <v>#VALUE!</v>
      </c>
      <c r="AK31" t="e">
        <f>CAPEC!134:134-"8O&lt;!|{"</f>
        <v>#VALUE!</v>
      </c>
      <c r="AL31" t="e">
        <f>CAPEC!135:135-"8O&lt;!||"</f>
        <v>#VALUE!</v>
      </c>
      <c r="AM31" t="e">
        <f>CAPEC!136:136-"8O&lt;!|}"</f>
        <v>#VALUE!</v>
      </c>
      <c r="AN31" t="e">
        <f>CAPEC!137:137-"8O&lt;!|~"</f>
        <v>#VALUE!</v>
      </c>
      <c r="AO31" t="e">
        <f>CAPEC!138:138-"8O&lt;!}#"</f>
        <v>#VALUE!</v>
      </c>
      <c r="AP31" t="e">
        <f>CAPEC!139:139-"8O&lt;!}$"</f>
        <v>#VALUE!</v>
      </c>
      <c r="AQ31" t="e">
        <f>CAPEC!140:140-"8O&lt;!}%"</f>
        <v>#VALUE!</v>
      </c>
      <c r="AR31" t="e">
        <f>CAPEC!141:141-"8O&lt;!}&amp;"</f>
        <v>#VALUE!</v>
      </c>
      <c r="AS31" t="e">
        <f>CAPEC!142:142-"8O&lt;!}'"</f>
        <v>#VALUE!</v>
      </c>
      <c r="AT31" t="e">
        <f>CAPEC!143:143-"8O&lt;!}("</f>
        <v>#VALUE!</v>
      </c>
      <c r="AU31" t="e">
        <f>CAPEC!144:144-"8O&lt;!})"</f>
        <v>#VALUE!</v>
      </c>
      <c r="AV31" t="e">
        <f>CAPEC!145:145-"8O&lt;!}."</f>
        <v>#VALUE!</v>
      </c>
      <c r="AW31" t="e">
        <f>CAPEC!146:146-"8O&lt;!}/"</f>
        <v>#VALUE!</v>
      </c>
      <c r="AX31" t="e">
        <f>CAPEC!147:147-"8O&lt;!}0"</f>
        <v>#VALUE!</v>
      </c>
      <c r="AY31" t="e">
        <f>CAPEC!148:148-"8O&lt;!}1"</f>
        <v>#VALUE!</v>
      </c>
      <c r="AZ31" t="e">
        <f>CAPEC!149:149-"8O&lt;!}2"</f>
        <v>#VALUE!</v>
      </c>
      <c r="BA31" t="e">
        <f>CAPEC!150:150-"8O&lt;!}3"</f>
        <v>#VALUE!</v>
      </c>
      <c r="BB31" t="e">
        <f>CAPEC!151:151-"8O&lt;!}4"</f>
        <v>#VALUE!</v>
      </c>
      <c r="BC31" t="e">
        <f>CAPEC!152:152-"8O&lt;!}5"</f>
        <v>#VALUE!</v>
      </c>
      <c r="BD31" t="e">
        <f>CAPEC!153:153-"8O&lt;!}6"</f>
        <v>#VALUE!</v>
      </c>
      <c r="BE31" t="e">
        <f>CAPEC!154:154-"8O&lt;!}7"</f>
        <v>#VALUE!</v>
      </c>
      <c r="BF31" t="e">
        <f>CAPEC!155:155-"8O&lt;!}8"</f>
        <v>#VALUE!</v>
      </c>
      <c r="BG31" t="e">
        <f>CAPEC!156:156-"8O&lt;!}9"</f>
        <v>#VALUE!</v>
      </c>
      <c r="BH31" t="e">
        <f>CAPEC!157:157-"8O&lt;!}:"</f>
        <v>#VALUE!</v>
      </c>
      <c r="BI31" t="e">
        <f>CAPEC!158:158-"8O&lt;!};"</f>
        <v>#VALUE!</v>
      </c>
      <c r="BJ31" t="e">
        <f>CAPEC!159:159-"8O&lt;!}&lt;"</f>
        <v>#VALUE!</v>
      </c>
      <c r="BK31" t="e">
        <f>CAPEC!160:160-"8O&lt;!}="</f>
        <v>#VALUE!</v>
      </c>
      <c r="BL31" t="e">
        <f>CAPEC!161:161-"8O&lt;!}&gt;"</f>
        <v>#VALUE!</v>
      </c>
      <c r="BM31" t="e">
        <f>CAPEC!162:162-"8O&lt;!}?"</f>
        <v>#VALUE!</v>
      </c>
      <c r="BN31" t="e">
        <f>CAPEC!163:163-"8O&lt;!}@"</f>
        <v>#VALUE!</v>
      </c>
      <c r="BO31" t="e">
        <f>CAPEC!164:164-"8O&lt;!}A"</f>
        <v>#VALUE!</v>
      </c>
      <c r="BP31" t="e">
        <f>CAPEC!165:165-"8O&lt;!}B"</f>
        <v>#VALUE!</v>
      </c>
      <c r="BQ31" t="e">
        <f>CAPEC!166:166-"8O&lt;!}C"</f>
        <v>#VALUE!</v>
      </c>
      <c r="BR31" t="e">
        <f>CAPEC!167:167-"8O&lt;!}D"</f>
        <v>#VALUE!</v>
      </c>
      <c r="BS31" t="e">
        <f>CAPEC!168:168-"8O&lt;!}E"</f>
        <v>#VALUE!</v>
      </c>
      <c r="BT31" t="e">
        <f>CAPEC!169:169-"8O&lt;!}F"</f>
        <v>#VALUE!</v>
      </c>
      <c r="BU31" t="e">
        <f>CAPEC!170:170-"8O&lt;!}G"</f>
        <v>#VALUE!</v>
      </c>
      <c r="BV31" t="e">
        <f>CAPEC!171:171-"8O&lt;!}H"</f>
        <v>#VALUE!</v>
      </c>
      <c r="BW31" t="e">
        <f>CAPEC!172:172-"8O&lt;!}I"</f>
        <v>#VALUE!</v>
      </c>
      <c r="BX31" t="e">
        <f>CAPEC!173:173-"8O&lt;!}J"</f>
        <v>#VALUE!</v>
      </c>
      <c r="BY31" t="e">
        <f>CAPEC!174:174-"8O&lt;!}K"</f>
        <v>#VALUE!</v>
      </c>
      <c r="BZ31" t="e">
        <f>CAPEC!175:175-"8O&lt;!}L"</f>
        <v>#VALUE!</v>
      </c>
      <c r="CA31" t="e">
        <f>CAPEC!176:176-"8O&lt;!}M"</f>
        <v>#VALUE!</v>
      </c>
      <c r="CB31" t="e">
        <f>CAPEC!177:177-"8O&lt;!}N"</f>
        <v>#VALUE!</v>
      </c>
      <c r="CC31" t="e">
        <f>CAPEC!178:178-"8O&lt;!}O"</f>
        <v>#VALUE!</v>
      </c>
      <c r="CD31" t="e">
        <f>CAPEC!179:179-"8O&lt;!}P"</f>
        <v>#VALUE!</v>
      </c>
      <c r="CE31" t="e">
        <f>CAPEC!180:180-"8O&lt;!}Q"</f>
        <v>#VALUE!</v>
      </c>
      <c r="CF31" t="e">
        <f>CAPEC!181:181-"8O&lt;!}R"</f>
        <v>#VALUE!</v>
      </c>
      <c r="CG31" t="e">
        <f>CAPEC!182:182-"8O&lt;!}S"</f>
        <v>#VALUE!</v>
      </c>
      <c r="CH31" t="e">
        <f>CAPEC!183:183-"8O&lt;!}T"</f>
        <v>#VALUE!</v>
      </c>
      <c r="CI31" t="e">
        <f>CAPEC!184:184-"8O&lt;!}U"</f>
        <v>#VALUE!</v>
      </c>
      <c r="CJ31" t="e">
        <f>CAPEC!185:185-"8O&lt;!}V"</f>
        <v>#VALUE!</v>
      </c>
      <c r="CK31" t="e">
        <f>CAPEC!186:186-"8O&lt;!}W"</f>
        <v>#VALUE!</v>
      </c>
      <c r="CL31" t="e">
        <f>CAPEC!187:187-"8O&lt;!}X"</f>
        <v>#VALUE!</v>
      </c>
      <c r="CM31" t="e">
        <f>CAPEC!188:188-"8O&lt;!}Y"</f>
        <v>#VALUE!</v>
      </c>
      <c r="CN31" t="e">
        <f>CAPEC!189:189-"8O&lt;!}Z"</f>
        <v>#VALUE!</v>
      </c>
      <c r="CO31" t="e">
        <f>CAPEC!190:190-"8O&lt;!}["</f>
        <v>#VALUE!</v>
      </c>
      <c r="CP31" t="e">
        <f>CAPEC!191:191-"8O&lt;!}\"</f>
        <v>#VALUE!</v>
      </c>
      <c r="CQ31" t="e">
        <f>CAPEC!192:192-"8O&lt;!}]"</f>
        <v>#VALUE!</v>
      </c>
      <c r="CR31" t="e">
        <f>CAPEC!193:193-"8O&lt;!}^"</f>
        <v>#VALUE!</v>
      </c>
      <c r="CS31" t="e">
        <f>CAPEC!194:194-"8O&lt;!}_"</f>
        <v>#VALUE!</v>
      </c>
      <c r="CT31" t="e">
        <f>CAPEC!195:195-"8O&lt;!}`"</f>
        <v>#VALUE!</v>
      </c>
      <c r="CU31" t="e">
        <f>CAPEC!196:196-"8O&lt;!}a"</f>
        <v>#VALUE!</v>
      </c>
      <c r="CV31" t="e">
        <f>CAPEC!197:197-"8O&lt;!}b"</f>
        <v>#VALUE!</v>
      </c>
      <c r="CW31" t="e">
        <f>CAPEC!198:198-"8O&lt;!}c"</f>
        <v>#VALUE!</v>
      </c>
      <c r="CX31" t="e">
        <f>CAPEC!199:199-"8O&lt;!}d"</f>
        <v>#VALUE!</v>
      </c>
      <c r="CY31" t="e">
        <f>CAPEC!200:200-"8O&lt;!}e"</f>
        <v>#VALUE!</v>
      </c>
      <c r="CZ31" t="e">
        <f>CAPEC!201:201-"8O&lt;!}f"</f>
        <v>#VALUE!</v>
      </c>
      <c r="DA31" t="e">
        <f>CAPEC!202:202-"8O&lt;!}g"</f>
        <v>#VALUE!</v>
      </c>
      <c r="DB31" t="e">
        <f>CAPEC!203:203-"8O&lt;!}h"</f>
        <v>#VALUE!</v>
      </c>
      <c r="DC31" t="e">
        <f>CAPEC!204:204-"8O&lt;!}i"</f>
        <v>#VALUE!</v>
      </c>
      <c r="DD31" t="e">
        <f>CAPEC!205:205-"8O&lt;!}j"</f>
        <v>#VALUE!</v>
      </c>
      <c r="DE31" t="e">
        <f>CAPEC!206:206-"8O&lt;!}k"</f>
        <v>#VALUE!</v>
      </c>
      <c r="DF31" t="e">
        <f>CAPEC!207:207-"8O&lt;!}l"</f>
        <v>#VALUE!</v>
      </c>
      <c r="DG31" t="e">
        <f>CAPEC!208:208-"8O&lt;!}m"</f>
        <v>#VALUE!</v>
      </c>
      <c r="DH31" t="e">
        <f>CAPEC!209:209-"8O&lt;!}n"</f>
        <v>#VALUE!</v>
      </c>
      <c r="DI31" t="e">
        <f>CAPEC!210:210-"8O&lt;!}o"</f>
        <v>#VALUE!</v>
      </c>
      <c r="DJ31" t="e">
        <f>CAPEC!211:211-"8O&lt;!}p"</f>
        <v>#VALUE!</v>
      </c>
      <c r="DK31" t="e">
        <f>CAPEC!212:212-"8O&lt;!}q"</f>
        <v>#VALUE!</v>
      </c>
      <c r="DL31" t="e">
        <f>CAPEC!213:213-"8O&lt;!}r"</f>
        <v>#VALUE!</v>
      </c>
      <c r="DM31" t="e">
        <f>CAPEC!214:214-"8O&lt;!}s"</f>
        <v>#VALUE!</v>
      </c>
      <c r="DN31" t="e">
        <f>CAPEC!215:215-"8O&lt;!}t"</f>
        <v>#VALUE!</v>
      </c>
      <c r="DO31" t="e">
        <f>CAPEC!216:216-"8O&lt;!}u"</f>
        <v>#VALUE!</v>
      </c>
      <c r="DP31" t="e">
        <f>CAPEC!217:217-"8O&lt;!}v"</f>
        <v>#VALUE!</v>
      </c>
      <c r="DQ31" t="e">
        <f>CAPEC!218:218-"8O&lt;!}w"</f>
        <v>#VALUE!</v>
      </c>
      <c r="DR31" t="e">
        <f>CAPEC!219:219-"8O&lt;!}x"</f>
        <v>#VALUE!</v>
      </c>
      <c r="DS31" t="e">
        <f>CAPEC!220:220-"8O&lt;!}y"</f>
        <v>#VALUE!</v>
      </c>
      <c r="DT31" t="e">
        <f>CAPEC!221:221-"8O&lt;!}z"</f>
        <v>#VALUE!</v>
      </c>
      <c r="DU31" t="e">
        <f>CAPEC!222:222-"8O&lt;!}{"</f>
        <v>#VALUE!</v>
      </c>
      <c r="DV31" t="e">
        <f>CAPEC!223:223-"8O&lt;!}|"</f>
        <v>#VALUE!</v>
      </c>
      <c r="DW31" t="e">
        <f>CAPEC!224:224-"8O&lt;!}}"</f>
        <v>#VALUE!</v>
      </c>
      <c r="DX31" t="e">
        <f>CAPEC!225:225-"8O&lt;!}~"</f>
        <v>#VALUE!</v>
      </c>
      <c r="DY31" t="e">
        <f>CAPEC!226:226-"8O&lt;!~#"</f>
        <v>#VALUE!</v>
      </c>
      <c r="DZ31" t="e">
        <f>CAPEC!227:227-"8O&lt;!~$"</f>
        <v>#VALUE!</v>
      </c>
      <c r="EA31" t="e">
        <f>CAPEC!228:228-"8O&lt;!~%"</f>
        <v>#VALUE!</v>
      </c>
      <c r="EB31" t="e">
        <f>CAPEC!229:229-"8O&lt;!~&amp;"</f>
        <v>#VALUE!</v>
      </c>
      <c r="EC31" t="e">
        <f>CAPEC!230:230-"8O&lt;!~'"</f>
        <v>#VALUE!</v>
      </c>
      <c r="ED31" t="e">
        <f>CAPEC!231:231-"8O&lt;!~("</f>
        <v>#VALUE!</v>
      </c>
      <c r="EE31" t="e">
        <f>CAPEC!232:232-"8O&lt;!~)"</f>
        <v>#VALUE!</v>
      </c>
      <c r="EF31" t="e">
        <f>CAPEC!233:233-"8O&lt;!~."</f>
        <v>#VALUE!</v>
      </c>
      <c r="EG31" t="e">
        <f>CAPEC!234:234-"8O&lt;!~/"</f>
        <v>#VALUE!</v>
      </c>
      <c r="EH31" t="e">
        <f>CAPEC!235:235-"8O&lt;!~0"</f>
        <v>#VALUE!</v>
      </c>
      <c r="EI31" t="e">
        <f>CAPEC!236:236-"8O&lt;!~1"</f>
        <v>#VALUE!</v>
      </c>
      <c r="EJ31" t="e">
        <f>CAPEC!237:237-"8O&lt;!~2"</f>
        <v>#VALUE!</v>
      </c>
      <c r="EK31" t="e">
        <f>CAPEC!238:238-"8O&lt;!~3"</f>
        <v>#VALUE!</v>
      </c>
      <c r="EL31" t="e">
        <f>CAPEC!239:239-"8O&lt;!~4"</f>
        <v>#VALUE!</v>
      </c>
      <c r="EM31" t="e">
        <f>CAPEC!240:240-"8O&lt;!~5"</f>
        <v>#VALUE!</v>
      </c>
      <c r="EN31" t="e">
        <f>CAPEC!241:241-"8O&lt;!~6"</f>
        <v>#VALUE!</v>
      </c>
      <c r="EO31" t="e">
        <f>CAPEC!242:242-"8O&lt;!~7"</f>
        <v>#VALUE!</v>
      </c>
      <c r="EP31" t="e">
        <f>CAPEC!243:243-"8O&lt;!~8"</f>
        <v>#VALUE!</v>
      </c>
      <c r="EQ31" t="e">
        <f>CAPEC!244:244-"8O&lt;!~9"</f>
        <v>#VALUE!</v>
      </c>
      <c r="ER31" t="e">
        <f>CAPEC!245:245-"8O&lt;!~:"</f>
        <v>#VALUE!</v>
      </c>
      <c r="ES31" t="e">
        <f>CAPEC!246:246-"8O&lt;!~;"</f>
        <v>#VALUE!</v>
      </c>
      <c r="ET31" t="e">
        <f>CAPEC!247:247-"8O&lt;!~&lt;"</f>
        <v>#VALUE!</v>
      </c>
      <c r="EU31" t="e">
        <f>CAPEC!248:248-"8O&lt;!~="</f>
        <v>#VALUE!</v>
      </c>
      <c r="EV31" t="e">
        <f>CAPEC!249:249-"8O&lt;!~&gt;"</f>
        <v>#VALUE!</v>
      </c>
      <c r="EW31" t="e">
        <f>CAPEC!250:250-"8O&lt;!~?"</f>
        <v>#VALUE!</v>
      </c>
      <c r="EX31" t="e">
        <f>CAPEC!251:251-"8O&lt;!~@"</f>
        <v>#VALUE!</v>
      </c>
      <c r="EY31" t="e">
        <f>CAPEC!252:252-"8O&lt;!~A"</f>
        <v>#VALUE!</v>
      </c>
      <c r="EZ31" t="e">
        <f>CAPEC!253:253-"8O&lt;!~B"</f>
        <v>#VALUE!</v>
      </c>
      <c r="FA31" t="e">
        <f>CAPEC!254:254-"8O&lt;!~C"</f>
        <v>#VALUE!</v>
      </c>
      <c r="FB31" t="e">
        <f>CAPEC!255:255-"8O&lt;!~D"</f>
        <v>#VALUE!</v>
      </c>
      <c r="FC31" t="e">
        <f>CAPEC!256:256-"8O&lt;!~E"</f>
        <v>#VALUE!</v>
      </c>
      <c r="FD31" t="e">
        <f>CAPEC!257:257-"8O&lt;!~F"</f>
        <v>#VALUE!</v>
      </c>
      <c r="FE31" t="e">
        <f>CAPEC!258:258-"8O&lt;!~G"</f>
        <v>#VALUE!</v>
      </c>
      <c r="FF31" t="e">
        <f>CAPEC!259:259-"8O&lt;!~H"</f>
        <v>#VALUE!</v>
      </c>
      <c r="FG31" t="e">
        <f>CAPEC!260:260-"8O&lt;!~I"</f>
        <v>#VALUE!</v>
      </c>
      <c r="FH31" t="e">
        <f>CAPEC!261:261-"8O&lt;!~J"</f>
        <v>#VALUE!</v>
      </c>
      <c r="FI31" t="e">
        <f>CAPEC!262:262-"8O&lt;!~K"</f>
        <v>#VALUE!</v>
      </c>
      <c r="FJ31" t="e">
        <f>CAPEC!263:263-"8O&lt;!~L"</f>
        <v>#VALUE!</v>
      </c>
      <c r="FK31" t="e">
        <f>CAPEC!264:264-"8O&lt;!~M"</f>
        <v>#VALUE!</v>
      </c>
      <c r="FL31" t="e">
        <f>CAPEC!265:265-"8O&lt;!~N"</f>
        <v>#VALUE!</v>
      </c>
      <c r="FM31" t="e">
        <f>CAPEC!266:266-"8O&lt;!~O"</f>
        <v>#VALUE!</v>
      </c>
      <c r="FN31" t="e">
        <f>CAPEC!267:267-"8O&lt;!~P"</f>
        <v>#VALUE!</v>
      </c>
      <c r="FO31" t="e">
        <f>CAPEC!268:268-"8O&lt;!~Q"</f>
        <v>#VALUE!</v>
      </c>
      <c r="FP31" t="e">
        <f>CAPEC!269:269-"8O&lt;!~R"</f>
        <v>#VALUE!</v>
      </c>
      <c r="FQ31" t="e">
        <f>CAPEC!270:270-"8O&lt;!~S"</f>
        <v>#VALUE!</v>
      </c>
      <c r="FR31" t="e">
        <f>CAPEC!271:271-"8O&lt;!~T"</f>
        <v>#VALUE!</v>
      </c>
      <c r="FS31" t="e">
        <f>CAPEC!272:272-"8O&lt;!~U"</f>
        <v>#VALUE!</v>
      </c>
      <c r="FT31" t="e">
        <f>CAPEC!273:273-"8O&lt;!~V"</f>
        <v>#VALUE!</v>
      </c>
      <c r="FU31" t="e">
        <f>CAPEC!274:274-"8O&lt;!~W"</f>
        <v>#VALUE!</v>
      </c>
      <c r="FV31" t="e">
        <f>CAPEC!275:275-"8O&lt;!~X"</f>
        <v>#VALUE!</v>
      </c>
      <c r="FW31" t="e">
        <f>CAPEC!276:276-"8O&lt;!~Y"</f>
        <v>#VALUE!</v>
      </c>
      <c r="FX31" t="e">
        <f>CAPEC!277:277-"8O&lt;!~Z"</f>
        <v>#VALUE!</v>
      </c>
      <c r="FY31" t="e">
        <f>CAPEC!278:278-"8O&lt;!~["</f>
        <v>#VALUE!</v>
      </c>
      <c r="FZ31" t="e">
        <f>CAPEC!279:279-"8O&lt;!~\"</f>
        <v>#VALUE!</v>
      </c>
      <c r="GA31" t="e">
        <f>CAPEC!280:280-"8O&lt;!~]"</f>
        <v>#VALUE!</v>
      </c>
      <c r="GB31" t="e">
        <f>CAPEC!281:281-"8O&lt;!~^"</f>
        <v>#VALUE!</v>
      </c>
      <c r="GC31" t="e">
        <f>CAPEC!282:282-"8O&lt;!~_"</f>
        <v>#VALUE!</v>
      </c>
      <c r="GD31" t="e">
        <f>CAPEC!283:283-"8O&lt;!~`"</f>
        <v>#VALUE!</v>
      </c>
      <c r="GE31" t="e">
        <f>CAPEC!284:284-"8O&lt;!~a"</f>
        <v>#VALUE!</v>
      </c>
      <c r="GF31" t="e">
        <f>CAPEC!285:285-"8O&lt;!~b"</f>
        <v>#VALUE!</v>
      </c>
      <c r="GG31" t="e">
        <f>CAPEC!286:286-"8O&lt;!~c"</f>
        <v>#VALUE!</v>
      </c>
      <c r="GH31" t="e">
        <f>CAPEC!287:287-"8O&lt;!~d"</f>
        <v>#VALUE!</v>
      </c>
      <c r="GI31" t="e">
        <f>CAPEC!288:288-"8O&lt;!~e"</f>
        <v>#VALUE!</v>
      </c>
      <c r="GJ31" t="e">
        <f>CAPEC!289:289-"8O&lt;!~f"</f>
        <v>#VALUE!</v>
      </c>
      <c r="GK31" t="e">
        <f>CAPEC!290:290-"8O&lt;!~g"</f>
        <v>#VALUE!</v>
      </c>
      <c r="GL31" t="e">
        <f>CAPEC!291:291-"8O&lt;!~h"</f>
        <v>#VALUE!</v>
      </c>
      <c r="GM31" t="e">
        <f>CAPEC!292:292-"8O&lt;!~i"</f>
        <v>#VALUE!</v>
      </c>
      <c r="GN31" t="e">
        <f>CAPEC!293:293-"8O&lt;!~j"</f>
        <v>#VALUE!</v>
      </c>
      <c r="GO31" t="e">
        <f>CAPEC!294:294-"8O&lt;!~k"</f>
        <v>#VALUE!</v>
      </c>
      <c r="GP31" t="e">
        <f>CAPEC!295:295-"8O&lt;!~l"</f>
        <v>#VALUE!</v>
      </c>
      <c r="GQ31" t="e">
        <f>CAPEC!296:296-"8O&lt;!~m"</f>
        <v>#VALUE!</v>
      </c>
      <c r="GR31" t="e">
        <f>CAPEC!297:297-"8O&lt;!~n"</f>
        <v>#VALUE!</v>
      </c>
      <c r="GS31" t="e">
        <f>CAPEC!298:298-"8O&lt;!~o"</f>
        <v>#VALUE!</v>
      </c>
      <c r="GT31" t="e">
        <f>CAPEC!299:299-"8O&lt;!~p"</f>
        <v>#VALUE!</v>
      </c>
      <c r="GU31" t="e">
        <f>CAPEC!300:300-"8O&lt;!~q"</f>
        <v>#VALUE!</v>
      </c>
      <c r="GV31" t="e">
        <f>CAPEC!301:301-"8O&lt;!~r"</f>
        <v>#VALUE!</v>
      </c>
      <c r="GW31" t="e">
        <f>CAPEC!302:302-"8O&lt;!~s"</f>
        <v>#VALUE!</v>
      </c>
      <c r="GX31" t="e">
        <f>CAPEC!303:303-"8O&lt;!~t"</f>
        <v>#VALUE!</v>
      </c>
      <c r="GY31" t="e">
        <f>CAPEC!304:304-"8O&lt;!~u"</f>
        <v>#VALUE!</v>
      </c>
      <c r="GZ31" t="e">
        <f>CAPEC!305:305-"8O&lt;!~v"</f>
        <v>#VALUE!</v>
      </c>
      <c r="HA31" t="e">
        <f>CAPEC!306:306-"8O&lt;!~w"</f>
        <v>#VALUE!</v>
      </c>
      <c r="HB31" t="e">
        <f>CAPEC!307:307-"8O&lt;!~x"</f>
        <v>#VALUE!</v>
      </c>
      <c r="HC31" t="e">
        <f>CAPEC!308:308-"8O&lt;!~y"</f>
        <v>#VALUE!</v>
      </c>
      <c r="HD31" t="e">
        <f>CAPEC!309:309-"8O&lt;!~z"</f>
        <v>#VALUE!</v>
      </c>
      <c r="HE31" t="e">
        <f>CAPEC!310:310-"8O&lt;!~{"</f>
        <v>#VALUE!</v>
      </c>
      <c r="HF31" t="e">
        <f>CAPEC!311:311-"8O&lt;!~|"</f>
        <v>#VALUE!</v>
      </c>
      <c r="HG31" t="e">
        <f>CAPEC!312:312-"8O&lt;!~}"</f>
        <v>#VALUE!</v>
      </c>
      <c r="HH31" t="e">
        <f>CAPEC!313:313-"8O&lt;!~~"</f>
        <v>#VALUE!</v>
      </c>
      <c r="HI31" t="e">
        <f>CAPEC!314:314-"8O&lt;!$##"</f>
        <v>#VALUE!</v>
      </c>
      <c r="HJ31" t="e">
        <f>CAPEC!315:315-"8O&lt;!$#$"</f>
        <v>#VALUE!</v>
      </c>
      <c r="HK31" t="e">
        <f>CAPEC!316:316-"8O&lt;!$#%"</f>
        <v>#VALUE!</v>
      </c>
      <c r="HL31" t="e">
        <f>CAPEC!317:317-"8O&lt;!$#&amp;"</f>
        <v>#VALUE!</v>
      </c>
      <c r="HM31" t="e">
        <f>CAPEC!318:318-"8O&lt;!$#'"</f>
        <v>#VALUE!</v>
      </c>
      <c r="HN31" t="e">
        <f>CAPEC!319:319-"8O&lt;!$#("</f>
        <v>#VALUE!</v>
      </c>
      <c r="HO31" t="e">
        <f>CAPEC!320:320-"8O&lt;!$#)"</f>
        <v>#VALUE!</v>
      </c>
      <c r="HP31" t="e">
        <f>CAPEC!321:321-"8O&lt;!$#."</f>
        <v>#VALUE!</v>
      </c>
      <c r="HQ31" t="e">
        <f>CAPEC!322:322-"8O&lt;!$#/"</f>
        <v>#VALUE!</v>
      </c>
      <c r="HR31" t="e">
        <f>CAPEC!323:323-"8O&lt;!$#0"</f>
        <v>#VALUE!</v>
      </c>
      <c r="HS31" t="e">
        <f>CAPEC!324:324-"8O&lt;!$#1"</f>
        <v>#VALUE!</v>
      </c>
      <c r="HT31" t="e">
        <f>CAPEC!325:325-"8O&lt;!$#2"</f>
        <v>#VALUE!</v>
      </c>
      <c r="HU31" t="e">
        <f>CAPEC!326:326-"8O&lt;!$#3"</f>
        <v>#VALUE!</v>
      </c>
      <c r="HV31" t="e">
        <f>CAPEC!327:327-"8O&lt;!$#4"</f>
        <v>#VALUE!</v>
      </c>
      <c r="HW31" t="e">
        <f>CAPEC!328:328-"8O&lt;!$#5"</f>
        <v>#VALUE!</v>
      </c>
      <c r="HX31" t="e">
        <f>CAPEC!329:329-"8O&lt;!$#6"</f>
        <v>#VALUE!</v>
      </c>
      <c r="HY31" t="e">
        <f>CAPEC!330:330-"8O&lt;!$#7"</f>
        <v>#VALUE!</v>
      </c>
      <c r="HZ31" t="e">
        <f>CAPEC!331:331-"8O&lt;!$#8"</f>
        <v>#VALUE!</v>
      </c>
      <c r="IA31" t="e">
        <f>CAPEC!332:332-"8O&lt;!$#9"</f>
        <v>#VALUE!</v>
      </c>
      <c r="IB31" t="e">
        <f>CAPEC!333:333-"8O&lt;!$#:"</f>
        <v>#VALUE!</v>
      </c>
      <c r="IC31" t="e">
        <f>CAPEC!334:334-"8O&lt;!$#;"</f>
        <v>#VALUE!</v>
      </c>
      <c r="ID31" t="e">
        <f>CAPEC!335:335-"8O&lt;!$#&lt;"</f>
        <v>#VALUE!</v>
      </c>
      <c r="IE31" t="e">
        <f>CAPEC!336:336-"8O&lt;!$#="</f>
        <v>#VALUE!</v>
      </c>
      <c r="IF31" t="e">
        <f>CAPEC!337:337-"8O&lt;!$#&gt;"</f>
        <v>#VALUE!</v>
      </c>
      <c r="IG31" t="e">
        <f>CAPEC!338:338-"8O&lt;!$#?"</f>
        <v>#VALUE!</v>
      </c>
      <c r="IH31" t="e">
        <f>CAPEC!339:339-"8O&lt;!$#@"</f>
        <v>#VALUE!</v>
      </c>
      <c r="II31" t="e">
        <f>CAPEC!340:340-"8O&lt;!$#A"</f>
        <v>#VALUE!</v>
      </c>
      <c r="IJ31" t="e">
        <f>CAPEC!341:341-"8O&lt;!$#B"</f>
        <v>#VALUE!</v>
      </c>
      <c r="IK31" t="e">
        <f>CAPEC!342:342-"8O&lt;!$#C"</f>
        <v>#VALUE!</v>
      </c>
      <c r="IL31" t="e">
        <f>CAPEC!343:343-"8O&lt;!$#D"</f>
        <v>#VALUE!</v>
      </c>
      <c r="IM31" t="e">
        <f>CAPEC!344:344-"8O&lt;!$#E"</f>
        <v>#VALUE!</v>
      </c>
      <c r="IN31" t="e">
        <f>CAPEC!345:345-"8O&lt;!$#F"</f>
        <v>#VALUE!</v>
      </c>
      <c r="IO31" t="e">
        <f>CAPEC!346:346-"8O&lt;!$#G"</f>
        <v>#VALUE!</v>
      </c>
      <c r="IP31" t="e">
        <f>CAPEC!347:347-"8O&lt;!$#H"</f>
        <v>#VALUE!</v>
      </c>
      <c r="IQ31" t="e">
        <f>CAPEC!348:348-"8O&lt;!$#I"</f>
        <v>#VALUE!</v>
      </c>
      <c r="IR31" t="e">
        <f>CAPEC!349:349-"8O&lt;!$#J"</f>
        <v>#VALUE!</v>
      </c>
      <c r="IS31" t="e">
        <f>CAPEC!350:350-"8O&lt;!$#K"</f>
        <v>#VALUE!</v>
      </c>
      <c r="IT31" t="e">
        <f>CAPEC!351:351-"8O&lt;!$#L"</f>
        <v>#VALUE!</v>
      </c>
      <c r="IU31" t="e">
        <f>CAPEC!352:352-"8O&lt;!$#M"</f>
        <v>#VALUE!</v>
      </c>
      <c r="IV31" t="e">
        <f>CAPEC!353:353-"8O&lt;!$#N"</f>
        <v>#VALUE!</v>
      </c>
    </row>
    <row r="32" spans="6:256" x14ac:dyDescent="0.25">
      <c r="F32" t="e">
        <f>CAPEC!354:354-"8O&lt;!$#O"</f>
        <v>#VALUE!</v>
      </c>
      <c r="G32" t="e">
        <f>CAPEC!355:355-"8O&lt;!$#P"</f>
        <v>#VALUE!</v>
      </c>
      <c r="H32" t="e">
        <f>CAPEC!356:356-"8O&lt;!$#Q"</f>
        <v>#VALUE!</v>
      </c>
      <c r="I32" t="e">
        <f>CAPEC!357:357-"8O&lt;!$#R"</f>
        <v>#VALUE!</v>
      </c>
      <c r="J32" t="e">
        <f>CAPEC!358:358-"8O&lt;!$#S"</f>
        <v>#VALUE!</v>
      </c>
      <c r="K32" t="e">
        <f>CAPEC!359:359-"8O&lt;!$#T"</f>
        <v>#VALUE!</v>
      </c>
      <c r="L32" t="e">
        <f>CAPEC!360:360-"8O&lt;!$#U"</f>
        <v>#VALUE!</v>
      </c>
      <c r="M32" t="e">
        <f>CAPEC!361:361-"8O&lt;!$#V"</f>
        <v>#VALUE!</v>
      </c>
      <c r="N32" t="e">
        <f>CAPEC!362:362-"8O&lt;!$#W"</f>
        <v>#VALUE!</v>
      </c>
      <c r="O32" t="e">
        <f>CAPEC!363:363-"8O&lt;!$#X"</f>
        <v>#VALUE!</v>
      </c>
      <c r="P32" t="e">
        <f>CAPEC!364:364-"8O&lt;!$#Y"</f>
        <v>#VALUE!</v>
      </c>
      <c r="Q32" t="e">
        <f>CAPEC!365:365-"8O&lt;!$#Z"</f>
        <v>#VALUE!</v>
      </c>
      <c r="R32" t="e">
        <f>CAPEC!366:366-"8O&lt;!$#["</f>
        <v>#VALUE!</v>
      </c>
      <c r="S32" t="e">
        <f>CAPEC!367:367-"8O&lt;!$#\"</f>
        <v>#VALUE!</v>
      </c>
      <c r="T32" t="e">
        <f>CAPEC!368:368-"8O&lt;!$#]"</f>
        <v>#VALUE!</v>
      </c>
      <c r="U32" t="e">
        <f>CAPEC!369:369-"8O&lt;!$#^"</f>
        <v>#VALUE!</v>
      </c>
      <c r="V32" t="e">
        <f>CAPEC!370:370-"8O&lt;!$#_"</f>
        <v>#VALUE!</v>
      </c>
      <c r="W32" t="e">
        <f>CAPEC!371:371-"8O&lt;!$#`"</f>
        <v>#VALUE!</v>
      </c>
      <c r="X32" t="e">
        <f>CAPEC!372:372-"8O&lt;!$#a"</f>
        <v>#VALUE!</v>
      </c>
      <c r="Y32" t="e">
        <f>CAPEC!373:373-"8O&lt;!$#b"</f>
        <v>#VALUE!</v>
      </c>
      <c r="Z32" t="e">
        <f>CAPEC!374:374-"8O&lt;!$#c"</f>
        <v>#VALUE!</v>
      </c>
      <c r="AA32" t="e">
        <f>CAPEC!375:375-"8O&lt;!$#d"</f>
        <v>#VALUE!</v>
      </c>
      <c r="AB32" t="e">
        <f>CAPEC!376:376-"8O&lt;!$#e"</f>
        <v>#VALUE!</v>
      </c>
      <c r="AC32" t="e">
        <f>CAPEC!377:377-"8O&lt;!$#f"</f>
        <v>#VALUE!</v>
      </c>
      <c r="AD32" t="e">
        <f>CAPEC!378:378-"8O&lt;!$#g"</f>
        <v>#VALUE!</v>
      </c>
      <c r="AE32" t="e">
        <f>CAPEC!379:379-"8O&lt;!$#h"</f>
        <v>#VALUE!</v>
      </c>
      <c r="AF32" t="e">
        <f>CAPEC!380:380-"8O&lt;!$#i"</f>
        <v>#VALUE!</v>
      </c>
      <c r="AG32" t="e">
        <f>CAPEC!381:381-"8O&lt;!$#j"</f>
        <v>#VALUE!</v>
      </c>
      <c r="AH32" t="e">
        <f>CAPEC!382:382-"8O&lt;!$#k"</f>
        <v>#VALUE!</v>
      </c>
      <c r="AI32" t="e">
        <f>CAPEC!383:383-"8O&lt;!$#l"</f>
        <v>#VALUE!</v>
      </c>
      <c r="AJ32" t="e">
        <f>CAPEC!384:384-"8O&lt;!$#m"</f>
        <v>#VALUE!</v>
      </c>
      <c r="AK32" t="e">
        <f>CAPEC!385:385-"8O&lt;!$#n"</f>
        <v>#VALUE!</v>
      </c>
      <c r="AL32" t="e">
        <f>CAPEC!386:386-"8O&lt;!$#o"</f>
        <v>#VALUE!</v>
      </c>
      <c r="AM32" t="e">
        <f>CAPEC!387:387-"8O&lt;!$#p"</f>
        <v>#VALUE!</v>
      </c>
      <c r="AN32" t="e">
        <f>CAPEC!388:388-"8O&lt;!$#q"</f>
        <v>#VALUE!</v>
      </c>
      <c r="AO32" t="e">
        <f>CAPEC!389:389-"8O&lt;!$#r"</f>
        <v>#VALUE!</v>
      </c>
      <c r="AP32" t="e">
        <f>CAPEC!390:390-"8O&lt;!$#s"</f>
        <v>#VALUE!</v>
      </c>
      <c r="AQ32" t="e">
        <f>CAPEC!391:391-"8O&lt;!$#t"</f>
        <v>#VALUE!</v>
      </c>
      <c r="AR32" t="e">
        <f>CAPEC!392:392-"8O&lt;!$#u"</f>
        <v>#VALUE!</v>
      </c>
      <c r="AS32" t="e">
        <f>CAPEC!393:393-"8O&lt;!$#v"</f>
        <v>#VALUE!</v>
      </c>
      <c r="AT32" t="e">
        <f>CAPEC!394:394-"8O&lt;!$#w"</f>
        <v>#VALUE!</v>
      </c>
      <c r="AU32" t="e">
        <f>CAPEC!395:395-"8O&lt;!$#x"</f>
        <v>#VALUE!</v>
      </c>
      <c r="AV32" t="e">
        <f>CAPEC!396:396-"8O&lt;!$#y"</f>
        <v>#VALUE!</v>
      </c>
      <c r="AW32" t="e">
        <f>CAPEC!397:397-"8O&lt;!$#z"</f>
        <v>#VALUE!</v>
      </c>
      <c r="AX32" t="e">
        <f>CAPEC!398:398-"8O&lt;!$#{"</f>
        <v>#VALUE!</v>
      </c>
      <c r="AY32" t="e">
        <f>CAPEC!399:399-"8O&lt;!$#|"</f>
        <v>#VALUE!</v>
      </c>
      <c r="AZ32" t="e">
        <f>CAPEC!400:400-"8O&lt;!$#}"</f>
        <v>#VALUE!</v>
      </c>
      <c r="BA32" t="e">
        <f>CAPEC!401:401-"8O&lt;!$#~"</f>
        <v>#VALUE!</v>
      </c>
      <c r="BB32" t="e">
        <f>CAPEC!402:402-"8O&lt;!$$#"</f>
        <v>#VALUE!</v>
      </c>
      <c r="BC32" t="e">
        <f>CAPEC!403:403-"8O&lt;!$$$"</f>
        <v>#VALUE!</v>
      </c>
      <c r="BD32" t="e">
        <f>CAPEC!404:404-"8O&lt;!$$%"</f>
        <v>#VALUE!</v>
      </c>
      <c r="BE32" t="e">
        <f>CAPEC!405:405-"8O&lt;!$$&amp;"</f>
        <v>#VALUE!</v>
      </c>
      <c r="BF32" t="e">
        <f>CAPEC!406:406-"8O&lt;!$$'"</f>
        <v>#VALUE!</v>
      </c>
      <c r="BG32" t="e">
        <f>CAPEC!407:407-"8O&lt;!$$("</f>
        <v>#VALUE!</v>
      </c>
      <c r="BH32" t="e">
        <f>CAPEC!408:408-"8O&lt;!$$)"</f>
        <v>#VALUE!</v>
      </c>
      <c r="BI32" t="e">
        <f>CAPEC!409:409-"8O&lt;!$$."</f>
        <v>#VALUE!</v>
      </c>
      <c r="BJ32" t="e">
        <f>CAPEC!410:410-"8O&lt;!$$/"</f>
        <v>#VALUE!</v>
      </c>
      <c r="BK32" t="e">
        <f>CAPEC!411:411-"8O&lt;!$$0"</f>
        <v>#VALUE!</v>
      </c>
      <c r="BL32" t="e">
        <f>CAPEC!412:412-"8O&lt;!$$1"</f>
        <v>#VALUE!</v>
      </c>
      <c r="BM32" t="e">
        <f>CAPEC!413:413-"8O&lt;!$$2"</f>
        <v>#VALUE!</v>
      </c>
      <c r="BN32" t="e">
        <f>CAPEC!414:414-"8O&lt;!$$3"</f>
        <v>#VALUE!</v>
      </c>
      <c r="BO32" t="e">
        <f>CAPEC!415:415-"8O&lt;!$$4"</f>
        <v>#VALUE!</v>
      </c>
      <c r="BP32" t="e">
        <f>CAPEC!416:416-"8O&lt;!$$5"</f>
        <v>#VALUE!</v>
      </c>
      <c r="BQ32" t="e">
        <f>CAPEC!417:417-"8O&lt;!$$6"</f>
        <v>#VALUE!</v>
      </c>
      <c r="BR32" t="e">
        <f>CAPEC!418:418-"8O&lt;!$$7"</f>
        <v>#VALUE!</v>
      </c>
      <c r="BS32" t="e">
        <f>CAPEC!419:419-"8O&lt;!$$8"</f>
        <v>#VALUE!</v>
      </c>
      <c r="BT32" t="e">
        <f>CAPEC!420:420-"8O&lt;!$$9"</f>
        <v>#VALUE!</v>
      </c>
      <c r="BU32" t="e">
        <f>CAPEC!421:421-"8O&lt;!$$:"</f>
        <v>#VALUE!</v>
      </c>
      <c r="BV32" t="e">
        <f>CAPEC!422:422-"8O&lt;!$$;"</f>
        <v>#VALUE!</v>
      </c>
      <c r="BW32" t="e">
        <f>CAPEC!423:423-"8O&lt;!$$&lt;"</f>
        <v>#VALUE!</v>
      </c>
      <c r="BX32" t="e">
        <f>CAPEC!424:424-"8O&lt;!$$="</f>
        <v>#VALUE!</v>
      </c>
      <c r="BY32" t="e">
        <f>CAPEC!425:425-"8O&lt;!$$&gt;"</f>
        <v>#VALUE!</v>
      </c>
      <c r="BZ32" t="e">
        <f>CAPEC!426:426-"8O&lt;!$$?"</f>
        <v>#VALUE!</v>
      </c>
      <c r="CA32" t="e">
        <f>CAPEC!427:427-"8O&lt;!$$@"</f>
        <v>#VALUE!</v>
      </c>
      <c r="CB32" t="e">
        <f>CAPEC!428:428-"8O&lt;!$$A"</f>
        <v>#VALUE!</v>
      </c>
      <c r="CC32" t="e">
        <f>CAPEC!429:429-"8O&lt;!$$B"</f>
        <v>#VALUE!</v>
      </c>
      <c r="CD32" t="e">
        <f>CAPEC!430:430-"8O&lt;!$$C"</f>
        <v>#VALUE!</v>
      </c>
      <c r="CE32" t="e">
        <f>CAPEC!431:431-"8O&lt;!$$D"</f>
        <v>#VALUE!</v>
      </c>
      <c r="CF32" t="e">
        <f>CAPEC!432:432-"8O&lt;!$$E"</f>
        <v>#VALUE!</v>
      </c>
      <c r="CG32" t="e">
        <f>CAPEC!433:433-"8O&lt;!$$F"</f>
        <v>#VALUE!</v>
      </c>
      <c r="CH32" t="e">
        <f>CAPEC!434:434-"8O&lt;!$$G"</f>
        <v>#VALUE!</v>
      </c>
      <c r="CI32" t="e">
        <f>CAPEC!435:435-"8O&lt;!$$H"</f>
        <v>#VALUE!</v>
      </c>
      <c r="CJ32" t="e">
        <f>CAPEC!436:436-"8O&lt;!$$I"</f>
        <v>#VALUE!</v>
      </c>
      <c r="CK32" t="e">
        <f>CAPEC!437:437-"8O&lt;!$$J"</f>
        <v>#VALUE!</v>
      </c>
      <c r="CL32" t="e">
        <f>CAPEC!438:438-"8O&lt;!$$K"</f>
        <v>#VALUE!</v>
      </c>
      <c r="CM32" t="e">
        <f>CAPEC!439:439-"8O&lt;!$$L"</f>
        <v>#VALUE!</v>
      </c>
      <c r="CN32" t="e">
        <f>CAPEC!440:440-"8O&lt;!$$M"</f>
        <v>#VALUE!</v>
      </c>
      <c r="CO32" t="e">
        <f>CAPEC!441:441-"8O&lt;!$$N"</f>
        <v>#VALUE!</v>
      </c>
      <c r="CP32" t="e">
        <f>CAPEC!442:442-"8O&lt;!$$O"</f>
        <v>#VALUE!</v>
      </c>
      <c r="CQ32" t="e">
        <f>CAPEC!443:443-"8O&lt;!$$P"</f>
        <v>#VALUE!</v>
      </c>
      <c r="CR32" t="e">
        <f>CAPEC!444:444-"8O&lt;!$$Q"</f>
        <v>#VALUE!</v>
      </c>
      <c r="CS32" t="e">
        <f>CAPEC!445:445-"8O&lt;!$$R"</f>
        <v>#VALUE!</v>
      </c>
      <c r="CT32" t="e">
        <f>CAPEC!446:446-"8O&lt;!$$S"</f>
        <v>#VALUE!</v>
      </c>
      <c r="CU32" t="e">
        <f>CAPEC!447:447-"8O&lt;!$$T"</f>
        <v>#VALUE!</v>
      </c>
      <c r="CV32" t="e">
        <f>CAPEC!448:448-"8O&lt;!$$U"</f>
        <v>#VALUE!</v>
      </c>
      <c r="CW32" t="e">
        <f>CAPEC!449:449-"8O&lt;!$$V"</f>
        <v>#VALUE!</v>
      </c>
      <c r="CX32" t="e">
        <f>CAPEC!450:450-"8O&lt;!$$W"</f>
        <v>#VALUE!</v>
      </c>
      <c r="CY32" t="e">
        <f>CAPEC!451:451-"8O&lt;!$$X"</f>
        <v>#VALUE!</v>
      </c>
      <c r="CZ32" t="e">
        <f>CAPEC!452:452-"8O&lt;!$$Y"</f>
        <v>#VALUE!</v>
      </c>
      <c r="DA32" t="e">
        <f>CAPEC!453:453-"8O&lt;!$$Z"</f>
        <v>#VALUE!</v>
      </c>
      <c r="DB32" t="e">
        <f>CAPEC!454:454-"8O&lt;!$$["</f>
        <v>#VALUE!</v>
      </c>
      <c r="DC32" t="e">
        <f>CAPEC!455:455-"8O&lt;!$$\"</f>
        <v>#VALUE!</v>
      </c>
      <c r="DD32" t="e">
        <f>CAPEC!456:456-"8O&lt;!$$]"</f>
        <v>#VALUE!</v>
      </c>
      <c r="DE32" t="e">
        <f>CAPEC!457:457-"8O&lt;!$$^"</f>
        <v>#VALUE!</v>
      </c>
      <c r="DF32" t="e">
        <f>CAPEC!458:458-"8O&lt;!$$_"</f>
        <v>#VALUE!</v>
      </c>
      <c r="DG32" t="e">
        <f>CAPEC!459:459-"8O&lt;!$$`"</f>
        <v>#VALUE!</v>
      </c>
      <c r="DH32" t="e">
        <f>CAPEC!460:460-"8O&lt;!$$a"</f>
        <v>#VALUE!</v>
      </c>
      <c r="DI32" t="e">
        <f>CAPEC!461:461-"8O&lt;!$$b"</f>
        <v>#VALUE!</v>
      </c>
      <c r="DJ32" t="e">
        <f>CAPEC!462:462-"8O&lt;!$$c"</f>
        <v>#VALUE!</v>
      </c>
      <c r="DK32" t="e">
        <f>CAPEC!463:463-"8O&lt;!$$d"</f>
        <v>#VALUE!</v>
      </c>
      <c r="DL32" t="e">
        <f>CAPEC!464:464-"8O&lt;!$$e"</f>
        <v>#VALUE!</v>
      </c>
      <c r="DM32" t="e">
        <f>CAPEC!465:465-"8O&lt;!$$f"</f>
        <v>#VALUE!</v>
      </c>
      <c r="DN32" t="e">
        <f>CAPEC!466:466-"8O&lt;!$$g"</f>
        <v>#VALUE!</v>
      </c>
      <c r="DO32" t="e">
        <f>CAPEC!467:467-"8O&lt;!$$h"</f>
        <v>#VALUE!</v>
      </c>
      <c r="DP32" t="e">
        <f>CAPEC!468:468-"8O&lt;!$$i"</f>
        <v>#VALUE!</v>
      </c>
      <c r="DQ32" t="e">
        <f>CAPEC!469:469-"8O&lt;!$$j"</f>
        <v>#VALUE!</v>
      </c>
      <c r="DR32" t="e">
        <f>CAPEC!470:470-"8O&lt;!$$k"</f>
        <v>#VALUE!</v>
      </c>
      <c r="DS32" t="e">
        <f>CAPEC!471:471-"8O&lt;!$$l"</f>
        <v>#VALUE!</v>
      </c>
      <c r="DT32" t="e">
        <f>CAPEC!472:472-"8O&lt;!$$m"</f>
        <v>#VALUE!</v>
      </c>
      <c r="DU32" t="e">
        <f>CAPEC!473:473-"8O&lt;!$$n"</f>
        <v>#VALUE!</v>
      </c>
      <c r="DV32" t="e">
        <f>CAPEC!474:474-"8O&lt;!$$o"</f>
        <v>#VALUE!</v>
      </c>
      <c r="DW32" t="e">
        <f>CAPEC!475:475-"8O&lt;!$$p"</f>
        <v>#VALUE!</v>
      </c>
      <c r="DX32" t="e">
        <f>CAPEC!476:476-"8O&lt;!$$q"</f>
        <v>#VALUE!</v>
      </c>
      <c r="DY32" t="e">
        <f>CAPEC!477:477-"8O&lt;!$$r"</f>
        <v>#VALUE!</v>
      </c>
      <c r="DZ32" t="e">
        <f>CAPEC!478:478-"8O&lt;!$$s"</f>
        <v>#VALUE!</v>
      </c>
      <c r="EA32" t="e">
        <f>CAPEC!479:479-"8O&lt;!$$t"</f>
        <v>#VALUE!</v>
      </c>
      <c r="EB32" t="e">
        <f>CAPEC!480:480-"8O&lt;!$$u"</f>
        <v>#VALUE!</v>
      </c>
      <c r="EC32" t="e">
        <f>CAPEC!481:481-"8O&lt;!$$v"</f>
        <v>#VALUE!</v>
      </c>
      <c r="ED32" t="e">
        <f>CAPEC!482:482-"8O&lt;!$$w"</f>
        <v>#VALUE!</v>
      </c>
      <c r="EE32" t="e">
        <f>CAPEC!483:483-"8O&lt;!$$x"</f>
        <v>#VALUE!</v>
      </c>
      <c r="EF32" t="e">
        <f>CAPEC!484:484-"8O&lt;!$$y"</f>
        <v>#VALUE!</v>
      </c>
      <c r="EG32" t="e">
        <f>CAPEC!485:485-"8O&lt;!$$z"</f>
        <v>#VALUE!</v>
      </c>
      <c r="EH32" t="e">
        <f>CAPEC!486:486-"8O&lt;!$${"</f>
        <v>#VALUE!</v>
      </c>
      <c r="EI32" t="e">
        <f>CAPEC!487:487-"8O&lt;!$$|"</f>
        <v>#VALUE!</v>
      </c>
      <c r="EJ32" t="e">
        <f>CAPEC!488:488-"8O&lt;!$$}"</f>
        <v>#VALUE!</v>
      </c>
      <c r="EK32" t="e">
        <f>CAPEC!489:489-"8O&lt;!$$~"</f>
        <v>#VALUE!</v>
      </c>
      <c r="EL32" t="e">
        <f>CAPEC!490:490-"8O&lt;!$%#"</f>
        <v>#VALUE!</v>
      </c>
      <c r="EM32" t="e">
        <f>CAPEC!491:491-"8O&lt;!$%$"</f>
        <v>#VALUE!</v>
      </c>
      <c r="EN32" t="e">
        <f>CAPEC!492:492-"8O&lt;!$%%"</f>
        <v>#VALUE!</v>
      </c>
      <c r="EO32" t="e">
        <f>CAPEC!493:493-"8O&lt;!$%&amp;"</f>
        <v>#VALUE!</v>
      </c>
      <c r="EP32" t="e">
        <f>CAPEC!494:494-"8O&lt;!$%'"</f>
        <v>#VALUE!</v>
      </c>
      <c r="EQ32" t="e">
        <f>CAPEC!495:495-"8O&lt;!$%("</f>
        <v>#VALUE!</v>
      </c>
      <c r="ER32" t="e">
        <f>CAPEC!496:496-"8O&lt;!$%)"</f>
        <v>#VALUE!</v>
      </c>
      <c r="ES32" t="e">
        <f>CAPEC!497:497-"8O&lt;!$%."</f>
        <v>#VALUE!</v>
      </c>
      <c r="ET32" t="e">
        <f>CAPEC!498:498-"8O&lt;!$%/"</f>
        <v>#VALUE!</v>
      </c>
      <c r="EU32" t="e">
        <f>CAPEC!499:499-"8O&lt;!$%0"</f>
        <v>#VALUE!</v>
      </c>
      <c r="EV32" t="e">
        <f>CAPEC!500:500-"8O&lt;!$%1"</f>
        <v>#VALUE!</v>
      </c>
      <c r="EW32" t="e">
        <f>CAPEC!501:501-"8O&lt;!$%2"</f>
        <v>#VALUE!</v>
      </c>
      <c r="EX32" t="e">
        <f>CAPEC!502:502-"8O&lt;!$%3"</f>
        <v>#VALUE!</v>
      </c>
      <c r="EY32" t="e">
        <f>CAPEC!503:503-"8O&lt;!$%4"</f>
        <v>#VALUE!</v>
      </c>
      <c r="EZ32" t="e">
        <f>CAPEC!504:504-"8O&lt;!$%5"</f>
        <v>#VALUE!</v>
      </c>
      <c r="FA32" t="e">
        <f>CAPEC!505:505-"8O&lt;!$%6"</f>
        <v>#VALUE!</v>
      </c>
      <c r="FB32" t="e">
        <f>CAPEC!506:506-"8O&lt;!$%7"</f>
        <v>#VALUE!</v>
      </c>
      <c r="FC32" t="e">
        <f>CAPEC!507:507-"8O&lt;!$%8"</f>
        <v>#VALUE!</v>
      </c>
      <c r="FD32" t="e">
        <f>CAPEC!508:508-"8O&lt;!$%9"</f>
        <v>#VALUE!</v>
      </c>
      <c r="FE32" t="e">
        <f>CAPEC!509:509-"8O&lt;!$%:"</f>
        <v>#VALUE!</v>
      </c>
      <c r="FF32" t="e">
        <f>CAPEC!510:510-"8O&lt;!$%;"</f>
        <v>#VALUE!</v>
      </c>
      <c r="FG32" t="e">
        <f>CAPEC!511:511-"8O&lt;!$%&lt;"</f>
        <v>#VALUE!</v>
      </c>
      <c r="FH32" t="e">
        <f>CAPEC!512:512-"8O&lt;!$%="</f>
        <v>#VALUE!</v>
      </c>
      <c r="FI32" t="e">
        <f>CAPEC!513:513-"8O&lt;!$%&gt;"</f>
        <v>#VALUE!</v>
      </c>
      <c r="FJ32" t="e">
        <f>CAPEC!514:514-"8O&lt;!$%?"</f>
        <v>#VALUE!</v>
      </c>
      <c r="FK32" t="e">
        <f>CAPEC!515:515-"8O&lt;!$%@"</f>
        <v>#VALUE!</v>
      </c>
      <c r="FL32" t="e">
        <f>CAPEC!516:516-"8O&lt;!$%A"</f>
        <v>#VALUE!</v>
      </c>
      <c r="FM32" t="e">
        <f>CAPEC!517:517-"8O&lt;!$%B"</f>
        <v>#VALUE!</v>
      </c>
      <c r="FN32" t="e">
        <f>CAPEC!518:518-"8O&lt;!$%C"</f>
        <v>#VALUE!</v>
      </c>
      <c r="FO32" t="e">
        <f>CAPEC!519:519-"8O&lt;!$%D"</f>
        <v>#VALUE!</v>
      </c>
      <c r="FP32" t="e">
        <f>CAPEC!520:520-"8O&lt;!$%E"</f>
        <v>#VALUE!</v>
      </c>
      <c r="FQ32" t="e">
        <f>CAPEC!521:521-"8O&lt;!$%F"</f>
        <v>#VALUE!</v>
      </c>
      <c r="FR32" t="e">
        <f>CAPEC!522:522-"8O&lt;!$%G"</f>
        <v>#VALUE!</v>
      </c>
      <c r="FS32" t="e">
        <f>CAPEC!523:523-"8O&lt;!$%H"</f>
        <v>#VALUE!</v>
      </c>
      <c r="FT32" t="e">
        <f>CAPEC!524:524-"8O&lt;!$%I"</f>
        <v>#VALUE!</v>
      </c>
      <c r="FU32" t="e">
        <f>CAPEC!525:525-"8O&lt;!$%J"</f>
        <v>#VALUE!</v>
      </c>
      <c r="FV32" t="e">
        <f>CAPEC!526:526-"8O&lt;!$%K"</f>
        <v>#VALUE!</v>
      </c>
      <c r="FW32" t="e">
        <f>CAPEC!527:527-"8O&lt;!$%L"</f>
        <v>#VALUE!</v>
      </c>
      <c r="FX32" t="e">
        <f>CAPEC!528:528-"8O&lt;!$%M"</f>
        <v>#VALUE!</v>
      </c>
      <c r="FY32" t="e">
        <f>CAPEC!529:529-"8O&lt;!$%N"</f>
        <v>#VALUE!</v>
      </c>
      <c r="FZ32" t="e">
        <f>CAPEC!530:530-"8O&lt;!$%O"</f>
        <v>#VALUE!</v>
      </c>
      <c r="GA32" t="e">
        <f>CAPEC!531:531-"8O&lt;!$%P"</f>
        <v>#VALUE!</v>
      </c>
      <c r="GB32" t="e">
        <f>CAPEC!532:532-"8O&lt;!$%Q"</f>
        <v>#VALUE!</v>
      </c>
      <c r="GC32" t="e">
        <f>CAPEC!533:533-"8O&lt;!$%R"</f>
        <v>#VALUE!</v>
      </c>
      <c r="GD32" t="e">
        <f>CAPEC!534:534-"8O&lt;!$%S"</f>
        <v>#VALUE!</v>
      </c>
      <c r="GE32" t="e">
        <f>CAPEC!535:535-"8O&lt;!$%T"</f>
        <v>#VALUE!</v>
      </c>
      <c r="GF32" t="e">
        <f>CAPEC!536:536-"8O&lt;!$%U"</f>
        <v>#VALUE!</v>
      </c>
      <c r="GG32" t="e">
        <f>CAPEC!537:537-"8O&lt;!$%V"</f>
        <v>#VALUE!</v>
      </c>
      <c r="GH32" t="e">
        <f>CAPEC!538:538-"8O&lt;!$%W"</f>
        <v>#VALUE!</v>
      </c>
      <c r="GI32" t="e">
        <f>CAPEC!539:539-"8O&lt;!$%X"</f>
        <v>#VALUE!</v>
      </c>
      <c r="GJ32" t="e">
        <f>CAPEC!540:540-"8O&lt;!$%Y"</f>
        <v>#VALUE!</v>
      </c>
      <c r="GK32" t="e">
        <f>CAPEC!541:541-"8O&lt;!$%Z"</f>
        <v>#VALUE!</v>
      </c>
      <c r="GL32" t="e">
        <f>CAPEC!542:542-"8O&lt;!$%["</f>
        <v>#VALUE!</v>
      </c>
      <c r="GM32" t="e">
        <f>CAPEC!543:543-"8O&lt;!$%\"</f>
        <v>#VALUE!</v>
      </c>
      <c r="GN32" t="e">
        <f>CAPEC!544:544-"8O&lt;!$%]"</f>
        <v>#VALUE!</v>
      </c>
      <c r="GO32" t="e">
        <f>CAPEC!545:545-"8O&lt;!$%^"</f>
        <v>#VALUE!</v>
      </c>
      <c r="GP32" t="e">
        <f>CAPEC!546:546-"8O&lt;!$%_"</f>
        <v>#VALUE!</v>
      </c>
      <c r="GQ32" t="e">
        <f>CAPEC!547:547-"8O&lt;!$%`"</f>
        <v>#VALUE!</v>
      </c>
      <c r="GR32" t="e">
        <f>CAPEC!548:548-"8O&lt;!$%a"</f>
        <v>#VALUE!</v>
      </c>
      <c r="GS32" t="e">
        <f>CAPEC!549:549-"8O&lt;!$%b"</f>
        <v>#VALUE!</v>
      </c>
      <c r="GT32" t="e">
        <f>CAPEC!550:550-"8O&lt;!$%c"</f>
        <v>#VALUE!</v>
      </c>
      <c r="GU32" t="e">
        <f>CAPEC!551:551-"8O&lt;!$%d"</f>
        <v>#VALUE!</v>
      </c>
      <c r="GV32" t="e">
        <f>CAPEC!552:552-"8O&lt;!$%e"</f>
        <v>#VALUE!</v>
      </c>
      <c r="GW32" t="e">
        <f>CAPEC!553:553-"8O&lt;!$%f"</f>
        <v>#VALUE!</v>
      </c>
      <c r="GX32" t="e">
        <f>CAPEC!554:554-"8O&lt;!$%g"</f>
        <v>#VALUE!</v>
      </c>
      <c r="GY32" t="e">
        <f>CAPEC!555:555-"8O&lt;!$%h"</f>
        <v>#VALUE!</v>
      </c>
      <c r="GZ32" t="e">
        <f>CAPEC!556:556-"8O&lt;!$%i"</f>
        <v>#VALUE!</v>
      </c>
      <c r="HA32" t="e">
        <f>CAPEC!557:557-"8O&lt;!$%j"</f>
        <v>#VALUE!</v>
      </c>
      <c r="HB32" t="e">
        <f>CAPEC!558:558-"8O&lt;!$%k"</f>
        <v>#VALUE!</v>
      </c>
      <c r="HC32" t="e">
        <f>CAPEC!559:559-"8O&lt;!$%l"</f>
        <v>#VALUE!</v>
      </c>
      <c r="HD32" t="e">
        <f>CAPEC!560:560-"8O&lt;!$%m"</f>
        <v>#VALUE!</v>
      </c>
      <c r="HE32" t="e">
        <f>CAPEC!561:561-"8O&lt;!$%n"</f>
        <v>#VALUE!</v>
      </c>
      <c r="HF32" t="e">
        <f>CAPEC!562:562-"8O&lt;!$%o"</f>
        <v>#VALUE!</v>
      </c>
      <c r="HG32" t="e">
        <f>CAPEC!563:563-"8O&lt;!$%p"</f>
        <v>#VALUE!</v>
      </c>
      <c r="HH32" t="e">
        <f>CAPEC!564:564-"8O&lt;!$%q"</f>
        <v>#VALUE!</v>
      </c>
      <c r="HI32" t="e">
        <f>CAPEC!565:565-"8O&lt;!$%r"</f>
        <v>#VALUE!</v>
      </c>
      <c r="HJ32" t="e">
        <f>CAPEC!566:566-"8O&lt;!$%s"</f>
        <v>#VALUE!</v>
      </c>
      <c r="HK32" t="e">
        <f>CAPEC!567:567-"8O&lt;!$%t"</f>
        <v>#VALUE!</v>
      </c>
      <c r="HL32" t="e">
        <f>CAPEC!568:568-"8O&lt;!$%u"</f>
        <v>#VALUE!</v>
      </c>
      <c r="HM32" t="e">
        <f>CAPEC!569:569-"8O&lt;!$%v"</f>
        <v>#VALUE!</v>
      </c>
      <c r="HN32" t="e">
        <f>CAPEC!570:570-"8O&lt;!$%w"</f>
        <v>#VALUE!</v>
      </c>
      <c r="HO32" t="e">
        <f>CAPEC!571:571-"8O&lt;!$%x"</f>
        <v>#VALUE!</v>
      </c>
      <c r="HP32" t="e">
        <f>CAPEC!572:572-"8O&lt;!$%y"</f>
        <v>#VALUE!</v>
      </c>
      <c r="HQ32" t="e">
        <f>CAPEC!573:573-"8O&lt;!$%z"</f>
        <v>#VALUE!</v>
      </c>
      <c r="HR32" t="e">
        <f>CAPEC!574:574-"8O&lt;!$%{"</f>
        <v>#VALUE!</v>
      </c>
      <c r="HS32" t="e">
        <f>CAPEC!575:575-"8O&lt;!$%|"</f>
        <v>#VALUE!</v>
      </c>
      <c r="HT32" t="e">
        <f>CAPEC!576:576-"8O&lt;!$%}"</f>
        <v>#VALUE!</v>
      </c>
      <c r="HU32" t="e">
        <f>CAPEC!577:577-"8O&lt;!$%~"</f>
        <v>#VALUE!</v>
      </c>
      <c r="HV32" t="e">
        <f>CAPEC!578:578-"8O&lt;!$&amp;#"</f>
        <v>#VALUE!</v>
      </c>
      <c r="HW32" t="e">
        <f>CAPEC!579:579-"8O&lt;!$&amp;$"</f>
        <v>#VALUE!</v>
      </c>
      <c r="HX32" t="e">
        <f>CAPEC!580:580-"8O&lt;!$&amp;%"</f>
        <v>#VALUE!</v>
      </c>
      <c r="HY32" t="e">
        <f>CAPEC!581:581-"8O&lt;!$&amp;&amp;"</f>
        <v>#VALUE!</v>
      </c>
      <c r="HZ32" t="e">
        <f>CAPEC!582:582-"8O&lt;!$&amp;'"</f>
        <v>#VALUE!</v>
      </c>
      <c r="IA32" t="e">
        <f>CAPEC!583:583-"8O&lt;!$&amp;("</f>
        <v>#VALUE!</v>
      </c>
      <c r="IB32" t="e">
        <f>CAPEC!584:584-"8O&lt;!$&amp;)"</f>
        <v>#VALUE!</v>
      </c>
      <c r="IC32" t="e">
        <f>CAPEC!585:585-"8O&lt;!$&amp;."</f>
        <v>#VALUE!</v>
      </c>
      <c r="ID32" t="e">
        <f>CAPEC!586:586-"8O&lt;!$&amp;/"</f>
        <v>#VALUE!</v>
      </c>
      <c r="IE32" t="e">
        <f>CAPEC!587:587-"8O&lt;!$&amp;0"</f>
        <v>#VALUE!</v>
      </c>
      <c r="IF32" t="e">
        <f>CAPEC!588:588-"8O&lt;!$&amp;1"</f>
        <v>#VALUE!</v>
      </c>
      <c r="IG32" t="e">
        <f>CAPEC!589:589-"8O&lt;!$&amp;2"</f>
        <v>#VALUE!</v>
      </c>
      <c r="IH32" t="e">
        <f>CAPEC!590:590-"8O&lt;!$&amp;3"</f>
        <v>#VALUE!</v>
      </c>
      <c r="II32" t="e">
        <f>CAPEC!591:591-"8O&lt;!$&amp;4"</f>
        <v>#VALUE!</v>
      </c>
      <c r="IJ32" t="e">
        <f>CAPEC!592:592-"8O&lt;!$&amp;5"</f>
        <v>#VALUE!</v>
      </c>
      <c r="IK32" t="e">
        <f>CAPEC!593:593-"8O&lt;!$&amp;6"</f>
        <v>#VALUE!</v>
      </c>
      <c r="IL32" t="e">
        <f>CAPEC!594:594-"8O&lt;!$&amp;7"</f>
        <v>#VALUE!</v>
      </c>
      <c r="IM32" t="e">
        <f>CAPEC!595:595-"8O&lt;!$&amp;8"</f>
        <v>#VALUE!</v>
      </c>
      <c r="IN32" t="e">
        <f>CAPEC!596:596-"8O&lt;!$&amp;9"</f>
        <v>#VALUE!</v>
      </c>
      <c r="IO32" t="e">
        <f>CAPEC!597:597-"8O&lt;!$&amp;:"</f>
        <v>#VALUE!</v>
      </c>
      <c r="IP32" t="e">
        <f>CAPEC!598:598-"8O&lt;!$&amp;;"</f>
        <v>#VALUE!</v>
      </c>
      <c r="IQ32" t="e">
        <f>CAPEC!599:599-"8O&lt;!$&amp;&lt;"</f>
        <v>#VALUE!</v>
      </c>
      <c r="IR32" t="e">
        <f>CAPEC!600:600-"8O&lt;!$&amp;="</f>
        <v>#VALUE!</v>
      </c>
      <c r="IS32" t="e">
        <f>CAPEC!601:601-"8O&lt;!$&amp;&gt;"</f>
        <v>#VALUE!</v>
      </c>
      <c r="IT32" t="e">
        <f>CAPEC!602:602-"8O&lt;!$&amp;?"</f>
        <v>#VALUE!</v>
      </c>
      <c r="IU32" t="e">
        <f>CAPEC!603:603-"8O&lt;!$&amp;@"</f>
        <v>#VALUE!</v>
      </c>
      <c r="IV32" t="e">
        <f>CAPEC!604:604-"8O&lt;!$&amp;A"</f>
        <v>#VALUE!</v>
      </c>
    </row>
    <row r="33" spans="6:256" x14ac:dyDescent="0.25">
      <c r="F33" t="e">
        <f>CAPEC!605:605-"8O&lt;!$&amp;B"</f>
        <v>#VALUE!</v>
      </c>
      <c r="G33" t="e">
        <f>CAPEC!606:606-"8O&lt;!$&amp;C"</f>
        <v>#VALUE!</v>
      </c>
      <c r="H33" t="e">
        <f>CAPEC!607:607-"8O&lt;!$&amp;D"</f>
        <v>#VALUE!</v>
      </c>
      <c r="I33" t="e">
        <f>CAPEC!608:608-"8O&lt;!$&amp;E"</f>
        <v>#VALUE!</v>
      </c>
      <c r="J33" t="e">
        <f>CAPEC!609:609-"8O&lt;!$&amp;F"</f>
        <v>#VALUE!</v>
      </c>
      <c r="K33" t="e">
        <f>CAPEC!610:610-"8O&lt;!$&amp;G"</f>
        <v>#VALUE!</v>
      </c>
      <c r="L33" t="e">
        <f>CAPEC!611:611-"8O&lt;!$&amp;H"</f>
        <v>#VALUE!</v>
      </c>
      <c r="M33" t="e">
        <f>CAPEC!612:612-"8O&lt;!$&amp;I"</f>
        <v>#VALUE!</v>
      </c>
      <c r="N33" t="e">
        <f>CAPEC!613:613-"8O&lt;!$&amp;J"</f>
        <v>#VALUE!</v>
      </c>
      <c r="O33" t="e">
        <f>CAPEC!614:614-"8O&lt;!$&amp;K"</f>
        <v>#VALUE!</v>
      </c>
      <c r="P33" t="e">
        <f>CAPEC!615:615-"8O&lt;!$&amp;L"</f>
        <v>#VALUE!</v>
      </c>
      <c r="Q33" t="e">
        <f>CAPEC!616:616-"8O&lt;!$&amp;M"</f>
        <v>#VALUE!</v>
      </c>
      <c r="R33" t="e">
        <f>CAPEC!617:617-"8O&lt;!$&amp;N"</f>
        <v>#VALUE!</v>
      </c>
      <c r="S33" t="e">
        <f>CAPEC!618:618-"8O&lt;!$&amp;O"</f>
        <v>#VALUE!</v>
      </c>
      <c r="T33" t="e">
        <f>CAPEC!619:619-"8O&lt;!$&amp;P"</f>
        <v>#VALUE!</v>
      </c>
      <c r="U33" t="e">
        <f>CAPEC!620:620-"8O&lt;!$&amp;Q"</f>
        <v>#VALUE!</v>
      </c>
      <c r="V33" t="e">
        <f>CAPEC!621:621-"8O&lt;!$&amp;R"</f>
        <v>#VALUE!</v>
      </c>
      <c r="W33" t="e">
        <f>CAPEC!622:622-"8O&lt;!$&amp;S"</f>
        <v>#VALUE!</v>
      </c>
      <c r="X33" t="e">
        <f>CAPEC!623:623-"8O&lt;!$&amp;T"</f>
        <v>#VALUE!</v>
      </c>
      <c r="Y33" t="e">
        <f>CAPEC!624:624-"8O&lt;!$&amp;U"</f>
        <v>#VALUE!</v>
      </c>
      <c r="Z33" t="e">
        <f>CAPEC!625:625-"8O&lt;!$&amp;V"</f>
        <v>#VALUE!</v>
      </c>
      <c r="AA33" t="e">
        <f>CAPEC!626:626-"8O&lt;!$&amp;W"</f>
        <v>#VALUE!</v>
      </c>
      <c r="AB33" t="e">
        <f>CAPEC!627:627-"8O&lt;!$&amp;X"</f>
        <v>#VALUE!</v>
      </c>
      <c r="AC33" t="e">
        <f>CAPEC!628:628-"8O&lt;!$&amp;Y"</f>
        <v>#VALUE!</v>
      </c>
      <c r="AD33" t="e">
        <f>CAPEC!629:629-"8O&lt;!$&amp;Z"</f>
        <v>#VALUE!</v>
      </c>
      <c r="AE33" t="e">
        <f>CAPEC!630:630-"8O&lt;!$&amp;["</f>
        <v>#VALUE!</v>
      </c>
      <c r="AF33" t="e">
        <f>CAPEC!631:631-"8O&lt;!$&amp;\"</f>
        <v>#VALUE!</v>
      </c>
      <c r="AG33" t="e">
        <f>CAPEC!632:632-"8O&lt;!$&amp;]"</f>
        <v>#VALUE!</v>
      </c>
      <c r="AH33" t="e">
        <f>CAPEC!633:633-"8O&lt;!$&amp;^"</f>
        <v>#VALUE!</v>
      </c>
      <c r="AI33" t="e">
        <f>CAPEC!634:634-"8O&lt;!$&amp;_"</f>
        <v>#VALUE!</v>
      </c>
      <c r="AJ33" t="e">
        <f>CAPEC!635:635-"8O&lt;!$&amp;`"</f>
        <v>#VALUE!</v>
      </c>
      <c r="AK33" t="e">
        <f>CAPEC!636:636-"8O&lt;!$&amp;a"</f>
        <v>#VALUE!</v>
      </c>
      <c r="AL33" t="e">
        <f>CAPEC!637:637-"8O&lt;!$&amp;b"</f>
        <v>#VALUE!</v>
      </c>
      <c r="AM33" t="e">
        <f>CAPEC!638:638-"8O&lt;!$&amp;c"</f>
        <v>#VALUE!</v>
      </c>
      <c r="AN33" t="e">
        <f>CAPEC!639:639-"8O&lt;!$&amp;d"</f>
        <v>#VALUE!</v>
      </c>
      <c r="AO33" t="e">
        <f>CAPEC!640:640-"8O&lt;!$&amp;e"</f>
        <v>#VALUE!</v>
      </c>
      <c r="AP33" t="e">
        <f>CAPEC!641:641-"8O&lt;!$&amp;f"</f>
        <v>#VALUE!</v>
      </c>
      <c r="AQ33" t="e">
        <f>CAPEC!642:642-"8O&lt;!$&amp;g"</f>
        <v>#VALUE!</v>
      </c>
      <c r="AR33" t="e">
        <f>CAPEC!643:643-"8O&lt;!$&amp;h"</f>
        <v>#VALUE!</v>
      </c>
      <c r="AS33" t="e">
        <f>CAPEC!644:644-"8O&lt;!$&amp;i"</f>
        <v>#VALUE!</v>
      </c>
      <c r="AT33" t="e">
        <f>CAPEC!645:645-"8O&lt;!$&amp;j"</f>
        <v>#VALUE!</v>
      </c>
      <c r="AU33" t="e">
        <f>CAPEC!646:646-"8O&lt;!$&amp;k"</f>
        <v>#VALUE!</v>
      </c>
      <c r="AV33" t="e">
        <f>CAPEC!647:647-"8O&lt;!$&amp;l"</f>
        <v>#VALUE!</v>
      </c>
      <c r="AW33" t="e">
        <f>CAPEC!648:648-"8O&lt;!$&amp;m"</f>
        <v>#VALUE!</v>
      </c>
      <c r="AX33" t="e">
        <f>CAPEC!649:649-"8O&lt;!$&amp;n"</f>
        <v>#VALUE!</v>
      </c>
      <c r="AY33" t="e">
        <f>CAPEC!650:650-"8O&lt;!$&amp;o"</f>
        <v>#VALUE!</v>
      </c>
      <c r="AZ33" t="e">
        <f>CAPEC!651:651-"8O&lt;!$&amp;p"</f>
        <v>#VALUE!</v>
      </c>
      <c r="BA33" t="e">
        <f>CAPEC!652:652-"8O&lt;!$&amp;q"</f>
        <v>#VALUE!</v>
      </c>
      <c r="BB33" t="e">
        <f>CAPEC!653:653-"8O&lt;!$&amp;r"</f>
        <v>#VALUE!</v>
      </c>
      <c r="BC33" t="e">
        <f>CAPEC!654:654-"8O&lt;!$&amp;s"</f>
        <v>#VALUE!</v>
      </c>
      <c r="BD33" t="e">
        <f>CAPEC!655:655-"8O&lt;!$&amp;t"</f>
        <v>#VALUE!</v>
      </c>
      <c r="BE33" t="e">
        <f>CAPEC!656:656-"8O&lt;!$&amp;u"</f>
        <v>#VALUE!</v>
      </c>
      <c r="BF33" t="e">
        <f>CAPEC!657:657-"8O&lt;!$&amp;v"</f>
        <v>#VALUE!</v>
      </c>
      <c r="BG33" t="e">
        <f>CAPEC!658:658-"8O&lt;!$&amp;w"</f>
        <v>#VALUE!</v>
      </c>
      <c r="BH33" t="e">
        <f>CAPEC!659:659-"8O&lt;!$&amp;x"</f>
        <v>#VALUE!</v>
      </c>
      <c r="BI33" t="e">
        <f>CAPEC!660:660-"8O&lt;!$&amp;y"</f>
        <v>#VALUE!</v>
      </c>
      <c r="BJ33" t="e">
        <f>CAPEC!661:661-"8O&lt;!$&amp;z"</f>
        <v>#VALUE!</v>
      </c>
      <c r="BK33" t="e">
        <f>CAPEC!662:662-"8O&lt;!$&amp;{"</f>
        <v>#VALUE!</v>
      </c>
      <c r="BL33" t="e">
        <f>CAPEC!663:663-"8O&lt;!$&amp;|"</f>
        <v>#VALUE!</v>
      </c>
      <c r="BM33" t="e">
        <f>CAPEC!664:664-"8O&lt;!$&amp;}"</f>
        <v>#VALUE!</v>
      </c>
      <c r="BN33" t="e">
        <f>CAPEC!665:665-"8O&lt;!$&amp;~"</f>
        <v>#VALUE!</v>
      </c>
      <c r="BO33" t="e">
        <f>CAPEC!666:666-"8O&lt;!$'#"</f>
        <v>#VALUE!</v>
      </c>
      <c r="BP33" t="e">
        <f>CAPEC!667:667-"8O&lt;!$'$"</f>
        <v>#VALUE!</v>
      </c>
      <c r="BQ33" t="e">
        <f>CAPEC!668:668-"8O&lt;!$'%"</f>
        <v>#VALUE!</v>
      </c>
      <c r="BR33" t="e">
        <f>CAPEC!669:669-"8O&lt;!$'&amp;"</f>
        <v>#VALUE!</v>
      </c>
      <c r="BS33" t="e">
        <f>CAPEC!670:670-"8O&lt;!$''"</f>
        <v>#VALUE!</v>
      </c>
      <c r="BT33" t="e">
        <f>CAPEC!671:671-"8O&lt;!$'("</f>
        <v>#VALUE!</v>
      </c>
      <c r="BU33" t="e">
        <f>CAPEC!672:672-"8O&lt;!$')"</f>
        <v>#VALUE!</v>
      </c>
      <c r="BV33" t="e">
        <f>CAPEC!673:673-"8O&lt;!$'."</f>
        <v>#VALUE!</v>
      </c>
      <c r="BW33" t="e">
        <f>CAPEC!674:674-"8O&lt;!$'/"</f>
        <v>#VALUE!</v>
      </c>
      <c r="BX33" t="e">
        <f>CAPEC!675:675-"8O&lt;!$'0"</f>
        <v>#VALUE!</v>
      </c>
      <c r="BY33" t="e">
        <f>CAPEC!676:676-"8O&lt;!$'1"</f>
        <v>#VALUE!</v>
      </c>
      <c r="BZ33" t="e">
        <f>CAPEC!677:677-"8O&lt;!$'2"</f>
        <v>#VALUE!</v>
      </c>
      <c r="CA33" t="e">
        <f>CAPEC!678:678-"8O&lt;!$'3"</f>
        <v>#VALUE!</v>
      </c>
      <c r="CB33" t="e">
        <f>CAPEC!679:679-"8O&lt;!$'4"</f>
        <v>#VALUE!</v>
      </c>
      <c r="CC33" t="e">
        <f>CAPEC!680:680-"8O&lt;!$'5"</f>
        <v>#VALUE!</v>
      </c>
      <c r="CD33" t="e">
        <f>CAPEC!C1+"8O&lt;!$'6"</f>
        <v>#VALUE!</v>
      </c>
      <c r="CE33" t="e">
        <f>CAPEC!C2+"8O&lt;!$'7"</f>
        <v>#VALUE!</v>
      </c>
      <c r="CF33" t="e">
        <f>CAPEC!C3+"8O&lt;!$'8"</f>
        <v>#VALUE!</v>
      </c>
      <c r="CG33" t="e">
        <f>CAPEC!D3+"8O&lt;!$'9"</f>
        <v>#VALUE!</v>
      </c>
      <c r="CH33" t="e">
        <f>CAPEC!C5+"8O&lt;!$':"</f>
        <v>#VALUE!</v>
      </c>
      <c r="CI33" t="e">
        <f>CAPEC!D5+"8O&lt;!$';"</f>
        <v>#VALUE!</v>
      </c>
      <c r="CJ33" t="e">
        <f>CAPEC!E5+"8O&lt;!$'&lt;"</f>
        <v>#VALUE!</v>
      </c>
      <c r="CK33" t="e">
        <f>CAPEC!C6+"8O&lt;!$'="</f>
        <v>#VALUE!</v>
      </c>
      <c r="CL33" t="e">
        <f>CAPEC!D6+"8O&lt;!$'&gt;"</f>
        <v>#VALUE!</v>
      </c>
      <c r="CM33" t="e">
        <f>CAPEC!E6+"8O&lt;!$'?"</f>
        <v>#VALUE!</v>
      </c>
      <c r="CN33" t="e">
        <f>CAPEC!#REF!+"8O&lt;!$'@"</f>
        <v>#REF!</v>
      </c>
      <c r="CO33" t="e">
        <f>CAPEC!C7+"8O&lt;!$'A"</f>
        <v>#VALUE!</v>
      </c>
      <c r="CP33" t="e">
        <f>CAPEC!D7+"8O&lt;!$'B"</f>
        <v>#VALUE!</v>
      </c>
      <c r="CQ33" t="e">
        <f>CAPEC!E7+"8O&lt;!$'C"</f>
        <v>#VALUE!</v>
      </c>
      <c r="CR33" t="e">
        <f>CAPEC!#REF!+"8O&lt;!$'D"</f>
        <v>#REF!</v>
      </c>
      <c r="CS33" t="e">
        <f>CAPEC!C8+"8O&lt;!$'E"</f>
        <v>#VALUE!</v>
      </c>
      <c r="CT33" t="e">
        <f>CAPEC!D8+"8O&lt;!$'F"</f>
        <v>#VALUE!</v>
      </c>
      <c r="CU33" t="e">
        <f>CAPEC!E8+"8O&lt;!$'G"</f>
        <v>#VALUE!</v>
      </c>
      <c r="CV33" t="e">
        <f>CAPEC!#REF!+"8O&lt;!$'H"</f>
        <v>#REF!</v>
      </c>
      <c r="CW33" t="e">
        <f>CAPEC!C9+"8O&lt;!$'I"</f>
        <v>#VALUE!</v>
      </c>
      <c r="CX33" t="e">
        <f>CAPEC!D9+"8O&lt;!$'J"</f>
        <v>#VALUE!</v>
      </c>
      <c r="CY33" t="e">
        <f>CAPEC!E9+"8O&lt;!$'K"</f>
        <v>#VALUE!</v>
      </c>
      <c r="CZ33" t="e">
        <f>CAPEC!#REF!+"8O&lt;!$'L"</f>
        <v>#REF!</v>
      </c>
      <c r="DA33" t="e">
        <f>CAPEC!C10+"8O&lt;!$'M"</f>
        <v>#VALUE!</v>
      </c>
      <c r="DB33" t="e">
        <f>CAPEC!D10+"8O&lt;!$'N"</f>
        <v>#VALUE!</v>
      </c>
      <c r="DC33" t="e">
        <f>CAPEC!E10+"8O&lt;!$'O"</f>
        <v>#VALUE!</v>
      </c>
      <c r="DD33" t="e">
        <f>CAPEC!#REF!+"8O&lt;!$'P"</f>
        <v>#REF!</v>
      </c>
      <c r="DE33" t="e">
        <f>CAPEC!C11+"8O&lt;!$'Q"</f>
        <v>#VALUE!</v>
      </c>
      <c r="DF33" t="e">
        <f>CAPEC!D11+"8O&lt;!$'R"</f>
        <v>#VALUE!</v>
      </c>
      <c r="DG33" t="e">
        <f>CAPEC!E11+"8O&lt;!$'S"</f>
        <v>#VALUE!</v>
      </c>
      <c r="DH33" t="e">
        <f>CAPEC!#REF!+"8O&lt;!$'T"</f>
        <v>#REF!</v>
      </c>
      <c r="DI33" t="e">
        <f>CAPEC!C12+"8O&lt;!$'U"</f>
        <v>#VALUE!</v>
      </c>
      <c r="DJ33" t="e">
        <f>CAPEC!D12+"8O&lt;!$'V"</f>
        <v>#VALUE!</v>
      </c>
      <c r="DK33" t="e">
        <f>CAPEC!E12+"8O&lt;!$'W"</f>
        <v>#VALUE!</v>
      </c>
      <c r="DL33" t="e">
        <f>CAPEC!#REF!+"8O&lt;!$'X"</f>
        <v>#REF!</v>
      </c>
      <c r="DM33" t="e">
        <f>CAPEC!C13+"8O&lt;!$'Y"</f>
        <v>#VALUE!</v>
      </c>
      <c r="DN33" t="e">
        <f>CAPEC!D13+"8O&lt;!$'Z"</f>
        <v>#VALUE!</v>
      </c>
      <c r="DO33" t="e">
        <f>CAPEC!E13+"8O&lt;!$'["</f>
        <v>#VALUE!</v>
      </c>
      <c r="DP33" t="e">
        <f>CAPEC!#REF!+"8O&lt;!$'\"</f>
        <v>#REF!</v>
      </c>
      <c r="DQ33" t="e">
        <f>CAPEC!C14+"8O&lt;!$']"</f>
        <v>#VALUE!</v>
      </c>
      <c r="DR33" t="e">
        <f>CAPEC!D14+"8O&lt;!$'^"</f>
        <v>#VALUE!</v>
      </c>
      <c r="DS33" t="e">
        <f>CAPEC!E14+"8O&lt;!$'_"</f>
        <v>#VALUE!</v>
      </c>
      <c r="DT33" t="e">
        <f>CAPEC!#REF!+"8O&lt;!$'`"</f>
        <v>#REF!</v>
      </c>
      <c r="DU33" t="e">
        <f>CAPEC!C15+"8O&lt;!$'a"</f>
        <v>#VALUE!</v>
      </c>
      <c r="DV33" t="e">
        <f>CAPEC!D15+"8O&lt;!$'b"</f>
        <v>#VALUE!</v>
      </c>
      <c r="DW33" t="e">
        <f>CAPEC!E15+"8O&lt;!$'c"</f>
        <v>#VALUE!</v>
      </c>
      <c r="DX33" t="e">
        <f>CAPEC!#REF!+"8O&lt;!$'d"</f>
        <v>#REF!</v>
      </c>
      <c r="DY33" t="e">
        <f>CAPEC!C16+"8O&lt;!$'e"</f>
        <v>#VALUE!</v>
      </c>
      <c r="DZ33" t="e">
        <f>CAPEC!D16+"8O&lt;!$'f"</f>
        <v>#VALUE!</v>
      </c>
      <c r="EA33" t="e">
        <f>CAPEC!E16+"8O&lt;!$'g"</f>
        <v>#VALUE!</v>
      </c>
      <c r="EB33" t="e">
        <f>CAPEC!#REF!+"8O&lt;!$'h"</f>
        <v>#REF!</v>
      </c>
      <c r="EC33" t="e">
        <f>CAPEC!C17+"8O&lt;!$'i"</f>
        <v>#VALUE!</v>
      </c>
      <c r="ED33" t="e">
        <f>CAPEC!D17+"8O&lt;!$'j"</f>
        <v>#VALUE!</v>
      </c>
      <c r="EE33" t="e">
        <f>CAPEC!E17+"8O&lt;!$'k"</f>
        <v>#VALUE!</v>
      </c>
      <c r="EF33" t="e">
        <f>CAPEC!#REF!+"8O&lt;!$'l"</f>
        <v>#REF!</v>
      </c>
      <c r="EG33" t="e">
        <f>CAPEC!C18+"8O&lt;!$'m"</f>
        <v>#VALUE!</v>
      </c>
      <c r="EH33" t="e">
        <f>CAPEC!D18+"8O&lt;!$'n"</f>
        <v>#VALUE!</v>
      </c>
      <c r="EI33" t="e">
        <f>CAPEC!E18+"8O&lt;!$'o"</f>
        <v>#VALUE!</v>
      </c>
      <c r="EJ33" t="e">
        <f>CAPEC!#REF!+"8O&lt;!$'p"</f>
        <v>#REF!</v>
      </c>
      <c r="EK33" t="e">
        <f>CAPEC!C19+"8O&lt;!$'q"</f>
        <v>#VALUE!</v>
      </c>
      <c r="EL33" t="e">
        <f>CAPEC!D19+"8O&lt;!$'r"</f>
        <v>#VALUE!</v>
      </c>
      <c r="EM33" t="e">
        <f>CAPEC!E19+"8O&lt;!$'s"</f>
        <v>#VALUE!</v>
      </c>
      <c r="EN33" t="e">
        <f>CAPEC!#REF!+"8O&lt;!$'t"</f>
        <v>#REF!</v>
      </c>
      <c r="EO33" t="e">
        <f>CAPEC!C20+"8O&lt;!$'u"</f>
        <v>#VALUE!</v>
      </c>
      <c r="EP33" t="e">
        <f>CAPEC!D20+"8O&lt;!$'v"</f>
        <v>#VALUE!</v>
      </c>
      <c r="EQ33" t="e">
        <f>CAPEC!E20+"8O&lt;!$'w"</f>
        <v>#VALUE!</v>
      </c>
      <c r="ER33" t="e">
        <f>CAPEC!#REF!+"8O&lt;!$'x"</f>
        <v>#REF!</v>
      </c>
      <c r="ES33" t="e">
        <f>CAPEC!C21+"8O&lt;!$'y"</f>
        <v>#VALUE!</v>
      </c>
      <c r="ET33" t="e">
        <f>CAPEC!D21+"8O&lt;!$'z"</f>
        <v>#VALUE!</v>
      </c>
      <c r="EU33" t="e">
        <f>CAPEC!E21+"8O&lt;!$'{"</f>
        <v>#VALUE!</v>
      </c>
      <c r="EV33" t="e">
        <f>CAPEC!#REF!+"8O&lt;!$'|"</f>
        <v>#REF!</v>
      </c>
      <c r="EW33" t="e">
        <f>CAPEC!C22+"8O&lt;!$'}"</f>
        <v>#VALUE!</v>
      </c>
      <c r="EX33" t="e">
        <f>CAPEC!D22+"8O&lt;!$'~"</f>
        <v>#VALUE!</v>
      </c>
      <c r="EY33" t="e">
        <f>CAPEC!E22+"8O&lt;!$(#"</f>
        <v>#VALUE!</v>
      </c>
      <c r="EZ33" t="e">
        <f>CAPEC!#REF!+"8O&lt;!$($"</f>
        <v>#REF!</v>
      </c>
      <c r="FA33" t="e">
        <f>CAPEC!C23+"8O&lt;!$(%"</f>
        <v>#VALUE!</v>
      </c>
      <c r="FB33" t="e">
        <f>CAPEC!D23+"8O&lt;!$(&amp;"</f>
        <v>#VALUE!</v>
      </c>
      <c r="FC33" t="e">
        <f>CAPEC!E23+"8O&lt;!$('"</f>
        <v>#VALUE!</v>
      </c>
      <c r="FD33" t="e">
        <f>CAPEC!#REF!+"8O&lt;!$(("</f>
        <v>#REF!</v>
      </c>
      <c r="FE33" t="e">
        <f>CAPEC!C24+"8O&lt;!$()"</f>
        <v>#VALUE!</v>
      </c>
      <c r="FF33" t="e">
        <f>CAPEC!D24+"8O&lt;!$(."</f>
        <v>#VALUE!</v>
      </c>
      <c r="FG33" t="e">
        <f>CAPEC!E24+"8O&lt;!$(/"</f>
        <v>#VALUE!</v>
      </c>
      <c r="FH33" t="e">
        <f>CAPEC!#REF!+"8O&lt;!$(0"</f>
        <v>#REF!</v>
      </c>
      <c r="FI33" t="e">
        <f>CAPEC!C25+"8O&lt;!$(1"</f>
        <v>#VALUE!</v>
      </c>
      <c r="FJ33" t="e">
        <f>CAPEC!D25+"8O&lt;!$(2"</f>
        <v>#VALUE!</v>
      </c>
      <c r="FK33" t="e">
        <f>CAPEC!E25+"8O&lt;!$(3"</f>
        <v>#VALUE!</v>
      </c>
      <c r="FL33" t="e">
        <f>CAPEC!#REF!+"8O&lt;!$(4"</f>
        <v>#REF!</v>
      </c>
      <c r="FM33" t="e">
        <f>CAPEC!C26+"8O&lt;!$(5"</f>
        <v>#VALUE!</v>
      </c>
      <c r="FN33" t="e">
        <f>CAPEC!D26+"8O&lt;!$(6"</f>
        <v>#VALUE!</v>
      </c>
      <c r="FO33" t="e">
        <f>CAPEC!E26+"8O&lt;!$(7"</f>
        <v>#VALUE!</v>
      </c>
      <c r="FP33" t="e">
        <f>CAPEC!#REF!+"8O&lt;!$(8"</f>
        <v>#REF!</v>
      </c>
      <c r="FQ33" t="e">
        <f>CAPEC!C27+"8O&lt;!$(9"</f>
        <v>#VALUE!</v>
      </c>
      <c r="FR33" t="e">
        <f>CAPEC!D27+"8O&lt;!$(:"</f>
        <v>#VALUE!</v>
      </c>
      <c r="FS33" t="e">
        <f>CAPEC!E27+"8O&lt;!$(;"</f>
        <v>#VALUE!</v>
      </c>
      <c r="FT33" t="e">
        <f>CAPEC!#REF!+"8O&lt;!$(&lt;"</f>
        <v>#REF!</v>
      </c>
      <c r="FU33" t="e">
        <f>CAPEC!C28+"8O&lt;!$(="</f>
        <v>#VALUE!</v>
      </c>
      <c r="FV33" t="e">
        <f>CAPEC!D28+"8O&lt;!$(&gt;"</f>
        <v>#VALUE!</v>
      </c>
      <c r="FW33" t="e">
        <f>CAPEC!E28+"8O&lt;!$(?"</f>
        <v>#VALUE!</v>
      </c>
      <c r="FX33" t="e">
        <f>CAPEC!#REF!+"8O&lt;!$(@"</f>
        <v>#REF!</v>
      </c>
      <c r="FY33" t="e">
        <f>CAPEC!C29+"8O&lt;!$(A"</f>
        <v>#VALUE!</v>
      </c>
      <c r="FZ33" t="e">
        <f>CAPEC!D29+"8O&lt;!$(B"</f>
        <v>#VALUE!</v>
      </c>
      <c r="GA33" t="e">
        <f>CAPEC!E29+"8O&lt;!$(C"</f>
        <v>#VALUE!</v>
      </c>
      <c r="GB33" t="e">
        <f>CAPEC!#REF!+"8O&lt;!$(D"</f>
        <v>#REF!</v>
      </c>
      <c r="GC33" t="e">
        <f>CAPEC!C30+"8O&lt;!$(E"</f>
        <v>#VALUE!</v>
      </c>
      <c r="GD33" t="e">
        <f>CAPEC!D30+"8O&lt;!$(F"</f>
        <v>#VALUE!</v>
      </c>
      <c r="GE33" t="e">
        <f>CAPEC!E30+"8O&lt;!$(G"</f>
        <v>#VALUE!</v>
      </c>
      <c r="GF33" t="e">
        <f>CAPEC!#REF!+"8O&lt;!$(H"</f>
        <v>#REF!</v>
      </c>
      <c r="GG33" t="e">
        <f>CAPEC!C31+"8O&lt;!$(I"</f>
        <v>#VALUE!</v>
      </c>
      <c r="GH33" t="e">
        <f>CAPEC!D31+"8O&lt;!$(J"</f>
        <v>#VALUE!</v>
      </c>
      <c r="GI33" t="e">
        <f>CAPEC!E31+"8O&lt;!$(K"</f>
        <v>#VALUE!</v>
      </c>
      <c r="GJ33" t="e">
        <f>CAPEC!#REF!+"8O&lt;!$(L"</f>
        <v>#REF!</v>
      </c>
      <c r="GK33" t="e">
        <f>CAPEC!C32+"8O&lt;!$(M"</f>
        <v>#VALUE!</v>
      </c>
      <c r="GL33" t="e">
        <f>CAPEC!D32+"8O&lt;!$(N"</f>
        <v>#VALUE!</v>
      </c>
      <c r="GM33" t="e">
        <f>CAPEC!E32+"8O&lt;!$(O"</f>
        <v>#VALUE!</v>
      </c>
      <c r="GN33" t="e">
        <f>CAPEC!#REF!+"8O&lt;!$(P"</f>
        <v>#REF!</v>
      </c>
      <c r="GO33" t="e">
        <f>CAPEC!C33+"8O&lt;!$(Q"</f>
        <v>#VALUE!</v>
      </c>
      <c r="GP33" t="e">
        <f>CAPEC!D33+"8O&lt;!$(R"</f>
        <v>#VALUE!</v>
      </c>
      <c r="GQ33" t="e">
        <f>CAPEC!E33+"8O&lt;!$(S"</f>
        <v>#VALUE!</v>
      </c>
      <c r="GR33" t="e">
        <f>CAPEC!#REF!+"8O&lt;!$(T"</f>
        <v>#REF!</v>
      </c>
      <c r="GS33" t="e">
        <f>CAPEC!C34+"8O&lt;!$(U"</f>
        <v>#VALUE!</v>
      </c>
      <c r="GT33" t="e">
        <f>CAPEC!D34+"8O&lt;!$(V"</f>
        <v>#VALUE!</v>
      </c>
      <c r="GU33" t="e">
        <f>CAPEC!E34+"8O&lt;!$(W"</f>
        <v>#VALUE!</v>
      </c>
      <c r="GV33" t="e">
        <f>CAPEC!#REF!+"8O&lt;!$(X"</f>
        <v>#REF!</v>
      </c>
      <c r="GW33" t="e">
        <f>CAPEC!C35+"8O&lt;!$(Y"</f>
        <v>#VALUE!</v>
      </c>
      <c r="GX33" t="e">
        <f>CAPEC!D35+"8O&lt;!$(Z"</f>
        <v>#VALUE!</v>
      </c>
      <c r="GY33" t="e">
        <f>CAPEC!E35+"8O&lt;!$(["</f>
        <v>#VALUE!</v>
      </c>
      <c r="GZ33" t="e">
        <f>CAPEC!#REF!+"8O&lt;!$(\"</f>
        <v>#REF!</v>
      </c>
      <c r="HA33" t="e">
        <f>CAPEC!C36+"8O&lt;!$(]"</f>
        <v>#VALUE!</v>
      </c>
      <c r="HB33" t="e">
        <f>CAPEC!D36+"8O&lt;!$(^"</f>
        <v>#VALUE!</v>
      </c>
      <c r="HC33" t="e">
        <f>CAPEC!E36+"8O&lt;!$(_"</f>
        <v>#VALUE!</v>
      </c>
      <c r="HD33" t="e">
        <f>CAPEC!#REF!+"8O&lt;!$(`"</f>
        <v>#REF!</v>
      </c>
      <c r="HE33" t="e">
        <f>CAPEC!C37+"8O&lt;!$(a"</f>
        <v>#VALUE!</v>
      </c>
      <c r="HF33" t="e">
        <f>CAPEC!D37+"8O&lt;!$(b"</f>
        <v>#VALUE!</v>
      </c>
      <c r="HG33" t="e">
        <f>CAPEC!E37+"8O&lt;!$(c"</f>
        <v>#VALUE!</v>
      </c>
      <c r="HH33" t="e">
        <f>CAPEC!#REF!+"8O&lt;!$(d"</f>
        <v>#REF!</v>
      </c>
      <c r="HI33" t="e">
        <f>CAPEC!C38+"8O&lt;!$(e"</f>
        <v>#VALUE!</v>
      </c>
      <c r="HJ33" t="e">
        <f>CAPEC!D38+"8O&lt;!$(f"</f>
        <v>#VALUE!</v>
      </c>
      <c r="HK33" t="e">
        <f>CAPEC!E38+"8O&lt;!$(g"</f>
        <v>#VALUE!</v>
      </c>
      <c r="HL33" t="e">
        <f>CAPEC!#REF!+"8O&lt;!$(h"</f>
        <v>#REF!</v>
      </c>
      <c r="HM33" t="e">
        <f>CAPEC!C39+"8O&lt;!$(i"</f>
        <v>#VALUE!</v>
      </c>
      <c r="HN33" t="e">
        <f>CAPEC!D39+"8O&lt;!$(j"</f>
        <v>#VALUE!</v>
      </c>
      <c r="HO33" t="e">
        <f>CAPEC!E39+"8O&lt;!$(k"</f>
        <v>#VALUE!</v>
      </c>
      <c r="HP33" t="e">
        <f>CAPEC!#REF!+"8O&lt;!$(l"</f>
        <v>#REF!</v>
      </c>
      <c r="HQ33" t="e">
        <f>CAPEC!C40+"8O&lt;!$(m"</f>
        <v>#VALUE!</v>
      </c>
      <c r="HR33" t="e">
        <f>CAPEC!D40+"8O&lt;!$(n"</f>
        <v>#VALUE!</v>
      </c>
      <c r="HS33" t="e">
        <f>CAPEC!E40+"8O&lt;!$(o"</f>
        <v>#VALUE!</v>
      </c>
      <c r="HT33" t="e">
        <f>CAPEC!#REF!+"8O&lt;!$(p"</f>
        <v>#REF!</v>
      </c>
      <c r="HU33" t="e">
        <f>CAPEC!C41+"8O&lt;!$(q"</f>
        <v>#VALUE!</v>
      </c>
      <c r="HV33" t="e">
        <f>CAPEC!D41+"8O&lt;!$(r"</f>
        <v>#VALUE!</v>
      </c>
      <c r="HW33" t="e">
        <f>CAPEC!E41+"8O&lt;!$(s"</f>
        <v>#VALUE!</v>
      </c>
      <c r="HX33" t="e">
        <f>CAPEC!#REF!+"8O&lt;!$(t"</f>
        <v>#REF!</v>
      </c>
      <c r="HY33" t="e">
        <f>CAPEC!C42+"8O&lt;!$(u"</f>
        <v>#VALUE!</v>
      </c>
      <c r="HZ33" t="e">
        <f>CAPEC!D42+"8O&lt;!$(v"</f>
        <v>#VALUE!</v>
      </c>
      <c r="IA33" t="e">
        <f>CAPEC!E42+"8O&lt;!$(w"</f>
        <v>#VALUE!</v>
      </c>
      <c r="IB33" t="e">
        <f>CAPEC!#REF!+"8O&lt;!$(x"</f>
        <v>#REF!</v>
      </c>
      <c r="IC33" t="e">
        <f>CAPEC!C43+"8O&lt;!$(y"</f>
        <v>#VALUE!</v>
      </c>
      <c r="ID33" t="e">
        <f>CAPEC!D43+"8O&lt;!$(z"</f>
        <v>#VALUE!</v>
      </c>
      <c r="IE33" t="e">
        <f>CAPEC!E43+"8O&lt;!$({"</f>
        <v>#VALUE!</v>
      </c>
      <c r="IF33" t="e">
        <f>CAPEC!#REF!+"8O&lt;!$(|"</f>
        <v>#REF!</v>
      </c>
      <c r="IG33" t="e">
        <f>CAPEC!C44+"8O&lt;!$(}"</f>
        <v>#VALUE!</v>
      </c>
      <c r="IH33" t="e">
        <f>CAPEC!D44+"8O&lt;!$(~"</f>
        <v>#VALUE!</v>
      </c>
      <c r="II33" t="e">
        <f>CAPEC!E44+"8O&lt;!$)#"</f>
        <v>#VALUE!</v>
      </c>
      <c r="IJ33" t="e">
        <f>CAPEC!#REF!+"8O&lt;!$)$"</f>
        <v>#REF!</v>
      </c>
      <c r="IK33" t="e">
        <f>CAPEC!C45+"8O&lt;!$)%"</f>
        <v>#VALUE!</v>
      </c>
      <c r="IL33" t="e">
        <f>CAPEC!D45+"8O&lt;!$)&amp;"</f>
        <v>#VALUE!</v>
      </c>
      <c r="IM33" t="e">
        <f>CAPEC!E45+"8O&lt;!$)'"</f>
        <v>#VALUE!</v>
      </c>
      <c r="IN33" t="e">
        <f>CAPEC!#REF!+"8O&lt;!$)("</f>
        <v>#REF!</v>
      </c>
      <c r="IO33" t="e">
        <f>CAPEC!C46+"8O&lt;!$))"</f>
        <v>#VALUE!</v>
      </c>
      <c r="IP33" t="e">
        <f>CAPEC!D46+"8O&lt;!$)."</f>
        <v>#VALUE!</v>
      </c>
      <c r="IQ33" t="e">
        <f>CAPEC!E46+"8O&lt;!$)/"</f>
        <v>#VALUE!</v>
      </c>
      <c r="IR33" t="e">
        <f>CAPEC!#REF!+"8O&lt;!$)0"</f>
        <v>#REF!</v>
      </c>
      <c r="IS33" t="e">
        <f>CAPEC!C47+"8O&lt;!$)1"</f>
        <v>#VALUE!</v>
      </c>
      <c r="IT33" t="e">
        <f>CAPEC!D47+"8O&lt;!$)2"</f>
        <v>#VALUE!</v>
      </c>
      <c r="IU33" t="e">
        <f>CAPEC!E47+"8O&lt;!$)3"</f>
        <v>#VALUE!</v>
      </c>
      <c r="IV33" t="e">
        <f>CAPEC!#REF!+"8O&lt;!$)4"</f>
        <v>#REF!</v>
      </c>
    </row>
    <row r="34" spans="6:256" x14ac:dyDescent="0.25">
      <c r="F34" t="e">
        <f>CAPEC!C48+"8O&lt;!$)5"</f>
        <v>#VALUE!</v>
      </c>
      <c r="G34" t="e">
        <f>CAPEC!D48+"8O&lt;!$)6"</f>
        <v>#VALUE!</v>
      </c>
      <c r="H34" t="e">
        <f>CAPEC!E48+"8O&lt;!$)7"</f>
        <v>#VALUE!</v>
      </c>
      <c r="I34" t="e">
        <f>CAPEC!#REF!+"8O&lt;!$)8"</f>
        <v>#REF!</v>
      </c>
      <c r="J34" t="e">
        <f>CAPEC!C49+"8O&lt;!$)9"</f>
        <v>#VALUE!</v>
      </c>
      <c r="K34" t="e">
        <f>CAPEC!D49+"8O&lt;!$):"</f>
        <v>#VALUE!</v>
      </c>
      <c r="L34" t="e">
        <f>CAPEC!E49+"8O&lt;!$);"</f>
        <v>#VALUE!</v>
      </c>
      <c r="M34" t="e">
        <f>CAPEC!#REF!+"8O&lt;!$)&lt;"</f>
        <v>#REF!</v>
      </c>
      <c r="N34" t="e">
        <f>CAPEC!C50+"8O&lt;!$)="</f>
        <v>#VALUE!</v>
      </c>
      <c r="O34" t="e">
        <f>CAPEC!D50+"8O&lt;!$)&gt;"</f>
        <v>#VALUE!</v>
      </c>
      <c r="P34" t="e">
        <f>CAPEC!E50+"8O&lt;!$)?"</f>
        <v>#VALUE!</v>
      </c>
      <c r="Q34" t="e">
        <f>CAPEC!#REF!+"8O&lt;!$)@"</f>
        <v>#REF!</v>
      </c>
      <c r="R34" t="e">
        <f>CAPEC!C51+"8O&lt;!$)A"</f>
        <v>#VALUE!</v>
      </c>
      <c r="S34" t="e">
        <f>CAPEC!D51+"8O&lt;!$)B"</f>
        <v>#VALUE!</v>
      </c>
      <c r="T34" t="e">
        <f>CAPEC!E51+"8O&lt;!$)C"</f>
        <v>#VALUE!</v>
      </c>
      <c r="U34" t="e">
        <f>CAPEC!#REF!+"8O&lt;!$)D"</f>
        <v>#REF!</v>
      </c>
      <c r="V34" t="e">
        <f>CAPEC!C52+"8O&lt;!$)E"</f>
        <v>#VALUE!</v>
      </c>
      <c r="W34" t="e">
        <f>CAPEC!D52+"8O&lt;!$)F"</f>
        <v>#VALUE!</v>
      </c>
      <c r="X34" t="e">
        <f>CAPEC!E52+"8O&lt;!$)G"</f>
        <v>#VALUE!</v>
      </c>
      <c r="Y34" t="e">
        <f>CAPEC!#REF!+"8O&lt;!$)H"</f>
        <v>#REF!</v>
      </c>
      <c r="Z34" t="e">
        <f>CAPEC!C53+"8O&lt;!$)I"</f>
        <v>#VALUE!</v>
      </c>
      <c r="AA34" t="e">
        <f>CAPEC!D53+"8O&lt;!$)J"</f>
        <v>#VALUE!</v>
      </c>
      <c r="AB34" t="e">
        <f>CAPEC!E53+"8O&lt;!$)K"</f>
        <v>#VALUE!</v>
      </c>
      <c r="AC34" t="e">
        <f>CAPEC!#REF!+"8O&lt;!$)L"</f>
        <v>#REF!</v>
      </c>
      <c r="AD34" t="e">
        <f>CAPEC!C54+"8O&lt;!$)M"</f>
        <v>#VALUE!</v>
      </c>
      <c r="AE34" t="e">
        <f>CAPEC!D54+"8O&lt;!$)N"</f>
        <v>#VALUE!</v>
      </c>
      <c r="AF34" t="e">
        <f>CAPEC!E54+"8O&lt;!$)O"</f>
        <v>#VALUE!</v>
      </c>
      <c r="AG34" t="e">
        <f>CAPEC!#REF!+"8O&lt;!$)P"</f>
        <v>#REF!</v>
      </c>
      <c r="AH34" t="e">
        <f>CAPEC!C55+"8O&lt;!$)Q"</f>
        <v>#VALUE!</v>
      </c>
      <c r="AI34" t="e">
        <f>CAPEC!D55+"8O&lt;!$)R"</f>
        <v>#VALUE!</v>
      </c>
      <c r="AJ34" t="e">
        <f>CAPEC!E55+"8O&lt;!$)S"</f>
        <v>#VALUE!</v>
      </c>
      <c r="AK34" t="e">
        <f>CAPEC!#REF!+"8O&lt;!$)T"</f>
        <v>#REF!</v>
      </c>
      <c r="AL34" t="e">
        <f>CAPEC!C56+"8O&lt;!$)U"</f>
        <v>#VALUE!</v>
      </c>
      <c r="AM34" t="e">
        <f>CAPEC!D56+"8O&lt;!$)V"</f>
        <v>#VALUE!</v>
      </c>
      <c r="AN34" t="e">
        <f>CAPEC!E56+"8O&lt;!$)W"</f>
        <v>#VALUE!</v>
      </c>
      <c r="AO34" t="e">
        <f>CAPEC!#REF!+"8O&lt;!$)X"</f>
        <v>#REF!</v>
      </c>
      <c r="AP34" t="e">
        <f>CAPEC!C57+"8O&lt;!$)Y"</f>
        <v>#VALUE!</v>
      </c>
      <c r="AQ34" t="e">
        <f>CAPEC!D57+"8O&lt;!$)Z"</f>
        <v>#VALUE!</v>
      </c>
      <c r="AR34" t="e">
        <f>CAPEC!E57+"8O&lt;!$)["</f>
        <v>#VALUE!</v>
      </c>
      <c r="AS34" t="e">
        <f>CAPEC!#REF!+"8O&lt;!$)\"</f>
        <v>#REF!</v>
      </c>
      <c r="AT34" t="e">
        <f>CAPEC!C58+"8O&lt;!$)]"</f>
        <v>#VALUE!</v>
      </c>
      <c r="AU34" t="e">
        <f>CAPEC!D58+"8O&lt;!$)^"</f>
        <v>#VALUE!</v>
      </c>
      <c r="AV34" t="e">
        <f>CAPEC!E58+"8O&lt;!$)_"</f>
        <v>#VALUE!</v>
      </c>
      <c r="AW34" t="e">
        <f>CAPEC!#REF!+"8O&lt;!$)`"</f>
        <v>#REF!</v>
      </c>
      <c r="AX34" t="e">
        <f>CAPEC!C59+"8O&lt;!$)a"</f>
        <v>#VALUE!</v>
      </c>
      <c r="AY34" t="e">
        <f>CAPEC!D59+"8O&lt;!$)b"</f>
        <v>#VALUE!</v>
      </c>
      <c r="AZ34" t="e">
        <f>CAPEC!E59+"8O&lt;!$)c"</f>
        <v>#VALUE!</v>
      </c>
      <c r="BA34" t="e">
        <f>CAPEC!#REF!+"8O&lt;!$)d"</f>
        <v>#REF!</v>
      </c>
      <c r="BB34" t="e">
        <f>CAPEC!C60+"8O&lt;!$)e"</f>
        <v>#VALUE!</v>
      </c>
      <c r="BC34" t="e">
        <f>CAPEC!D60+"8O&lt;!$)f"</f>
        <v>#VALUE!</v>
      </c>
      <c r="BD34" t="e">
        <f>CAPEC!E60+"8O&lt;!$)g"</f>
        <v>#VALUE!</v>
      </c>
      <c r="BE34" t="e">
        <f>CAPEC!#REF!+"8O&lt;!$)h"</f>
        <v>#REF!</v>
      </c>
      <c r="BF34" t="e">
        <f>CAPEC!C61+"8O&lt;!$)i"</f>
        <v>#VALUE!</v>
      </c>
      <c r="BG34" t="e">
        <f>CAPEC!D61+"8O&lt;!$)j"</f>
        <v>#VALUE!</v>
      </c>
      <c r="BH34" t="e">
        <f>CAPEC!E61+"8O&lt;!$)k"</f>
        <v>#VALUE!</v>
      </c>
      <c r="BI34" t="e">
        <f>CAPEC!#REF!+"8O&lt;!$)l"</f>
        <v>#REF!</v>
      </c>
      <c r="BJ34" t="e">
        <f>CAPEC!C62+"8O&lt;!$)m"</f>
        <v>#VALUE!</v>
      </c>
      <c r="BK34" t="e">
        <f>CAPEC!D62+"8O&lt;!$)n"</f>
        <v>#VALUE!</v>
      </c>
      <c r="BL34" t="e">
        <f>CAPEC!E62+"8O&lt;!$)o"</f>
        <v>#VALUE!</v>
      </c>
      <c r="BM34" t="e">
        <f>CAPEC!#REF!+"8O&lt;!$)p"</f>
        <v>#REF!</v>
      </c>
      <c r="BN34" t="e">
        <f>CAPEC!C63+"8O&lt;!$)q"</f>
        <v>#VALUE!</v>
      </c>
      <c r="BO34" t="e">
        <f>CAPEC!D63+"8O&lt;!$)r"</f>
        <v>#VALUE!</v>
      </c>
      <c r="BP34" t="e">
        <f>CAPEC!E63+"8O&lt;!$)s"</f>
        <v>#VALUE!</v>
      </c>
      <c r="BQ34" t="e">
        <f>CAPEC!#REF!+"8O&lt;!$)t"</f>
        <v>#REF!</v>
      </c>
      <c r="BR34" t="e">
        <f>CAPEC!C64+"8O&lt;!$)u"</f>
        <v>#VALUE!</v>
      </c>
      <c r="BS34" t="e">
        <f>CAPEC!D64+"8O&lt;!$)v"</f>
        <v>#VALUE!</v>
      </c>
      <c r="BT34" t="e">
        <f>CAPEC!E64+"8O&lt;!$)w"</f>
        <v>#VALUE!</v>
      </c>
      <c r="BU34" t="e">
        <f>CAPEC!#REF!+"8O&lt;!$)x"</f>
        <v>#REF!</v>
      </c>
      <c r="BV34" t="e">
        <f>CAPEC!C65+"8O&lt;!$)y"</f>
        <v>#VALUE!</v>
      </c>
      <c r="BW34" t="e">
        <f>CAPEC!D65+"8O&lt;!$)z"</f>
        <v>#VALUE!</v>
      </c>
      <c r="BX34" t="e">
        <f>CAPEC!E65+"8O&lt;!$){"</f>
        <v>#VALUE!</v>
      </c>
      <c r="BY34" t="e">
        <f>CAPEC!#REF!+"8O&lt;!$)|"</f>
        <v>#REF!</v>
      </c>
      <c r="BZ34" t="e">
        <f>CAPEC!C66+"8O&lt;!$)}"</f>
        <v>#VALUE!</v>
      </c>
      <c r="CA34" t="e">
        <f>CAPEC!D66+"8O&lt;!$)~"</f>
        <v>#VALUE!</v>
      </c>
      <c r="CB34" t="e">
        <f>CAPEC!E66+"8O&lt;!$.#"</f>
        <v>#VALUE!</v>
      </c>
      <c r="CC34" t="e">
        <f>CAPEC!#REF!+"8O&lt;!$.$"</f>
        <v>#REF!</v>
      </c>
      <c r="CD34" t="e">
        <f>CAPEC!C67+"8O&lt;!$.%"</f>
        <v>#VALUE!</v>
      </c>
      <c r="CE34" t="e">
        <f>CAPEC!D67+"8O&lt;!$.&amp;"</f>
        <v>#VALUE!</v>
      </c>
      <c r="CF34" t="e">
        <f>CAPEC!E67+"8O&lt;!$.'"</f>
        <v>#VALUE!</v>
      </c>
      <c r="CG34" t="e">
        <f>CAPEC!#REF!+"8O&lt;!$.("</f>
        <v>#REF!</v>
      </c>
      <c r="CH34" t="e">
        <f>CAPEC!C68+"8O&lt;!$.)"</f>
        <v>#VALUE!</v>
      </c>
      <c r="CI34" t="e">
        <f>CAPEC!D68+"8O&lt;!$.."</f>
        <v>#VALUE!</v>
      </c>
      <c r="CJ34" t="e">
        <f>CAPEC!E68+"8O&lt;!$./"</f>
        <v>#VALUE!</v>
      </c>
      <c r="CK34" t="e">
        <f>CAPEC!#REF!+"8O&lt;!$.0"</f>
        <v>#REF!</v>
      </c>
      <c r="CL34" t="e">
        <f>CAPEC!C69+"8O&lt;!$.1"</f>
        <v>#VALUE!</v>
      </c>
      <c r="CM34" t="e">
        <f>CAPEC!D69+"8O&lt;!$.2"</f>
        <v>#VALUE!</v>
      </c>
      <c r="CN34" t="e">
        <f>CAPEC!E69+"8O&lt;!$.3"</f>
        <v>#VALUE!</v>
      </c>
      <c r="CO34" t="e">
        <f>CAPEC!#REF!+"8O&lt;!$.4"</f>
        <v>#REF!</v>
      </c>
      <c r="CP34" t="e">
        <f>CAPEC!C70+"8O&lt;!$.5"</f>
        <v>#VALUE!</v>
      </c>
      <c r="CQ34" t="e">
        <f>CAPEC!D70+"8O&lt;!$.6"</f>
        <v>#VALUE!</v>
      </c>
      <c r="CR34" t="e">
        <f>CAPEC!E70+"8O&lt;!$.7"</f>
        <v>#VALUE!</v>
      </c>
      <c r="CS34" t="e">
        <f>CAPEC!#REF!+"8O&lt;!$.8"</f>
        <v>#REF!</v>
      </c>
      <c r="CT34" t="e">
        <f>CAPEC!C71+"8O&lt;!$.9"</f>
        <v>#VALUE!</v>
      </c>
      <c r="CU34" t="e">
        <f>CAPEC!D71+"8O&lt;!$.:"</f>
        <v>#VALUE!</v>
      </c>
      <c r="CV34" t="e">
        <f>CAPEC!E71+"8O&lt;!$.;"</f>
        <v>#VALUE!</v>
      </c>
      <c r="CW34" t="e">
        <f>CAPEC!#REF!+"8O&lt;!$.&lt;"</f>
        <v>#REF!</v>
      </c>
      <c r="CX34" t="e">
        <f>CAPEC!C72+"8O&lt;!$.="</f>
        <v>#VALUE!</v>
      </c>
      <c r="CY34" t="e">
        <f>CAPEC!D72+"8O&lt;!$.&gt;"</f>
        <v>#VALUE!</v>
      </c>
      <c r="CZ34" t="e">
        <f>CAPEC!E72+"8O&lt;!$.?"</f>
        <v>#VALUE!</v>
      </c>
      <c r="DA34" t="e">
        <f>CAPEC!#REF!+"8O&lt;!$.@"</f>
        <v>#REF!</v>
      </c>
      <c r="DB34" t="e">
        <f>CAPEC!C73+"8O&lt;!$.A"</f>
        <v>#VALUE!</v>
      </c>
      <c r="DC34" t="e">
        <f>CAPEC!D73+"8O&lt;!$.B"</f>
        <v>#VALUE!</v>
      </c>
      <c r="DD34" t="e">
        <f>CAPEC!E73+"8O&lt;!$.C"</f>
        <v>#VALUE!</v>
      </c>
      <c r="DE34" t="e">
        <f>CAPEC!#REF!+"8O&lt;!$.D"</f>
        <v>#REF!</v>
      </c>
      <c r="DF34" t="e">
        <f>CAPEC!C74+"8O&lt;!$.E"</f>
        <v>#VALUE!</v>
      </c>
      <c r="DG34" t="e">
        <f>CAPEC!D74+"8O&lt;!$.F"</f>
        <v>#VALUE!</v>
      </c>
      <c r="DH34" t="e">
        <f>CAPEC!E74+"8O&lt;!$.G"</f>
        <v>#VALUE!</v>
      </c>
      <c r="DI34" t="e">
        <f>CAPEC!#REF!+"8O&lt;!$.H"</f>
        <v>#REF!</v>
      </c>
      <c r="DJ34" t="e">
        <f>CAPEC!C75+"8O&lt;!$.I"</f>
        <v>#VALUE!</v>
      </c>
      <c r="DK34" t="e">
        <f>CAPEC!D75+"8O&lt;!$.J"</f>
        <v>#VALUE!</v>
      </c>
      <c r="DL34" t="e">
        <f>CAPEC!E75+"8O&lt;!$.K"</f>
        <v>#VALUE!</v>
      </c>
      <c r="DM34" t="e">
        <f>CAPEC!#REF!+"8O&lt;!$.L"</f>
        <v>#REF!</v>
      </c>
      <c r="DN34" t="e">
        <f>CAPEC!C76+"8O&lt;!$.M"</f>
        <v>#VALUE!</v>
      </c>
      <c r="DO34" t="e">
        <f>CAPEC!D76+"8O&lt;!$.N"</f>
        <v>#VALUE!</v>
      </c>
      <c r="DP34" t="e">
        <f>CAPEC!E76+"8O&lt;!$.O"</f>
        <v>#VALUE!</v>
      </c>
      <c r="DQ34" t="e">
        <f>CAPEC!#REF!+"8O&lt;!$.P"</f>
        <v>#REF!</v>
      </c>
      <c r="DR34" t="e">
        <f>CAPEC!C77+"8O&lt;!$.Q"</f>
        <v>#VALUE!</v>
      </c>
      <c r="DS34" t="e">
        <f>CAPEC!D77+"8O&lt;!$.R"</f>
        <v>#VALUE!</v>
      </c>
      <c r="DT34" t="e">
        <f>CAPEC!E77+"8O&lt;!$.S"</f>
        <v>#VALUE!</v>
      </c>
      <c r="DU34" t="e">
        <f>CAPEC!#REF!+"8O&lt;!$.T"</f>
        <v>#REF!</v>
      </c>
      <c r="DV34" t="e">
        <f>CAPEC!C78+"8O&lt;!$.U"</f>
        <v>#VALUE!</v>
      </c>
      <c r="DW34" t="e">
        <f>CAPEC!D78+"8O&lt;!$.V"</f>
        <v>#VALUE!</v>
      </c>
      <c r="DX34" t="e">
        <f>CAPEC!E78+"8O&lt;!$.W"</f>
        <v>#VALUE!</v>
      </c>
      <c r="DY34" t="e">
        <f>CAPEC!#REF!+"8O&lt;!$.X"</f>
        <v>#REF!</v>
      </c>
      <c r="DZ34" t="e">
        <f>CAPEC!C79+"8O&lt;!$.Y"</f>
        <v>#VALUE!</v>
      </c>
      <c r="EA34" t="e">
        <f>CAPEC!D79+"8O&lt;!$.Z"</f>
        <v>#VALUE!</v>
      </c>
      <c r="EB34" t="e">
        <f>CAPEC!E79+"8O&lt;!$.["</f>
        <v>#VALUE!</v>
      </c>
      <c r="EC34" t="e">
        <f>CAPEC!#REF!+"8O&lt;!$.\"</f>
        <v>#REF!</v>
      </c>
      <c r="ED34" t="e">
        <f>CAPEC!C80+"8O&lt;!$.]"</f>
        <v>#VALUE!</v>
      </c>
      <c r="EE34" t="e">
        <f>CAPEC!D80+"8O&lt;!$.^"</f>
        <v>#VALUE!</v>
      </c>
      <c r="EF34" t="e">
        <f>CAPEC!E80+"8O&lt;!$._"</f>
        <v>#VALUE!</v>
      </c>
      <c r="EG34" t="e">
        <f>CAPEC!#REF!+"8O&lt;!$.`"</f>
        <v>#REF!</v>
      </c>
      <c r="EH34" t="e">
        <f>CAPEC!C81+"8O&lt;!$.a"</f>
        <v>#VALUE!</v>
      </c>
      <c r="EI34" t="e">
        <f>CAPEC!D81+"8O&lt;!$.b"</f>
        <v>#VALUE!</v>
      </c>
      <c r="EJ34" t="e">
        <f>CAPEC!E81+"8O&lt;!$.c"</f>
        <v>#VALUE!</v>
      </c>
      <c r="EK34" t="e">
        <f>CAPEC!#REF!+"8O&lt;!$.d"</f>
        <v>#REF!</v>
      </c>
      <c r="EL34" t="e">
        <f>CAPEC!C82+"8O&lt;!$.e"</f>
        <v>#VALUE!</v>
      </c>
      <c r="EM34" t="e">
        <f>CAPEC!D82+"8O&lt;!$.f"</f>
        <v>#VALUE!</v>
      </c>
      <c r="EN34" t="e">
        <f>CAPEC!E82+"8O&lt;!$.g"</f>
        <v>#VALUE!</v>
      </c>
      <c r="EO34" t="e">
        <f>CAPEC!#REF!+"8O&lt;!$.h"</f>
        <v>#REF!</v>
      </c>
      <c r="EP34" t="e">
        <f>CAPEC!C83+"8O&lt;!$.i"</f>
        <v>#VALUE!</v>
      </c>
      <c r="EQ34" t="e">
        <f>CAPEC!D83+"8O&lt;!$.j"</f>
        <v>#VALUE!</v>
      </c>
      <c r="ER34" t="e">
        <f>CAPEC!E83+"8O&lt;!$.k"</f>
        <v>#VALUE!</v>
      </c>
      <c r="ES34" t="e">
        <f>CAPEC!#REF!+"8O&lt;!$.l"</f>
        <v>#REF!</v>
      </c>
      <c r="ET34" t="e">
        <f>CAPEC!C84+"8O&lt;!$.m"</f>
        <v>#VALUE!</v>
      </c>
      <c r="EU34" t="e">
        <f>CAPEC!D84+"8O&lt;!$.n"</f>
        <v>#VALUE!</v>
      </c>
      <c r="EV34" t="e">
        <f>CAPEC!E84+"8O&lt;!$.o"</f>
        <v>#VALUE!</v>
      </c>
      <c r="EW34" t="e">
        <f>CAPEC!#REF!+"8O&lt;!$.p"</f>
        <v>#REF!</v>
      </c>
      <c r="EX34" t="e">
        <f>CAPEC!C85+"8O&lt;!$.q"</f>
        <v>#VALUE!</v>
      </c>
      <c r="EY34" t="e">
        <f>CAPEC!D85+"8O&lt;!$.r"</f>
        <v>#VALUE!</v>
      </c>
      <c r="EZ34" t="e">
        <f>CAPEC!E85+"8O&lt;!$.s"</f>
        <v>#VALUE!</v>
      </c>
      <c r="FA34" t="e">
        <f>CAPEC!#REF!+"8O&lt;!$.t"</f>
        <v>#REF!</v>
      </c>
      <c r="FB34" t="e">
        <f>CAPEC!C86+"8O&lt;!$.u"</f>
        <v>#VALUE!</v>
      </c>
      <c r="FC34" t="e">
        <f>CAPEC!D86+"8O&lt;!$.v"</f>
        <v>#VALUE!</v>
      </c>
      <c r="FD34" t="e">
        <f>CAPEC!E86+"8O&lt;!$.w"</f>
        <v>#VALUE!</v>
      </c>
      <c r="FE34" t="e">
        <f>CAPEC!#REF!+"8O&lt;!$.x"</f>
        <v>#REF!</v>
      </c>
      <c r="FF34" t="e">
        <f>CAPEC!C87+"8O&lt;!$.y"</f>
        <v>#VALUE!</v>
      </c>
      <c r="FG34" t="e">
        <f>CAPEC!D87+"8O&lt;!$.z"</f>
        <v>#VALUE!</v>
      </c>
      <c r="FH34" t="e">
        <f>CAPEC!E87+"8O&lt;!$.{"</f>
        <v>#VALUE!</v>
      </c>
      <c r="FI34" t="e">
        <f>CAPEC!#REF!+"8O&lt;!$.|"</f>
        <v>#REF!</v>
      </c>
      <c r="FJ34" t="e">
        <f>CAPEC!C88+"8O&lt;!$.}"</f>
        <v>#VALUE!</v>
      </c>
      <c r="FK34" t="e">
        <f>CAPEC!D88+"8O&lt;!$.~"</f>
        <v>#VALUE!</v>
      </c>
      <c r="FL34" t="e">
        <f>CAPEC!E88+"8O&lt;!$/#"</f>
        <v>#VALUE!</v>
      </c>
      <c r="FM34" t="e">
        <f>CAPEC!#REF!+"8O&lt;!$/$"</f>
        <v>#REF!</v>
      </c>
      <c r="FN34" t="e">
        <f>CAPEC!C89+"8O&lt;!$/%"</f>
        <v>#VALUE!</v>
      </c>
      <c r="FO34" t="e">
        <f>CAPEC!D89+"8O&lt;!$/&amp;"</f>
        <v>#VALUE!</v>
      </c>
      <c r="FP34" t="e">
        <f>CAPEC!E89+"8O&lt;!$/'"</f>
        <v>#VALUE!</v>
      </c>
      <c r="FQ34" t="e">
        <f>CAPEC!#REF!+"8O&lt;!$/("</f>
        <v>#REF!</v>
      </c>
      <c r="FR34" t="e">
        <f>CAPEC!C90+"8O&lt;!$/)"</f>
        <v>#VALUE!</v>
      </c>
      <c r="FS34" t="e">
        <f>CAPEC!D90+"8O&lt;!$/."</f>
        <v>#VALUE!</v>
      </c>
      <c r="FT34" t="e">
        <f>CAPEC!E90+"8O&lt;!$//"</f>
        <v>#VALUE!</v>
      </c>
      <c r="FU34" t="e">
        <f>CAPEC!#REF!+"8O&lt;!$/0"</f>
        <v>#REF!</v>
      </c>
      <c r="FV34" t="e">
        <f>CAPEC!C91+"8O&lt;!$/1"</f>
        <v>#VALUE!</v>
      </c>
      <c r="FW34" t="e">
        <f>CAPEC!D91+"8O&lt;!$/2"</f>
        <v>#VALUE!</v>
      </c>
      <c r="FX34" t="e">
        <f>CAPEC!E91+"8O&lt;!$/3"</f>
        <v>#VALUE!</v>
      </c>
      <c r="FY34" t="e">
        <f>CAPEC!#REF!+"8O&lt;!$/4"</f>
        <v>#REF!</v>
      </c>
      <c r="FZ34" t="e">
        <f>CAPEC!C92+"8O&lt;!$/5"</f>
        <v>#VALUE!</v>
      </c>
      <c r="GA34" t="e">
        <f>CAPEC!D92+"8O&lt;!$/6"</f>
        <v>#VALUE!</v>
      </c>
      <c r="GB34" t="e">
        <f>CAPEC!E92+"8O&lt;!$/7"</f>
        <v>#VALUE!</v>
      </c>
      <c r="GC34" t="e">
        <f>CAPEC!#REF!+"8O&lt;!$/8"</f>
        <v>#REF!</v>
      </c>
      <c r="GD34" t="e">
        <f>CAPEC!C93+"8O&lt;!$/9"</f>
        <v>#VALUE!</v>
      </c>
      <c r="GE34" t="e">
        <f>CAPEC!D93+"8O&lt;!$/:"</f>
        <v>#VALUE!</v>
      </c>
      <c r="GF34" t="e">
        <f>CAPEC!E93+"8O&lt;!$/;"</f>
        <v>#VALUE!</v>
      </c>
      <c r="GG34" t="e">
        <f>CAPEC!#REF!+"8O&lt;!$/&lt;"</f>
        <v>#REF!</v>
      </c>
      <c r="GH34" t="e">
        <f>CAPEC!C94+"8O&lt;!$/="</f>
        <v>#VALUE!</v>
      </c>
      <c r="GI34" t="e">
        <f>CAPEC!D94+"8O&lt;!$/&gt;"</f>
        <v>#VALUE!</v>
      </c>
      <c r="GJ34" t="e">
        <f>CAPEC!E94+"8O&lt;!$/?"</f>
        <v>#VALUE!</v>
      </c>
      <c r="GK34" t="e">
        <f>CAPEC!#REF!+"8O&lt;!$/@"</f>
        <v>#REF!</v>
      </c>
      <c r="GL34" t="e">
        <f>CAPEC!C95+"8O&lt;!$/A"</f>
        <v>#VALUE!</v>
      </c>
      <c r="GM34" t="e">
        <f>CAPEC!D95+"8O&lt;!$/B"</f>
        <v>#VALUE!</v>
      </c>
      <c r="GN34" t="e">
        <f>CAPEC!E95+"8O&lt;!$/C"</f>
        <v>#VALUE!</v>
      </c>
      <c r="GO34" t="e">
        <f>CAPEC!#REF!+"8O&lt;!$/D"</f>
        <v>#REF!</v>
      </c>
      <c r="GP34" t="e">
        <f>CAPEC!C96+"8O&lt;!$/E"</f>
        <v>#VALUE!</v>
      </c>
      <c r="GQ34" t="e">
        <f>CAPEC!D96+"8O&lt;!$/F"</f>
        <v>#VALUE!</v>
      </c>
      <c r="GR34" t="e">
        <f>CAPEC!E96+"8O&lt;!$/G"</f>
        <v>#VALUE!</v>
      </c>
      <c r="GS34" t="e">
        <f>CAPEC!#REF!+"8O&lt;!$/H"</f>
        <v>#REF!</v>
      </c>
      <c r="GT34" t="e">
        <f>CAPEC!C97+"8O&lt;!$/I"</f>
        <v>#VALUE!</v>
      </c>
      <c r="GU34" t="e">
        <f>CAPEC!D97+"8O&lt;!$/J"</f>
        <v>#VALUE!</v>
      </c>
      <c r="GV34" t="e">
        <f>CAPEC!E97+"8O&lt;!$/K"</f>
        <v>#VALUE!</v>
      </c>
      <c r="GW34" t="e">
        <f>CAPEC!#REF!+"8O&lt;!$/L"</f>
        <v>#REF!</v>
      </c>
      <c r="GX34" t="e">
        <f>CAPEC!C98+"8O&lt;!$/M"</f>
        <v>#VALUE!</v>
      </c>
      <c r="GY34" t="e">
        <f>CAPEC!D98+"8O&lt;!$/N"</f>
        <v>#VALUE!</v>
      </c>
      <c r="GZ34" t="e">
        <f>CAPEC!E98+"8O&lt;!$/O"</f>
        <v>#VALUE!</v>
      </c>
      <c r="HA34" t="e">
        <f>CAPEC!#REF!+"8O&lt;!$/P"</f>
        <v>#REF!</v>
      </c>
      <c r="HB34" t="e">
        <f>CAPEC!C99+"8O&lt;!$/Q"</f>
        <v>#VALUE!</v>
      </c>
      <c r="HC34" t="e">
        <f>CAPEC!D99+"8O&lt;!$/R"</f>
        <v>#VALUE!</v>
      </c>
      <c r="HD34" t="e">
        <f>CAPEC!E99+"8O&lt;!$/S"</f>
        <v>#VALUE!</v>
      </c>
      <c r="HE34" t="e">
        <f>CAPEC!#REF!+"8O&lt;!$/T"</f>
        <v>#REF!</v>
      </c>
      <c r="HF34" t="e">
        <f>CAPEC!C100+"8O&lt;!$/U"</f>
        <v>#VALUE!</v>
      </c>
      <c r="HG34" t="e">
        <f>CAPEC!D100+"8O&lt;!$/V"</f>
        <v>#VALUE!</v>
      </c>
      <c r="HH34" t="e">
        <f>CAPEC!E100+"8O&lt;!$/W"</f>
        <v>#VALUE!</v>
      </c>
      <c r="HI34" t="e">
        <f>CAPEC!#REF!+"8O&lt;!$/X"</f>
        <v>#REF!</v>
      </c>
      <c r="HJ34" t="e">
        <f>CAPEC!C101+"8O&lt;!$/Y"</f>
        <v>#VALUE!</v>
      </c>
      <c r="HK34" t="e">
        <f>CAPEC!D101+"8O&lt;!$/Z"</f>
        <v>#VALUE!</v>
      </c>
      <c r="HL34" t="e">
        <f>CAPEC!E101+"8O&lt;!$/["</f>
        <v>#VALUE!</v>
      </c>
      <c r="HM34" t="e">
        <f>CAPEC!#REF!+"8O&lt;!$/\"</f>
        <v>#REF!</v>
      </c>
      <c r="HN34" t="e">
        <f>CAPEC!C102+"8O&lt;!$/]"</f>
        <v>#VALUE!</v>
      </c>
      <c r="HO34" t="e">
        <f>CAPEC!D102+"8O&lt;!$/^"</f>
        <v>#VALUE!</v>
      </c>
      <c r="HP34" t="e">
        <f>CAPEC!E102+"8O&lt;!$/_"</f>
        <v>#VALUE!</v>
      </c>
      <c r="HQ34" t="e">
        <f>CAPEC!#REF!+"8O&lt;!$/`"</f>
        <v>#REF!</v>
      </c>
      <c r="HR34" t="e">
        <f>CAPEC!C103+"8O&lt;!$/a"</f>
        <v>#VALUE!</v>
      </c>
      <c r="HS34" t="e">
        <f>CAPEC!D103+"8O&lt;!$/b"</f>
        <v>#VALUE!</v>
      </c>
      <c r="HT34" t="e">
        <f>CAPEC!E103+"8O&lt;!$/c"</f>
        <v>#VALUE!</v>
      </c>
      <c r="HU34" t="e">
        <f>CAPEC!#REF!+"8O&lt;!$/d"</f>
        <v>#REF!</v>
      </c>
      <c r="HV34" t="e">
        <f>CAPEC!C104+"8O&lt;!$/e"</f>
        <v>#VALUE!</v>
      </c>
      <c r="HW34" t="e">
        <f>CAPEC!D104+"8O&lt;!$/f"</f>
        <v>#VALUE!</v>
      </c>
      <c r="HX34" t="e">
        <f>CAPEC!E104+"8O&lt;!$/g"</f>
        <v>#VALUE!</v>
      </c>
      <c r="HY34" t="e">
        <f>CAPEC!#REF!+"8O&lt;!$/h"</f>
        <v>#REF!</v>
      </c>
      <c r="HZ34" t="e">
        <f>CAPEC!C105+"8O&lt;!$/i"</f>
        <v>#VALUE!</v>
      </c>
      <c r="IA34" t="e">
        <f>CAPEC!D105+"8O&lt;!$/j"</f>
        <v>#VALUE!</v>
      </c>
      <c r="IB34" t="e">
        <f>CAPEC!E105+"8O&lt;!$/k"</f>
        <v>#VALUE!</v>
      </c>
      <c r="IC34" t="e">
        <f>CAPEC!#REF!+"8O&lt;!$/l"</f>
        <v>#REF!</v>
      </c>
      <c r="ID34" t="e">
        <f>CAPEC!C106+"8O&lt;!$/m"</f>
        <v>#VALUE!</v>
      </c>
      <c r="IE34" t="e">
        <f>CAPEC!D106+"8O&lt;!$/n"</f>
        <v>#VALUE!</v>
      </c>
      <c r="IF34" t="e">
        <f>CAPEC!E106+"8O&lt;!$/o"</f>
        <v>#VALUE!</v>
      </c>
      <c r="IG34" t="e">
        <f>CAPEC!#REF!+"8O&lt;!$/p"</f>
        <v>#REF!</v>
      </c>
      <c r="IH34" t="e">
        <f>CAPEC!C107+"8O&lt;!$/q"</f>
        <v>#VALUE!</v>
      </c>
      <c r="II34" t="e">
        <f>CAPEC!D107+"8O&lt;!$/r"</f>
        <v>#VALUE!</v>
      </c>
      <c r="IJ34" t="e">
        <f>CAPEC!E107+"8O&lt;!$/s"</f>
        <v>#VALUE!</v>
      </c>
      <c r="IK34" t="e">
        <f>CAPEC!#REF!+"8O&lt;!$/t"</f>
        <v>#REF!</v>
      </c>
      <c r="IL34" t="e">
        <f>CAPEC!C108+"8O&lt;!$/u"</f>
        <v>#VALUE!</v>
      </c>
      <c r="IM34" t="e">
        <f>CAPEC!D108+"8O&lt;!$/v"</f>
        <v>#VALUE!</v>
      </c>
      <c r="IN34" t="e">
        <f>CAPEC!E108+"8O&lt;!$/w"</f>
        <v>#VALUE!</v>
      </c>
      <c r="IO34" t="e">
        <f>CAPEC!#REF!+"8O&lt;!$/x"</f>
        <v>#REF!</v>
      </c>
      <c r="IP34" t="e">
        <f>CAPEC!C109+"8O&lt;!$/y"</f>
        <v>#VALUE!</v>
      </c>
      <c r="IQ34" t="e">
        <f>CAPEC!D109+"8O&lt;!$/z"</f>
        <v>#VALUE!</v>
      </c>
      <c r="IR34" t="e">
        <f>CAPEC!E109+"8O&lt;!$/{"</f>
        <v>#VALUE!</v>
      </c>
      <c r="IS34" t="e">
        <f>CAPEC!#REF!+"8O&lt;!$/|"</f>
        <v>#REF!</v>
      </c>
      <c r="IT34" t="e">
        <f>CAPEC!C110+"8O&lt;!$/}"</f>
        <v>#VALUE!</v>
      </c>
      <c r="IU34" t="e">
        <f>CAPEC!D110+"8O&lt;!$/~"</f>
        <v>#VALUE!</v>
      </c>
      <c r="IV34" t="e">
        <f>CAPEC!E110+"8O&lt;!$0#"</f>
        <v>#VALUE!</v>
      </c>
    </row>
    <row r="35" spans="6:256" x14ac:dyDescent="0.25">
      <c r="F35" t="e">
        <f>CAPEC!#REF!+"8O&lt;!$0$"</f>
        <v>#REF!</v>
      </c>
      <c r="G35" t="e">
        <f>CAPEC!C111+"8O&lt;!$0%"</f>
        <v>#VALUE!</v>
      </c>
      <c r="H35" t="e">
        <f>CAPEC!D111+"8O&lt;!$0&amp;"</f>
        <v>#VALUE!</v>
      </c>
      <c r="I35" t="e">
        <f>CAPEC!E111+"8O&lt;!$0'"</f>
        <v>#VALUE!</v>
      </c>
      <c r="J35" t="e">
        <f>CAPEC!#REF!+"8O&lt;!$0("</f>
        <v>#REF!</v>
      </c>
      <c r="K35" t="e">
        <f>CAPEC!C112+"8O&lt;!$0)"</f>
        <v>#VALUE!</v>
      </c>
      <c r="L35" t="e">
        <f>CAPEC!D112+"8O&lt;!$0."</f>
        <v>#VALUE!</v>
      </c>
      <c r="M35" t="e">
        <f>CAPEC!E112+"8O&lt;!$0/"</f>
        <v>#VALUE!</v>
      </c>
      <c r="N35" t="e">
        <f>CAPEC!#REF!+"8O&lt;!$00"</f>
        <v>#REF!</v>
      </c>
      <c r="O35" t="e">
        <f>CAPEC!C113+"8O&lt;!$01"</f>
        <v>#VALUE!</v>
      </c>
      <c r="P35" t="e">
        <f>CAPEC!D113+"8O&lt;!$02"</f>
        <v>#VALUE!</v>
      </c>
      <c r="Q35" t="e">
        <f>CAPEC!E113+"8O&lt;!$03"</f>
        <v>#VALUE!</v>
      </c>
      <c r="R35" t="e">
        <f>CAPEC!#REF!+"8O&lt;!$04"</f>
        <v>#REF!</v>
      </c>
      <c r="S35" t="e">
        <f>CAPEC!C114+"8O&lt;!$05"</f>
        <v>#VALUE!</v>
      </c>
      <c r="T35" t="e">
        <f>CAPEC!D114+"8O&lt;!$06"</f>
        <v>#VALUE!</v>
      </c>
      <c r="U35" t="e">
        <f>CAPEC!E114+"8O&lt;!$07"</f>
        <v>#VALUE!</v>
      </c>
      <c r="V35" t="e">
        <f>CAPEC!#REF!+"8O&lt;!$08"</f>
        <v>#REF!</v>
      </c>
      <c r="W35" t="e">
        <f>CAPEC!C115+"8O&lt;!$09"</f>
        <v>#VALUE!</v>
      </c>
      <c r="X35" t="e">
        <f>CAPEC!D115+"8O&lt;!$0:"</f>
        <v>#VALUE!</v>
      </c>
      <c r="Y35" t="e">
        <f>CAPEC!E115+"8O&lt;!$0;"</f>
        <v>#VALUE!</v>
      </c>
      <c r="Z35" t="e">
        <f>CAPEC!#REF!+"8O&lt;!$0&lt;"</f>
        <v>#REF!</v>
      </c>
      <c r="AA35" t="e">
        <f>CAPEC!C116+"8O&lt;!$0="</f>
        <v>#VALUE!</v>
      </c>
      <c r="AB35" t="e">
        <f>CAPEC!D116+"8O&lt;!$0&gt;"</f>
        <v>#VALUE!</v>
      </c>
      <c r="AC35" t="e">
        <f>CAPEC!E116+"8O&lt;!$0?"</f>
        <v>#VALUE!</v>
      </c>
      <c r="AD35" t="e">
        <f>CAPEC!#REF!+"8O&lt;!$0@"</f>
        <v>#REF!</v>
      </c>
      <c r="AE35" t="e">
        <f>CAPEC!C117+"8O&lt;!$0A"</f>
        <v>#VALUE!</v>
      </c>
      <c r="AF35" t="e">
        <f>CAPEC!D117+"8O&lt;!$0B"</f>
        <v>#VALUE!</v>
      </c>
      <c r="AG35" t="e">
        <f>CAPEC!E117+"8O&lt;!$0C"</f>
        <v>#VALUE!</v>
      </c>
      <c r="AH35" t="e">
        <f>CAPEC!#REF!+"8O&lt;!$0D"</f>
        <v>#REF!</v>
      </c>
      <c r="AI35" t="e">
        <f>CAPEC!C118+"8O&lt;!$0E"</f>
        <v>#VALUE!</v>
      </c>
      <c r="AJ35" t="e">
        <f>CAPEC!D118+"8O&lt;!$0F"</f>
        <v>#VALUE!</v>
      </c>
      <c r="AK35" t="e">
        <f>CAPEC!E118+"8O&lt;!$0G"</f>
        <v>#VALUE!</v>
      </c>
      <c r="AL35" t="e">
        <f>CAPEC!#REF!+"8O&lt;!$0H"</f>
        <v>#REF!</v>
      </c>
      <c r="AM35" t="e">
        <f>CAPEC!C119+"8O&lt;!$0I"</f>
        <v>#VALUE!</v>
      </c>
      <c r="AN35" t="e">
        <f>CAPEC!D119+"8O&lt;!$0J"</f>
        <v>#VALUE!</v>
      </c>
      <c r="AO35" t="e">
        <f>CAPEC!E119+"8O&lt;!$0K"</f>
        <v>#VALUE!</v>
      </c>
      <c r="AP35" t="e">
        <f>CAPEC!#REF!+"8O&lt;!$0L"</f>
        <v>#REF!</v>
      </c>
      <c r="AQ35" t="e">
        <f>CAPEC!C120+"8O&lt;!$0M"</f>
        <v>#VALUE!</v>
      </c>
      <c r="AR35" t="e">
        <f>CAPEC!D120+"8O&lt;!$0N"</f>
        <v>#VALUE!</v>
      </c>
      <c r="AS35" t="e">
        <f>CAPEC!E120+"8O&lt;!$0O"</f>
        <v>#VALUE!</v>
      </c>
      <c r="AT35" t="e">
        <f>CAPEC!#REF!+"8O&lt;!$0P"</f>
        <v>#REF!</v>
      </c>
      <c r="AU35" t="e">
        <f>CAPEC!C121+"8O&lt;!$0Q"</f>
        <v>#VALUE!</v>
      </c>
      <c r="AV35" t="e">
        <f>CAPEC!D121+"8O&lt;!$0R"</f>
        <v>#VALUE!</v>
      </c>
      <c r="AW35" t="e">
        <f>CAPEC!E121+"8O&lt;!$0S"</f>
        <v>#VALUE!</v>
      </c>
      <c r="AX35" t="e">
        <f>CAPEC!#REF!+"8O&lt;!$0T"</f>
        <v>#REF!</v>
      </c>
      <c r="AY35" t="e">
        <f>CAPEC!C122+"8O&lt;!$0U"</f>
        <v>#VALUE!</v>
      </c>
      <c r="AZ35" t="e">
        <f>CAPEC!D122+"8O&lt;!$0V"</f>
        <v>#VALUE!</v>
      </c>
      <c r="BA35" t="e">
        <f>CAPEC!E122+"8O&lt;!$0W"</f>
        <v>#VALUE!</v>
      </c>
      <c r="BB35" t="e">
        <f>CAPEC!#REF!+"8O&lt;!$0X"</f>
        <v>#REF!</v>
      </c>
      <c r="BC35" t="e">
        <f>CAPEC!C123+"8O&lt;!$0Y"</f>
        <v>#VALUE!</v>
      </c>
      <c r="BD35" t="e">
        <f>CAPEC!D123+"8O&lt;!$0Z"</f>
        <v>#VALUE!</v>
      </c>
      <c r="BE35" t="e">
        <f>CAPEC!E123+"8O&lt;!$0["</f>
        <v>#VALUE!</v>
      </c>
      <c r="BF35" t="e">
        <f>CAPEC!#REF!+"8O&lt;!$0\"</f>
        <v>#REF!</v>
      </c>
      <c r="BG35" t="e">
        <f>CAPEC!C124+"8O&lt;!$0]"</f>
        <v>#VALUE!</v>
      </c>
      <c r="BH35" t="e">
        <f>CAPEC!D124+"8O&lt;!$0^"</f>
        <v>#VALUE!</v>
      </c>
      <c r="BI35" t="e">
        <f>CAPEC!E124+"8O&lt;!$0_"</f>
        <v>#VALUE!</v>
      </c>
      <c r="BJ35" t="e">
        <f>CAPEC!#REF!+"8O&lt;!$0`"</f>
        <v>#REF!</v>
      </c>
      <c r="BK35" t="e">
        <f>CAPEC!C125+"8O&lt;!$0a"</f>
        <v>#VALUE!</v>
      </c>
      <c r="BL35" t="e">
        <f>CAPEC!D125+"8O&lt;!$0b"</f>
        <v>#VALUE!</v>
      </c>
      <c r="BM35" t="e">
        <f>CAPEC!E125+"8O&lt;!$0c"</f>
        <v>#VALUE!</v>
      </c>
      <c r="BN35" t="e">
        <f>CAPEC!#REF!+"8O&lt;!$0d"</f>
        <v>#REF!</v>
      </c>
      <c r="BO35" t="e">
        <f>CAPEC!C126+"8O&lt;!$0e"</f>
        <v>#VALUE!</v>
      </c>
      <c r="BP35" t="e">
        <f>CAPEC!D126+"8O&lt;!$0f"</f>
        <v>#VALUE!</v>
      </c>
      <c r="BQ35" t="e">
        <f>CAPEC!E126+"8O&lt;!$0g"</f>
        <v>#VALUE!</v>
      </c>
      <c r="BR35" t="e">
        <f>CAPEC!#REF!+"8O&lt;!$0h"</f>
        <v>#REF!</v>
      </c>
      <c r="BS35" t="e">
        <f>CAPEC!C127+"8O&lt;!$0i"</f>
        <v>#VALUE!</v>
      </c>
      <c r="BT35" t="e">
        <f>CAPEC!D127+"8O&lt;!$0j"</f>
        <v>#VALUE!</v>
      </c>
      <c r="BU35" t="e">
        <f>CAPEC!E127+"8O&lt;!$0k"</f>
        <v>#VALUE!</v>
      </c>
      <c r="BV35" t="e">
        <f>CAPEC!#REF!+"8O&lt;!$0l"</f>
        <v>#REF!</v>
      </c>
      <c r="BW35" t="e">
        <f>CAPEC!C128+"8O&lt;!$0m"</f>
        <v>#VALUE!</v>
      </c>
      <c r="BX35" t="e">
        <f>CAPEC!D128+"8O&lt;!$0n"</f>
        <v>#VALUE!</v>
      </c>
      <c r="BY35" t="e">
        <f>CAPEC!E128+"8O&lt;!$0o"</f>
        <v>#VALUE!</v>
      </c>
      <c r="BZ35" t="e">
        <f>CAPEC!#REF!+"8O&lt;!$0p"</f>
        <v>#REF!</v>
      </c>
      <c r="CA35" t="e">
        <f>CAPEC!C129+"8O&lt;!$0q"</f>
        <v>#VALUE!</v>
      </c>
      <c r="CB35" t="e">
        <f>CAPEC!D129+"8O&lt;!$0r"</f>
        <v>#VALUE!</v>
      </c>
      <c r="CC35" t="e">
        <f>CAPEC!E129+"8O&lt;!$0s"</f>
        <v>#VALUE!</v>
      </c>
      <c r="CD35" t="e">
        <f>CAPEC!#REF!+"8O&lt;!$0t"</f>
        <v>#REF!</v>
      </c>
      <c r="CE35" t="e">
        <f>CAPEC!C130+"8O&lt;!$0u"</f>
        <v>#VALUE!</v>
      </c>
      <c r="CF35" t="e">
        <f>CAPEC!D130+"8O&lt;!$0v"</f>
        <v>#VALUE!</v>
      </c>
      <c r="CG35" t="e">
        <f>CAPEC!E130+"8O&lt;!$0w"</f>
        <v>#VALUE!</v>
      </c>
      <c r="CH35" t="e">
        <f>CAPEC!#REF!+"8O&lt;!$0x"</f>
        <v>#REF!</v>
      </c>
      <c r="CI35" t="e">
        <f>CAPEC!C131+"8O&lt;!$0y"</f>
        <v>#VALUE!</v>
      </c>
      <c r="CJ35" t="e">
        <f>CAPEC!D131+"8O&lt;!$0z"</f>
        <v>#VALUE!</v>
      </c>
      <c r="CK35" t="e">
        <f>CAPEC!E131+"8O&lt;!$0{"</f>
        <v>#VALUE!</v>
      </c>
      <c r="CL35" t="e">
        <f>CAPEC!#REF!+"8O&lt;!$0|"</f>
        <v>#REF!</v>
      </c>
      <c r="CM35" t="e">
        <f>CAPEC!C132+"8O&lt;!$0}"</f>
        <v>#VALUE!</v>
      </c>
      <c r="CN35" t="e">
        <f>CAPEC!D132+"8O&lt;!$0~"</f>
        <v>#VALUE!</v>
      </c>
      <c r="CO35" t="e">
        <f>CAPEC!E132+"8O&lt;!$1#"</f>
        <v>#VALUE!</v>
      </c>
      <c r="CP35" t="e">
        <f>CAPEC!#REF!+"8O&lt;!$1$"</f>
        <v>#REF!</v>
      </c>
      <c r="CQ35" t="e">
        <f>CAPEC!C133+"8O&lt;!$1%"</f>
        <v>#VALUE!</v>
      </c>
      <c r="CR35" t="e">
        <f>CAPEC!D133+"8O&lt;!$1&amp;"</f>
        <v>#VALUE!</v>
      </c>
      <c r="CS35" t="e">
        <f>CAPEC!E133+"8O&lt;!$1'"</f>
        <v>#VALUE!</v>
      </c>
      <c r="CT35" t="e">
        <f>CAPEC!#REF!+"8O&lt;!$1("</f>
        <v>#REF!</v>
      </c>
      <c r="CU35" t="e">
        <f>CAPEC!C134+"8O&lt;!$1)"</f>
        <v>#VALUE!</v>
      </c>
      <c r="CV35" t="e">
        <f>CAPEC!D134+"8O&lt;!$1."</f>
        <v>#VALUE!</v>
      </c>
      <c r="CW35" t="e">
        <f>CAPEC!E134+"8O&lt;!$1/"</f>
        <v>#VALUE!</v>
      </c>
      <c r="CX35" t="e">
        <f>CAPEC!#REF!+"8O&lt;!$10"</f>
        <v>#REF!</v>
      </c>
      <c r="CY35" t="e">
        <f>CAPEC!C135+"8O&lt;!$11"</f>
        <v>#VALUE!</v>
      </c>
      <c r="CZ35" t="e">
        <f>CAPEC!D135+"8O&lt;!$12"</f>
        <v>#VALUE!</v>
      </c>
      <c r="DA35" t="e">
        <f>CAPEC!E135+"8O&lt;!$13"</f>
        <v>#VALUE!</v>
      </c>
      <c r="DB35" t="e">
        <f>CAPEC!#REF!+"8O&lt;!$14"</f>
        <v>#REF!</v>
      </c>
      <c r="DC35" t="e">
        <f>CAPEC!C136+"8O&lt;!$15"</f>
        <v>#VALUE!</v>
      </c>
      <c r="DD35" t="e">
        <f>CAPEC!D136+"8O&lt;!$16"</f>
        <v>#VALUE!</v>
      </c>
      <c r="DE35" t="e">
        <f>CAPEC!E136+"8O&lt;!$17"</f>
        <v>#VALUE!</v>
      </c>
      <c r="DF35" t="e">
        <f>CAPEC!#REF!+"8O&lt;!$18"</f>
        <v>#REF!</v>
      </c>
      <c r="DG35" t="e">
        <f>CAPEC!C137+"8O&lt;!$19"</f>
        <v>#VALUE!</v>
      </c>
      <c r="DH35" t="e">
        <f>CAPEC!D137+"8O&lt;!$1:"</f>
        <v>#VALUE!</v>
      </c>
      <c r="DI35" t="e">
        <f>CAPEC!E137+"8O&lt;!$1;"</f>
        <v>#VALUE!</v>
      </c>
      <c r="DJ35" t="e">
        <f>CAPEC!#REF!+"8O&lt;!$1&lt;"</f>
        <v>#REF!</v>
      </c>
      <c r="DK35" t="e">
        <f>CAPEC!C138+"8O&lt;!$1="</f>
        <v>#VALUE!</v>
      </c>
      <c r="DL35" t="e">
        <f>CAPEC!D138+"8O&lt;!$1&gt;"</f>
        <v>#VALUE!</v>
      </c>
      <c r="DM35" t="e">
        <f>CAPEC!E138+"8O&lt;!$1?"</f>
        <v>#VALUE!</v>
      </c>
      <c r="DN35" t="e">
        <f>CAPEC!#REF!+"8O&lt;!$1@"</f>
        <v>#REF!</v>
      </c>
      <c r="DO35" t="e">
        <f>CAPEC!C139+"8O&lt;!$1A"</f>
        <v>#VALUE!</v>
      </c>
      <c r="DP35" t="e">
        <f>CAPEC!D139+"8O&lt;!$1B"</f>
        <v>#VALUE!</v>
      </c>
      <c r="DQ35" t="e">
        <f>CAPEC!E139+"8O&lt;!$1C"</f>
        <v>#VALUE!</v>
      </c>
      <c r="DR35" t="e">
        <f>CAPEC!#REF!+"8O&lt;!$1D"</f>
        <v>#REF!</v>
      </c>
      <c r="DS35" t="e">
        <f>CAPEC!C140+"8O&lt;!$1E"</f>
        <v>#VALUE!</v>
      </c>
      <c r="DT35" t="e">
        <f>CAPEC!D140+"8O&lt;!$1F"</f>
        <v>#VALUE!</v>
      </c>
      <c r="DU35" t="e">
        <f>CAPEC!E140+"8O&lt;!$1G"</f>
        <v>#VALUE!</v>
      </c>
      <c r="DV35" t="e">
        <f>CAPEC!#REF!+"8O&lt;!$1H"</f>
        <v>#REF!</v>
      </c>
      <c r="DW35" t="e">
        <f>CAPEC!C141+"8O&lt;!$1I"</f>
        <v>#VALUE!</v>
      </c>
      <c r="DX35" t="e">
        <f>CAPEC!D141+"8O&lt;!$1J"</f>
        <v>#VALUE!</v>
      </c>
      <c r="DY35" t="e">
        <f>CAPEC!E141+"8O&lt;!$1K"</f>
        <v>#VALUE!</v>
      </c>
      <c r="DZ35" t="e">
        <f>CAPEC!#REF!+"8O&lt;!$1L"</f>
        <v>#REF!</v>
      </c>
      <c r="EA35" t="e">
        <f>CAPEC!C142+"8O&lt;!$1M"</f>
        <v>#VALUE!</v>
      </c>
      <c r="EB35" t="e">
        <f>CAPEC!D142+"8O&lt;!$1N"</f>
        <v>#VALUE!</v>
      </c>
      <c r="EC35" t="e">
        <f>CAPEC!E142+"8O&lt;!$1O"</f>
        <v>#VALUE!</v>
      </c>
      <c r="ED35" t="e">
        <f>CAPEC!#REF!+"8O&lt;!$1P"</f>
        <v>#REF!</v>
      </c>
      <c r="EE35" t="e">
        <f>CAPEC!C143+"8O&lt;!$1Q"</f>
        <v>#VALUE!</v>
      </c>
      <c r="EF35" t="e">
        <f>CAPEC!D143+"8O&lt;!$1R"</f>
        <v>#VALUE!</v>
      </c>
      <c r="EG35" t="e">
        <f>CAPEC!E143+"8O&lt;!$1S"</f>
        <v>#VALUE!</v>
      </c>
      <c r="EH35" t="e">
        <f>CAPEC!#REF!+"8O&lt;!$1T"</f>
        <v>#REF!</v>
      </c>
      <c r="EI35" t="e">
        <f>CAPEC!C144+"8O&lt;!$1U"</f>
        <v>#VALUE!</v>
      </c>
      <c r="EJ35" t="e">
        <f>CAPEC!D144+"8O&lt;!$1V"</f>
        <v>#VALUE!</v>
      </c>
      <c r="EK35" t="e">
        <f>CAPEC!E144+"8O&lt;!$1W"</f>
        <v>#VALUE!</v>
      </c>
      <c r="EL35" t="e">
        <f>CAPEC!#REF!+"8O&lt;!$1X"</f>
        <v>#REF!</v>
      </c>
      <c r="EM35" t="e">
        <f>CAPEC!C145+"8O&lt;!$1Y"</f>
        <v>#VALUE!</v>
      </c>
      <c r="EN35" t="e">
        <f>CAPEC!D145+"8O&lt;!$1Z"</f>
        <v>#VALUE!</v>
      </c>
      <c r="EO35" t="e">
        <f>CAPEC!E145+"8O&lt;!$1["</f>
        <v>#VALUE!</v>
      </c>
      <c r="EP35" t="e">
        <f>CAPEC!#REF!+"8O&lt;!$1\"</f>
        <v>#REF!</v>
      </c>
      <c r="EQ35" t="e">
        <f>CAPEC!C146+"8O&lt;!$1]"</f>
        <v>#VALUE!</v>
      </c>
      <c r="ER35" t="e">
        <f>CAPEC!D146+"8O&lt;!$1^"</f>
        <v>#VALUE!</v>
      </c>
      <c r="ES35" t="e">
        <f>CAPEC!E146+"8O&lt;!$1_"</f>
        <v>#VALUE!</v>
      </c>
      <c r="ET35" t="e">
        <f>CAPEC!#REF!+"8O&lt;!$1`"</f>
        <v>#REF!</v>
      </c>
      <c r="EU35" t="e">
        <f>CAPEC!C147+"8O&lt;!$1a"</f>
        <v>#VALUE!</v>
      </c>
      <c r="EV35" t="e">
        <f>CAPEC!D147+"8O&lt;!$1b"</f>
        <v>#VALUE!</v>
      </c>
      <c r="EW35" t="e">
        <f>CAPEC!E147+"8O&lt;!$1c"</f>
        <v>#VALUE!</v>
      </c>
      <c r="EX35" t="e">
        <f>CAPEC!#REF!+"8O&lt;!$1d"</f>
        <v>#REF!</v>
      </c>
      <c r="EY35" t="e">
        <f>CAPEC!C148+"8O&lt;!$1e"</f>
        <v>#VALUE!</v>
      </c>
      <c r="EZ35" t="e">
        <f>CAPEC!D148+"8O&lt;!$1f"</f>
        <v>#VALUE!</v>
      </c>
      <c r="FA35" t="e">
        <f>CAPEC!E148+"8O&lt;!$1g"</f>
        <v>#VALUE!</v>
      </c>
      <c r="FB35" t="e">
        <f>CAPEC!#REF!+"8O&lt;!$1h"</f>
        <v>#REF!</v>
      </c>
      <c r="FC35" t="e">
        <f>CAPEC!C149+"8O&lt;!$1i"</f>
        <v>#VALUE!</v>
      </c>
      <c r="FD35" t="e">
        <f>CAPEC!D149+"8O&lt;!$1j"</f>
        <v>#VALUE!</v>
      </c>
      <c r="FE35" t="e">
        <f>CAPEC!E149+"8O&lt;!$1k"</f>
        <v>#VALUE!</v>
      </c>
      <c r="FF35" t="e">
        <f>CAPEC!#REF!+"8O&lt;!$1l"</f>
        <v>#REF!</v>
      </c>
      <c r="FG35" t="e">
        <f>CAPEC!C150+"8O&lt;!$1m"</f>
        <v>#VALUE!</v>
      </c>
      <c r="FH35" t="e">
        <f>CAPEC!D150+"8O&lt;!$1n"</f>
        <v>#VALUE!</v>
      </c>
      <c r="FI35" t="e">
        <f>CAPEC!E150+"8O&lt;!$1o"</f>
        <v>#VALUE!</v>
      </c>
      <c r="FJ35" t="e">
        <f>CAPEC!#REF!+"8O&lt;!$1p"</f>
        <v>#REF!</v>
      </c>
      <c r="FK35" t="e">
        <f>CAPEC!C151+"8O&lt;!$1q"</f>
        <v>#VALUE!</v>
      </c>
      <c r="FL35" t="e">
        <f>CAPEC!D151+"8O&lt;!$1r"</f>
        <v>#VALUE!</v>
      </c>
      <c r="FM35" t="e">
        <f>CAPEC!E151+"8O&lt;!$1s"</f>
        <v>#VALUE!</v>
      </c>
      <c r="FN35" t="e">
        <f>CAPEC!#REF!+"8O&lt;!$1t"</f>
        <v>#REF!</v>
      </c>
      <c r="FO35" t="e">
        <f>CAPEC!C152+"8O&lt;!$1u"</f>
        <v>#VALUE!</v>
      </c>
      <c r="FP35" t="e">
        <f>CAPEC!D152+"8O&lt;!$1v"</f>
        <v>#VALUE!</v>
      </c>
      <c r="FQ35" t="e">
        <f>CAPEC!E152+"8O&lt;!$1w"</f>
        <v>#VALUE!</v>
      </c>
      <c r="FR35" t="e">
        <f>CAPEC!#REF!+"8O&lt;!$1x"</f>
        <v>#REF!</v>
      </c>
      <c r="FS35" t="e">
        <f>CAPEC!C153+"8O&lt;!$1y"</f>
        <v>#VALUE!</v>
      </c>
      <c r="FT35" t="e">
        <f>CAPEC!D153+"8O&lt;!$1z"</f>
        <v>#VALUE!</v>
      </c>
      <c r="FU35" t="e">
        <f>CAPEC!E153+"8O&lt;!$1{"</f>
        <v>#VALUE!</v>
      </c>
      <c r="FV35" t="e">
        <f>CAPEC!#REF!+"8O&lt;!$1|"</f>
        <v>#REF!</v>
      </c>
      <c r="FW35" t="e">
        <f>CAPEC!C154+"8O&lt;!$1}"</f>
        <v>#VALUE!</v>
      </c>
      <c r="FX35" t="e">
        <f>CAPEC!D154+"8O&lt;!$1~"</f>
        <v>#VALUE!</v>
      </c>
      <c r="FY35" t="e">
        <f>CAPEC!E154+"8O&lt;!$2#"</f>
        <v>#VALUE!</v>
      </c>
      <c r="FZ35" t="e">
        <f>CAPEC!#REF!+"8O&lt;!$2$"</f>
        <v>#REF!</v>
      </c>
      <c r="GA35" t="e">
        <f>CAPEC!C155+"8O&lt;!$2%"</f>
        <v>#VALUE!</v>
      </c>
      <c r="GB35" t="e">
        <f>CAPEC!D155+"8O&lt;!$2&amp;"</f>
        <v>#VALUE!</v>
      </c>
      <c r="GC35" t="e">
        <f>CAPEC!E155+"8O&lt;!$2'"</f>
        <v>#VALUE!</v>
      </c>
      <c r="GD35" t="e">
        <f>CAPEC!#REF!+"8O&lt;!$2("</f>
        <v>#REF!</v>
      </c>
      <c r="GE35" t="e">
        <f>CAPEC!C156+"8O&lt;!$2)"</f>
        <v>#VALUE!</v>
      </c>
      <c r="GF35" t="e">
        <f>CAPEC!D156+"8O&lt;!$2."</f>
        <v>#VALUE!</v>
      </c>
      <c r="GG35" t="e">
        <f>CAPEC!E156+"8O&lt;!$2/"</f>
        <v>#VALUE!</v>
      </c>
      <c r="GH35" t="e">
        <f>CAPEC!#REF!+"8O&lt;!$20"</f>
        <v>#REF!</v>
      </c>
      <c r="GI35" t="e">
        <f>CAPEC!C157+"8O&lt;!$21"</f>
        <v>#VALUE!</v>
      </c>
      <c r="GJ35" t="e">
        <f>CAPEC!D157+"8O&lt;!$22"</f>
        <v>#VALUE!</v>
      </c>
      <c r="GK35" t="e">
        <f>CAPEC!E157+"8O&lt;!$23"</f>
        <v>#VALUE!</v>
      </c>
      <c r="GL35" t="e">
        <f>CAPEC!#REF!+"8O&lt;!$24"</f>
        <v>#REF!</v>
      </c>
      <c r="GM35" t="e">
        <f>CAPEC!C158+"8O&lt;!$25"</f>
        <v>#VALUE!</v>
      </c>
      <c r="GN35" t="e">
        <f>CAPEC!D158+"8O&lt;!$26"</f>
        <v>#VALUE!</v>
      </c>
      <c r="GO35" t="e">
        <f>CAPEC!E158+"8O&lt;!$27"</f>
        <v>#VALUE!</v>
      </c>
      <c r="GP35" t="e">
        <f>CAPEC!#REF!+"8O&lt;!$28"</f>
        <v>#REF!</v>
      </c>
      <c r="GQ35" t="e">
        <f>CAPEC!C159+"8O&lt;!$29"</f>
        <v>#VALUE!</v>
      </c>
      <c r="GR35" t="e">
        <f>CAPEC!D159+"8O&lt;!$2:"</f>
        <v>#VALUE!</v>
      </c>
      <c r="GS35" t="e">
        <f>CAPEC!E159+"8O&lt;!$2;"</f>
        <v>#VALUE!</v>
      </c>
      <c r="GT35" t="e">
        <f>CAPEC!#REF!+"8O&lt;!$2&lt;"</f>
        <v>#REF!</v>
      </c>
      <c r="GU35" t="e">
        <f>CAPEC!C160+"8O&lt;!$2="</f>
        <v>#VALUE!</v>
      </c>
      <c r="GV35" t="e">
        <f>CAPEC!D160+"8O&lt;!$2&gt;"</f>
        <v>#VALUE!</v>
      </c>
      <c r="GW35" t="e">
        <f>CAPEC!E160+"8O&lt;!$2?"</f>
        <v>#VALUE!</v>
      </c>
      <c r="GX35" t="e">
        <f>CAPEC!#REF!+"8O&lt;!$2@"</f>
        <v>#REF!</v>
      </c>
      <c r="GY35" t="e">
        <f>CAPEC!C161+"8O&lt;!$2A"</f>
        <v>#VALUE!</v>
      </c>
      <c r="GZ35" t="e">
        <f>CAPEC!D161+"8O&lt;!$2B"</f>
        <v>#VALUE!</v>
      </c>
      <c r="HA35" t="e">
        <f>CAPEC!E161+"8O&lt;!$2C"</f>
        <v>#VALUE!</v>
      </c>
      <c r="HB35" t="e">
        <f>CAPEC!#REF!+"8O&lt;!$2D"</f>
        <v>#REF!</v>
      </c>
      <c r="HC35" t="e">
        <f>CAPEC!C162+"8O&lt;!$2E"</f>
        <v>#VALUE!</v>
      </c>
      <c r="HD35" t="e">
        <f>CAPEC!D162+"8O&lt;!$2F"</f>
        <v>#VALUE!</v>
      </c>
      <c r="HE35" t="e">
        <f>CAPEC!E162+"8O&lt;!$2G"</f>
        <v>#VALUE!</v>
      </c>
      <c r="HF35" t="e">
        <f>CAPEC!#REF!+"8O&lt;!$2H"</f>
        <v>#REF!</v>
      </c>
      <c r="HG35" t="e">
        <f>CAPEC!C163+"8O&lt;!$2I"</f>
        <v>#VALUE!</v>
      </c>
      <c r="HH35" t="e">
        <f>CAPEC!D163+"8O&lt;!$2J"</f>
        <v>#VALUE!</v>
      </c>
      <c r="HI35" t="e">
        <f>CAPEC!E163+"8O&lt;!$2K"</f>
        <v>#VALUE!</v>
      </c>
      <c r="HJ35" t="e">
        <f>CAPEC!#REF!+"8O&lt;!$2L"</f>
        <v>#REF!</v>
      </c>
      <c r="HK35" t="e">
        <f>CAPEC!C164+"8O&lt;!$2M"</f>
        <v>#VALUE!</v>
      </c>
      <c r="HL35" t="e">
        <f>CAPEC!D164+"8O&lt;!$2N"</f>
        <v>#VALUE!</v>
      </c>
      <c r="HM35" t="e">
        <f>CAPEC!E164+"8O&lt;!$2O"</f>
        <v>#VALUE!</v>
      </c>
      <c r="HN35" t="e">
        <f>CAPEC!#REF!+"8O&lt;!$2P"</f>
        <v>#REF!</v>
      </c>
      <c r="HO35" t="e">
        <f>CAPEC!C165+"8O&lt;!$2Q"</f>
        <v>#VALUE!</v>
      </c>
      <c r="HP35" t="e">
        <f>CAPEC!D165+"8O&lt;!$2R"</f>
        <v>#VALUE!</v>
      </c>
      <c r="HQ35" t="e">
        <f>CAPEC!E165+"8O&lt;!$2S"</f>
        <v>#VALUE!</v>
      </c>
      <c r="HR35" t="e">
        <f>CAPEC!#REF!+"8O&lt;!$2T"</f>
        <v>#REF!</v>
      </c>
      <c r="HS35" t="e">
        <f>CAPEC!C166+"8O&lt;!$2U"</f>
        <v>#VALUE!</v>
      </c>
      <c r="HT35" t="e">
        <f>CAPEC!D166+"8O&lt;!$2V"</f>
        <v>#VALUE!</v>
      </c>
      <c r="HU35" t="e">
        <f>CAPEC!E166+"8O&lt;!$2W"</f>
        <v>#VALUE!</v>
      </c>
      <c r="HV35" t="e">
        <f>CAPEC!#REF!+"8O&lt;!$2X"</f>
        <v>#REF!</v>
      </c>
      <c r="HW35" t="e">
        <f>CAPEC!C167+"8O&lt;!$2Y"</f>
        <v>#VALUE!</v>
      </c>
      <c r="HX35" t="e">
        <f>CAPEC!D167+"8O&lt;!$2Z"</f>
        <v>#VALUE!</v>
      </c>
      <c r="HY35" t="e">
        <f>CAPEC!E167+"8O&lt;!$2["</f>
        <v>#VALUE!</v>
      </c>
      <c r="HZ35" t="e">
        <f>CAPEC!#REF!+"8O&lt;!$2\"</f>
        <v>#REF!</v>
      </c>
      <c r="IA35" t="e">
        <f>CAPEC!C168+"8O&lt;!$2]"</f>
        <v>#VALUE!</v>
      </c>
      <c r="IB35" t="e">
        <f>CAPEC!D168+"8O&lt;!$2^"</f>
        <v>#VALUE!</v>
      </c>
      <c r="IC35" t="e">
        <f>CAPEC!E168+"8O&lt;!$2_"</f>
        <v>#VALUE!</v>
      </c>
      <c r="ID35" t="e">
        <f>CAPEC!#REF!+"8O&lt;!$2`"</f>
        <v>#REF!</v>
      </c>
      <c r="IE35" t="e">
        <f>CAPEC!C169+"8O&lt;!$2a"</f>
        <v>#VALUE!</v>
      </c>
      <c r="IF35" t="e">
        <f>CAPEC!D169+"8O&lt;!$2b"</f>
        <v>#VALUE!</v>
      </c>
      <c r="IG35" t="e">
        <f>CAPEC!E169+"8O&lt;!$2c"</f>
        <v>#VALUE!</v>
      </c>
      <c r="IH35" t="e">
        <f>CAPEC!#REF!+"8O&lt;!$2d"</f>
        <v>#REF!</v>
      </c>
      <c r="II35" t="e">
        <f>CAPEC!C170+"8O&lt;!$2e"</f>
        <v>#VALUE!</v>
      </c>
      <c r="IJ35" t="e">
        <f>CAPEC!D170+"8O&lt;!$2f"</f>
        <v>#VALUE!</v>
      </c>
      <c r="IK35" t="e">
        <f>CAPEC!E170+"8O&lt;!$2g"</f>
        <v>#VALUE!</v>
      </c>
      <c r="IL35" t="e">
        <f>CAPEC!#REF!+"8O&lt;!$2h"</f>
        <v>#REF!</v>
      </c>
      <c r="IM35" t="e">
        <f>CAPEC!C171+"8O&lt;!$2i"</f>
        <v>#VALUE!</v>
      </c>
      <c r="IN35" t="e">
        <f>CAPEC!D171+"8O&lt;!$2j"</f>
        <v>#VALUE!</v>
      </c>
      <c r="IO35" t="e">
        <f>CAPEC!E171+"8O&lt;!$2k"</f>
        <v>#VALUE!</v>
      </c>
      <c r="IP35" t="e">
        <f>CAPEC!#REF!+"8O&lt;!$2l"</f>
        <v>#REF!</v>
      </c>
      <c r="IQ35" t="e">
        <f>CAPEC!C172+"8O&lt;!$2m"</f>
        <v>#VALUE!</v>
      </c>
      <c r="IR35" t="e">
        <f>CAPEC!D172+"8O&lt;!$2n"</f>
        <v>#VALUE!</v>
      </c>
      <c r="IS35" t="e">
        <f>CAPEC!E172+"8O&lt;!$2o"</f>
        <v>#VALUE!</v>
      </c>
      <c r="IT35" t="e">
        <f>CAPEC!#REF!+"8O&lt;!$2p"</f>
        <v>#REF!</v>
      </c>
      <c r="IU35" t="e">
        <f>CAPEC!C173+"8O&lt;!$2q"</f>
        <v>#VALUE!</v>
      </c>
      <c r="IV35" t="e">
        <f>CAPEC!D173+"8O&lt;!$2r"</f>
        <v>#VALUE!</v>
      </c>
    </row>
    <row r="36" spans="6:256" x14ac:dyDescent="0.25">
      <c r="F36" t="e">
        <f>CAPEC!E173+"8O&lt;!$2s"</f>
        <v>#VALUE!</v>
      </c>
      <c r="G36" t="e">
        <f>CAPEC!#REF!+"8O&lt;!$2t"</f>
        <v>#REF!</v>
      </c>
      <c r="H36" t="e">
        <f>CAPEC!C174+"8O&lt;!$2u"</f>
        <v>#VALUE!</v>
      </c>
      <c r="I36" t="e">
        <f>CAPEC!D174+"8O&lt;!$2v"</f>
        <v>#VALUE!</v>
      </c>
      <c r="J36" t="e">
        <f>CAPEC!E174+"8O&lt;!$2w"</f>
        <v>#VALUE!</v>
      </c>
      <c r="K36" t="e">
        <f>CAPEC!#REF!+"8O&lt;!$2x"</f>
        <v>#REF!</v>
      </c>
      <c r="L36" t="e">
        <f>CAPEC!C175+"8O&lt;!$2y"</f>
        <v>#VALUE!</v>
      </c>
      <c r="M36" t="e">
        <f>CAPEC!D175+"8O&lt;!$2z"</f>
        <v>#VALUE!</v>
      </c>
      <c r="N36" t="e">
        <f>CAPEC!E175+"8O&lt;!$2{"</f>
        <v>#VALUE!</v>
      </c>
      <c r="O36" t="e">
        <f>CAPEC!#REF!+"8O&lt;!$2|"</f>
        <v>#REF!</v>
      </c>
      <c r="P36" t="e">
        <f>CAPEC!C176+"8O&lt;!$2}"</f>
        <v>#VALUE!</v>
      </c>
      <c r="Q36" t="e">
        <f>CAPEC!D176+"8O&lt;!$2~"</f>
        <v>#VALUE!</v>
      </c>
      <c r="R36" t="e">
        <f>CAPEC!E176+"8O&lt;!$3#"</f>
        <v>#VALUE!</v>
      </c>
      <c r="S36" t="e">
        <f>CAPEC!#REF!+"8O&lt;!$3$"</f>
        <v>#REF!</v>
      </c>
      <c r="T36" t="e">
        <f>CAPEC!C177+"8O&lt;!$3%"</f>
        <v>#VALUE!</v>
      </c>
      <c r="U36" t="e">
        <f>CAPEC!D177+"8O&lt;!$3&amp;"</f>
        <v>#VALUE!</v>
      </c>
      <c r="V36" t="e">
        <f>CAPEC!E177+"8O&lt;!$3'"</f>
        <v>#VALUE!</v>
      </c>
      <c r="W36" t="e">
        <f>CAPEC!#REF!+"8O&lt;!$3("</f>
        <v>#REF!</v>
      </c>
      <c r="X36" t="e">
        <f>CAPEC!C178+"8O&lt;!$3)"</f>
        <v>#VALUE!</v>
      </c>
      <c r="Y36" t="e">
        <f>CAPEC!D178+"8O&lt;!$3."</f>
        <v>#VALUE!</v>
      </c>
      <c r="Z36" t="e">
        <f>CAPEC!E178+"8O&lt;!$3/"</f>
        <v>#VALUE!</v>
      </c>
      <c r="AA36" t="e">
        <f>CAPEC!#REF!+"8O&lt;!$30"</f>
        <v>#REF!</v>
      </c>
      <c r="AB36" t="e">
        <f>CAPEC!C179+"8O&lt;!$31"</f>
        <v>#VALUE!</v>
      </c>
      <c r="AC36" t="e">
        <f>CAPEC!D179+"8O&lt;!$32"</f>
        <v>#VALUE!</v>
      </c>
      <c r="AD36" t="e">
        <f>CAPEC!E179+"8O&lt;!$33"</f>
        <v>#VALUE!</v>
      </c>
      <c r="AE36" t="e">
        <f>CAPEC!#REF!+"8O&lt;!$34"</f>
        <v>#REF!</v>
      </c>
      <c r="AF36" t="e">
        <f>CAPEC!C180+"8O&lt;!$35"</f>
        <v>#VALUE!</v>
      </c>
      <c r="AG36" t="e">
        <f>CAPEC!D180+"8O&lt;!$36"</f>
        <v>#VALUE!</v>
      </c>
      <c r="AH36" t="e">
        <f>CAPEC!E180+"8O&lt;!$37"</f>
        <v>#VALUE!</v>
      </c>
      <c r="AI36" t="e">
        <f>CAPEC!#REF!+"8O&lt;!$38"</f>
        <v>#REF!</v>
      </c>
      <c r="AJ36" t="e">
        <f>CAPEC!C181+"8O&lt;!$39"</f>
        <v>#VALUE!</v>
      </c>
      <c r="AK36" t="e">
        <f>CAPEC!D181+"8O&lt;!$3:"</f>
        <v>#VALUE!</v>
      </c>
      <c r="AL36" t="e">
        <f>CAPEC!E181+"8O&lt;!$3;"</f>
        <v>#VALUE!</v>
      </c>
      <c r="AM36" t="e">
        <f>CAPEC!#REF!+"8O&lt;!$3&lt;"</f>
        <v>#REF!</v>
      </c>
      <c r="AN36" t="e">
        <f>CAPEC!C182+"8O&lt;!$3="</f>
        <v>#VALUE!</v>
      </c>
      <c r="AO36" t="e">
        <f>CAPEC!D182+"8O&lt;!$3&gt;"</f>
        <v>#VALUE!</v>
      </c>
      <c r="AP36" t="e">
        <f>CAPEC!E182+"8O&lt;!$3?"</f>
        <v>#VALUE!</v>
      </c>
      <c r="AQ36" t="e">
        <f>CAPEC!#REF!+"8O&lt;!$3@"</f>
        <v>#REF!</v>
      </c>
      <c r="AR36" t="e">
        <f>CAPEC!C183+"8O&lt;!$3A"</f>
        <v>#VALUE!</v>
      </c>
      <c r="AS36" t="e">
        <f>CAPEC!D183+"8O&lt;!$3B"</f>
        <v>#VALUE!</v>
      </c>
      <c r="AT36" t="e">
        <f>CAPEC!E183+"8O&lt;!$3C"</f>
        <v>#VALUE!</v>
      </c>
      <c r="AU36" t="e">
        <f>CAPEC!#REF!+"8O&lt;!$3D"</f>
        <v>#REF!</v>
      </c>
      <c r="AV36" t="e">
        <f>CAPEC!C184+"8O&lt;!$3E"</f>
        <v>#VALUE!</v>
      </c>
      <c r="AW36" t="e">
        <f>CAPEC!D184+"8O&lt;!$3F"</f>
        <v>#VALUE!</v>
      </c>
      <c r="AX36" t="e">
        <f>CAPEC!E184+"8O&lt;!$3G"</f>
        <v>#VALUE!</v>
      </c>
      <c r="AY36" t="e">
        <f>CAPEC!#REF!+"8O&lt;!$3H"</f>
        <v>#REF!</v>
      </c>
      <c r="AZ36" t="e">
        <f>CAPEC!C185+"8O&lt;!$3I"</f>
        <v>#VALUE!</v>
      </c>
      <c r="BA36" t="e">
        <f>CAPEC!D185+"8O&lt;!$3J"</f>
        <v>#VALUE!</v>
      </c>
      <c r="BB36" t="e">
        <f>CAPEC!E185+"8O&lt;!$3K"</f>
        <v>#VALUE!</v>
      </c>
      <c r="BC36" t="e">
        <f>CAPEC!#REF!+"8O&lt;!$3L"</f>
        <v>#REF!</v>
      </c>
      <c r="BD36" t="e">
        <f>CAPEC!C186+"8O&lt;!$3M"</f>
        <v>#VALUE!</v>
      </c>
      <c r="BE36" t="e">
        <f>CAPEC!D186+"8O&lt;!$3N"</f>
        <v>#VALUE!</v>
      </c>
      <c r="BF36" t="e">
        <f>CAPEC!E186+"8O&lt;!$3O"</f>
        <v>#VALUE!</v>
      </c>
      <c r="BG36" t="e">
        <f>CAPEC!#REF!+"8O&lt;!$3P"</f>
        <v>#REF!</v>
      </c>
      <c r="BH36" t="e">
        <f>CAPEC!C187+"8O&lt;!$3Q"</f>
        <v>#VALUE!</v>
      </c>
      <c r="BI36" t="e">
        <f>CAPEC!D187+"8O&lt;!$3R"</f>
        <v>#VALUE!</v>
      </c>
      <c r="BJ36" t="e">
        <f>CAPEC!E187+"8O&lt;!$3S"</f>
        <v>#VALUE!</v>
      </c>
      <c r="BK36" t="e">
        <f>CAPEC!#REF!+"8O&lt;!$3T"</f>
        <v>#REF!</v>
      </c>
      <c r="BL36" t="e">
        <f>CAPEC!C188+"8O&lt;!$3U"</f>
        <v>#VALUE!</v>
      </c>
      <c r="BM36" t="e">
        <f>CAPEC!D188+"8O&lt;!$3V"</f>
        <v>#VALUE!</v>
      </c>
      <c r="BN36" t="e">
        <f>CAPEC!E188+"8O&lt;!$3W"</f>
        <v>#VALUE!</v>
      </c>
      <c r="BO36" t="e">
        <f>CAPEC!#REF!+"8O&lt;!$3X"</f>
        <v>#REF!</v>
      </c>
      <c r="BP36" t="e">
        <f>CAPEC!C189+"8O&lt;!$3Y"</f>
        <v>#VALUE!</v>
      </c>
      <c r="BQ36" t="e">
        <f>CAPEC!D189+"8O&lt;!$3Z"</f>
        <v>#VALUE!</v>
      </c>
      <c r="BR36" t="e">
        <f>CAPEC!E189+"8O&lt;!$3["</f>
        <v>#VALUE!</v>
      </c>
      <c r="BS36" t="e">
        <f>CAPEC!#REF!+"8O&lt;!$3\"</f>
        <v>#REF!</v>
      </c>
      <c r="BT36" t="e">
        <f>CAPEC!C190+"8O&lt;!$3]"</f>
        <v>#VALUE!</v>
      </c>
      <c r="BU36" t="e">
        <f>CAPEC!D190+"8O&lt;!$3^"</f>
        <v>#VALUE!</v>
      </c>
      <c r="BV36" t="e">
        <f>CAPEC!E190+"8O&lt;!$3_"</f>
        <v>#VALUE!</v>
      </c>
      <c r="BW36" t="e">
        <f>CAPEC!#REF!+"8O&lt;!$3`"</f>
        <v>#REF!</v>
      </c>
      <c r="BX36" t="e">
        <f>CAPEC!C191+"8O&lt;!$3a"</f>
        <v>#VALUE!</v>
      </c>
      <c r="BY36" t="e">
        <f>CAPEC!D191+"8O&lt;!$3b"</f>
        <v>#VALUE!</v>
      </c>
      <c r="BZ36" t="e">
        <f>CAPEC!E191+"8O&lt;!$3c"</f>
        <v>#VALUE!</v>
      </c>
      <c r="CA36" t="e">
        <f>CAPEC!#REF!+"8O&lt;!$3d"</f>
        <v>#REF!</v>
      </c>
      <c r="CB36" t="e">
        <f>CAPEC!C192+"8O&lt;!$3e"</f>
        <v>#VALUE!</v>
      </c>
      <c r="CC36" t="e">
        <f>CAPEC!D192+"8O&lt;!$3f"</f>
        <v>#VALUE!</v>
      </c>
      <c r="CD36" t="e">
        <f>CAPEC!E192+"8O&lt;!$3g"</f>
        <v>#VALUE!</v>
      </c>
      <c r="CE36" t="e">
        <f>CAPEC!#REF!+"8O&lt;!$3h"</f>
        <v>#REF!</v>
      </c>
      <c r="CF36" t="e">
        <f>CAPEC!C193+"8O&lt;!$3i"</f>
        <v>#VALUE!</v>
      </c>
      <c r="CG36" t="e">
        <f>CAPEC!D193+"8O&lt;!$3j"</f>
        <v>#VALUE!</v>
      </c>
      <c r="CH36" t="e">
        <f>CAPEC!E193+"8O&lt;!$3k"</f>
        <v>#VALUE!</v>
      </c>
      <c r="CI36" t="e">
        <f>CAPEC!#REF!+"8O&lt;!$3l"</f>
        <v>#REF!</v>
      </c>
      <c r="CJ36" t="e">
        <f>CAPEC!C194+"8O&lt;!$3m"</f>
        <v>#VALUE!</v>
      </c>
      <c r="CK36" t="e">
        <f>CAPEC!D194+"8O&lt;!$3n"</f>
        <v>#VALUE!</v>
      </c>
      <c r="CL36" t="e">
        <f>CAPEC!E194+"8O&lt;!$3o"</f>
        <v>#VALUE!</v>
      </c>
      <c r="CM36" t="e">
        <f>CAPEC!#REF!+"8O&lt;!$3p"</f>
        <v>#REF!</v>
      </c>
      <c r="CN36" t="e">
        <f>CAPEC!C195+"8O&lt;!$3q"</f>
        <v>#VALUE!</v>
      </c>
      <c r="CO36" t="e">
        <f>CAPEC!D195+"8O&lt;!$3r"</f>
        <v>#VALUE!</v>
      </c>
      <c r="CP36" t="e">
        <f>CAPEC!E195+"8O&lt;!$3s"</f>
        <v>#VALUE!</v>
      </c>
      <c r="CQ36" t="e">
        <f>CAPEC!#REF!+"8O&lt;!$3t"</f>
        <v>#REF!</v>
      </c>
      <c r="CR36" t="e">
        <f>CAPEC!C196+"8O&lt;!$3u"</f>
        <v>#VALUE!</v>
      </c>
      <c r="CS36" t="e">
        <f>CAPEC!D196+"8O&lt;!$3v"</f>
        <v>#VALUE!</v>
      </c>
      <c r="CT36" t="e">
        <f>CAPEC!E196+"8O&lt;!$3w"</f>
        <v>#VALUE!</v>
      </c>
      <c r="CU36" t="e">
        <f>CAPEC!#REF!+"8O&lt;!$3x"</f>
        <v>#REF!</v>
      </c>
      <c r="CV36" t="e">
        <f>CAPEC!C197+"8O&lt;!$3y"</f>
        <v>#VALUE!</v>
      </c>
      <c r="CW36" t="e">
        <f>CAPEC!D197+"8O&lt;!$3z"</f>
        <v>#VALUE!</v>
      </c>
      <c r="CX36" t="e">
        <f>CAPEC!E197+"8O&lt;!$3{"</f>
        <v>#VALUE!</v>
      </c>
      <c r="CY36" t="e">
        <f>CAPEC!#REF!+"8O&lt;!$3|"</f>
        <v>#REF!</v>
      </c>
      <c r="CZ36" t="e">
        <f>CAPEC!C198+"8O&lt;!$3}"</f>
        <v>#VALUE!</v>
      </c>
      <c r="DA36" t="e">
        <f>CAPEC!D198+"8O&lt;!$3~"</f>
        <v>#VALUE!</v>
      </c>
      <c r="DB36" t="e">
        <f>CAPEC!E198+"8O&lt;!$4#"</f>
        <v>#VALUE!</v>
      </c>
      <c r="DC36" t="e">
        <f>CAPEC!#REF!+"8O&lt;!$4$"</f>
        <v>#REF!</v>
      </c>
      <c r="DD36" t="e">
        <f>CAPEC!C199+"8O&lt;!$4%"</f>
        <v>#VALUE!</v>
      </c>
      <c r="DE36" t="e">
        <f>CAPEC!D199+"8O&lt;!$4&amp;"</f>
        <v>#VALUE!</v>
      </c>
      <c r="DF36" t="e">
        <f>CAPEC!E199+"8O&lt;!$4'"</f>
        <v>#VALUE!</v>
      </c>
      <c r="DG36" t="e">
        <f>CAPEC!#REF!+"8O&lt;!$4("</f>
        <v>#REF!</v>
      </c>
      <c r="DH36" t="e">
        <f>CAPEC!C200+"8O&lt;!$4)"</f>
        <v>#VALUE!</v>
      </c>
      <c r="DI36" t="e">
        <f>CAPEC!D200+"8O&lt;!$4."</f>
        <v>#VALUE!</v>
      </c>
      <c r="DJ36" t="e">
        <f>CAPEC!E200+"8O&lt;!$4/"</f>
        <v>#VALUE!</v>
      </c>
      <c r="DK36" t="e">
        <f>CAPEC!#REF!+"8O&lt;!$40"</f>
        <v>#REF!</v>
      </c>
      <c r="DL36" t="e">
        <f>CAPEC!C201+"8O&lt;!$41"</f>
        <v>#VALUE!</v>
      </c>
      <c r="DM36" t="e">
        <f>CAPEC!D201+"8O&lt;!$42"</f>
        <v>#VALUE!</v>
      </c>
      <c r="DN36" t="e">
        <f>CAPEC!E201+"8O&lt;!$43"</f>
        <v>#VALUE!</v>
      </c>
      <c r="DO36" t="e">
        <f>CAPEC!#REF!+"8O&lt;!$44"</f>
        <v>#REF!</v>
      </c>
      <c r="DP36" t="e">
        <f>CAPEC!C202+"8O&lt;!$45"</f>
        <v>#VALUE!</v>
      </c>
      <c r="DQ36" t="e">
        <f>CAPEC!D202+"8O&lt;!$46"</f>
        <v>#VALUE!</v>
      </c>
      <c r="DR36" t="e">
        <f>CAPEC!E202+"8O&lt;!$47"</f>
        <v>#VALUE!</v>
      </c>
      <c r="DS36" t="e">
        <f>CAPEC!#REF!+"8O&lt;!$48"</f>
        <v>#REF!</v>
      </c>
      <c r="DT36" t="e">
        <f>CAPEC!C203+"8O&lt;!$49"</f>
        <v>#VALUE!</v>
      </c>
      <c r="DU36" t="e">
        <f>CAPEC!D203+"8O&lt;!$4:"</f>
        <v>#VALUE!</v>
      </c>
      <c r="DV36" t="e">
        <f>CAPEC!E203+"8O&lt;!$4;"</f>
        <v>#VALUE!</v>
      </c>
      <c r="DW36" t="e">
        <f>CAPEC!#REF!+"8O&lt;!$4&lt;"</f>
        <v>#REF!</v>
      </c>
      <c r="DX36" t="e">
        <f>CAPEC!C204+"8O&lt;!$4="</f>
        <v>#VALUE!</v>
      </c>
      <c r="DY36" t="e">
        <f>CAPEC!D204+"8O&lt;!$4&gt;"</f>
        <v>#VALUE!</v>
      </c>
      <c r="DZ36" t="e">
        <f>CAPEC!E204+"8O&lt;!$4?"</f>
        <v>#VALUE!</v>
      </c>
      <c r="EA36" t="e">
        <f>CAPEC!#REF!+"8O&lt;!$4@"</f>
        <v>#REF!</v>
      </c>
      <c r="EB36" t="e">
        <f>CAPEC!C205+"8O&lt;!$4A"</f>
        <v>#VALUE!</v>
      </c>
      <c r="EC36" t="e">
        <f>CAPEC!D205+"8O&lt;!$4B"</f>
        <v>#VALUE!</v>
      </c>
      <c r="ED36" t="e">
        <f>CAPEC!E205+"8O&lt;!$4C"</f>
        <v>#VALUE!</v>
      </c>
      <c r="EE36" t="e">
        <f>CAPEC!#REF!+"8O&lt;!$4D"</f>
        <v>#REF!</v>
      </c>
      <c r="EF36" t="e">
        <f>CAPEC!C206+"8O&lt;!$4E"</f>
        <v>#VALUE!</v>
      </c>
      <c r="EG36" t="e">
        <f>CAPEC!D206+"8O&lt;!$4F"</f>
        <v>#VALUE!</v>
      </c>
      <c r="EH36" t="e">
        <f>CAPEC!E206+"8O&lt;!$4G"</f>
        <v>#VALUE!</v>
      </c>
      <c r="EI36" t="e">
        <f>CAPEC!#REF!+"8O&lt;!$4H"</f>
        <v>#REF!</v>
      </c>
      <c r="EJ36" t="e">
        <f>CAPEC!C207+"8O&lt;!$4I"</f>
        <v>#VALUE!</v>
      </c>
      <c r="EK36" t="e">
        <f>CAPEC!D207+"8O&lt;!$4J"</f>
        <v>#VALUE!</v>
      </c>
      <c r="EL36" t="e">
        <f>CAPEC!E207+"8O&lt;!$4K"</f>
        <v>#VALUE!</v>
      </c>
      <c r="EM36" t="e">
        <f>CAPEC!#REF!+"8O&lt;!$4L"</f>
        <v>#REF!</v>
      </c>
      <c r="EN36" t="e">
        <f>CAPEC!C208+"8O&lt;!$4M"</f>
        <v>#VALUE!</v>
      </c>
      <c r="EO36" t="e">
        <f>CAPEC!D208+"8O&lt;!$4N"</f>
        <v>#VALUE!</v>
      </c>
      <c r="EP36" t="e">
        <f>CAPEC!E208+"8O&lt;!$4O"</f>
        <v>#VALUE!</v>
      </c>
      <c r="EQ36" t="e">
        <f>CAPEC!#REF!+"8O&lt;!$4P"</f>
        <v>#REF!</v>
      </c>
      <c r="ER36" t="e">
        <f>CAPEC!C209+"8O&lt;!$4Q"</f>
        <v>#VALUE!</v>
      </c>
      <c r="ES36" t="e">
        <f>CAPEC!D209+"8O&lt;!$4R"</f>
        <v>#VALUE!</v>
      </c>
      <c r="ET36" t="e">
        <f>CAPEC!E209+"8O&lt;!$4S"</f>
        <v>#VALUE!</v>
      </c>
      <c r="EU36" t="e">
        <f>CAPEC!#REF!+"8O&lt;!$4T"</f>
        <v>#REF!</v>
      </c>
      <c r="EV36" t="e">
        <f>CAPEC!C210+"8O&lt;!$4U"</f>
        <v>#VALUE!</v>
      </c>
      <c r="EW36" t="e">
        <f>CAPEC!D210+"8O&lt;!$4V"</f>
        <v>#VALUE!</v>
      </c>
      <c r="EX36" t="e">
        <f>CAPEC!E210+"8O&lt;!$4W"</f>
        <v>#VALUE!</v>
      </c>
      <c r="EY36" t="e">
        <f>CAPEC!#REF!+"8O&lt;!$4X"</f>
        <v>#REF!</v>
      </c>
      <c r="EZ36" t="e">
        <f>CAPEC!C211+"8O&lt;!$4Y"</f>
        <v>#VALUE!</v>
      </c>
      <c r="FA36" t="e">
        <f>CAPEC!D211+"8O&lt;!$4Z"</f>
        <v>#VALUE!</v>
      </c>
      <c r="FB36" t="e">
        <f>CAPEC!E211+"8O&lt;!$4["</f>
        <v>#VALUE!</v>
      </c>
      <c r="FC36" t="e">
        <f>CAPEC!#REF!+"8O&lt;!$4\"</f>
        <v>#REF!</v>
      </c>
      <c r="FD36" t="e">
        <f>CAPEC!C212+"8O&lt;!$4]"</f>
        <v>#VALUE!</v>
      </c>
      <c r="FE36" t="e">
        <f>CAPEC!D212+"8O&lt;!$4^"</f>
        <v>#VALUE!</v>
      </c>
      <c r="FF36" t="e">
        <f>CAPEC!E212+"8O&lt;!$4_"</f>
        <v>#VALUE!</v>
      </c>
      <c r="FG36" t="e">
        <f>CAPEC!#REF!+"8O&lt;!$4`"</f>
        <v>#REF!</v>
      </c>
      <c r="FH36" t="e">
        <f>CAPEC!C213+"8O&lt;!$4a"</f>
        <v>#VALUE!</v>
      </c>
      <c r="FI36" t="e">
        <f>CAPEC!D213+"8O&lt;!$4b"</f>
        <v>#VALUE!</v>
      </c>
      <c r="FJ36" t="e">
        <f>CAPEC!E213+"8O&lt;!$4c"</f>
        <v>#VALUE!</v>
      </c>
      <c r="FK36" t="e">
        <f>CAPEC!#REF!+"8O&lt;!$4d"</f>
        <v>#REF!</v>
      </c>
      <c r="FL36" t="e">
        <f>CAPEC!C214+"8O&lt;!$4e"</f>
        <v>#VALUE!</v>
      </c>
      <c r="FM36" t="e">
        <f>CAPEC!D214+"8O&lt;!$4f"</f>
        <v>#VALUE!</v>
      </c>
      <c r="FN36" t="e">
        <f>CAPEC!E214+"8O&lt;!$4g"</f>
        <v>#VALUE!</v>
      </c>
      <c r="FO36" t="e">
        <f>CAPEC!#REF!+"8O&lt;!$4h"</f>
        <v>#REF!</v>
      </c>
      <c r="FP36" t="e">
        <f>CAPEC!C215+"8O&lt;!$4i"</f>
        <v>#VALUE!</v>
      </c>
      <c r="FQ36" t="e">
        <f>CAPEC!D215+"8O&lt;!$4j"</f>
        <v>#VALUE!</v>
      </c>
      <c r="FR36" t="e">
        <f>CAPEC!E215+"8O&lt;!$4k"</f>
        <v>#VALUE!</v>
      </c>
      <c r="FS36" t="e">
        <f>CAPEC!#REF!+"8O&lt;!$4l"</f>
        <v>#REF!</v>
      </c>
      <c r="FT36" t="e">
        <f>CAPEC!C216+"8O&lt;!$4m"</f>
        <v>#VALUE!</v>
      </c>
      <c r="FU36" t="e">
        <f>CAPEC!D216+"8O&lt;!$4n"</f>
        <v>#VALUE!</v>
      </c>
      <c r="FV36" t="e">
        <f>CAPEC!E216+"8O&lt;!$4o"</f>
        <v>#VALUE!</v>
      </c>
      <c r="FW36" t="e">
        <f>CAPEC!#REF!+"8O&lt;!$4p"</f>
        <v>#REF!</v>
      </c>
      <c r="FX36" t="e">
        <f>CAPEC!C217+"8O&lt;!$4q"</f>
        <v>#VALUE!</v>
      </c>
      <c r="FY36" t="e">
        <f>CAPEC!D217+"8O&lt;!$4r"</f>
        <v>#VALUE!</v>
      </c>
      <c r="FZ36" t="e">
        <f>CAPEC!E217+"8O&lt;!$4s"</f>
        <v>#VALUE!</v>
      </c>
      <c r="GA36" t="e">
        <f>CAPEC!#REF!+"8O&lt;!$4t"</f>
        <v>#REF!</v>
      </c>
      <c r="GB36" t="e">
        <f>CAPEC!C218+"8O&lt;!$4u"</f>
        <v>#VALUE!</v>
      </c>
      <c r="GC36" t="e">
        <f>CAPEC!D218+"8O&lt;!$4v"</f>
        <v>#VALUE!</v>
      </c>
      <c r="GD36" t="e">
        <f>CAPEC!E218+"8O&lt;!$4w"</f>
        <v>#VALUE!</v>
      </c>
      <c r="GE36" t="e">
        <f>CAPEC!#REF!+"8O&lt;!$4x"</f>
        <v>#REF!</v>
      </c>
      <c r="GF36" t="e">
        <f>CAPEC!C219+"8O&lt;!$4y"</f>
        <v>#VALUE!</v>
      </c>
      <c r="GG36" t="e">
        <f>CAPEC!D219+"8O&lt;!$4z"</f>
        <v>#VALUE!</v>
      </c>
      <c r="GH36" t="e">
        <f>CAPEC!E219+"8O&lt;!$4{"</f>
        <v>#VALUE!</v>
      </c>
      <c r="GI36" t="e">
        <f>CAPEC!#REF!+"8O&lt;!$4|"</f>
        <v>#REF!</v>
      </c>
      <c r="GJ36" t="e">
        <f>CAPEC!C220+"8O&lt;!$4}"</f>
        <v>#VALUE!</v>
      </c>
      <c r="GK36" t="e">
        <f>CAPEC!D220+"8O&lt;!$4~"</f>
        <v>#VALUE!</v>
      </c>
      <c r="GL36" t="e">
        <f>CAPEC!E220+"8O&lt;!$5#"</f>
        <v>#VALUE!</v>
      </c>
      <c r="GM36" t="e">
        <f>CAPEC!#REF!+"8O&lt;!$5$"</f>
        <v>#REF!</v>
      </c>
      <c r="GN36" t="e">
        <f>CAPEC!C221+"8O&lt;!$5%"</f>
        <v>#VALUE!</v>
      </c>
      <c r="GO36" t="e">
        <f>CAPEC!D221+"8O&lt;!$5&amp;"</f>
        <v>#VALUE!</v>
      </c>
      <c r="GP36" t="e">
        <f>CAPEC!E221+"8O&lt;!$5'"</f>
        <v>#VALUE!</v>
      </c>
      <c r="GQ36" t="e">
        <f>CAPEC!#REF!+"8O&lt;!$5("</f>
        <v>#REF!</v>
      </c>
      <c r="GR36" t="e">
        <f>CAPEC!C222+"8O&lt;!$5)"</f>
        <v>#VALUE!</v>
      </c>
      <c r="GS36" t="e">
        <f>CAPEC!D222+"8O&lt;!$5."</f>
        <v>#VALUE!</v>
      </c>
      <c r="GT36" t="e">
        <f>CAPEC!E222+"8O&lt;!$5/"</f>
        <v>#VALUE!</v>
      </c>
      <c r="GU36" t="e">
        <f>CAPEC!#REF!+"8O&lt;!$50"</f>
        <v>#REF!</v>
      </c>
      <c r="GV36" t="e">
        <f>CAPEC!C223+"8O&lt;!$51"</f>
        <v>#VALUE!</v>
      </c>
      <c r="GW36" t="e">
        <f>CAPEC!D223+"8O&lt;!$52"</f>
        <v>#VALUE!</v>
      </c>
      <c r="GX36" t="e">
        <f>CAPEC!E223+"8O&lt;!$53"</f>
        <v>#VALUE!</v>
      </c>
      <c r="GY36" t="e">
        <f>CAPEC!#REF!+"8O&lt;!$54"</f>
        <v>#REF!</v>
      </c>
      <c r="GZ36" t="e">
        <f>CAPEC!C224+"8O&lt;!$55"</f>
        <v>#VALUE!</v>
      </c>
      <c r="HA36" t="e">
        <f>CAPEC!D224+"8O&lt;!$56"</f>
        <v>#VALUE!</v>
      </c>
      <c r="HB36" t="e">
        <f>CAPEC!E224+"8O&lt;!$57"</f>
        <v>#VALUE!</v>
      </c>
      <c r="HC36" t="e">
        <f>CAPEC!#REF!+"8O&lt;!$58"</f>
        <v>#REF!</v>
      </c>
      <c r="HD36" t="e">
        <f>CAPEC!C225+"8O&lt;!$59"</f>
        <v>#VALUE!</v>
      </c>
      <c r="HE36" t="e">
        <f>CAPEC!D225+"8O&lt;!$5:"</f>
        <v>#VALUE!</v>
      </c>
      <c r="HF36" t="e">
        <f>CAPEC!E225+"8O&lt;!$5;"</f>
        <v>#VALUE!</v>
      </c>
      <c r="HG36" t="e">
        <f>CAPEC!#REF!+"8O&lt;!$5&lt;"</f>
        <v>#REF!</v>
      </c>
      <c r="HH36" t="e">
        <f>CAPEC!C226+"8O&lt;!$5="</f>
        <v>#VALUE!</v>
      </c>
      <c r="HI36" t="e">
        <f>CAPEC!D226+"8O&lt;!$5&gt;"</f>
        <v>#VALUE!</v>
      </c>
      <c r="HJ36" t="e">
        <f>CAPEC!E226+"8O&lt;!$5?"</f>
        <v>#VALUE!</v>
      </c>
      <c r="HK36" t="e">
        <f>CAPEC!#REF!+"8O&lt;!$5@"</f>
        <v>#REF!</v>
      </c>
      <c r="HL36" t="e">
        <f>CAPEC!C227+"8O&lt;!$5A"</f>
        <v>#VALUE!</v>
      </c>
      <c r="HM36" t="e">
        <f>CAPEC!D227+"8O&lt;!$5B"</f>
        <v>#VALUE!</v>
      </c>
      <c r="HN36" t="e">
        <f>CAPEC!E227+"8O&lt;!$5C"</f>
        <v>#VALUE!</v>
      </c>
      <c r="HO36" t="e">
        <f>CAPEC!#REF!+"8O&lt;!$5D"</f>
        <v>#REF!</v>
      </c>
      <c r="HP36" t="e">
        <f>CAPEC!C228+"8O&lt;!$5E"</f>
        <v>#VALUE!</v>
      </c>
      <c r="HQ36" t="e">
        <f>CAPEC!D228+"8O&lt;!$5F"</f>
        <v>#VALUE!</v>
      </c>
      <c r="HR36" t="e">
        <f>CAPEC!E228+"8O&lt;!$5G"</f>
        <v>#VALUE!</v>
      </c>
      <c r="HS36" t="e">
        <f>CAPEC!#REF!+"8O&lt;!$5H"</f>
        <v>#REF!</v>
      </c>
      <c r="HT36" t="e">
        <f>CAPEC!C229+"8O&lt;!$5I"</f>
        <v>#VALUE!</v>
      </c>
      <c r="HU36" t="e">
        <f>CAPEC!D229+"8O&lt;!$5J"</f>
        <v>#VALUE!</v>
      </c>
      <c r="HV36" t="e">
        <f>CAPEC!E229+"8O&lt;!$5K"</f>
        <v>#VALUE!</v>
      </c>
      <c r="HW36" t="e">
        <f>CAPEC!#REF!+"8O&lt;!$5L"</f>
        <v>#REF!</v>
      </c>
      <c r="HX36" t="e">
        <f>CAPEC!C230+"8O&lt;!$5M"</f>
        <v>#VALUE!</v>
      </c>
      <c r="HY36" t="e">
        <f>CAPEC!D230+"8O&lt;!$5N"</f>
        <v>#VALUE!</v>
      </c>
      <c r="HZ36" t="e">
        <f>CAPEC!E230+"8O&lt;!$5O"</f>
        <v>#VALUE!</v>
      </c>
      <c r="IA36" t="e">
        <f>CAPEC!#REF!+"8O&lt;!$5P"</f>
        <v>#REF!</v>
      </c>
      <c r="IB36" t="e">
        <f>CAPEC!C231+"8O&lt;!$5Q"</f>
        <v>#VALUE!</v>
      </c>
      <c r="IC36" t="e">
        <f>CAPEC!D231+"8O&lt;!$5R"</f>
        <v>#VALUE!</v>
      </c>
      <c r="ID36" t="e">
        <f>CAPEC!E231+"8O&lt;!$5S"</f>
        <v>#VALUE!</v>
      </c>
      <c r="IE36" t="e">
        <f>CAPEC!#REF!+"8O&lt;!$5T"</f>
        <v>#REF!</v>
      </c>
      <c r="IF36" t="e">
        <f>CAPEC!C232+"8O&lt;!$5U"</f>
        <v>#VALUE!</v>
      </c>
      <c r="IG36" t="e">
        <f>CAPEC!D232+"8O&lt;!$5V"</f>
        <v>#VALUE!</v>
      </c>
      <c r="IH36" t="e">
        <f>CAPEC!E232+"8O&lt;!$5W"</f>
        <v>#VALUE!</v>
      </c>
      <c r="II36" t="e">
        <f>CAPEC!#REF!+"8O&lt;!$5X"</f>
        <v>#REF!</v>
      </c>
      <c r="IJ36" t="e">
        <f>CAPEC!C233+"8O&lt;!$5Y"</f>
        <v>#VALUE!</v>
      </c>
      <c r="IK36" t="e">
        <f>CAPEC!D233+"8O&lt;!$5Z"</f>
        <v>#VALUE!</v>
      </c>
      <c r="IL36" t="e">
        <f>CAPEC!E233+"8O&lt;!$5["</f>
        <v>#VALUE!</v>
      </c>
      <c r="IM36" t="e">
        <f>CAPEC!#REF!+"8O&lt;!$5\"</f>
        <v>#REF!</v>
      </c>
      <c r="IN36" t="e">
        <f>CAPEC!C234+"8O&lt;!$5]"</f>
        <v>#VALUE!</v>
      </c>
      <c r="IO36" t="e">
        <f>CAPEC!D234+"8O&lt;!$5^"</f>
        <v>#VALUE!</v>
      </c>
      <c r="IP36" t="e">
        <f>CAPEC!E234+"8O&lt;!$5_"</f>
        <v>#VALUE!</v>
      </c>
      <c r="IQ36" t="e">
        <f>CAPEC!#REF!+"8O&lt;!$5`"</f>
        <v>#REF!</v>
      </c>
      <c r="IR36" t="e">
        <f>CAPEC!C235+"8O&lt;!$5a"</f>
        <v>#VALUE!</v>
      </c>
      <c r="IS36" t="e">
        <f>CAPEC!D235+"8O&lt;!$5b"</f>
        <v>#VALUE!</v>
      </c>
      <c r="IT36" t="e">
        <f>CAPEC!E235+"8O&lt;!$5c"</f>
        <v>#VALUE!</v>
      </c>
      <c r="IU36" t="e">
        <f>CAPEC!#REF!+"8O&lt;!$5d"</f>
        <v>#REF!</v>
      </c>
      <c r="IV36" t="e">
        <f>CAPEC!C236+"8O&lt;!$5e"</f>
        <v>#VALUE!</v>
      </c>
    </row>
    <row r="37" spans="6:256" x14ac:dyDescent="0.25">
      <c r="F37" t="e">
        <f>CAPEC!D236+"8O&lt;!$5f"</f>
        <v>#VALUE!</v>
      </c>
      <c r="G37" t="e">
        <f>CAPEC!E236+"8O&lt;!$5g"</f>
        <v>#VALUE!</v>
      </c>
      <c r="H37" t="e">
        <f>CAPEC!#REF!+"8O&lt;!$5h"</f>
        <v>#REF!</v>
      </c>
      <c r="I37" t="e">
        <f>CAPEC!C237+"8O&lt;!$5i"</f>
        <v>#VALUE!</v>
      </c>
      <c r="J37" t="e">
        <f>CAPEC!D237+"8O&lt;!$5j"</f>
        <v>#VALUE!</v>
      </c>
      <c r="K37" t="e">
        <f>CAPEC!E237+"8O&lt;!$5k"</f>
        <v>#VALUE!</v>
      </c>
      <c r="L37" t="e">
        <f>CAPEC!#REF!+"8O&lt;!$5l"</f>
        <v>#REF!</v>
      </c>
      <c r="M37" t="e">
        <f>CAPEC!C238+"8O&lt;!$5m"</f>
        <v>#VALUE!</v>
      </c>
      <c r="N37" t="e">
        <f>CAPEC!D238+"8O&lt;!$5n"</f>
        <v>#VALUE!</v>
      </c>
      <c r="O37" t="e">
        <f>CAPEC!E238+"8O&lt;!$5o"</f>
        <v>#VALUE!</v>
      </c>
      <c r="P37" t="e">
        <f>CAPEC!#REF!+"8O&lt;!$5p"</f>
        <v>#REF!</v>
      </c>
      <c r="Q37" t="e">
        <f>CAPEC!C239+"8O&lt;!$5q"</f>
        <v>#VALUE!</v>
      </c>
      <c r="R37" t="e">
        <f>CAPEC!D239+"8O&lt;!$5r"</f>
        <v>#VALUE!</v>
      </c>
      <c r="S37" t="e">
        <f>CAPEC!E239+"8O&lt;!$5s"</f>
        <v>#VALUE!</v>
      </c>
      <c r="T37" t="e">
        <f>CAPEC!#REF!+"8O&lt;!$5t"</f>
        <v>#REF!</v>
      </c>
      <c r="U37" t="e">
        <f>CAPEC!C240+"8O&lt;!$5u"</f>
        <v>#VALUE!</v>
      </c>
      <c r="V37" t="e">
        <f>CAPEC!D240+"8O&lt;!$5v"</f>
        <v>#VALUE!</v>
      </c>
      <c r="W37" t="e">
        <f>CAPEC!E240+"8O&lt;!$5w"</f>
        <v>#VALUE!</v>
      </c>
      <c r="X37" t="e">
        <f>CAPEC!#REF!+"8O&lt;!$5x"</f>
        <v>#REF!</v>
      </c>
      <c r="Y37" t="e">
        <f>CAPEC!C241+"8O&lt;!$5y"</f>
        <v>#VALUE!</v>
      </c>
      <c r="Z37" t="e">
        <f>CAPEC!D241+"8O&lt;!$5z"</f>
        <v>#VALUE!</v>
      </c>
      <c r="AA37" t="e">
        <f>CAPEC!E241+"8O&lt;!$5{"</f>
        <v>#VALUE!</v>
      </c>
      <c r="AB37" t="e">
        <f>CAPEC!#REF!+"8O&lt;!$5|"</f>
        <v>#REF!</v>
      </c>
      <c r="AC37" t="e">
        <f>CAPEC!C242+"8O&lt;!$5}"</f>
        <v>#VALUE!</v>
      </c>
      <c r="AD37" t="e">
        <f>CAPEC!D242+"8O&lt;!$5~"</f>
        <v>#VALUE!</v>
      </c>
      <c r="AE37" t="e">
        <f>CAPEC!E242+"8O&lt;!$6#"</f>
        <v>#VALUE!</v>
      </c>
      <c r="AF37" t="e">
        <f>CAPEC!#REF!+"8O&lt;!$6$"</f>
        <v>#REF!</v>
      </c>
      <c r="AG37" t="e">
        <f>CAPEC!C243+"8O&lt;!$6%"</f>
        <v>#VALUE!</v>
      </c>
      <c r="AH37" t="e">
        <f>CAPEC!D243+"8O&lt;!$6&amp;"</f>
        <v>#VALUE!</v>
      </c>
      <c r="AI37" t="e">
        <f>CAPEC!E243+"8O&lt;!$6'"</f>
        <v>#VALUE!</v>
      </c>
      <c r="AJ37" t="e">
        <f>CAPEC!#REF!+"8O&lt;!$6("</f>
        <v>#REF!</v>
      </c>
      <c r="AK37" t="e">
        <f>CAPEC!C244+"8O&lt;!$6)"</f>
        <v>#VALUE!</v>
      </c>
      <c r="AL37" t="e">
        <f>CAPEC!D244+"8O&lt;!$6."</f>
        <v>#VALUE!</v>
      </c>
      <c r="AM37" t="e">
        <f>CAPEC!E244+"8O&lt;!$6/"</f>
        <v>#VALUE!</v>
      </c>
      <c r="AN37" t="e">
        <f>CAPEC!#REF!+"8O&lt;!$60"</f>
        <v>#REF!</v>
      </c>
      <c r="AO37" t="e">
        <f>CAPEC!C245+"8O&lt;!$61"</f>
        <v>#VALUE!</v>
      </c>
      <c r="AP37" t="e">
        <f>CAPEC!D245+"8O&lt;!$62"</f>
        <v>#VALUE!</v>
      </c>
      <c r="AQ37" t="e">
        <f>CAPEC!E245+"8O&lt;!$63"</f>
        <v>#VALUE!</v>
      </c>
      <c r="AR37" t="e">
        <f>CAPEC!#REF!+"8O&lt;!$64"</f>
        <v>#REF!</v>
      </c>
      <c r="AS37" t="e">
        <f>CAPEC!C246+"8O&lt;!$65"</f>
        <v>#VALUE!</v>
      </c>
      <c r="AT37" t="e">
        <f>CAPEC!D246+"8O&lt;!$66"</f>
        <v>#VALUE!</v>
      </c>
      <c r="AU37" t="e">
        <f>CAPEC!E246+"8O&lt;!$67"</f>
        <v>#VALUE!</v>
      </c>
      <c r="AV37" t="e">
        <f>CAPEC!#REF!+"8O&lt;!$68"</f>
        <v>#REF!</v>
      </c>
      <c r="AW37" t="e">
        <f>CAPEC!C247+"8O&lt;!$69"</f>
        <v>#VALUE!</v>
      </c>
      <c r="AX37" t="e">
        <f>CAPEC!D247+"8O&lt;!$6:"</f>
        <v>#VALUE!</v>
      </c>
      <c r="AY37" t="e">
        <f>CAPEC!E247+"8O&lt;!$6;"</f>
        <v>#VALUE!</v>
      </c>
      <c r="AZ37" t="e">
        <f>CAPEC!#REF!+"8O&lt;!$6&lt;"</f>
        <v>#REF!</v>
      </c>
      <c r="BA37" t="e">
        <f>CAPEC!C248+"8O&lt;!$6="</f>
        <v>#VALUE!</v>
      </c>
      <c r="BB37" t="e">
        <f>CAPEC!D248+"8O&lt;!$6&gt;"</f>
        <v>#VALUE!</v>
      </c>
      <c r="BC37" t="e">
        <f>CAPEC!E248+"8O&lt;!$6?"</f>
        <v>#VALUE!</v>
      </c>
      <c r="BD37" t="e">
        <f>CAPEC!#REF!+"8O&lt;!$6@"</f>
        <v>#REF!</v>
      </c>
      <c r="BE37" t="e">
        <f>CAPEC!C249+"8O&lt;!$6A"</f>
        <v>#VALUE!</v>
      </c>
      <c r="BF37" t="e">
        <f>CAPEC!D249+"8O&lt;!$6B"</f>
        <v>#VALUE!</v>
      </c>
      <c r="BG37" t="e">
        <f>CAPEC!E249+"8O&lt;!$6C"</f>
        <v>#VALUE!</v>
      </c>
      <c r="BH37" t="e">
        <f>CAPEC!#REF!+"8O&lt;!$6D"</f>
        <v>#REF!</v>
      </c>
      <c r="BI37" t="e">
        <f>CAPEC!C250+"8O&lt;!$6E"</f>
        <v>#VALUE!</v>
      </c>
      <c r="BJ37" t="e">
        <f>CAPEC!D250+"8O&lt;!$6F"</f>
        <v>#VALUE!</v>
      </c>
      <c r="BK37" t="e">
        <f>CAPEC!E250+"8O&lt;!$6G"</f>
        <v>#VALUE!</v>
      </c>
      <c r="BL37" t="e">
        <f>CAPEC!#REF!+"8O&lt;!$6H"</f>
        <v>#REF!</v>
      </c>
      <c r="BM37" t="e">
        <f>CAPEC!C251+"8O&lt;!$6I"</f>
        <v>#VALUE!</v>
      </c>
      <c r="BN37" t="e">
        <f>CAPEC!D251+"8O&lt;!$6J"</f>
        <v>#VALUE!</v>
      </c>
      <c r="BO37" t="e">
        <f>CAPEC!E251+"8O&lt;!$6K"</f>
        <v>#VALUE!</v>
      </c>
      <c r="BP37" t="e">
        <f>CAPEC!#REF!+"8O&lt;!$6L"</f>
        <v>#REF!</v>
      </c>
      <c r="BQ37" t="e">
        <f>CAPEC!C252+"8O&lt;!$6M"</f>
        <v>#VALUE!</v>
      </c>
      <c r="BR37" t="e">
        <f>CAPEC!D252+"8O&lt;!$6N"</f>
        <v>#VALUE!</v>
      </c>
      <c r="BS37" t="e">
        <f>CAPEC!E252+"8O&lt;!$6O"</f>
        <v>#VALUE!</v>
      </c>
      <c r="BT37" t="e">
        <f>CAPEC!#REF!+"8O&lt;!$6P"</f>
        <v>#REF!</v>
      </c>
      <c r="BU37" t="e">
        <f>CAPEC!C253+"8O&lt;!$6Q"</f>
        <v>#VALUE!</v>
      </c>
      <c r="BV37" t="e">
        <f>CAPEC!D253+"8O&lt;!$6R"</f>
        <v>#VALUE!</v>
      </c>
      <c r="BW37" t="e">
        <f>CAPEC!E253+"8O&lt;!$6S"</f>
        <v>#VALUE!</v>
      </c>
      <c r="BX37" t="e">
        <f>CAPEC!#REF!+"8O&lt;!$6T"</f>
        <v>#REF!</v>
      </c>
      <c r="BY37" t="e">
        <f>CAPEC!C254+"8O&lt;!$6U"</f>
        <v>#VALUE!</v>
      </c>
      <c r="BZ37" t="e">
        <f>CAPEC!D254+"8O&lt;!$6V"</f>
        <v>#VALUE!</v>
      </c>
      <c r="CA37" t="e">
        <f>CAPEC!E254+"8O&lt;!$6W"</f>
        <v>#VALUE!</v>
      </c>
      <c r="CB37" t="e">
        <f>CAPEC!#REF!+"8O&lt;!$6X"</f>
        <v>#REF!</v>
      </c>
      <c r="CC37" t="e">
        <f>CAPEC!C255+"8O&lt;!$6Y"</f>
        <v>#VALUE!</v>
      </c>
      <c r="CD37" t="e">
        <f>CAPEC!D255+"8O&lt;!$6Z"</f>
        <v>#VALUE!</v>
      </c>
      <c r="CE37" t="e">
        <f>CAPEC!E255+"8O&lt;!$6["</f>
        <v>#VALUE!</v>
      </c>
      <c r="CF37" t="e">
        <f>CAPEC!#REF!+"8O&lt;!$6\"</f>
        <v>#REF!</v>
      </c>
      <c r="CG37" t="e">
        <f>CAPEC!C256+"8O&lt;!$6]"</f>
        <v>#VALUE!</v>
      </c>
      <c r="CH37" t="e">
        <f>CAPEC!D256+"8O&lt;!$6^"</f>
        <v>#VALUE!</v>
      </c>
      <c r="CI37" t="e">
        <f>CAPEC!E256+"8O&lt;!$6_"</f>
        <v>#VALUE!</v>
      </c>
      <c r="CJ37" t="e">
        <f>CAPEC!#REF!+"8O&lt;!$6`"</f>
        <v>#REF!</v>
      </c>
      <c r="CK37" t="e">
        <f>CAPEC!C257+"8O&lt;!$6a"</f>
        <v>#VALUE!</v>
      </c>
      <c r="CL37" t="e">
        <f>CAPEC!D257+"8O&lt;!$6b"</f>
        <v>#VALUE!</v>
      </c>
      <c r="CM37" t="e">
        <f>CAPEC!E257+"8O&lt;!$6c"</f>
        <v>#VALUE!</v>
      </c>
      <c r="CN37" t="e">
        <f>CAPEC!#REF!+"8O&lt;!$6d"</f>
        <v>#REF!</v>
      </c>
      <c r="CO37" t="e">
        <f>CAPEC!C258+"8O&lt;!$6e"</f>
        <v>#VALUE!</v>
      </c>
      <c r="CP37" t="e">
        <f>CAPEC!D258+"8O&lt;!$6f"</f>
        <v>#VALUE!</v>
      </c>
      <c r="CQ37" t="e">
        <f>CAPEC!E258+"8O&lt;!$6g"</f>
        <v>#VALUE!</v>
      </c>
      <c r="CR37" t="e">
        <f>CAPEC!#REF!+"8O&lt;!$6h"</f>
        <v>#REF!</v>
      </c>
      <c r="CS37" t="e">
        <f>CAPEC!C259+"8O&lt;!$6i"</f>
        <v>#VALUE!</v>
      </c>
      <c r="CT37" t="e">
        <f>CAPEC!D259+"8O&lt;!$6j"</f>
        <v>#VALUE!</v>
      </c>
      <c r="CU37" t="e">
        <f>CAPEC!E259+"8O&lt;!$6k"</f>
        <v>#VALUE!</v>
      </c>
      <c r="CV37" t="e">
        <f>CAPEC!#REF!+"8O&lt;!$6l"</f>
        <v>#REF!</v>
      </c>
      <c r="CW37" t="e">
        <f>CAPEC!C260+"8O&lt;!$6m"</f>
        <v>#VALUE!</v>
      </c>
      <c r="CX37" t="e">
        <f>CAPEC!D260+"8O&lt;!$6n"</f>
        <v>#VALUE!</v>
      </c>
      <c r="CY37" t="e">
        <f>CAPEC!E260+"8O&lt;!$6o"</f>
        <v>#VALUE!</v>
      </c>
      <c r="CZ37" t="e">
        <f>CAPEC!#REF!+"8O&lt;!$6p"</f>
        <v>#REF!</v>
      </c>
      <c r="DA37" t="e">
        <f>CAPEC!C261+"8O&lt;!$6q"</f>
        <v>#VALUE!</v>
      </c>
      <c r="DB37" t="e">
        <f>CAPEC!D261+"8O&lt;!$6r"</f>
        <v>#VALUE!</v>
      </c>
      <c r="DC37" t="e">
        <f>CAPEC!E261+"8O&lt;!$6s"</f>
        <v>#VALUE!</v>
      </c>
      <c r="DD37" t="e">
        <f>CAPEC!#REF!+"8O&lt;!$6t"</f>
        <v>#REF!</v>
      </c>
      <c r="DE37" t="e">
        <f>CAPEC!C262+"8O&lt;!$6u"</f>
        <v>#VALUE!</v>
      </c>
      <c r="DF37" t="e">
        <f>CAPEC!D262+"8O&lt;!$6v"</f>
        <v>#VALUE!</v>
      </c>
      <c r="DG37" t="e">
        <f>CAPEC!E262+"8O&lt;!$6w"</f>
        <v>#VALUE!</v>
      </c>
      <c r="DH37" t="e">
        <f>CAPEC!#REF!+"8O&lt;!$6x"</f>
        <v>#REF!</v>
      </c>
      <c r="DI37" t="e">
        <f>CAPEC!C263+"8O&lt;!$6y"</f>
        <v>#VALUE!</v>
      </c>
      <c r="DJ37" t="e">
        <f>CAPEC!D263+"8O&lt;!$6z"</f>
        <v>#VALUE!</v>
      </c>
      <c r="DK37" t="e">
        <f>CAPEC!E263+"8O&lt;!$6{"</f>
        <v>#VALUE!</v>
      </c>
      <c r="DL37" t="e">
        <f>CAPEC!#REF!+"8O&lt;!$6|"</f>
        <v>#REF!</v>
      </c>
      <c r="DM37" t="e">
        <f>CAPEC!C264+"8O&lt;!$6}"</f>
        <v>#VALUE!</v>
      </c>
      <c r="DN37" t="e">
        <f>CAPEC!D264+"8O&lt;!$6~"</f>
        <v>#VALUE!</v>
      </c>
      <c r="DO37" t="e">
        <f>CAPEC!E264+"8O&lt;!$7#"</f>
        <v>#VALUE!</v>
      </c>
      <c r="DP37" t="e">
        <f>CAPEC!#REF!+"8O&lt;!$7$"</f>
        <v>#REF!</v>
      </c>
      <c r="DQ37" t="e">
        <f>CAPEC!C265+"8O&lt;!$7%"</f>
        <v>#VALUE!</v>
      </c>
      <c r="DR37" t="e">
        <f>CAPEC!D265+"8O&lt;!$7&amp;"</f>
        <v>#VALUE!</v>
      </c>
      <c r="DS37" t="e">
        <f>CAPEC!E265+"8O&lt;!$7'"</f>
        <v>#VALUE!</v>
      </c>
      <c r="DT37" t="e">
        <f>CAPEC!#REF!+"8O&lt;!$7("</f>
        <v>#REF!</v>
      </c>
      <c r="DU37" t="e">
        <f>CAPEC!C266+"8O&lt;!$7)"</f>
        <v>#VALUE!</v>
      </c>
      <c r="DV37" t="e">
        <f>CAPEC!D266+"8O&lt;!$7."</f>
        <v>#VALUE!</v>
      </c>
      <c r="DW37" t="e">
        <f>CAPEC!E266+"8O&lt;!$7/"</f>
        <v>#VALUE!</v>
      </c>
      <c r="DX37" t="e">
        <f>CAPEC!#REF!+"8O&lt;!$70"</f>
        <v>#REF!</v>
      </c>
      <c r="DY37" t="e">
        <f>CAPEC!C267+"8O&lt;!$71"</f>
        <v>#VALUE!</v>
      </c>
      <c r="DZ37" t="e">
        <f>CAPEC!D267+"8O&lt;!$72"</f>
        <v>#VALUE!</v>
      </c>
      <c r="EA37" t="e">
        <f>CAPEC!E267+"8O&lt;!$73"</f>
        <v>#VALUE!</v>
      </c>
      <c r="EB37" t="e">
        <f>CAPEC!#REF!+"8O&lt;!$74"</f>
        <v>#REF!</v>
      </c>
      <c r="EC37" t="e">
        <f>CAPEC!C268+"8O&lt;!$75"</f>
        <v>#VALUE!</v>
      </c>
      <c r="ED37" t="e">
        <f>CAPEC!D268+"8O&lt;!$76"</f>
        <v>#VALUE!</v>
      </c>
      <c r="EE37" t="e">
        <f>CAPEC!E268+"8O&lt;!$77"</f>
        <v>#VALUE!</v>
      </c>
      <c r="EF37" t="e">
        <f>CAPEC!#REF!+"8O&lt;!$78"</f>
        <v>#REF!</v>
      </c>
      <c r="EG37" t="e">
        <f>CAPEC!C269+"8O&lt;!$79"</f>
        <v>#VALUE!</v>
      </c>
      <c r="EH37" t="e">
        <f>CAPEC!D269+"8O&lt;!$7:"</f>
        <v>#VALUE!</v>
      </c>
      <c r="EI37" t="e">
        <f>CAPEC!E269+"8O&lt;!$7;"</f>
        <v>#VALUE!</v>
      </c>
      <c r="EJ37" t="e">
        <f>CAPEC!#REF!+"8O&lt;!$7&lt;"</f>
        <v>#REF!</v>
      </c>
      <c r="EK37" t="e">
        <f>CAPEC!C270+"8O&lt;!$7="</f>
        <v>#VALUE!</v>
      </c>
      <c r="EL37" t="e">
        <f>CAPEC!D270+"8O&lt;!$7&gt;"</f>
        <v>#VALUE!</v>
      </c>
      <c r="EM37" t="e">
        <f>CAPEC!E270+"8O&lt;!$7?"</f>
        <v>#VALUE!</v>
      </c>
      <c r="EN37" t="e">
        <f>CAPEC!#REF!+"8O&lt;!$7@"</f>
        <v>#REF!</v>
      </c>
      <c r="EO37" t="e">
        <f>CAPEC!C271+"8O&lt;!$7A"</f>
        <v>#VALUE!</v>
      </c>
      <c r="EP37" t="e">
        <f>CAPEC!D271+"8O&lt;!$7B"</f>
        <v>#VALUE!</v>
      </c>
      <c r="EQ37" t="e">
        <f>CAPEC!E271+"8O&lt;!$7C"</f>
        <v>#VALUE!</v>
      </c>
      <c r="ER37" t="e">
        <f>CAPEC!#REF!+"8O&lt;!$7D"</f>
        <v>#REF!</v>
      </c>
      <c r="ES37" t="e">
        <f>CAPEC!C272+"8O&lt;!$7E"</f>
        <v>#VALUE!</v>
      </c>
      <c r="ET37" t="e">
        <f>CAPEC!D272+"8O&lt;!$7F"</f>
        <v>#VALUE!</v>
      </c>
      <c r="EU37" t="e">
        <f>CAPEC!E272+"8O&lt;!$7G"</f>
        <v>#VALUE!</v>
      </c>
      <c r="EV37" t="e">
        <f>CAPEC!#REF!+"8O&lt;!$7H"</f>
        <v>#REF!</v>
      </c>
      <c r="EW37" t="e">
        <f>CAPEC!C273+"8O&lt;!$7I"</f>
        <v>#VALUE!</v>
      </c>
      <c r="EX37" t="e">
        <f>CAPEC!D273+"8O&lt;!$7J"</f>
        <v>#VALUE!</v>
      </c>
      <c r="EY37" t="e">
        <f>CAPEC!E273+"8O&lt;!$7K"</f>
        <v>#VALUE!</v>
      </c>
      <c r="EZ37" t="e">
        <f>CAPEC!#REF!+"8O&lt;!$7L"</f>
        <v>#REF!</v>
      </c>
      <c r="FA37" t="e">
        <f>CAPEC!C274+"8O&lt;!$7M"</f>
        <v>#VALUE!</v>
      </c>
      <c r="FB37" t="e">
        <f>CAPEC!D274+"8O&lt;!$7N"</f>
        <v>#VALUE!</v>
      </c>
      <c r="FC37" t="e">
        <f>CAPEC!E274+"8O&lt;!$7O"</f>
        <v>#VALUE!</v>
      </c>
      <c r="FD37" t="e">
        <f>CAPEC!#REF!+"8O&lt;!$7P"</f>
        <v>#REF!</v>
      </c>
      <c r="FE37" t="e">
        <f>CAPEC!C275+"8O&lt;!$7Q"</f>
        <v>#VALUE!</v>
      </c>
      <c r="FF37" t="e">
        <f>CAPEC!D275+"8O&lt;!$7R"</f>
        <v>#VALUE!</v>
      </c>
      <c r="FG37" t="e">
        <f>CAPEC!E275+"8O&lt;!$7S"</f>
        <v>#VALUE!</v>
      </c>
      <c r="FH37" t="e">
        <f>CAPEC!#REF!+"8O&lt;!$7T"</f>
        <v>#REF!</v>
      </c>
      <c r="FI37" t="e">
        <f>CAPEC!C276+"8O&lt;!$7U"</f>
        <v>#VALUE!</v>
      </c>
      <c r="FJ37" t="e">
        <f>CAPEC!D276+"8O&lt;!$7V"</f>
        <v>#VALUE!</v>
      </c>
      <c r="FK37" t="e">
        <f>CAPEC!E276+"8O&lt;!$7W"</f>
        <v>#VALUE!</v>
      </c>
      <c r="FL37" t="e">
        <f>CAPEC!#REF!+"8O&lt;!$7X"</f>
        <v>#REF!</v>
      </c>
      <c r="FM37" t="e">
        <f>CAPEC!C277+"8O&lt;!$7Y"</f>
        <v>#VALUE!</v>
      </c>
      <c r="FN37" t="e">
        <f>CAPEC!D277+"8O&lt;!$7Z"</f>
        <v>#VALUE!</v>
      </c>
      <c r="FO37" t="e">
        <f>CAPEC!E277+"8O&lt;!$7["</f>
        <v>#VALUE!</v>
      </c>
      <c r="FP37" t="e">
        <f>CAPEC!#REF!+"8O&lt;!$7\"</f>
        <v>#REF!</v>
      </c>
      <c r="FQ37" t="e">
        <f>CAPEC!C278+"8O&lt;!$7]"</f>
        <v>#VALUE!</v>
      </c>
      <c r="FR37" t="e">
        <f>CAPEC!D278+"8O&lt;!$7^"</f>
        <v>#VALUE!</v>
      </c>
      <c r="FS37" t="e">
        <f>CAPEC!E278+"8O&lt;!$7_"</f>
        <v>#VALUE!</v>
      </c>
      <c r="FT37" t="e">
        <f>CAPEC!#REF!+"8O&lt;!$7`"</f>
        <v>#REF!</v>
      </c>
      <c r="FU37" t="e">
        <f>CAPEC!C279+"8O&lt;!$7a"</f>
        <v>#VALUE!</v>
      </c>
      <c r="FV37" t="e">
        <f>CAPEC!D279+"8O&lt;!$7b"</f>
        <v>#VALUE!</v>
      </c>
      <c r="FW37" t="e">
        <f>CAPEC!E279+"8O&lt;!$7c"</f>
        <v>#VALUE!</v>
      </c>
      <c r="FX37" t="e">
        <f>CAPEC!#REF!+"8O&lt;!$7d"</f>
        <v>#REF!</v>
      </c>
      <c r="FY37" t="e">
        <f>CAPEC!C280+"8O&lt;!$7e"</f>
        <v>#VALUE!</v>
      </c>
      <c r="FZ37" t="e">
        <f>CAPEC!D280+"8O&lt;!$7f"</f>
        <v>#VALUE!</v>
      </c>
      <c r="GA37" t="e">
        <f>CAPEC!E280+"8O&lt;!$7g"</f>
        <v>#VALUE!</v>
      </c>
      <c r="GB37" t="e">
        <f>CAPEC!#REF!+"8O&lt;!$7h"</f>
        <v>#REF!</v>
      </c>
      <c r="GC37" t="e">
        <f>CAPEC!C281+"8O&lt;!$7i"</f>
        <v>#VALUE!</v>
      </c>
      <c r="GD37" t="e">
        <f>CAPEC!D281+"8O&lt;!$7j"</f>
        <v>#VALUE!</v>
      </c>
      <c r="GE37" t="e">
        <f>CAPEC!E281+"8O&lt;!$7k"</f>
        <v>#VALUE!</v>
      </c>
      <c r="GF37" t="e">
        <f>CAPEC!#REF!+"8O&lt;!$7l"</f>
        <v>#REF!</v>
      </c>
      <c r="GG37" t="e">
        <f>CAPEC!C282+"8O&lt;!$7m"</f>
        <v>#VALUE!</v>
      </c>
      <c r="GH37" t="e">
        <f>CAPEC!D282+"8O&lt;!$7n"</f>
        <v>#VALUE!</v>
      </c>
      <c r="GI37" t="e">
        <f>CAPEC!E282+"8O&lt;!$7o"</f>
        <v>#VALUE!</v>
      </c>
      <c r="GJ37" t="e">
        <f>CAPEC!#REF!+"8O&lt;!$7p"</f>
        <v>#REF!</v>
      </c>
      <c r="GK37" t="e">
        <f>CAPEC!C283+"8O&lt;!$7q"</f>
        <v>#VALUE!</v>
      </c>
      <c r="GL37" t="e">
        <f>CAPEC!D283+"8O&lt;!$7r"</f>
        <v>#VALUE!</v>
      </c>
      <c r="GM37" t="e">
        <f>CAPEC!E283+"8O&lt;!$7s"</f>
        <v>#VALUE!</v>
      </c>
      <c r="GN37" t="e">
        <f>CAPEC!#REF!+"8O&lt;!$7t"</f>
        <v>#REF!</v>
      </c>
      <c r="GO37" t="e">
        <f>CAPEC!C284+"8O&lt;!$7u"</f>
        <v>#VALUE!</v>
      </c>
      <c r="GP37" t="e">
        <f>CAPEC!D284+"8O&lt;!$7v"</f>
        <v>#VALUE!</v>
      </c>
      <c r="GQ37" t="e">
        <f>CAPEC!E284+"8O&lt;!$7w"</f>
        <v>#VALUE!</v>
      </c>
      <c r="GR37" t="e">
        <f>CAPEC!#REF!+"8O&lt;!$7x"</f>
        <v>#REF!</v>
      </c>
      <c r="GS37" t="e">
        <f>CAPEC!C285+"8O&lt;!$7y"</f>
        <v>#VALUE!</v>
      </c>
      <c r="GT37" t="e">
        <f>CAPEC!D285+"8O&lt;!$7z"</f>
        <v>#VALUE!</v>
      </c>
      <c r="GU37" t="e">
        <f>CAPEC!E285+"8O&lt;!$7{"</f>
        <v>#VALUE!</v>
      </c>
      <c r="GV37" t="e">
        <f>CAPEC!#REF!+"8O&lt;!$7|"</f>
        <v>#REF!</v>
      </c>
      <c r="GW37" t="e">
        <f>CAPEC!C286+"8O&lt;!$7}"</f>
        <v>#VALUE!</v>
      </c>
      <c r="GX37" t="e">
        <f>CAPEC!D286+"8O&lt;!$7~"</f>
        <v>#VALUE!</v>
      </c>
      <c r="GY37" t="e">
        <f>CAPEC!E286+"8O&lt;!$8#"</f>
        <v>#VALUE!</v>
      </c>
      <c r="GZ37" t="e">
        <f>CAPEC!#REF!+"8O&lt;!$8$"</f>
        <v>#REF!</v>
      </c>
      <c r="HA37" t="e">
        <f>CAPEC!C287+"8O&lt;!$8%"</f>
        <v>#VALUE!</v>
      </c>
      <c r="HB37" t="e">
        <f>CAPEC!D287+"8O&lt;!$8&amp;"</f>
        <v>#VALUE!</v>
      </c>
      <c r="HC37" t="e">
        <f>CAPEC!E287+"8O&lt;!$8'"</f>
        <v>#VALUE!</v>
      </c>
      <c r="HD37" t="e">
        <f>CAPEC!#REF!+"8O&lt;!$8("</f>
        <v>#REF!</v>
      </c>
      <c r="HE37" t="e">
        <f>CAPEC!C288+"8O&lt;!$8)"</f>
        <v>#VALUE!</v>
      </c>
      <c r="HF37" t="e">
        <f>CAPEC!D288+"8O&lt;!$8."</f>
        <v>#VALUE!</v>
      </c>
      <c r="HG37" t="e">
        <f>CAPEC!E288+"8O&lt;!$8/"</f>
        <v>#VALUE!</v>
      </c>
      <c r="HH37" t="e">
        <f>CAPEC!#REF!+"8O&lt;!$80"</f>
        <v>#REF!</v>
      </c>
      <c r="HI37" t="e">
        <f>CAPEC!C289+"8O&lt;!$81"</f>
        <v>#VALUE!</v>
      </c>
      <c r="HJ37" t="e">
        <f>CAPEC!D289+"8O&lt;!$82"</f>
        <v>#VALUE!</v>
      </c>
      <c r="HK37" t="e">
        <f>CAPEC!E289+"8O&lt;!$83"</f>
        <v>#VALUE!</v>
      </c>
      <c r="HL37" t="e">
        <f>CAPEC!#REF!+"8O&lt;!$84"</f>
        <v>#REF!</v>
      </c>
      <c r="HM37" t="e">
        <f>CAPEC!C290+"8O&lt;!$85"</f>
        <v>#VALUE!</v>
      </c>
      <c r="HN37" t="e">
        <f>CAPEC!D290+"8O&lt;!$86"</f>
        <v>#VALUE!</v>
      </c>
      <c r="HO37" t="e">
        <f>CAPEC!E290+"8O&lt;!$87"</f>
        <v>#VALUE!</v>
      </c>
      <c r="HP37" t="e">
        <f>CAPEC!#REF!+"8O&lt;!$88"</f>
        <v>#REF!</v>
      </c>
      <c r="HQ37" t="e">
        <f>CAPEC!C291+"8O&lt;!$89"</f>
        <v>#VALUE!</v>
      </c>
      <c r="HR37" t="e">
        <f>CAPEC!D291+"8O&lt;!$8:"</f>
        <v>#VALUE!</v>
      </c>
      <c r="HS37" t="e">
        <f>CAPEC!E291+"8O&lt;!$8;"</f>
        <v>#VALUE!</v>
      </c>
      <c r="HT37" t="e">
        <f>CAPEC!#REF!+"8O&lt;!$8&lt;"</f>
        <v>#REF!</v>
      </c>
      <c r="HU37" t="e">
        <f>CAPEC!C292+"8O&lt;!$8="</f>
        <v>#VALUE!</v>
      </c>
      <c r="HV37" t="e">
        <f>CAPEC!D292+"8O&lt;!$8&gt;"</f>
        <v>#VALUE!</v>
      </c>
      <c r="HW37" t="e">
        <f>CAPEC!E292+"8O&lt;!$8?"</f>
        <v>#VALUE!</v>
      </c>
      <c r="HX37" t="e">
        <f>CAPEC!#REF!+"8O&lt;!$8@"</f>
        <v>#REF!</v>
      </c>
      <c r="HY37" t="e">
        <f>CAPEC!C293+"8O&lt;!$8A"</f>
        <v>#VALUE!</v>
      </c>
      <c r="HZ37" t="e">
        <f>CAPEC!D293+"8O&lt;!$8B"</f>
        <v>#VALUE!</v>
      </c>
      <c r="IA37" t="e">
        <f>CAPEC!E293+"8O&lt;!$8C"</f>
        <v>#VALUE!</v>
      </c>
      <c r="IB37" t="e">
        <f>CAPEC!#REF!+"8O&lt;!$8D"</f>
        <v>#REF!</v>
      </c>
      <c r="IC37" t="e">
        <f>CAPEC!C294+"8O&lt;!$8E"</f>
        <v>#VALUE!</v>
      </c>
      <c r="ID37" t="e">
        <f>CAPEC!D294+"8O&lt;!$8F"</f>
        <v>#VALUE!</v>
      </c>
      <c r="IE37" t="e">
        <f>CAPEC!E294+"8O&lt;!$8G"</f>
        <v>#VALUE!</v>
      </c>
      <c r="IF37" t="e">
        <f>CAPEC!#REF!+"8O&lt;!$8H"</f>
        <v>#REF!</v>
      </c>
      <c r="IG37" t="e">
        <f>CAPEC!C295+"8O&lt;!$8I"</f>
        <v>#VALUE!</v>
      </c>
      <c r="IH37" t="e">
        <f>CAPEC!D295+"8O&lt;!$8J"</f>
        <v>#VALUE!</v>
      </c>
      <c r="II37" t="e">
        <f>CAPEC!E295+"8O&lt;!$8K"</f>
        <v>#VALUE!</v>
      </c>
      <c r="IJ37" t="e">
        <f>CAPEC!#REF!+"8O&lt;!$8L"</f>
        <v>#REF!</v>
      </c>
      <c r="IK37" t="e">
        <f>CAPEC!C296+"8O&lt;!$8M"</f>
        <v>#VALUE!</v>
      </c>
      <c r="IL37" t="e">
        <f>CAPEC!D296+"8O&lt;!$8N"</f>
        <v>#VALUE!</v>
      </c>
      <c r="IM37" t="e">
        <f>CAPEC!E296+"8O&lt;!$8O"</f>
        <v>#VALUE!</v>
      </c>
      <c r="IN37" t="e">
        <f>CAPEC!#REF!+"8O&lt;!$8P"</f>
        <v>#REF!</v>
      </c>
      <c r="IO37" t="e">
        <f>CAPEC!C297+"8O&lt;!$8Q"</f>
        <v>#VALUE!</v>
      </c>
      <c r="IP37" t="e">
        <f>CAPEC!D297+"8O&lt;!$8R"</f>
        <v>#VALUE!</v>
      </c>
      <c r="IQ37" t="e">
        <f>CAPEC!E297+"8O&lt;!$8S"</f>
        <v>#VALUE!</v>
      </c>
      <c r="IR37" t="e">
        <f>CAPEC!#REF!+"8O&lt;!$8T"</f>
        <v>#REF!</v>
      </c>
      <c r="IS37" t="e">
        <f>CAPEC!C298+"8O&lt;!$8U"</f>
        <v>#VALUE!</v>
      </c>
      <c r="IT37" t="e">
        <f>CAPEC!D298+"8O&lt;!$8V"</f>
        <v>#VALUE!</v>
      </c>
      <c r="IU37" t="e">
        <f>CAPEC!E298+"8O&lt;!$8W"</f>
        <v>#VALUE!</v>
      </c>
      <c r="IV37" t="e">
        <f>CAPEC!#REF!+"8O&lt;!$8X"</f>
        <v>#REF!</v>
      </c>
    </row>
    <row r="38" spans="6:256" x14ac:dyDescent="0.25">
      <c r="F38" t="e">
        <f>CAPEC!C299+"8O&lt;!$8Y"</f>
        <v>#VALUE!</v>
      </c>
      <c r="G38" t="e">
        <f>CAPEC!D299+"8O&lt;!$8Z"</f>
        <v>#VALUE!</v>
      </c>
      <c r="H38" t="e">
        <f>CAPEC!E299+"8O&lt;!$8["</f>
        <v>#VALUE!</v>
      </c>
      <c r="I38" t="e">
        <f>CAPEC!#REF!+"8O&lt;!$8\"</f>
        <v>#REF!</v>
      </c>
      <c r="J38" t="e">
        <f>CAPEC!C300+"8O&lt;!$8]"</f>
        <v>#VALUE!</v>
      </c>
      <c r="K38" t="e">
        <f>CAPEC!D300+"8O&lt;!$8^"</f>
        <v>#VALUE!</v>
      </c>
      <c r="L38" t="e">
        <f>CAPEC!E300+"8O&lt;!$8_"</f>
        <v>#VALUE!</v>
      </c>
      <c r="M38" t="e">
        <f>CAPEC!#REF!+"8O&lt;!$8`"</f>
        <v>#REF!</v>
      </c>
      <c r="N38" t="e">
        <f>CAPEC!C301+"8O&lt;!$8a"</f>
        <v>#VALUE!</v>
      </c>
      <c r="O38" t="e">
        <f>CAPEC!D301+"8O&lt;!$8b"</f>
        <v>#VALUE!</v>
      </c>
      <c r="P38" t="e">
        <f>CAPEC!E301+"8O&lt;!$8c"</f>
        <v>#VALUE!</v>
      </c>
      <c r="Q38" t="e">
        <f>CAPEC!#REF!+"8O&lt;!$8d"</f>
        <v>#REF!</v>
      </c>
      <c r="R38" t="e">
        <f>CAPEC!C302+"8O&lt;!$8e"</f>
        <v>#VALUE!</v>
      </c>
      <c r="S38" t="e">
        <f>CAPEC!D302+"8O&lt;!$8f"</f>
        <v>#VALUE!</v>
      </c>
      <c r="T38" t="e">
        <f>CAPEC!E302+"8O&lt;!$8g"</f>
        <v>#VALUE!</v>
      </c>
      <c r="U38" t="e">
        <f>CAPEC!#REF!+"8O&lt;!$8h"</f>
        <v>#REF!</v>
      </c>
      <c r="V38" t="e">
        <f>CAPEC!C303+"8O&lt;!$8i"</f>
        <v>#VALUE!</v>
      </c>
      <c r="W38" t="e">
        <f>CAPEC!D303+"8O&lt;!$8j"</f>
        <v>#VALUE!</v>
      </c>
      <c r="X38" t="e">
        <f>CAPEC!E303+"8O&lt;!$8k"</f>
        <v>#VALUE!</v>
      </c>
      <c r="Y38" t="e">
        <f>CAPEC!#REF!+"8O&lt;!$8l"</f>
        <v>#REF!</v>
      </c>
      <c r="Z38" t="e">
        <f>CAPEC!C304+"8O&lt;!$8m"</f>
        <v>#VALUE!</v>
      </c>
      <c r="AA38" t="e">
        <f>CAPEC!D304+"8O&lt;!$8n"</f>
        <v>#VALUE!</v>
      </c>
      <c r="AB38" t="e">
        <f>CAPEC!E304+"8O&lt;!$8o"</f>
        <v>#VALUE!</v>
      </c>
      <c r="AC38" t="e">
        <f>CAPEC!#REF!+"8O&lt;!$8p"</f>
        <v>#REF!</v>
      </c>
      <c r="AD38" t="e">
        <f>CAPEC!C305+"8O&lt;!$8q"</f>
        <v>#VALUE!</v>
      </c>
      <c r="AE38" t="e">
        <f>CAPEC!D305+"8O&lt;!$8r"</f>
        <v>#VALUE!</v>
      </c>
      <c r="AF38" t="e">
        <f>CAPEC!E305+"8O&lt;!$8s"</f>
        <v>#VALUE!</v>
      </c>
      <c r="AG38" t="e">
        <f>CAPEC!#REF!+"8O&lt;!$8t"</f>
        <v>#REF!</v>
      </c>
      <c r="AH38" t="e">
        <f>CAPEC!C306+"8O&lt;!$8u"</f>
        <v>#VALUE!</v>
      </c>
      <c r="AI38" t="e">
        <f>CAPEC!D306+"8O&lt;!$8v"</f>
        <v>#VALUE!</v>
      </c>
      <c r="AJ38" t="e">
        <f>CAPEC!E306+"8O&lt;!$8w"</f>
        <v>#VALUE!</v>
      </c>
      <c r="AK38" t="e">
        <f>CAPEC!#REF!+"8O&lt;!$8x"</f>
        <v>#REF!</v>
      </c>
      <c r="AL38" t="e">
        <f>CAPEC!C307+"8O&lt;!$8y"</f>
        <v>#VALUE!</v>
      </c>
      <c r="AM38" t="e">
        <f>CAPEC!D307+"8O&lt;!$8z"</f>
        <v>#VALUE!</v>
      </c>
      <c r="AN38" t="e">
        <f>CAPEC!E307+"8O&lt;!$8{"</f>
        <v>#VALUE!</v>
      </c>
      <c r="AO38" t="e">
        <f>CAPEC!#REF!+"8O&lt;!$8|"</f>
        <v>#REF!</v>
      </c>
      <c r="AP38" t="e">
        <f>CAPEC!C308+"8O&lt;!$8}"</f>
        <v>#VALUE!</v>
      </c>
      <c r="AQ38" t="e">
        <f>CAPEC!D308+"8O&lt;!$8~"</f>
        <v>#VALUE!</v>
      </c>
      <c r="AR38" t="e">
        <f>CAPEC!E308+"8O&lt;!$9#"</f>
        <v>#VALUE!</v>
      </c>
      <c r="AS38" t="e">
        <f>CAPEC!#REF!+"8O&lt;!$9$"</f>
        <v>#REF!</v>
      </c>
      <c r="AT38" t="e">
        <f>CAPEC!C309+"8O&lt;!$9%"</f>
        <v>#VALUE!</v>
      </c>
      <c r="AU38" t="e">
        <f>CAPEC!D309+"8O&lt;!$9&amp;"</f>
        <v>#VALUE!</v>
      </c>
      <c r="AV38" t="e">
        <f>CAPEC!E309+"8O&lt;!$9'"</f>
        <v>#VALUE!</v>
      </c>
      <c r="AW38" t="e">
        <f>CAPEC!#REF!+"8O&lt;!$9("</f>
        <v>#REF!</v>
      </c>
      <c r="AX38" t="e">
        <f>CAPEC!C310+"8O&lt;!$9)"</f>
        <v>#VALUE!</v>
      </c>
      <c r="AY38" t="e">
        <f>CAPEC!D310+"8O&lt;!$9."</f>
        <v>#VALUE!</v>
      </c>
      <c r="AZ38" t="e">
        <f>CAPEC!E310+"8O&lt;!$9/"</f>
        <v>#VALUE!</v>
      </c>
      <c r="BA38" t="e">
        <f>CAPEC!#REF!+"8O&lt;!$90"</f>
        <v>#REF!</v>
      </c>
      <c r="BB38" t="e">
        <f>CAPEC!C311+"8O&lt;!$91"</f>
        <v>#VALUE!</v>
      </c>
      <c r="BC38" t="e">
        <f>CAPEC!D311+"8O&lt;!$92"</f>
        <v>#VALUE!</v>
      </c>
      <c r="BD38" t="e">
        <f>CAPEC!E311+"8O&lt;!$93"</f>
        <v>#VALUE!</v>
      </c>
      <c r="BE38" t="e">
        <f>CAPEC!#REF!+"8O&lt;!$94"</f>
        <v>#REF!</v>
      </c>
      <c r="BF38" t="e">
        <f>CAPEC!C312+"8O&lt;!$95"</f>
        <v>#VALUE!</v>
      </c>
      <c r="BG38" t="e">
        <f>CAPEC!D312+"8O&lt;!$96"</f>
        <v>#VALUE!</v>
      </c>
      <c r="BH38" t="e">
        <f>CAPEC!E312+"8O&lt;!$97"</f>
        <v>#VALUE!</v>
      </c>
      <c r="BI38" t="e">
        <f>CAPEC!#REF!+"8O&lt;!$98"</f>
        <v>#REF!</v>
      </c>
      <c r="BJ38" t="e">
        <f>CAPEC!C313+"8O&lt;!$99"</f>
        <v>#VALUE!</v>
      </c>
      <c r="BK38" t="e">
        <f>CAPEC!D313+"8O&lt;!$9:"</f>
        <v>#VALUE!</v>
      </c>
      <c r="BL38" t="e">
        <f>CAPEC!E313+"8O&lt;!$9;"</f>
        <v>#VALUE!</v>
      </c>
      <c r="BM38" t="e">
        <f>CAPEC!#REF!+"8O&lt;!$9&lt;"</f>
        <v>#REF!</v>
      </c>
      <c r="BN38" t="e">
        <f>CAPEC!C314+"8O&lt;!$9="</f>
        <v>#VALUE!</v>
      </c>
      <c r="BO38" t="e">
        <f>CAPEC!D314+"8O&lt;!$9&gt;"</f>
        <v>#VALUE!</v>
      </c>
      <c r="BP38" t="e">
        <f>CAPEC!E314+"8O&lt;!$9?"</f>
        <v>#VALUE!</v>
      </c>
      <c r="BQ38" t="e">
        <f>CAPEC!#REF!+"8O&lt;!$9@"</f>
        <v>#REF!</v>
      </c>
      <c r="BR38" t="e">
        <f>CAPEC!C315+"8O&lt;!$9A"</f>
        <v>#VALUE!</v>
      </c>
      <c r="BS38" t="e">
        <f>CAPEC!D315+"8O&lt;!$9B"</f>
        <v>#VALUE!</v>
      </c>
      <c r="BT38" t="e">
        <f>CAPEC!E315+"8O&lt;!$9C"</f>
        <v>#VALUE!</v>
      </c>
      <c r="BU38" t="e">
        <f>CAPEC!#REF!+"8O&lt;!$9D"</f>
        <v>#REF!</v>
      </c>
      <c r="BV38" t="e">
        <f>CAPEC!C316+"8O&lt;!$9E"</f>
        <v>#VALUE!</v>
      </c>
      <c r="BW38" t="e">
        <f>CAPEC!D316+"8O&lt;!$9F"</f>
        <v>#VALUE!</v>
      </c>
      <c r="BX38" t="e">
        <f>CAPEC!E316+"8O&lt;!$9G"</f>
        <v>#VALUE!</v>
      </c>
      <c r="BY38" t="e">
        <f>CAPEC!#REF!+"8O&lt;!$9H"</f>
        <v>#REF!</v>
      </c>
      <c r="BZ38" t="e">
        <f>CAPEC!C317+"8O&lt;!$9I"</f>
        <v>#VALUE!</v>
      </c>
      <c r="CA38" t="e">
        <f>CAPEC!D317+"8O&lt;!$9J"</f>
        <v>#VALUE!</v>
      </c>
      <c r="CB38" t="e">
        <f>CAPEC!E317+"8O&lt;!$9K"</f>
        <v>#VALUE!</v>
      </c>
      <c r="CC38" t="e">
        <f>CAPEC!#REF!+"8O&lt;!$9L"</f>
        <v>#REF!</v>
      </c>
      <c r="CD38" t="e">
        <f>CAPEC!C318+"8O&lt;!$9M"</f>
        <v>#VALUE!</v>
      </c>
      <c r="CE38" t="e">
        <f>CAPEC!D318+"8O&lt;!$9N"</f>
        <v>#VALUE!</v>
      </c>
      <c r="CF38" t="e">
        <f>CAPEC!E318+"8O&lt;!$9O"</f>
        <v>#VALUE!</v>
      </c>
      <c r="CG38" t="e">
        <f>CAPEC!#REF!+"8O&lt;!$9P"</f>
        <v>#REF!</v>
      </c>
      <c r="CH38" t="e">
        <f>CAPEC!C319+"8O&lt;!$9Q"</f>
        <v>#VALUE!</v>
      </c>
      <c r="CI38" t="e">
        <f>CAPEC!D319+"8O&lt;!$9R"</f>
        <v>#VALUE!</v>
      </c>
      <c r="CJ38" t="e">
        <f>CAPEC!E319+"8O&lt;!$9S"</f>
        <v>#VALUE!</v>
      </c>
      <c r="CK38" t="e">
        <f>CAPEC!#REF!+"8O&lt;!$9T"</f>
        <v>#REF!</v>
      </c>
      <c r="CL38" t="e">
        <f>CAPEC!C320+"8O&lt;!$9U"</f>
        <v>#VALUE!</v>
      </c>
      <c r="CM38" t="e">
        <f>CAPEC!D320+"8O&lt;!$9V"</f>
        <v>#VALUE!</v>
      </c>
      <c r="CN38" t="e">
        <f>CAPEC!E320+"8O&lt;!$9W"</f>
        <v>#VALUE!</v>
      </c>
      <c r="CO38" t="e">
        <f>CAPEC!#REF!+"8O&lt;!$9X"</f>
        <v>#REF!</v>
      </c>
      <c r="CP38" t="e">
        <f>CAPEC!C321+"8O&lt;!$9Y"</f>
        <v>#VALUE!</v>
      </c>
      <c r="CQ38" t="e">
        <f>CAPEC!D321+"8O&lt;!$9Z"</f>
        <v>#VALUE!</v>
      </c>
      <c r="CR38" t="e">
        <f>CAPEC!E321+"8O&lt;!$9["</f>
        <v>#VALUE!</v>
      </c>
      <c r="CS38" t="e">
        <f>CAPEC!#REF!+"8O&lt;!$9\"</f>
        <v>#REF!</v>
      </c>
      <c r="CT38" t="e">
        <f>CAPEC!C322+"8O&lt;!$9]"</f>
        <v>#VALUE!</v>
      </c>
      <c r="CU38" t="e">
        <f>CAPEC!D322+"8O&lt;!$9^"</f>
        <v>#VALUE!</v>
      </c>
      <c r="CV38" t="e">
        <f>CAPEC!E322+"8O&lt;!$9_"</f>
        <v>#VALUE!</v>
      </c>
      <c r="CW38" t="e">
        <f>CAPEC!#REF!+"8O&lt;!$9`"</f>
        <v>#REF!</v>
      </c>
      <c r="CX38" t="e">
        <f>CAPEC!C323+"8O&lt;!$9a"</f>
        <v>#VALUE!</v>
      </c>
      <c r="CY38" t="e">
        <f>CAPEC!D323+"8O&lt;!$9b"</f>
        <v>#VALUE!</v>
      </c>
      <c r="CZ38" t="e">
        <f>CAPEC!E323+"8O&lt;!$9c"</f>
        <v>#VALUE!</v>
      </c>
      <c r="DA38" t="e">
        <f>CAPEC!#REF!+"8O&lt;!$9d"</f>
        <v>#REF!</v>
      </c>
      <c r="DB38" t="e">
        <f>CAPEC!C324+"8O&lt;!$9e"</f>
        <v>#VALUE!</v>
      </c>
      <c r="DC38" t="e">
        <f>CAPEC!D324+"8O&lt;!$9f"</f>
        <v>#VALUE!</v>
      </c>
      <c r="DD38" t="e">
        <f>CAPEC!E324+"8O&lt;!$9g"</f>
        <v>#VALUE!</v>
      </c>
      <c r="DE38" t="e">
        <f>CAPEC!#REF!+"8O&lt;!$9h"</f>
        <v>#REF!</v>
      </c>
      <c r="DF38" t="e">
        <f>CAPEC!C325+"8O&lt;!$9i"</f>
        <v>#VALUE!</v>
      </c>
      <c r="DG38" t="e">
        <f>CAPEC!D325+"8O&lt;!$9j"</f>
        <v>#VALUE!</v>
      </c>
      <c r="DH38" t="e">
        <f>CAPEC!E325+"8O&lt;!$9k"</f>
        <v>#VALUE!</v>
      </c>
      <c r="DI38" t="e">
        <f>CAPEC!#REF!+"8O&lt;!$9l"</f>
        <v>#REF!</v>
      </c>
      <c r="DJ38" t="e">
        <f>CAPEC!C326+"8O&lt;!$9m"</f>
        <v>#VALUE!</v>
      </c>
      <c r="DK38" t="e">
        <f>CAPEC!D326+"8O&lt;!$9n"</f>
        <v>#VALUE!</v>
      </c>
      <c r="DL38" t="e">
        <f>CAPEC!E326+"8O&lt;!$9o"</f>
        <v>#VALUE!</v>
      </c>
      <c r="DM38" t="e">
        <f>CAPEC!#REF!+"8O&lt;!$9p"</f>
        <v>#REF!</v>
      </c>
      <c r="DN38" t="e">
        <f>CAPEC!C327+"8O&lt;!$9q"</f>
        <v>#VALUE!</v>
      </c>
      <c r="DO38" t="e">
        <f>CAPEC!D327+"8O&lt;!$9r"</f>
        <v>#VALUE!</v>
      </c>
      <c r="DP38" t="e">
        <f>CAPEC!E327+"8O&lt;!$9s"</f>
        <v>#VALUE!</v>
      </c>
      <c r="DQ38" t="e">
        <f>CAPEC!#REF!+"8O&lt;!$9t"</f>
        <v>#REF!</v>
      </c>
      <c r="DR38" t="e">
        <f>CAPEC!C328+"8O&lt;!$9u"</f>
        <v>#VALUE!</v>
      </c>
      <c r="DS38" t="e">
        <f>CAPEC!D328+"8O&lt;!$9v"</f>
        <v>#VALUE!</v>
      </c>
      <c r="DT38" t="e">
        <f>CAPEC!E328+"8O&lt;!$9w"</f>
        <v>#VALUE!</v>
      </c>
      <c r="DU38" t="e">
        <f>CAPEC!#REF!+"8O&lt;!$9x"</f>
        <v>#REF!</v>
      </c>
      <c r="DV38" t="e">
        <f>CAPEC!C329+"8O&lt;!$9y"</f>
        <v>#VALUE!</v>
      </c>
      <c r="DW38" t="e">
        <f>CAPEC!D329+"8O&lt;!$9z"</f>
        <v>#VALUE!</v>
      </c>
      <c r="DX38" t="e">
        <f>CAPEC!E329+"8O&lt;!$9{"</f>
        <v>#VALUE!</v>
      </c>
      <c r="DY38" t="e">
        <f>CAPEC!#REF!+"8O&lt;!$9|"</f>
        <v>#REF!</v>
      </c>
      <c r="DZ38" t="e">
        <f>CAPEC!C330+"8O&lt;!$9}"</f>
        <v>#VALUE!</v>
      </c>
      <c r="EA38" t="e">
        <f>CAPEC!D330+"8O&lt;!$9~"</f>
        <v>#VALUE!</v>
      </c>
      <c r="EB38" t="e">
        <f>CAPEC!E330+"8O&lt;!$:#"</f>
        <v>#VALUE!</v>
      </c>
      <c r="EC38" t="e">
        <f>CAPEC!#REF!+"8O&lt;!$:$"</f>
        <v>#REF!</v>
      </c>
      <c r="ED38" t="e">
        <f>CAPEC!C331+"8O&lt;!$:%"</f>
        <v>#VALUE!</v>
      </c>
      <c r="EE38" t="e">
        <f>CAPEC!D331+"8O&lt;!$:&amp;"</f>
        <v>#VALUE!</v>
      </c>
      <c r="EF38" t="e">
        <f>CAPEC!E331+"8O&lt;!$:'"</f>
        <v>#VALUE!</v>
      </c>
      <c r="EG38" t="e">
        <f>CAPEC!#REF!+"8O&lt;!$:("</f>
        <v>#REF!</v>
      </c>
      <c r="EH38" t="e">
        <f>CAPEC!C332+"8O&lt;!$:)"</f>
        <v>#VALUE!</v>
      </c>
      <c r="EI38" t="e">
        <f>CAPEC!D332+"8O&lt;!$:."</f>
        <v>#VALUE!</v>
      </c>
      <c r="EJ38" t="e">
        <f>CAPEC!E332+"8O&lt;!$:/"</f>
        <v>#VALUE!</v>
      </c>
      <c r="EK38" t="e">
        <f>CAPEC!#REF!+"8O&lt;!$:0"</f>
        <v>#REF!</v>
      </c>
      <c r="EL38" t="e">
        <f>CAPEC!C333+"8O&lt;!$:1"</f>
        <v>#VALUE!</v>
      </c>
      <c r="EM38" t="e">
        <f>CAPEC!D333+"8O&lt;!$:2"</f>
        <v>#VALUE!</v>
      </c>
      <c r="EN38" t="e">
        <f>CAPEC!E333+"8O&lt;!$:3"</f>
        <v>#VALUE!</v>
      </c>
      <c r="EO38" t="e">
        <f>CAPEC!#REF!+"8O&lt;!$:4"</f>
        <v>#REF!</v>
      </c>
      <c r="EP38" t="e">
        <f>CAPEC!C334+"8O&lt;!$:5"</f>
        <v>#VALUE!</v>
      </c>
      <c r="EQ38" t="e">
        <f>CAPEC!D334+"8O&lt;!$:6"</f>
        <v>#VALUE!</v>
      </c>
      <c r="ER38" t="e">
        <f>CAPEC!E334+"8O&lt;!$:7"</f>
        <v>#VALUE!</v>
      </c>
      <c r="ES38" t="e">
        <f>CAPEC!#REF!+"8O&lt;!$:8"</f>
        <v>#REF!</v>
      </c>
      <c r="ET38" t="e">
        <f>CAPEC!C335+"8O&lt;!$:9"</f>
        <v>#VALUE!</v>
      </c>
      <c r="EU38" t="e">
        <f>CAPEC!D335+"8O&lt;!$::"</f>
        <v>#VALUE!</v>
      </c>
      <c r="EV38" t="e">
        <f>CAPEC!E335+"8O&lt;!$:;"</f>
        <v>#VALUE!</v>
      </c>
      <c r="EW38" t="e">
        <f>CAPEC!#REF!+"8O&lt;!$:&lt;"</f>
        <v>#REF!</v>
      </c>
      <c r="EX38" t="e">
        <f>CAPEC!C336+"8O&lt;!$:="</f>
        <v>#VALUE!</v>
      </c>
      <c r="EY38" t="e">
        <f>CAPEC!D336+"8O&lt;!$:&gt;"</f>
        <v>#VALUE!</v>
      </c>
      <c r="EZ38" t="e">
        <f>CAPEC!E336+"8O&lt;!$:?"</f>
        <v>#VALUE!</v>
      </c>
      <c r="FA38" t="e">
        <f>CAPEC!#REF!+"8O&lt;!$:@"</f>
        <v>#REF!</v>
      </c>
      <c r="FB38" t="e">
        <f>CAPEC!C337+"8O&lt;!$:A"</f>
        <v>#VALUE!</v>
      </c>
      <c r="FC38" t="e">
        <f>CAPEC!D337+"8O&lt;!$:B"</f>
        <v>#VALUE!</v>
      </c>
      <c r="FD38" t="e">
        <f>CAPEC!E337+"8O&lt;!$:C"</f>
        <v>#VALUE!</v>
      </c>
      <c r="FE38" t="e">
        <f>CAPEC!#REF!+"8O&lt;!$:D"</f>
        <v>#REF!</v>
      </c>
      <c r="FF38" t="e">
        <f>CAPEC!C338+"8O&lt;!$:E"</f>
        <v>#VALUE!</v>
      </c>
      <c r="FG38" t="e">
        <f>CAPEC!D338+"8O&lt;!$:F"</f>
        <v>#VALUE!</v>
      </c>
      <c r="FH38" t="e">
        <f>CAPEC!E338+"8O&lt;!$:G"</f>
        <v>#VALUE!</v>
      </c>
      <c r="FI38" t="e">
        <f>CAPEC!#REF!+"8O&lt;!$:H"</f>
        <v>#REF!</v>
      </c>
      <c r="FJ38" t="e">
        <f>CAPEC!C339+"8O&lt;!$:I"</f>
        <v>#VALUE!</v>
      </c>
      <c r="FK38" t="e">
        <f>CAPEC!D339+"8O&lt;!$:J"</f>
        <v>#VALUE!</v>
      </c>
      <c r="FL38" t="e">
        <f>CAPEC!E339+"8O&lt;!$:K"</f>
        <v>#VALUE!</v>
      </c>
      <c r="FM38" t="e">
        <f>CAPEC!#REF!+"8O&lt;!$:L"</f>
        <v>#REF!</v>
      </c>
      <c r="FN38" t="e">
        <f>CAPEC!C340+"8O&lt;!$:M"</f>
        <v>#VALUE!</v>
      </c>
      <c r="FO38" t="e">
        <f>CAPEC!D340+"8O&lt;!$:N"</f>
        <v>#VALUE!</v>
      </c>
      <c r="FP38" t="e">
        <f>CAPEC!E340+"8O&lt;!$:O"</f>
        <v>#VALUE!</v>
      </c>
      <c r="FQ38" t="e">
        <f>CAPEC!#REF!+"8O&lt;!$:P"</f>
        <v>#REF!</v>
      </c>
      <c r="FR38" t="e">
        <f>CAPEC!C341+"8O&lt;!$:Q"</f>
        <v>#VALUE!</v>
      </c>
      <c r="FS38" t="e">
        <f>CAPEC!D341+"8O&lt;!$:R"</f>
        <v>#VALUE!</v>
      </c>
      <c r="FT38" t="e">
        <f>CAPEC!E341+"8O&lt;!$:S"</f>
        <v>#VALUE!</v>
      </c>
      <c r="FU38" t="e">
        <f>CAPEC!#REF!+"8O&lt;!$:T"</f>
        <v>#REF!</v>
      </c>
      <c r="FV38" t="e">
        <f>CAPEC!C342+"8O&lt;!$:U"</f>
        <v>#VALUE!</v>
      </c>
      <c r="FW38" t="e">
        <f>CAPEC!D342+"8O&lt;!$:V"</f>
        <v>#VALUE!</v>
      </c>
      <c r="FX38" t="e">
        <f>CAPEC!E342+"8O&lt;!$:W"</f>
        <v>#VALUE!</v>
      </c>
      <c r="FY38" t="e">
        <f>CAPEC!#REF!+"8O&lt;!$:X"</f>
        <v>#REF!</v>
      </c>
      <c r="FZ38" t="e">
        <f>CAPEC!C343+"8O&lt;!$:Y"</f>
        <v>#VALUE!</v>
      </c>
      <c r="GA38" t="e">
        <f>CAPEC!D343+"8O&lt;!$:Z"</f>
        <v>#VALUE!</v>
      </c>
      <c r="GB38" t="e">
        <f>CAPEC!E343+"8O&lt;!$:["</f>
        <v>#VALUE!</v>
      </c>
      <c r="GC38" t="e">
        <f>CAPEC!#REF!+"8O&lt;!$:\"</f>
        <v>#REF!</v>
      </c>
      <c r="GD38" t="e">
        <f>CAPEC!C344+"8O&lt;!$:]"</f>
        <v>#VALUE!</v>
      </c>
      <c r="GE38" t="e">
        <f>CAPEC!D344+"8O&lt;!$:^"</f>
        <v>#VALUE!</v>
      </c>
      <c r="GF38" t="e">
        <f>CAPEC!E344+"8O&lt;!$:_"</f>
        <v>#VALUE!</v>
      </c>
      <c r="GG38" t="e">
        <f>CAPEC!#REF!+"8O&lt;!$:`"</f>
        <v>#REF!</v>
      </c>
      <c r="GH38" t="e">
        <f>CAPEC!C345+"8O&lt;!$:a"</f>
        <v>#VALUE!</v>
      </c>
      <c r="GI38" t="e">
        <f>CAPEC!D345+"8O&lt;!$:b"</f>
        <v>#VALUE!</v>
      </c>
      <c r="GJ38" t="e">
        <f>CAPEC!E345+"8O&lt;!$:c"</f>
        <v>#VALUE!</v>
      </c>
      <c r="GK38" t="e">
        <f>CAPEC!#REF!+"8O&lt;!$:d"</f>
        <v>#REF!</v>
      </c>
      <c r="GL38" t="e">
        <f>CAPEC!C346+"8O&lt;!$:e"</f>
        <v>#VALUE!</v>
      </c>
      <c r="GM38" t="e">
        <f>CAPEC!D346+"8O&lt;!$:f"</f>
        <v>#VALUE!</v>
      </c>
      <c r="GN38" t="e">
        <f>CAPEC!E346+"8O&lt;!$:g"</f>
        <v>#VALUE!</v>
      </c>
      <c r="GO38" t="e">
        <f>CAPEC!#REF!+"8O&lt;!$:h"</f>
        <v>#REF!</v>
      </c>
      <c r="GP38" t="e">
        <f>CAPEC!C347+"8O&lt;!$:i"</f>
        <v>#VALUE!</v>
      </c>
      <c r="GQ38" t="e">
        <f>CAPEC!D347+"8O&lt;!$:j"</f>
        <v>#VALUE!</v>
      </c>
      <c r="GR38" t="e">
        <f>CAPEC!E347+"8O&lt;!$:k"</f>
        <v>#VALUE!</v>
      </c>
      <c r="GS38" t="e">
        <f>CAPEC!#REF!+"8O&lt;!$:l"</f>
        <v>#REF!</v>
      </c>
      <c r="GT38" t="e">
        <f>CAPEC!C348+"8O&lt;!$:m"</f>
        <v>#VALUE!</v>
      </c>
      <c r="GU38" t="e">
        <f>CAPEC!D348+"8O&lt;!$:n"</f>
        <v>#VALUE!</v>
      </c>
      <c r="GV38" t="e">
        <f>CAPEC!E348+"8O&lt;!$:o"</f>
        <v>#VALUE!</v>
      </c>
      <c r="GW38" t="e">
        <f>CAPEC!#REF!+"8O&lt;!$:p"</f>
        <v>#REF!</v>
      </c>
      <c r="GX38" t="e">
        <f>CAPEC!C349+"8O&lt;!$:q"</f>
        <v>#VALUE!</v>
      </c>
      <c r="GY38" t="e">
        <f>CAPEC!D349+"8O&lt;!$:r"</f>
        <v>#VALUE!</v>
      </c>
      <c r="GZ38" t="e">
        <f>CAPEC!E349+"8O&lt;!$:s"</f>
        <v>#VALUE!</v>
      </c>
      <c r="HA38" t="e">
        <f>CAPEC!#REF!+"8O&lt;!$:t"</f>
        <v>#REF!</v>
      </c>
      <c r="HB38" t="e">
        <f>CAPEC!C350+"8O&lt;!$:u"</f>
        <v>#VALUE!</v>
      </c>
      <c r="HC38" t="e">
        <f>CAPEC!D350+"8O&lt;!$:v"</f>
        <v>#VALUE!</v>
      </c>
      <c r="HD38" t="e">
        <f>CAPEC!E350+"8O&lt;!$:w"</f>
        <v>#VALUE!</v>
      </c>
      <c r="HE38" t="e">
        <f>CAPEC!#REF!+"8O&lt;!$:x"</f>
        <v>#REF!</v>
      </c>
      <c r="HF38" t="e">
        <f>CAPEC!C351+"8O&lt;!$:y"</f>
        <v>#VALUE!</v>
      </c>
      <c r="HG38" t="e">
        <f>CAPEC!D351+"8O&lt;!$:z"</f>
        <v>#VALUE!</v>
      </c>
      <c r="HH38" t="e">
        <f>CAPEC!E351+"8O&lt;!$:{"</f>
        <v>#VALUE!</v>
      </c>
      <c r="HI38" t="e">
        <f>CAPEC!#REF!+"8O&lt;!$:|"</f>
        <v>#REF!</v>
      </c>
      <c r="HJ38" t="e">
        <f>CAPEC!C352+"8O&lt;!$:}"</f>
        <v>#VALUE!</v>
      </c>
      <c r="HK38" t="e">
        <f>CAPEC!D352+"8O&lt;!$:~"</f>
        <v>#VALUE!</v>
      </c>
      <c r="HL38" t="e">
        <f>CAPEC!E352+"8O&lt;!$;#"</f>
        <v>#VALUE!</v>
      </c>
      <c r="HM38" t="e">
        <f>CAPEC!#REF!+"8O&lt;!$;$"</f>
        <v>#REF!</v>
      </c>
      <c r="HN38" t="e">
        <f>CAPEC!C353+"8O&lt;!$;%"</f>
        <v>#VALUE!</v>
      </c>
      <c r="HO38" t="e">
        <f>CAPEC!D353+"8O&lt;!$;&amp;"</f>
        <v>#VALUE!</v>
      </c>
      <c r="HP38" t="e">
        <f>CAPEC!E353+"8O&lt;!$;'"</f>
        <v>#VALUE!</v>
      </c>
      <c r="HQ38" t="e">
        <f>CAPEC!#REF!+"8O&lt;!$;("</f>
        <v>#REF!</v>
      </c>
      <c r="HR38" t="e">
        <f>CAPEC!C354+"8O&lt;!$;)"</f>
        <v>#VALUE!</v>
      </c>
      <c r="HS38" t="e">
        <f>CAPEC!D354+"8O&lt;!$;."</f>
        <v>#VALUE!</v>
      </c>
      <c r="HT38" t="e">
        <f>CAPEC!E354+"8O&lt;!$;/"</f>
        <v>#VALUE!</v>
      </c>
      <c r="HU38" t="e">
        <f>CAPEC!#REF!+"8O&lt;!$;0"</f>
        <v>#REF!</v>
      </c>
      <c r="HV38" t="e">
        <f>CAPEC!C355+"8O&lt;!$;1"</f>
        <v>#VALUE!</v>
      </c>
      <c r="HW38" t="e">
        <f>CAPEC!D355+"8O&lt;!$;2"</f>
        <v>#VALUE!</v>
      </c>
      <c r="HX38" t="e">
        <f>CAPEC!E355+"8O&lt;!$;3"</f>
        <v>#VALUE!</v>
      </c>
      <c r="HY38" t="e">
        <f>CAPEC!#REF!+"8O&lt;!$;4"</f>
        <v>#REF!</v>
      </c>
      <c r="HZ38" t="e">
        <f>CAPEC!C356+"8O&lt;!$;5"</f>
        <v>#VALUE!</v>
      </c>
      <c r="IA38" t="e">
        <f>CAPEC!D356+"8O&lt;!$;6"</f>
        <v>#VALUE!</v>
      </c>
      <c r="IB38" t="e">
        <f>CAPEC!E356+"8O&lt;!$;7"</f>
        <v>#VALUE!</v>
      </c>
      <c r="IC38" t="e">
        <f>CAPEC!#REF!+"8O&lt;!$;8"</f>
        <v>#REF!</v>
      </c>
      <c r="ID38" t="e">
        <f>CAPEC!C357+"8O&lt;!$;9"</f>
        <v>#VALUE!</v>
      </c>
      <c r="IE38" t="e">
        <f>CAPEC!D357+"8O&lt;!$;:"</f>
        <v>#VALUE!</v>
      </c>
      <c r="IF38" t="e">
        <f>CAPEC!E357+"8O&lt;!$;;"</f>
        <v>#VALUE!</v>
      </c>
      <c r="IG38" t="e">
        <f>CAPEC!#REF!+"8O&lt;!$;&lt;"</f>
        <v>#REF!</v>
      </c>
      <c r="IH38" t="e">
        <f>CAPEC!C358+"8O&lt;!$;="</f>
        <v>#VALUE!</v>
      </c>
      <c r="II38" t="e">
        <f>CAPEC!D358+"8O&lt;!$;&gt;"</f>
        <v>#VALUE!</v>
      </c>
      <c r="IJ38" t="e">
        <f>CAPEC!E358+"8O&lt;!$;?"</f>
        <v>#VALUE!</v>
      </c>
      <c r="IK38" t="e">
        <f>CAPEC!#REF!+"8O&lt;!$;@"</f>
        <v>#REF!</v>
      </c>
      <c r="IL38" t="e">
        <f>CAPEC!C359+"8O&lt;!$;A"</f>
        <v>#VALUE!</v>
      </c>
      <c r="IM38" t="e">
        <f>CAPEC!D359+"8O&lt;!$;B"</f>
        <v>#VALUE!</v>
      </c>
      <c r="IN38" t="e">
        <f>CAPEC!E359+"8O&lt;!$;C"</f>
        <v>#VALUE!</v>
      </c>
      <c r="IO38" t="e">
        <f>CAPEC!#REF!+"8O&lt;!$;D"</f>
        <v>#REF!</v>
      </c>
      <c r="IP38" t="e">
        <f>CAPEC!C360+"8O&lt;!$;E"</f>
        <v>#VALUE!</v>
      </c>
      <c r="IQ38" t="e">
        <f>CAPEC!D360+"8O&lt;!$;F"</f>
        <v>#VALUE!</v>
      </c>
      <c r="IR38" t="e">
        <f>CAPEC!E360+"8O&lt;!$;G"</f>
        <v>#VALUE!</v>
      </c>
      <c r="IS38" t="e">
        <f>CAPEC!#REF!+"8O&lt;!$;H"</f>
        <v>#REF!</v>
      </c>
      <c r="IT38" t="e">
        <f>CAPEC!C361+"8O&lt;!$;I"</f>
        <v>#VALUE!</v>
      </c>
      <c r="IU38" t="e">
        <f>CAPEC!D361+"8O&lt;!$;J"</f>
        <v>#VALUE!</v>
      </c>
      <c r="IV38" t="e">
        <f>CAPEC!E361+"8O&lt;!$;K"</f>
        <v>#VALUE!</v>
      </c>
    </row>
    <row r="39" spans="6:256" x14ac:dyDescent="0.25">
      <c r="F39" t="e">
        <f>CAPEC!#REF!+"8O&lt;!$;L"</f>
        <v>#REF!</v>
      </c>
      <c r="G39" t="e">
        <f>CAPEC!C362+"8O&lt;!$;M"</f>
        <v>#VALUE!</v>
      </c>
      <c r="H39" t="e">
        <f>CAPEC!D362+"8O&lt;!$;N"</f>
        <v>#VALUE!</v>
      </c>
      <c r="I39" t="e">
        <f>CAPEC!E362+"8O&lt;!$;O"</f>
        <v>#VALUE!</v>
      </c>
      <c r="J39" t="e">
        <f>CAPEC!#REF!+"8O&lt;!$;P"</f>
        <v>#REF!</v>
      </c>
      <c r="K39" t="e">
        <f>CAPEC!C363+"8O&lt;!$;Q"</f>
        <v>#VALUE!</v>
      </c>
      <c r="L39" t="e">
        <f>CAPEC!D363+"8O&lt;!$;R"</f>
        <v>#VALUE!</v>
      </c>
      <c r="M39" t="e">
        <f>CAPEC!E363+"8O&lt;!$;S"</f>
        <v>#VALUE!</v>
      </c>
      <c r="N39" t="e">
        <f>CAPEC!#REF!+"8O&lt;!$;T"</f>
        <v>#REF!</v>
      </c>
      <c r="O39" t="e">
        <f>CAPEC!C364+"8O&lt;!$;U"</f>
        <v>#VALUE!</v>
      </c>
      <c r="P39" t="e">
        <f>CAPEC!D364+"8O&lt;!$;V"</f>
        <v>#VALUE!</v>
      </c>
      <c r="Q39" t="e">
        <f>CAPEC!E364+"8O&lt;!$;W"</f>
        <v>#VALUE!</v>
      </c>
      <c r="R39" t="e">
        <f>CAPEC!#REF!+"8O&lt;!$;X"</f>
        <v>#REF!</v>
      </c>
      <c r="S39" t="e">
        <f>CAPEC!C365+"8O&lt;!$;Y"</f>
        <v>#VALUE!</v>
      </c>
      <c r="T39" t="e">
        <f>CAPEC!D365+"8O&lt;!$;Z"</f>
        <v>#VALUE!</v>
      </c>
      <c r="U39" t="e">
        <f>CAPEC!E365+"8O&lt;!$;["</f>
        <v>#VALUE!</v>
      </c>
      <c r="V39" t="e">
        <f>CAPEC!#REF!+"8O&lt;!$;\"</f>
        <v>#REF!</v>
      </c>
      <c r="W39" t="e">
        <f>CAPEC!C366+"8O&lt;!$;]"</f>
        <v>#VALUE!</v>
      </c>
      <c r="X39" t="e">
        <f>CAPEC!D366+"8O&lt;!$;^"</f>
        <v>#VALUE!</v>
      </c>
      <c r="Y39" t="e">
        <f>CAPEC!E366+"8O&lt;!$;_"</f>
        <v>#VALUE!</v>
      </c>
      <c r="Z39" t="e">
        <f>CAPEC!#REF!+"8O&lt;!$;`"</f>
        <v>#REF!</v>
      </c>
      <c r="AA39" t="e">
        <f>CAPEC!C367+"8O&lt;!$;a"</f>
        <v>#VALUE!</v>
      </c>
      <c r="AB39" t="e">
        <f>CAPEC!D367+"8O&lt;!$;b"</f>
        <v>#VALUE!</v>
      </c>
      <c r="AC39" t="e">
        <f>CAPEC!E367+"8O&lt;!$;c"</f>
        <v>#VALUE!</v>
      </c>
      <c r="AD39" t="e">
        <f>CAPEC!#REF!+"8O&lt;!$;d"</f>
        <v>#REF!</v>
      </c>
      <c r="AE39" t="e">
        <f>CAPEC!C368+"8O&lt;!$;e"</f>
        <v>#VALUE!</v>
      </c>
      <c r="AF39" t="e">
        <f>CAPEC!D368+"8O&lt;!$;f"</f>
        <v>#VALUE!</v>
      </c>
      <c r="AG39" t="e">
        <f>CAPEC!E368+"8O&lt;!$;g"</f>
        <v>#VALUE!</v>
      </c>
      <c r="AH39" t="e">
        <f>CAPEC!#REF!+"8O&lt;!$;h"</f>
        <v>#REF!</v>
      </c>
      <c r="AI39" t="e">
        <f>CAPEC!C369+"8O&lt;!$;i"</f>
        <v>#VALUE!</v>
      </c>
      <c r="AJ39" t="e">
        <f>CAPEC!D369+"8O&lt;!$;j"</f>
        <v>#VALUE!</v>
      </c>
      <c r="AK39" t="e">
        <f>CAPEC!E369+"8O&lt;!$;k"</f>
        <v>#VALUE!</v>
      </c>
      <c r="AL39" t="e">
        <f>CAPEC!#REF!+"8O&lt;!$;l"</f>
        <v>#REF!</v>
      </c>
      <c r="AM39" t="e">
        <f>CAPEC!C370+"8O&lt;!$;m"</f>
        <v>#VALUE!</v>
      </c>
      <c r="AN39" t="e">
        <f>CAPEC!D370+"8O&lt;!$;n"</f>
        <v>#VALUE!</v>
      </c>
      <c r="AO39" t="e">
        <f>CAPEC!E370+"8O&lt;!$;o"</f>
        <v>#VALUE!</v>
      </c>
      <c r="AP39" t="e">
        <f>CAPEC!#REF!+"8O&lt;!$;p"</f>
        <v>#REF!</v>
      </c>
      <c r="AQ39" t="e">
        <f>CAPEC!C371+"8O&lt;!$;q"</f>
        <v>#VALUE!</v>
      </c>
      <c r="AR39" t="e">
        <f>CAPEC!D371+"8O&lt;!$;r"</f>
        <v>#VALUE!</v>
      </c>
      <c r="AS39" t="e">
        <f>CAPEC!E371+"8O&lt;!$;s"</f>
        <v>#VALUE!</v>
      </c>
      <c r="AT39" t="e">
        <f>CAPEC!#REF!+"8O&lt;!$;t"</f>
        <v>#REF!</v>
      </c>
      <c r="AU39" t="e">
        <f>CAPEC!C372+"8O&lt;!$;u"</f>
        <v>#VALUE!</v>
      </c>
      <c r="AV39" t="e">
        <f>CAPEC!D372+"8O&lt;!$;v"</f>
        <v>#VALUE!</v>
      </c>
      <c r="AW39" t="e">
        <f>CAPEC!E372+"8O&lt;!$;w"</f>
        <v>#VALUE!</v>
      </c>
      <c r="AX39" t="e">
        <f>CAPEC!#REF!+"8O&lt;!$;x"</f>
        <v>#REF!</v>
      </c>
      <c r="AY39" t="e">
        <f>CAPEC!C373+"8O&lt;!$;y"</f>
        <v>#VALUE!</v>
      </c>
      <c r="AZ39" t="e">
        <f>CAPEC!D373+"8O&lt;!$;z"</f>
        <v>#VALUE!</v>
      </c>
      <c r="BA39" t="e">
        <f>CAPEC!E373+"8O&lt;!$;{"</f>
        <v>#VALUE!</v>
      </c>
      <c r="BB39" t="e">
        <f>CAPEC!#REF!+"8O&lt;!$;|"</f>
        <v>#REF!</v>
      </c>
      <c r="BC39" t="e">
        <f>CAPEC!C374+"8O&lt;!$;}"</f>
        <v>#VALUE!</v>
      </c>
      <c r="BD39" t="e">
        <f>CAPEC!D374+"8O&lt;!$;~"</f>
        <v>#VALUE!</v>
      </c>
      <c r="BE39" t="e">
        <f>CAPEC!E374+"8O&lt;!$&lt;#"</f>
        <v>#VALUE!</v>
      </c>
      <c r="BF39" t="e">
        <f>CAPEC!#REF!+"8O&lt;!$&lt;$"</f>
        <v>#REF!</v>
      </c>
      <c r="BG39" t="e">
        <f>CAPEC!C375+"8O&lt;!$&lt;%"</f>
        <v>#VALUE!</v>
      </c>
      <c r="BH39" t="e">
        <f>CAPEC!D375+"8O&lt;!$&lt;&amp;"</f>
        <v>#VALUE!</v>
      </c>
      <c r="BI39" t="e">
        <f>CAPEC!E375+"8O&lt;!$&lt;'"</f>
        <v>#VALUE!</v>
      </c>
      <c r="BJ39" t="e">
        <f>CAPEC!#REF!+"8O&lt;!$&lt;("</f>
        <v>#REF!</v>
      </c>
      <c r="BK39" t="e">
        <f>CAPEC!C376+"8O&lt;!$&lt;)"</f>
        <v>#VALUE!</v>
      </c>
      <c r="BL39" t="e">
        <f>CAPEC!D376+"8O&lt;!$&lt;."</f>
        <v>#VALUE!</v>
      </c>
      <c r="BM39" t="e">
        <f>CAPEC!E376+"8O&lt;!$&lt;/"</f>
        <v>#VALUE!</v>
      </c>
      <c r="BN39" t="e">
        <f>CAPEC!#REF!+"8O&lt;!$&lt;0"</f>
        <v>#REF!</v>
      </c>
      <c r="BO39" t="e">
        <f>CAPEC!C377+"8O&lt;!$&lt;1"</f>
        <v>#VALUE!</v>
      </c>
      <c r="BP39" t="e">
        <f>CAPEC!D377+"8O&lt;!$&lt;2"</f>
        <v>#VALUE!</v>
      </c>
      <c r="BQ39" t="e">
        <f>CAPEC!E377+"8O&lt;!$&lt;3"</f>
        <v>#VALUE!</v>
      </c>
      <c r="BR39" t="e">
        <f>CAPEC!#REF!+"8O&lt;!$&lt;4"</f>
        <v>#REF!</v>
      </c>
      <c r="BS39" t="e">
        <f>CAPEC!C378+"8O&lt;!$&lt;5"</f>
        <v>#VALUE!</v>
      </c>
      <c r="BT39" t="e">
        <f>CAPEC!D378+"8O&lt;!$&lt;6"</f>
        <v>#VALUE!</v>
      </c>
      <c r="BU39" t="e">
        <f>CAPEC!E378+"8O&lt;!$&lt;7"</f>
        <v>#VALUE!</v>
      </c>
      <c r="BV39" t="e">
        <f>CAPEC!#REF!+"8O&lt;!$&lt;8"</f>
        <v>#REF!</v>
      </c>
      <c r="BW39" t="e">
        <f>CAPEC!C379+"8O&lt;!$&lt;9"</f>
        <v>#VALUE!</v>
      </c>
      <c r="BX39" t="e">
        <f>CAPEC!D379+"8O&lt;!$&lt;:"</f>
        <v>#VALUE!</v>
      </c>
      <c r="BY39" t="e">
        <f>CAPEC!E379+"8O&lt;!$&lt;;"</f>
        <v>#VALUE!</v>
      </c>
      <c r="BZ39" t="e">
        <f>CAPEC!#REF!+"8O&lt;!$&lt;&lt;"</f>
        <v>#REF!</v>
      </c>
      <c r="CA39" t="e">
        <f>CAPEC!C380+"8O&lt;!$&lt;="</f>
        <v>#VALUE!</v>
      </c>
      <c r="CB39" t="e">
        <f>CAPEC!D380+"8O&lt;!$&lt;&gt;"</f>
        <v>#VALUE!</v>
      </c>
      <c r="CC39" t="e">
        <f>CAPEC!E380+"8O&lt;!$&lt;?"</f>
        <v>#VALUE!</v>
      </c>
      <c r="CD39" t="e">
        <f>CAPEC!#REF!+"8O&lt;!$&lt;@"</f>
        <v>#REF!</v>
      </c>
      <c r="CE39" t="e">
        <f>CAPEC!C381+"8O&lt;!$&lt;A"</f>
        <v>#VALUE!</v>
      </c>
      <c r="CF39" t="e">
        <f>CAPEC!D381+"8O&lt;!$&lt;B"</f>
        <v>#VALUE!</v>
      </c>
      <c r="CG39" t="e">
        <f>CAPEC!E381+"8O&lt;!$&lt;C"</f>
        <v>#VALUE!</v>
      </c>
      <c r="CH39" t="e">
        <f>CAPEC!#REF!+"8O&lt;!$&lt;D"</f>
        <v>#REF!</v>
      </c>
      <c r="CI39" t="e">
        <f>CAPEC!C382+"8O&lt;!$&lt;E"</f>
        <v>#VALUE!</v>
      </c>
      <c r="CJ39" t="e">
        <f>CAPEC!D382+"8O&lt;!$&lt;F"</f>
        <v>#VALUE!</v>
      </c>
      <c r="CK39" t="e">
        <f>CAPEC!E382+"8O&lt;!$&lt;G"</f>
        <v>#VALUE!</v>
      </c>
      <c r="CL39" t="e">
        <f>CAPEC!#REF!+"8O&lt;!$&lt;H"</f>
        <v>#REF!</v>
      </c>
      <c r="CM39" t="e">
        <f>CAPEC!C383+"8O&lt;!$&lt;I"</f>
        <v>#VALUE!</v>
      </c>
      <c r="CN39" t="e">
        <f>CAPEC!D383+"8O&lt;!$&lt;J"</f>
        <v>#VALUE!</v>
      </c>
      <c r="CO39" t="e">
        <f>CAPEC!E383+"8O&lt;!$&lt;K"</f>
        <v>#VALUE!</v>
      </c>
      <c r="CP39" t="e">
        <f>CAPEC!#REF!+"8O&lt;!$&lt;L"</f>
        <v>#REF!</v>
      </c>
      <c r="CQ39" t="e">
        <f>CAPEC!C384+"8O&lt;!$&lt;M"</f>
        <v>#VALUE!</v>
      </c>
      <c r="CR39" t="e">
        <f>CAPEC!D384+"8O&lt;!$&lt;N"</f>
        <v>#VALUE!</v>
      </c>
      <c r="CS39" t="e">
        <f>CAPEC!E384+"8O&lt;!$&lt;O"</f>
        <v>#VALUE!</v>
      </c>
      <c r="CT39" t="e">
        <f>CAPEC!#REF!+"8O&lt;!$&lt;P"</f>
        <v>#REF!</v>
      </c>
      <c r="CU39" t="e">
        <f>CAPEC!C385+"8O&lt;!$&lt;Q"</f>
        <v>#VALUE!</v>
      </c>
      <c r="CV39" t="e">
        <f>CAPEC!D385+"8O&lt;!$&lt;R"</f>
        <v>#VALUE!</v>
      </c>
      <c r="CW39" t="e">
        <f>CAPEC!E385+"8O&lt;!$&lt;S"</f>
        <v>#VALUE!</v>
      </c>
      <c r="CX39" t="e">
        <f>CAPEC!#REF!+"8O&lt;!$&lt;T"</f>
        <v>#REF!</v>
      </c>
      <c r="CY39" t="e">
        <f>CAPEC!C386+"8O&lt;!$&lt;U"</f>
        <v>#VALUE!</v>
      </c>
      <c r="CZ39" t="e">
        <f>CAPEC!D386+"8O&lt;!$&lt;V"</f>
        <v>#VALUE!</v>
      </c>
      <c r="DA39" t="e">
        <f>CAPEC!E386+"8O&lt;!$&lt;W"</f>
        <v>#VALUE!</v>
      </c>
      <c r="DB39" t="e">
        <f>CAPEC!#REF!+"8O&lt;!$&lt;X"</f>
        <v>#REF!</v>
      </c>
      <c r="DC39" t="e">
        <f>CAPEC!C387+"8O&lt;!$&lt;Y"</f>
        <v>#VALUE!</v>
      </c>
      <c r="DD39" t="e">
        <f>CAPEC!D387+"8O&lt;!$&lt;Z"</f>
        <v>#VALUE!</v>
      </c>
      <c r="DE39" t="e">
        <f>CAPEC!E387+"8O&lt;!$&lt;["</f>
        <v>#VALUE!</v>
      </c>
      <c r="DF39" t="e">
        <f>CAPEC!#REF!+"8O&lt;!$&lt;\"</f>
        <v>#REF!</v>
      </c>
      <c r="DG39" t="e">
        <f>CAPEC!C388+"8O&lt;!$&lt;]"</f>
        <v>#VALUE!</v>
      </c>
      <c r="DH39" t="e">
        <f>CAPEC!D388+"8O&lt;!$&lt;^"</f>
        <v>#VALUE!</v>
      </c>
      <c r="DI39" t="e">
        <f>CAPEC!E388+"8O&lt;!$&lt;_"</f>
        <v>#VALUE!</v>
      </c>
      <c r="DJ39" t="e">
        <f>CAPEC!#REF!+"8O&lt;!$&lt;`"</f>
        <v>#REF!</v>
      </c>
      <c r="DK39" t="e">
        <f>CAPEC!C389+"8O&lt;!$&lt;a"</f>
        <v>#VALUE!</v>
      </c>
      <c r="DL39" t="e">
        <f>CAPEC!D389+"8O&lt;!$&lt;b"</f>
        <v>#VALUE!</v>
      </c>
      <c r="DM39" t="e">
        <f>CAPEC!E389+"8O&lt;!$&lt;c"</f>
        <v>#VALUE!</v>
      </c>
      <c r="DN39" t="e">
        <f>CAPEC!#REF!+"8O&lt;!$&lt;d"</f>
        <v>#REF!</v>
      </c>
      <c r="DO39" t="e">
        <f>CAPEC!C390+"8O&lt;!$&lt;e"</f>
        <v>#VALUE!</v>
      </c>
      <c r="DP39" t="e">
        <f>CAPEC!D390+"8O&lt;!$&lt;f"</f>
        <v>#VALUE!</v>
      </c>
      <c r="DQ39" t="e">
        <f>CAPEC!E390+"8O&lt;!$&lt;g"</f>
        <v>#VALUE!</v>
      </c>
      <c r="DR39" t="e">
        <f>CAPEC!#REF!+"8O&lt;!$&lt;h"</f>
        <v>#REF!</v>
      </c>
      <c r="DS39" t="e">
        <f>CAPEC!C391+"8O&lt;!$&lt;i"</f>
        <v>#VALUE!</v>
      </c>
      <c r="DT39" t="e">
        <f>CAPEC!D391+"8O&lt;!$&lt;j"</f>
        <v>#VALUE!</v>
      </c>
      <c r="DU39" t="e">
        <f>CAPEC!E391+"8O&lt;!$&lt;k"</f>
        <v>#VALUE!</v>
      </c>
      <c r="DV39" t="e">
        <f>CAPEC!#REF!+"8O&lt;!$&lt;l"</f>
        <v>#REF!</v>
      </c>
      <c r="DW39" t="e">
        <f>CAPEC!C392+"8O&lt;!$&lt;m"</f>
        <v>#VALUE!</v>
      </c>
      <c r="DX39" t="e">
        <f>CAPEC!D392+"8O&lt;!$&lt;n"</f>
        <v>#VALUE!</v>
      </c>
      <c r="DY39" t="e">
        <f>CAPEC!E392+"8O&lt;!$&lt;o"</f>
        <v>#VALUE!</v>
      </c>
      <c r="DZ39" t="e">
        <f>CAPEC!#REF!+"8O&lt;!$&lt;p"</f>
        <v>#REF!</v>
      </c>
      <c r="EA39" t="e">
        <f>CAPEC!C393+"8O&lt;!$&lt;q"</f>
        <v>#VALUE!</v>
      </c>
      <c r="EB39" t="e">
        <f>CAPEC!D393+"8O&lt;!$&lt;r"</f>
        <v>#VALUE!</v>
      </c>
      <c r="EC39" t="e">
        <f>CAPEC!E393+"8O&lt;!$&lt;s"</f>
        <v>#VALUE!</v>
      </c>
      <c r="ED39" t="e">
        <f>CAPEC!#REF!+"8O&lt;!$&lt;t"</f>
        <v>#REF!</v>
      </c>
      <c r="EE39" t="e">
        <f>CAPEC!C394+"8O&lt;!$&lt;u"</f>
        <v>#VALUE!</v>
      </c>
      <c r="EF39" t="e">
        <f>CAPEC!D394+"8O&lt;!$&lt;v"</f>
        <v>#VALUE!</v>
      </c>
      <c r="EG39" t="e">
        <f>CAPEC!E394+"8O&lt;!$&lt;w"</f>
        <v>#VALUE!</v>
      </c>
      <c r="EH39" t="e">
        <f>CAPEC!#REF!+"8O&lt;!$&lt;x"</f>
        <v>#REF!</v>
      </c>
      <c r="EI39" t="e">
        <f>CAPEC!C395+"8O&lt;!$&lt;y"</f>
        <v>#VALUE!</v>
      </c>
      <c r="EJ39" t="e">
        <f>CAPEC!D395+"8O&lt;!$&lt;z"</f>
        <v>#VALUE!</v>
      </c>
      <c r="EK39" t="e">
        <f>CAPEC!E395+"8O&lt;!$&lt;{"</f>
        <v>#VALUE!</v>
      </c>
      <c r="EL39" t="e">
        <f>CAPEC!#REF!+"8O&lt;!$&lt;|"</f>
        <v>#REF!</v>
      </c>
      <c r="EM39" t="e">
        <f>CAPEC!C396+"8O&lt;!$&lt;}"</f>
        <v>#VALUE!</v>
      </c>
      <c r="EN39" t="e">
        <f>CAPEC!D396+"8O&lt;!$&lt;~"</f>
        <v>#VALUE!</v>
      </c>
      <c r="EO39" t="e">
        <f>CAPEC!E396+"8O&lt;!$=#"</f>
        <v>#VALUE!</v>
      </c>
      <c r="EP39" t="e">
        <f>CAPEC!#REF!+"8O&lt;!$=$"</f>
        <v>#REF!</v>
      </c>
      <c r="EQ39" t="e">
        <f>CAPEC!C397+"8O&lt;!$=%"</f>
        <v>#VALUE!</v>
      </c>
      <c r="ER39" t="e">
        <f>CAPEC!D397+"8O&lt;!$=&amp;"</f>
        <v>#VALUE!</v>
      </c>
      <c r="ES39" t="e">
        <f>CAPEC!E397+"8O&lt;!$='"</f>
        <v>#VALUE!</v>
      </c>
      <c r="ET39" t="e">
        <f>CAPEC!#REF!+"8O&lt;!$=("</f>
        <v>#REF!</v>
      </c>
      <c r="EU39" t="e">
        <f>CAPEC!C398+"8O&lt;!$=)"</f>
        <v>#VALUE!</v>
      </c>
      <c r="EV39" t="e">
        <f>CAPEC!D398+"8O&lt;!$=."</f>
        <v>#VALUE!</v>
      </c>
      <c r="EW39" t="e">
        <f>CAPEC!E398+"8O&lt;!$=/"</f>
        <v>#VALUE!</v>
      </c>
      <c r="EX39" t="e">
        <f>CAPEC!#REF!+"8O&lt;!$=0"</f>
        <v>#REF!</v>
      </c>
      <c r="EY39" t="e">
        <f>CAPEC!C399+"8O&lt;!$=1"</f>
        <v>#VALUE!</v>
      </c>
      <c r="EZ39" t="e">
        <f>CAPEC!D399+"8O&lt;!$=2"</f>
        <v>#VALUE!</v>
      </c>
      <c r="FA39" t="e">
        <f>CAPEC!E399+"8O&lt;!$=3"</f>
        <v>#VALUE!</v>
      </c>
      <c r="FB39" t="e">
        <f>CAPEC!#REF!+"8O&lt;!$=4"</f>
        <v>#REF!</v>
      </c>
      <c r="FC39" t="e">
        <f>CAPEC!C400+"8O&lt;!$=5"</f>
        <v>#VALUE!</v>
      </c>
      <c r="FD39" t="e">
        <f>CAPEC!D400+"8O&lt;!$=6"</f>
        <v>#VALUE!</v>
      </c>
      <c r="FE39" t="e">
        <f>CAPEC!E400+"8O&lt;!$=7"</f>
        <v>#VALUE!</v>
      </c>
      <c r="FF39" t="e">
        <f>CAPEC!#REF!+"8O&lt;!$=8"</f>
        <v>#REF!</v>
      </c>
      <c r="FG39" t="e">
        <f>CAPEC!C401+"8O&lt;!$=9"</f>
        <v>#VALUE!</v>
      </c>
      <c r="FH39" t="e">
        <f>CAPEC!D401+"8O&lt;!$=:"</f>
        <v>#VALUE!</v>
      </c>
      <c r="FI39" t="e">
        <f>CAPEC!E401+"8O&lt;!$=;"</f>
        <v>#VALUE!</v>
      </c>
      <c r="FJ39" t="e">
        <f>CAPEC!#REF!+"8O&lt;!$=&lt;"</f>
        <v>#REF!</v>
      </c>
      <c r="FK39" t="e">
        <f>CAPEC!C402+"8O&lt;!$=="</f>
        <v>#VALUE!</v>
      </c>
      <c r="FL39" t="e">
        <f>CAPEC!D402+"8O&lt;!$=&gt;"</f>
        <v>#VALUE!</v>
      </c>
      <c r="FM39" t="e">
        <f>CAPEC!E402+"8O&lt;!$=?"</f>
        <v>#VALUE!</v>
      </c>
      <c r="FN39" t="e">
        <f>CAPEC!#REF!+"8O&lt;!$=@"</f>
        <v>#REF!</v>
      </c>
      <c r="FO39" t="e">
        <f>CAPEC!C403+"8O&lt;!$=A"</f>
        <v>#VALUE!</v>
      </c>
      <c r="FP39" t="e">
        <f>CAPEC!D403+"8O&lt;!$=B"</f>
        <v>#VALUE!</v>
      </c>
      <c r="FQ39" t="e">
        <f>CAPEC!E403+"8O&lt;!$=C"</f>
        <v>#VALUE!</v>
      </c>
      <c r="FR39" t="e">
        <f>CAPEC!#REF!+"8O&lt;!$=D"</f>
        <v>#REF!</v>
      </c>
      <c r="FS39" t="e">
        <f>CAPEC!C404+"8O&lt;!$=E"</f>
        <v>#VALUE!</v>
      </c>
      <c r="FT39" t="e">
        <f>CAPEC!D404+"8O&lt;!$=F"</f>
        <v>#VALUE!</v>
      </c>
      <c r="FU39" t="e">
        <f>CAPEC!E404+"8O&lt;!$=G"</f>
        <v>#VALUE!</v>
      </c>
      <c r="FV39" t="e">
        <f>CAPEC!#REF!+"8O&lt;!$=H"</f>
        <v>#REF!</v>
      </c>
      <c r="FW39" t="e">
        <f>CAPEC!C405+"8O&lt;!$=I"</f>
        <v>#VALUE!</v>
      </c>
      <c r="FX39" t="e">
        <f>CAPEC!D405+"8O&lt;!$=J"</f>
        <v>#VALUE!</v>
      </c>
      <c r="FY39" t="e">
        <f>CAPEC!E405+"8O&lt;!$=K"</f>
        <v>#VALUE!</v>
      </c>
      <c r="FZ39" t="e">
        <f>CAPEC!#REF!+"8O&lt;!$=L"</f>
        <v>#REF!</v>
      </c>
      <c r="GA39" t="e">
        <f>CAPEC!C406+"8O&lt;!$=M"</f>
        <v>#VALUE!</v>
      </c>
      <c r="GB39" t="e">
        <f>CAPEC!D406+"8O&lt;!$=N"</f>
        <v>#VALUE!</v>
      </c>
      <c r="GC39" t="e">
        <f>CAPEC!E406+"8O&lt;!$=O"</f>
        <v>#VALUE!</v>
      </c>
      <c r="GD39" t="e">
        <f>CAPEC!#REF!+"8O&lt;!$=P"</f>
        <v>#REF!</v>
      </c>
      <c r="GE39" t="e">
        <f>CAPEC!C407+"8O&lt;!$=Q"</f>
        <v>#VALUE!</v>
      </c>
      <c r="GF39" t="e">
        <f>CAPEC!D407+"8O&lt;!$=R"</f>
        <v>#VALUE!</v>
      </c>
      <c r="GG39" t="e">
        <f>CAPEC!E407+"8O&lt;!$=S"</f>
        <v>#VALUE!</v>
      </c>
      <c r="GH39" t="e">
        <f>CAPEC!#REF!+"8O&lt;!$=T"</f>
        <v>#REF!</v>
      </c>
      <c r="GI39" t="e">
        <f>CAPEC!C408+"8O&lt;!$=U"</f>
        <v>#VALUE!</v>
      </c>
      <c r="GJ39" t="e">
        <f>CAPEC!D408+"8O&lt;!$=V"</f>
        <v>#VALUE!</v>
      </c>
      <c r="GK39" t="e">
        <f>CAPEC!E408+"8O&lt;!$=W"</f>
        <v>#VALUE!</v>
      </c>
      <c r="GL39" t="e">
        <f>CAPEC!#REF!+"8O&lt;!$=X"</f>
        <v>#REF!</v>
      </c>
      <c r="GM39" t="e">
        <f>CAPEC!C409+"8O&lt;!$=Y"</f>
        <v>#VALUE!</v>
      </c>
      <c r="GN39" t="e">
        <f>CAPEC!D409+"8O&lt;!$=Z"</f>
        <v>#VALUE!</v>
      </c>
      <c r="GO39" t="e">
        <f>CAPEC!E409+"8O&lt;!$=["</f>
        <v>#VALUE!</v>
      </c>
      <c r="GP39" t="e">
        <f>CAPEC!#REF!+"8O&lt;!$=\"</f>
        <v>#REF!</v>
      </c>
      <c r="GQ39" t="e">
        <f>CAPEC!C410+"8O&lt;!$=]"</f>
        <v>#VALUE!</v>
      </c>
      <c r="GR39" t="e">
        <f>CAPEC!D410+"8O&lt;!$=^"</f>
        <v>#VALUE!</v>
      </c>
      <c r="GS39" t="e">
        <f>CAPEC!E410+"8O&lt;!$=_"</f>
        <v>#VALUE!</v>
      </c>
      <c r="GT39" t="e">
        <f>CAPEC!#REF!+"8O&lt;!$=`"</f>
        <v>#REF!</v>
      </c>
      <c r="GU39" t="e">
        <f>CAPEC!C411+"8O&lt;!$=a"</f>
        <v>#VALUE!</v>
      </c>
      <c r="GV39" t="e">
        <f>CAPEC!D411+"8O&lt;!$=b"</f>
        <v>#VALUE!</v>
      </c>
      <c r="GW39" t="e">
        <f>CAPEC!E411+"8O&lt;!$=c"</f>
        <v>#VALUE!</v>
      </c>
      <c r="GX39" t="e">
        <f>CAPEC!#REF!+"8O&lt;!$=d"</f>
        <v>#REF!</v>
      </c>
      <c r="GY39" t="e">
        <f>CAPEC!C412+"8O&lt;!$=e"</f>
        <v>#VALUE!</v>
      </c>
      <c r="GZ39" t="e">
        <f>CAPEC!D412+"8O&lt;!$=f"</f>
        <v>#VALUE!</v>
      </c>
      <c r="HA39" t="e">
        <f>CAPEC!E412+"8O&lt;!$=g"</f>
        <v>#VALUE!</v>
      </c>
      <c r="HB39" t="e">
        <f>CAPEC!#REF!+"8O&lt;!$=h"</f>
        <v>#REF!</v>
      </c>
      <c r="HC39" t="e">
        <f>CAPEC!C413+"8O&lt;!$=i"</f>
        <v>#VALUE!</v>
      </c>
      <c r="HD39" t="e">
        <f>CAPEC!D413+"8O&lt;!$=j"</f>
        <v>#VALUE!</v>
      </c>
      <c r="HE39" t="e">
        <f>CAPEC!E413+"8O&lt;!$=k"</f>
        <v>#VALUE!</v>
      </c>
      <c r="HF39" t="e">
        <f>CAPEC!#REF!+"8O&lt;!$=l"</f>
        <v>#REF!</v>
      </c>
      <c r="HG39" t="e">
        <f>CAPEC!C414+"8O&lt;!$=m"</f>
        <v>#VALUE!</v>
      </c>
      <c r="HH39" t="e">
        <f>CAPEC!D414+"8O&lt;!$=n"</f>
        <v>#VALUE!</v>
      </c>
      <c r="HI39" t="e">
        <f>CAPEC!E414+"8O&lt;!$=o"</f>
        <v>#VALUE!</v>
      </c>
      <c r="HJ39" t="e">
        <f>CAPEC!#REF!+"8O&lt;!$=p"</f>
        <v>#REF!</v>
      </c>
      <c r="HK39" t="e">
        <f>CAPEC!C415+"8O&lt;!$=q"</f>
        <v>#VALUE!</v>
      </c>
      <c r="HL39" t="e">
        <f>CAPEC!D415+"8O&lt;!$=r"</f>
        <v>#VALUE!</v>
      </c>
      <c r="HM39" t="e">
        <f>CAPEC!E415+"8O&lt;!$=s"</f>
        <v>#VALUE!</v>
      </c>
      <c r="HN39" t="e">
        <f>CAPEC!#REF!+"8O&lt;!$=t"</f>
        <v>#REF!</v>
      </c>
      <c r="HO39" t="e">
        <f>CAPEC!C416+"8O&lt;!$=u"</f>
        <v>#VALUE!</v>
      </c>
      <c r="HP39" t="e">
        <f>CAPEC!D416+"8O&lt;!$=v"</f>
        <v>#VALUE!</v>
      </c>
      <c r="HQ39" t="e">
        <f>CAPEC!E416+"8O&lt;!$=w"</f>
        <v>#VALUE!</v>
      </c>
      <c r="HR39" t="e">
        <f>CAPEC!#REF!+"8O&lt;!$=x"</f>
        <v>#REF!</v>
      </c>
      <c r="HS39" t="e">
        <f>CAPEC!C417+"8O&lt;!$=y"</f>
        <v>#VALUE!</v>
      </c>
      <c r="HT39" t="e">
        <f>CAPEC!D417+"8O&lt;!$=z"</f>
        <v>#VALUE!</v>
      </c>
      <c r="HU39" t="e">
        <f>CAPEC!E417+"8O&lt;!$={"</f>
        <v>#VALUE!</v>
      </c>
      <c r="HV39" t="e">
        <f>CAPEC!#REF!+"8O&lt;!$=|"</f>
        <v>#REF!</v>
      </c>
      <c r="HW39" t="e">
        <f>CAPEC!C418+"8O&lt;!$=}"</f>
        <v>#VALUE!</v>
      </c>
      <c r="HX39" t="e">
        <f>CAPEC!D418+"8O&lt;!$=~"</f>
        <v>#VALUE!</v>
      </c>
      <c r="HY39" t="e">
        <f>CAPEC!E418+"8O&lt;!$&gt;#"</f>
        <v>#VALUE!</v>
      </c>
      <c r="HZ39" t="e">
        <f>CAPEC!#REF!+"8O&lt;!$&gt;$"</f>
        <v>#REF!</v>
      </c>
      <c r="IA39" t="e">
        <f>CAPEC!C419+"8O&lt;!$&gt;%"</f>
        <v>#VALUE!</v>
      </c>
      <c r="IB39" t="e">
        <f>CAPEC!D419+"8O&lt;!$&gt;&amp;"</f>
        <v>#VALUE!</v>
      </c>
      <c r="IC39" t="e">
        <f>CAPEC!E419+"8O&lt;!$&gt;'"</f>
        <v>#VALUE!</v>
      </c>
      <c r="ID39" t="e">
        <f>CAPEC!#REF!+"8O&lt;!$&gt;("</f>
        <v>#REF!</v>
      </c>
      <c r="IE39" t="e">
        <f>CAPEC!C420+"8O&lt;!$&gt;)"</f>
        <v>#VALUE!</v>
      </c>
      <c r="IF39" t="e">
        <f>CAPEC!D420+"8O&lt;!$&gt;."</f>
        <v>#VALUE!</v>
      </c>
      <c r="IG39" t="e">
        <f>CAPEC!E420+"8O&lt;!$&gt;/"</f>
        <v>#VALUE!</v>
      </c>
      <c r="IH39" t="e">
        <f>CAPEC!#REF!+"8O&lt;!$&gt;0"</f>
        <v>#REF!</v>
      </c>
      <c r="II39" t="e">
        <f>CAPEC!C421+"8O&lt;!$&gt;1"</f>
        <v>#VALUE!</v>
      </c>
      <c r="IJ39" t="e">
        <f>CAPEC!D421+"8O&lt;!$&gt;2"</f>
        <v>#VALUE!</v>
      </c>
      <c r="IK39" t="e">
        <f>CAPEC!E421+"8O&lt;!$&gt;3"</f>
        <v>#VALUE!</v>
      </c>
      <c r="IL39" t="e">
        <f>CAPEC!#REF!+"8O&lt;!$&gt;4"</f>
        <v>#REF!</v>
      </c>
      <c r="IM39" t="e">
        <f>CAPEC!C422+"8O&lt;!$&gt;5"</f>
        <v>#VALUE!</v>
      </c>
      <c r="IN39" t="e">
        <f>CAPEC!D422+"8O&lt;!$&gt;6"</f>
        <v>#VALUE!</v>
      </c>
      <c r="IO39" t="e">
        <f>CAPEC!E422+"8O&lt;!$&gt;7"</f>
        <v>#VALUE!</v>
      </c>
      <c r="IP39" t="e">
        <f>CAPEC!#REF!+"8O&lt;!$&gt;8"</f>
        <v>#REF!</v>
      </c>
      <c r="IQ39" t="e">
        <f>CAPEC!C423+"8O&lt;!$&gt;9"</f>
        <v>#VALUE!</v>
      </c>
      <c r="IR39" t="e">
        <f>CAPEC!D423+"8O&lt;!$&gt;:"</f>
        <v>#VALUE!</v>
      </c>
      <c r="IS39" t="e">
        <f>CAPEC!E423+"8O&lt;!$&gt;;"</f>
        <v>#VALUE!</v>
      </c>
      <c r="IT39" t="e">
        <f>CAPEC!#REF!+"8O&lt;!$&gt;&lt;"</f>
        <v>#REF!</v>
      </c>
      <c r="IU39" t="e">
        <f>CAPEC!C424+"8O&lt;!$&gt;="</f>
        <v>#VALUE!</v>
      </c>
      <c r="IV39" t="e">
        <f>CAPEC!D424+"8O&lt;!$&gt;&gt;"</f>
        <v>#VALUE!</v>
      </c>
    </row>
    <row r="40" spans="6:256" x14ac:dyDescent="0.25">
      <c r="F40" t="e">
        <f>CAPEC!E424+"8O&lt;!$&gt;?"</f>
        <v>#VALUE!</v>
      </c>
      <c r="G40" t="e">
        <f>CAPEC!#REF!+"8O&lt;!$&gt;@"</f>
        <v>#REF!</v>
      </c>
      <c r="H40" t="e">
        <f>CAPEC!C425+"8O&lt;!$&gt;A"</f>
        <v>#VALUE!</v>
      </c>
      <c r="I40" t="e">
        <f>CAPEC!D425+"8O&lt;!$&gt;B"</f>
        <v>#VALUE!</v>
      </c>
      <c r="J40" t="e">
        <f>CAPEC!E425+"8O&lt;!$&gt;C"</f>
        <v>#VALUE!</v>
      </c>
      <c r="K40" t="e">
        <f>CAPEC!#REF!+"8O&lt;!$&gt;D"</f>
        <v>#REF!</v>
      </c>
      <c r="L40" t="e">
        <f>CAPEC!C426+"8O&lt;!$&gt;E"</f>
        <v>#VALUE!</v>
      </c>
      <c r="M40" t="e">
        <f>CAPEC!D426+"8O&lt;!$&gt;F"</f>
        <v>#VALUE!</v>
      </c>
      <c r="N40" t="e">
        <f>CAPEC!E426+"8O&lt;!$&gt;G"</f>
        <v>#VALUE!</v>
      </c>
      <c r="O40" t="e">
        <f>CAPEC!#REF!+"8O&lt;!$&gt;H"</f>
        <v>#REF!</v>
      </c>
      <c r="P40" t="e">
        <f>CAPEC!C427+"8O&lt;!$&gt;I"</f>
        <v>#VALUE!</v>
      </c>
      <c r="Q40" t="e">
        <f>CAPEC!D427+"8O&lt;!$&gt;J"</f>
        <v>#VALUE!</v>
      </c>
      <c r="R40" t="e">
        <f>CAPEC!E427+"8O&lt;!$&gt;K"</f>
        <v>#VALUE!</v>
      </c>
      <c r="S40" t="e">
        <f>CAPEC!#REF!+"8O&lt;!$&gt;L"</f>
        <v>#REF!</v>
      </c>
      <c r="T40" t="e">
        <f>CAPEC!C428+"8O&lt;!$&gt;M"</f>
        <v>#VALUE!</v>
      </c>
      <c r="U40" t="e">
        <f>CAPEC!D428+"8O&lt;!$&gt;N"</f>
        <v>#VALUE!</v>
      </c>
      <c r="V40" t="e">
        <f>CAPEC!E428+"8O&lt;!$&gt;O"</f>
        <v>#VALUE!</v>
      </c>
      <c r="W40" t="e">
        <f>CAPEC!#REF!+"8O&lt;!$&gt;P"</f>
        <v>#REF!</v>
      </c>
      <c r="X40" t="e">
        <f>CAPEC!C429+"8O&lt;!$&gt;Q"</f>
        <v>#VALUE!</v>
      </c>
      <c r="Y40" t="e">
        <f>CAPEC!D429+"8O&lt;!$&gt;R"</f>
        <v>#VALUE!</v>
      </c>
      <c r="Z40" t="e">
        <f>CAPEC!E429+"8O&lt;!$&gt;S"</f>
        <v>#VALUE!</v>
      </c>
      <c r="AA40" t="e">
        <f>CAPEC!#REF!+"8O&lt;!$&gt;T"</f>
        <v>#REF!</v>
      </c>
      <c r="AB40" t="e">
        <f>CAPEC!C430+"8O&lt;!$&gt;U"</f>
        <v>#VALUE!</v>
      </c>
      <c r="AC40" t="e">
        <f>CAPEC!D430+"8O&lt;!$&gt;V"</f>
        <v>#VALUE!</v>
      </c>
      <c r="AD40" t="e">
        <f>CAPEC!E430+"8O&lt;!$&gt;W"</f>
        <v>#VALUE!</v>
      </c>
      <c r="AE40" t="e">
        <f>CAPEC!#REF!+"8O&lt;!$&gt;X"</f>
        <v>#REF!</v>
      </c>
      <c r="AF40" t="e">
        <f>CAPEC!C431+"8O&lt;!$&gt;Y"</f>
        <v>#VALUE!</v>
      </c>
      <c r="AG40" t="e">
        <f>CAPEC!D431+"8O&lt;!$&gt;Z"</f>
        <v>#VALUE!</v>
      </c>
      <c r="AH40" t="e">
        <f>CAPEC!E431+"8O&lt;!$&gt;["</f>
        <v>#VALUE!</v>
      </c>
      <c r="AI40" t="e">
        <f>CAPEC!#REF!+"8O&lt;!$&gt;\"</f>
        <v>#REF!</v>
      </c>
      <c r="AJ40" t="e">
        <f>CAPEC!C432+"8O&lt;!$&gt;]"</f>
        <v>#VALUE!</v>
      </c>
      <c r="AK40" t="e">
        <f>CAPEC!D432+"8O&lt;!$&gt;^"</f>
        <v>#VALUE!</v>
      </c>
      <c r="AL40" t="e">
        <f>CAPEC!E432+"8O&lt;!$&gt;_"</f>
        <v>#VALUE!</v>
      </c>
      <c r="AM40" t="e">
        <f>CAPEC!#REF!+"8O&lt;!$&gt;`"</f>
        <v>#REF!</v>
      </c>
      <c r="AN40" t="e">
        <f>CAPEC!C433+"8O&lt;!$&gt;a"</f>
        <v>#VALUE!</v>
      </c>
      <c r="AO40" t="e">
        <f>CAPEC!D433+"8O&lt;!$&gt;b"</f>
        <v>#VALUE!</v>
      </c>
      <c r="AP40" t="e">
        <f>CAPEC!E433+"8O&lt;!$&gt;c"</f>
        <v>#VALUE!</v>
      </c>
      <c r="AQ40" t="e">
        <f>CAPEC!#REF!+"8O&lt;!$&gt;d"</f>
        <v>#REF!</v>
      </c>
      <c r="AR40" t="e">
        <f>CAPEC!C434+"8O&lt;!$&gt;e"</f>
        <v>#VALUE!</v>
      </c>
      <c r="AS40" t="e">
        <f>CAPEC!D434+"8O&lt;!$&gt;f"</f>
        <v>#VALUE!</v>
      </c>
      <c r="AT40" t="e">
        <f>CAPEC!E434+"8O&lt;!$&gt;g"</f>
        <v>#VALUE!</v>
      </c>
      <c r="AU40" t="e">
        <f>CAPEC!#REF!+"8O&lt;!$&gt;h"</f>
        <v>#REF!</v>
      </c>
      <c r="AV40" t="e">
        <f>CAPEC!C435+"8O&lt;!$&gt;i"</f>
        <v>#VALUE!</v>
      </c>
      <c r="AW40" t="e">
        <f>CAPEC!D435+"8O&lt;!$&gt;j"</f>
        <v>#VALUE!</v>
      </c>
      <c r="AX40" t="e">
        <f>CAPEC!E435+"8O&lt;!$&gt;k"</f>
        <v>#VALUE!</v>
      </c>
      <c r="AY40" t="e">
        <f>CAPEC!#REF!+"8O&lt;!$&gt;l"</f>
        <v>#REF!</v>
      </c>
      <c r="AZ40" t="e">
        <f>CAPEC!C436+"8O&lt;!$&gt;m"</f>
        <v>#VALUE!</v>
      </c>
      <c r="BA40" t="e">
        <f>CAPEC!D436+"8O&lt;!$&gt;n"</f>
        <v>#VALUE!</v>
      </c>
      <c r="BB40" t="e">
        <f>CAPEC!E436+"8O&lt;!$&gt;o"</f>
        <v>#VALUE!</v>
      </c>
      <c r="BC40" t="e">
        <f>CAPEC!#REF!+"8O&lt;!$&gt;p"</f>
        <v>#REF!</v>
      </c>
      <c r="BD40" t="e">
        <f>CAPEC!C437+"8O&lt;!$&gt;q"</f>
        <v>#VALUE!</v>
      </c>
      <c r="BE40" t="e">
        <f>CAPEC!D437+"8O&lt;!$&gt;r"</f>
        <v>#VALUE!</v>
      </c>
      <c r="BF40" t="e">
        <f>CAPEC!E437+"8O&lt;!$&gt;s"</f>
        <v>#VALUE!</v>
      </c>
      <c r="BG40" t="e">
        <f>CAPEC!#REF!+"8O&lt;!$&gt;t"</f>
        <v>#REF!</v>
      </c>
      <c r="BH40" t="e">
        <f>CAPEC!C438+"8O&lt;!$&gt;u"</f>
        <v>#VALUE!</v>
      </c>
      <c r="BI40" t="e">
        <f>CAPEC!D438+"8O&lt;!$&gt;v"</f>
        <v>#VALUE!</v>
      </c>
      <c r="BJ40" t="e">
        <f>CAPEC!E438+"8O&lt;!$&gt;w"</f>
        <v>#VALUE!</v>
      </c>
      <c r="BK40" t="e">
        <f>CAPEC!#REF!+"8O&lt;!$&gt;x"</f>
        <v>#REF!</v>
      </c>
      <c r="BL40" t="e">
        <f>CAPEC!C439+"8O&lt;!$&gt;y"</f>
        <v>#VALUE!</v>
      </c>
      <c r="BM40" t="e">
        <f>CAPEC!D439+"8O&lt;!$&gt;z"</f>
        <v>#VALUE!</v>
      </c>
      <c r="BN40" t="e">
        <f>CAPEC!E439+"8O&lt;!$&gt;{"</f>
        <v>#VALUE!</v>
      </c>
      <c r="BO40" t="e">
        <f>CAPEC!#REF!+"8O&lt;!$&gt;|"</f>
        <v>#REF!</v>
      </c>
      <c r="BP40" t="e">
        <f>CAPEC!C440+"8O&lt;!$&gt;}"</f>
        <v>#VALUE!</v>
      </c>
      <c r="BQ40" t="e">
        <f>CAPEC!D440+"8O&lt;!$&gt;~"</f>
        <v>#VALUE!</v>
      </c>
      <c r="BR40" t="e">
        <f>CAPEC!E440+"8O&lt;!$?#"</f>
        <v>#VALUE!</v>
      </c>
      <c r="BS40" t="e">
        <f>CAPEC!#REF!+"8O&lt;!$?$"</f>
        <v>#REF!</v>
      </c>
      <c r="BT40" t="e">
        <f>CAPEC!C441+"8O&lt;!$?%"</f>
        <v>#VALUE!</v>
      </c>
      <c r="BU40" t="e">
        <f>CAPEC!D441+"8O&lt;!$?&amp;"</f>
        <v>#VALUE!</v>
      </c>
      <c r="BV40" t="e">
        <f>CAPEC!E441+"8O&lt;!$?'"</f>
        <v>#VALUE!</v>
      </c>
      <c r="BW40" t="e">
        <f>CAPEC!#REF!+"8O&lt;!$?("</f>
        <v>#REF!</v>
      </c>
      <c r="BX40" t="e">
        <f>CAPEC!C442+"8O&lt;!$?)"</f>
        <v>#VALUE!</v>
      </c>
      <c r="BY40" t="e">
        <f>CAPEC!D442+"8O&lt;!$?."</f>
        <v>#VALUE!</v>
      </c>
      <c r="BZ40" t="e">
        <f>CAPEC!E442+"8O&lt;!$?/"</f>
        <v>#VALUE!</v>
      </c>
      <c r="CA40" t="e">
        <f>CAPEC!#REF!+"8O&lt;!$?0"</f>
        <v>#REF!</v>
      </c>
      <c r="CB40" t="e">
        <f>CAPEC!C443+"8O&lt;!$?1"</f>
        <v>#VALUE!</v>
      </c>
      <c r="CC40" t="e">
        <f>CAPEC!D443+"8O&lt;!$?2"</f>
        <v>#VALUE!</v>
      </c>
      <c r="CD40" t="e">
        <f>CAPEC!E443+"8O&lt;!$?3"</f>
        <v>#VALUE!</v>
      </c>
      <c r="CE40" t="e">
        <f>CAPEC!#REF!+"8O&lt;!$?4"</f>
        <v>#REF!</v>
      </c>
      <c r="CF40" t="e">
        <f>CAPEC!C444+"8O&lt;!$?5"</f>
        <v>#VALUE!</v>
      </c>
      <c r="CG40" t="e">
        <f>CAPEC!D444+"8O&lt;!$?6"</f>
        <v>#VALUE!</v>
      </c>
      <c r="CH40" t="e">
        <f>CAPEC!E444+"8O&lt;!$?7"</f>
        <v>#VALUE!</v>
      </c>
      <c r="CI40" t="e">
        <f>CAPEC!#REF!+"8O&lt;!$?8"</f>
        <v>#REF!</v>
      </c>
      <c r="CJ40" t="e">
        <f>CAPEC!C445+"8O&lt;!$?9"</f>
        <v>#VALUE!</v>
      </c>
      <c r="CK40" t="e">
        <f>CAPEC!D445+"8O&lt;!$?:"</f>
        <v>#VALUE!</v>
      </c>
      <c r="CL40" t="e">
        <f>CAPEC!E445+"8O&lt;!$?;"</f>
        <v>#VALUE!</v>
      </c>
      <c r="CM40" t="e">
        <f>CAPEC!#REF!+"8O&lt;!$?&lt;"</f>
        <v>#REF!</v>
      </c>
      <c r="CN40" t="e">
        <f>CAPEC!C446+"8O&lt;!$?="</f>
        <v>#VALUE!</v>
      </c>
      <c r="CO40" t="e">
        <f>CAPEC!D446+"8O&lt;!$?&gt;"</f>
        <v>#VALUE!</v>
      </c>
      <c r="CP40" t="e">
        <f>CAPEC!E446+"8O&lt;!$??"</f>
        <v>#VALUE!</v>
      </c>
      <c r="CQ40" t="e">
        <f>CAPEC!#REF!+"8O&lt;!$?@"</f>
        <v>#REF!</v>
      </c>
      <c r="CR40" t="e">
        <f>CAPEC!C447+"8O&lt;!$?A"</f>
        <v>#VALUE!</v>
      </c>
      <c r="CS40" t="e">
        <f>CAPEC!D447+"8O&lt;!$?B"</f>
        <v>#VALUE!</v>
      </c>
      <c r="CT40" t="e">
        <f>CAPEC!E447+"8O&lt;!$?C"</f>
        <v>#VALUE!</v>
      </c>
      <c r="CU40" t="e">
        <f>CAPEC!#REF!+"8O&lt;!$?D"</f>
        <v>#REF!</v>
      </c>
      <c r="CV40" t="e">
        <f>CAPEC!C448+"8O&lt;!$?E"</f>
        <v>#VALUE!</v>
      </c>
      <c r="CW40" t="e">
        <f>CAPEC!D448+"8O&lt;!$?F"</f>
        <v>#VALUE!</v>
      </c>
      <c r="CX40" t="e">
        <f>CAPEC!E448+"8O&lt;!$?G"</f>
        <v>#VALUE!</v>
      </c>
      <c r="CY40" t="e">
        <f>CAPEC!#REF!+"8O&lt;!$?H"</f>
        <v>#REF!</v>
      </c>
      <c r="CZ40" t="e">
        <f>CAPEC!C449+"8O&lt;!$?I"</f>
        <v>#VALUE!</v>
      </c>
      <c r="DA40" t="e">
        <f>CAPEC!D449+"8O&lt;!$?J"</f>
        <v>#VALUE!</v>
      </c>
      <c r="DB40" t="e">
        <f>CAPEC!E449+"8O&lt;!$?K"</f>
        <v>#VALUE!</v>
      </c>
      <c r="DC40" t="e">
        <f>CAPEC!#REF!+"8O&lt;!$?L"</f>
        <v>#REF!</v>
      </c>
      <c r="DD40" t="e">
        <f>CAPEC!C450+"8O&lt;!$?M"</f>
        <v>#VALUE!</v>
      </c>
      <c r="DE40" t="e">
        <f>CAPEC!D450+"8O&lt;!$?N"</f>
        <v>#VALUE!</v>
      </c>
      <c r="DF40" t="e">
        <f>CAPEC!E450+"8O&lt;!$?O"</f>
        <v>#VALUE!</v>
      </c>
      <c r="DG40" t="e">
        <f>CAPEC!#REF!+"8O&lt;!$?P"</f>
        <v>#REF!</v>
      </c>
      <c r="DH40" t="e">
        <f>CAPEC!C451+"8O&lt;!$?Q"</f>
        <v>#VALUE!</v>
      </c>
      <c r="DI40" t="e">
        <f>CAPEC!D451+"8O&lt;!$?R"</f>
        <v>#VALUE!</v>
      </c>
      <c r="DJ40" t="e">
        <f>CAPEC!E451+"8O&lt;!$?S"</f>
        <v>#VALUE!</v>
      </c>
      <c r="DK40" t="e">
        <f>CAPEC!#REF!+"8O&lt;!$?T"</f>
        <v>#REF!</v>
      </c>
      <c r="DL40" t="e">
        <f>CAPEC!C452+"8O&lt;!$?U"</f>
        <v>#VALUE!</v>
      </c>
      <c r="DM40" t="e">
        <f>CAPEC!D452+"8O&lt;!$?V"</f>
        <v>#VALUE!</v>
      </c>
      <c r="DN40" t="e">
        <f>CAPEC!E452+"8O&lt;!$?W"</f>
        <v>#VALUE!</v>
      </c>
      <c r="DO40" t="e">
        <f>CAPEC!#REF!+"8O&lt;!$?X"</f>
        <v>#REF!</v>
      </c>
      <c r="DP40" t="e">
        <f>CAPEC!C453+"8O&lt;!$?Y"</f>
        <v>#VALUE!</v>
      </c>
      <c r="DQ40" t="e">
        <f>CAPEC!D453+"8O&lt;!$?Z"</f>
        <v>#VALUE!</v>
      </c>
      <c r="DR40" t="e">
        <f>CAPEC!E453+"8O&lt;!$?["</f>
        <v>#VALUE!</v>
      </c>
      <c r="DS40" t="e">
        <f>CAPEC!#REF!+"8O&lt;!$?\"</f>
        <v>#REF!</v>
      </c>
      <c r="DT40" t="e">
        <f>CAPEC!C454+"8O&lt;!$?]"</f>
        <v>#VALUE!</v>
      </c>
      <c r="DU40" t="e">
        <f>CAPEC!D454+"8O&lt;!$?^"</f>
        <v>#VALUE!</v>
      </c>
      <c r="DV40" t="e">
        <f>CAPEC!E454+"8O&lt;!$?_"</f>
        <v>#VALUE!</v>
      </c>
      <c r="DW40" t="e">
        <f>CAPEC!#REF!+"8O&lt;!$?`"</f>
        <v>#REF!</v>
      </c>
      <c r="DX40" t="e">
        <f>CAPEC!C455+"8O&lt;!$?a"</f>
        <v>#VALUE!</v>
      </c>
      <c r="DY40" t="e">
        <f>CAPEC!D455+"8O&lt;!$?b"</f>
        <v>#VALUE!</v>
      </c>
      <c r="DZ40" t="e">
        <f>CAPEC!E455+"8O&lt;!$?c"</f>
        <v>#VALUE!</v>
      </c>
      <c r="EA40" t="e">
        <f>CAPEC!#REF!+"8O&lt;!$?d"</f>
        <v>#REF!</v>
      </c>
      <c r="EB40" t="e">
        <f>CAPEC!C456+"8O&lt;!$?e"</f>
        <v>#VALUE!</v>
      </c>
      <c r="EC40" t="e">
        <f>CAPEC!D456+"8O&lt;!$?f"</f>
        <v>#VALUE!</v>
      </c>
      <c r="ED40" t="e">
        <f>CAPEC!E456+"8O&lt;!$?g"</f>
        <v>#VALUE!</v>
      </c>
      <c r="EE40" t="e">
        <f>CAPEC!#REF!+"8O&lt;!$?h"</f>
        <v>#REF!</v>
      </c>
      <c r="EF40" t="e">
        <f>CAPEC!C457+"8O&lt;!$?i"</f>
        <v>#VALUE!</v>
      </c>
      <c r="EG40" t="e">
        <f>CAPEC!D457+"8O&lt;!$?j"</f>
        <v>#VALUE!</v>
      </c>
      <c r="EH40" t="e">
        <f>CAPEC!E457+"8O&lt;!$?k"</f>
        <v>#VALUE!</v>
      </c>
      <c r="EI40" t="e">
        <f>CAPEC!#REF!+"8O&lt;!$?l"</f>
        <v>#REF!</v>
      </c>
      <c r="EJ40" t="e">
        <f>CAPEC!C458+"8O&lt;!$?m"</f>
        <v>#VALUE!</v>
      </c>
      <c r="EK40" t="e">
        <f>CAPEC!D458+"8O&lt;!$?n"</f>
        <v>#VALUE!</v>
      </c>
      <c r="EL40" t="e">
        <f>CAPEC!E458+"8O&lt;!$?o"</f>
        <v>#VALUE!</v>
      </c>
      <c r="EM40" t="e">
        <f>CAPEC!#REF!+"8O&lt;!$?p"</f>
        <v>#REF!</v>
      </c>
      <c r="EN40" t="e">
        <f>CAPEC!C459+"8O&lt;!$?q"</f>
        <v>#VALUE!</v>
      </c>
      <c r="EO40" t="e">
        <f>CAPEC!D459+"8O&lt;!$?r"</f>
        <v>#VALUE!</v>
      </c>
      <c r="EP40" t="e">
        <f>CAPEC!E459+"8O&lt;!$?s"</f>
        <v>#VALUE!</v>
      </c>
      <c r="EQ40" t="e">
        <f>CAPEC!#REF!+"8O&lt;!$?t"</f>
        <v>#REF!</v>
      </c>
      <c r="ER40" t="e">
        <f>CAPEC!C460+"8O&lt;!$?u"</f>
        <v>#VALUE!</v>
      </c>
      <c r="ES40" t="e">
        <f>CAPEC!D460+"8O&lt;!$?v"</f>
        <v>#VALUE!</v>
      </c>
      <c r="ET40" t="e">
        <f>CAPEC!E460+"8O&lt;!$?w"</f>
        <v>#VALUE!</v>
      </c>
      <c r="EU40" t="e">
        <f>CAPEC!#REF!+"8O&lt;!$?x"</f>
        <v>#REF!</v>
      </c>
      <c r="EV40" t="e">
        <f>CAPEC!C461+"8O&lt;!$?y"</f>
        <v>#VALUE!</v>
      </c>
      <c r="EW40" t="e">
        <f>CAPEC!D461+"8O&lt;!$?z"</f>
        <v>#VALUE!</v>
      </c>
      <c r="EX40" t="e">
        <f>CAPEC!E461+"8O&lt;!$?{"</f>
        <v>#VALUE!</v>
      </c>
      <c r="EY40" t="e">
        <f>CAPEC!#REF!+"8O&lt;!$?|"</f>
        <v>#REF!</v>
      </c>
      <c r="EZ40" t="e">
        <f>CAPEC!C462+"8O&lt;!$?}"</f>
        <v>#VALUE!</v>
      </c>
      <c r="FA40" t="e">
        <f>CAPEC!D462+"8O&lt;!$?~"</f>
        <v>#VALUE!</v>
      </c>
      <c r="FB40" t="e">
        <f>CAPEC!E462+"8O&lt;!$@#"</f>
        <v>#VALUE!</v>
      </c>
      <c r="FC40" t="e">
        <f>CAPEC!#REF!+"8O&lt;!$@$"</f>
        <v>#REF!</v>
      </c>
      <c r="FD40" t="e">
        <f>CAPEC!C463+"8O&lt;!$@%"</f>
        <v>#VALUE!</v>
      </c>
      <c r="FE40" t="e">
        <f>CAPEC!D463+"8O&lt;!$@&amp;"</f>
        <v>#VALUE!</v>
      </c>
      <c r="FF40" t="e">
        <f>CAPEC!E463+"8O&lt;!$@'"</f>
        <v>#VALUE!</v>
      </c>
      <c r="FG40" t="e">
        <f>CAPEC!#REF!+"8O&lt;!$@("</f>
        <v>#REF!</v>
      </c>
      <c r="FH40" t="e">
        <f>CAPEC!C464+"8O&lt;!$@)"</f>
        <v>#VALUE!</v>
      </c>
      <c r="FI40" t="e">
        <f>CAPEC!D464+"8O&lt;!$@."</f>
        <v>#VALUE!</v>
      </c>
      <c r="FJ40" t="e">
        <f>CAPEC!E464+"8O&lt;!$@/"</f>
        <v>#VALUE!</v>
      </c>
      <c r="FK40" t="e">
        <f>CAPEC!#REF!+"8O&lt;!$@0"</f>
        <v>#REF!</v>
      </c>
      <c r="FL40" t="e">
        <f>CAPEC!C465+"8O&lt;!$@1"</f>
        <v>#VALUE!</v>
      </c>
      <c r="FM40" t="e">
        <f>CAPEC!D465+"8O&lt;!$@2"</f>
        <v>#VALUE!</v>
      </c>
      <c r="FN40" t="e">
        <f>CAPEC!E465+"8O&lt;!$@3"</f>
        <v>#VALUE!</v>
      </c>
      <c r="FO40" t="e">
        <f>CAPEC!#REF!+"8O&lt;!$@4"</f>
        <v>#REF!</v>
      </c>
      <c r="FP40" t="e">
        <f>CAPEC!C466+"8O&lt;!$@5"</f>
        <v>#VALUE!</v>
      </c>
      <c r="FQ40" t="e">
        <f>CAPEC!D466+"8O&lt;!$@6"</f>
        <v>#VALUE!</v>
      </c>
      <c r="FR40" t="e">
        <f>CAPEC!E466+"8O&lt;!$@7"</f>
        <v>#VALUE!</v>
      </c>
      <c r="FS40" t="e">
        <f>CAPEC!#REF!+"8O&lt;!$@8"</f>
        <v>#REF!</v>
      </c>
      <c r="FT40" t="e">
        <f>CAPEC!C467+"8O&lt;!$@9"</f>
        <v>#VALUE!</v>
      </c>
      <c r="FU40" t="e">
        <f>CAPEC!D467+"8O&lt;!$@:"</f>
        <v>#VALUE!</v>
      </c>
      <c r="FV40" t="e">
        <f>CAPEC!E467+"8O&lt;!$@;"</f>
        <v>#VALUE!</v>
      </c>
      <c r="FW40" t="e">
        <f>CAPEC!#REF!+"8O&lt;!$@&lt;"</f>
        <v>#REF!</v>
      </c>
      <c r="FX40" t="e">
        <f>CAPEC!C468+"8O&lt;!$@="</f>
        <v>#VALUE!</v>
      </c>
      <c r="FY40" t="e">
        <f>CAPEC!D468+"8O&lt;!$@&gt;"</f>
        <v>#VALUE!</v>
      </c>
      <c r="FZ40" t="e">
        <f>CAPEC!E468+"8O&lt;!$@?"</f>
        <v>#VALUE!</v>
      </c>
      <c r="GA40" t="e">
        <f>CAPEC!#REF!+"8O&lt;!$@@"</f>
        <v>#REF!</v>
      </c>
      <c r="GB40" t="e">
        <f>CAPEC!C469+"8O&lt;!$@A"</f>
        <v>#VALUE!</v>
      </c>
      <c r="GC40" t="e">
        <f>CAPEC!D469+"8O&lt;!$@B"</f>
        <v>#VALUE!</v>
      </c>
      <c r="GD40" t="e">
        <f>CAPEC!E469+"8O&lt;!$@C"</f>
        <v>#VALUE!</v>
      </c>
      <c r="GE40" t="e">
        <f>CAPEC!#REF!+"8O&lt;!$@D"</f>
        <v>#REF!</v>
      </c>
      <c r="GF40" t="e">
        <f>CAPEC!C470+"8O&lt;!$@E"</f>
        <v>#VALUE!</v>
      </c>
      <c r="GG40" t="e">
        <f>CAPEC!D470+"8O&lt;!$@F"</f>
        <v>#VALUE!</v>
      </c>
      <c r="GH40" t="e">
        <f>CAPEC!E470+"8O&lt;!$@G"</f>
        <v>#VALUE!</v>
      </c>
      <c r="GI40" t="e">
        <f>CAPEC!#REF!+"8O&lt;!$@H"</f>
        <v>#REF!</v>
      </c>
      <c r="GJ40" t="e">
        <f>CAPEC!C471+"8O&lt;!$@I"</f>
        <v>#VALUE!</v>
      </c>
      <c r="GK40" t="e">
        <f>CAPEC!D471+"8O&lt;!$@J"</f>
        <v>#VALUE!</v>
      </c>
      <c r="GL40" t="e">
        <f>CAPEC!E471+"8O&lt;!$@K"</f>
        <v>#VALUE!</v>
      </c>
      <c r="GM40" t="e">
        <f>CAPEC!#REF!+"8O&lt;!$@L"</f>
        <v>#REF!</v>
      </c>
      <c r="GN40" t="e">
        <f>CAPEC!C472+"8O&lt;!$@M"</f>
        <v>#VALUE!</v>
      </c>
      <c r="GO40" t="e">
        <f>CAPEC!D472+"8O&lt;!$@N"</f>
        <v>#VALUE!</v>
      </c>
      <c r="GP40" t="e">
        <f>CAPEC!E472+"8O&lt;!$@O"</f>
        <v>#VALUE!</v>
      </c>
      <c r="GQ40" t="e">
        <f>CAPEC!#REF!+"8O&lt;!$@P"</f>
        <v>#REF!</v>
      </c>
      <c r="GR40" t="e">
        <f>CAPEC!C473+"8O&lt;!$@Q"</f>
        <v>#VALUE!</v>
      </c>
      <c r="GS40" t="e">
        <f>CAPEC!D473+"8O&lt;!$@R"</f>
        <v>#VALUE!</v>
      </c>
      <c r="GT40" t="e">
        <f>CAPEC!E473+"8O&lt;!$@S"</f>
        <v>#VALUE!</v>
      </c>
      <c r="GU40" t="e">
        <f>CAPEC!#REF!+"8O&lt;!$@T"</f>
        <v>#REF!</v>
      </c>
      <c r="GV40" t="e">
        <f>CAPEC!C474+"8O&lt;!$@U"</f>
        <v>#VALUE!</v>
      </c>
      <c r="GW40" t="e">
        <f>CAPEC!D474+"8O&lt;!$@V"</f>
        <v>#VALUE!</v>
      </c>
      <c r="GX40" t="e">
        <f>CAPEC!E474+"8O&lt;!$@W"</f>
        <v>#VALUE!</v>
      </c>
      <c r="GY40" t="e">
        <f>CAPEC!#REF!+"8O&lt;!$@X"</f>
        <v>#REF!</v>
      </c>
      <c r="GZ40" t="e">
        <f>CAPEC!C475+"8O&lt;!$@Y"</f>
        <v>#VALUE!</v>
      </c>
      <c r="HA40" t="e">
        <f>CAPEC!D475+"8O&lt;!$@Z"</f>
        <v>#VALUE!</v>
      </c>
      <c r="HB40" t="e">
        <f>CAPEC!E475+"8O&lt;!$@["</f>
        <v>#VALUE!</v>
      </c>
      <c r="HC40" t="e">
        <f>CAPEC!#REF!+"8O&lt;!$@\"</f>
        <v>#REF!</v>
      </c>
      <c r="HD40" t="e">
        <f>CAPEC!C476+"8O&lt;!$@]"</f>
        <v>#VALUE!</v>
      </c>
      <c r="HE40" t="e">
        <f>CAPEC!D476+"8O&lt;!$@^"</f>
        <v>#VALUE!</v>
      </c>
      <c r="HF40" t="e">
        <f>CAPEC!E476+"8O&lt;!$@_"</f>
        <v>#VALUE!</v>
      </c>
      <c r="HG40" t="e">
        <f>CAPEC!#REF!+"8O&lt;!$@`"</f>
        <v>#REF!</v>
      </c>
      <c r="HH40" t="e">
        <f>CAPEC!C477+"8O&lt;!$@a"</f>
        <v>#VALUE!</v>
      </c>
      <c r="HI40" t="e">
        <f>CAPEC!D477+"8O&lt;!$@b"</f>
        <v>#VALUE!</v>
      </c>
      <c r="HJ40" t="e">
        <f>CAPEC!E477+"8O&lt;!$@c"</f>
        <v>#VALUE!</v>
      </c>
      <c r="HK40" t="e">
        <f>CAPEC!#REF!+"8O&lt;!$@d"</f>
        <v>#REF!</v>
      </c>
      <c r="HL40" t="e">
        <f>CAPEC!C478+"8O&lt;!$@e"</f>
        <v>#VALUE!</v>
      </c>
      <c r="HM40" t="e">
        <f>CAPEC!D478+"8O&lt;!$@f"</f>
        <v>#VALUE!</v>
      </c>
      <c r="HN40" t="e">
        <f>CAPEC!E478+"8O&lt;!$@g"</f>
        <v>#VALUE!</v>
      </c>
      <c r="HO40" t="e">
        <f>CAPEC!#REF!+"8O&lt;!$@h"</f>
        <v>#REF!</v>
      </c>
      <c r="HP40" t="e">
        <f>CAPEC!C479+"8O&lt;!$@i"</f>
        <v>#VALUE!</v>
      </c>
      <c r="HQ40" t="e">
        <f>CAPEC!D479+"8O&lt;!$@j"</f>
        <v>#VALUE!</v>
      </c>
      <c r="HR40" t="e">
        <f>CAPEC!E479+"8O&lt;!$@k"</f>
        <v>#VALUE!</v>
      </c>
      <c r="HS40" t="e">
        <f>CAPEC!#REF!+"8O&lt;!$@l"</f>
        <v>#REF!</v>
      </c>
      <c r="HT40" t="e">
        <f>CAPEC!#REF!+"8O&lt;!$@m"</f>
        <v>#REF!</v>
      </c>
      <c r="HU40" t="e">
        <f>CVEs!E:E*"8O&lt;!$@n"</f>
        <v>#VALUE!</v>
      </c>
      <c r="HV40" s="58" t="e">
        <f>CVEs!E2+"8O&lt;!$@o"</f>
        <v>#VALUE!</v>
      </c>
      <c r="HW40" s="58" t="e">
        <f>CVEs!E4+"8O&lt;!$@p"</f>
        <v>#VALUE!</v>
      </c>
      <c r="HX40" s="58" t="e">
        <f>CVEs!E5+"8O&lt;!$@q"</f>
        <v>#VALUE!</v>
      </c>
      <c r="HY40" s="58" t="e">
        <f>CVEs!E7+"8O&lt;!$@r"</f>
        <v>#VALUE!</v>
      </c>
      <c r="HZ40" s="58" t="e">
        <f>CVEs!E10+"8O&lt;!$@s"</f>
        <v>#VALUE!</v>
      </c>
      <c r="IA40" s="58" t="e">
        <f>CVEs!E12+"8O&lt;!$@t"</f>
        <v>#VALUE!</v>
      </c>
      <c r="IB40" s="58" t="e">
        <f>CVEs!E13+"8O&lt;!$@u"</f>
        <v>#VALUE!</v>
      </c>
      <c r="IC40" s="58" t="e">
        <f>CVEs!E14+"8O&lt;!$@v"</f>
        <v>#VALUE!</v>
      </c>
      <c r="ID40" s="58" t="e">
        <f>CVEs!E16+"8O&lt;!$@w"</f>
        <v>#VALUE!</v>
      </c>
      <c r="IE40" s="58" t="e">
        <f>CVEs!E18+"8O&lt;!$@x"</f>
        <v>#VALUE!</v>
      </c>
      <c r="IF40" s="58" t="e">
        <f>CVEs!E19+"8O&lt;!$@y"</f>
        <v>#VALUE!</v>
      </c>
      <c r="IG40" s="58" t="e">
        <f>CVEs!E20+"8O&lt;!$@z"</f>
        <v>#VALUE!</v>
      </c>
      <c r="IH40" s="58" t="e">
        <f>CVEs!E21+"8O&lt;!$@{"</f>
        <v>#VALUE!</v>
      </c>
      <c r="II40" s="58" t="e">
        <f>CVEs!#REF!+"8O&lt;!$@|"</f>
        <v>#REF!</v>
      </c>
      <c r="IJ40" s="58" t="e">
        <f>CVEs!E22+"8O&lt;!$@}"</f>
        <v>#VALUE!</v>
      </c>
      <c r="IK40" s="58" t="e">
        <f>CVEs!E23+"8O&lt;!$@~"</f>
        <v>#VALUE!</v>
      </c>
      <c r="IL40" s="58" t="e">
        <f>CVEs!#REF!+"8O&lt;!$A#"</f>
        <v>#REF!</v>
      </c>
      <c r="IM40" s="58" t="e">
        <f>CVEs!E24+"8O&lt;!$A$"</f>
        <v>#VALUE!</v>
      </c>
      <c r="IN40" s="58" t="e">
        <f>CVEs!E25+"8O&lt;!$A%"</f>
        <v>#VALUE!</v>
      </c>
      <c r="IO40" s="58" t="e">
        <f>CVEs!#REF!+"8O&lt;!$A&amp;"</f>
        <v>#REF!</v>
      </c>
      <c r="IP40" s="58" t="e">
        <f>CVEs!E29+"8O&lt;!$A'"</f>
        <v>#VALUE!</v>
      </c>
      <c r="IQ40" s="58" t="e">
        <f>CVEs!E30+"8O&lt;!$A("</f>
        <v>#VALUE!</v>
      </c>
      <c r="IR40" s="58" t="e">
        <f>CVEs!E31+"8O&lt;!$A)"</f>
        <v>#VALUE!</v>
      </c>
      <c r="IS40" s="58" t="e">
        <f>CVEs!E32+"8O&lt;!$A."</f>
        <v>#VALUE!</v>
      </c>
      <c r="IT40" s="58" t="e">
        <f>CVEs!E33+"8O&lt;!$A/"</f>
        <v>#VALUE!</v>
      </c>
      <c r="IU40" s="58" t="e">
        <f>CVEs!E35+"8O&lt;!$A0"</f>
        <v>#VALUE!</v>
      </c>
      <c r="IV40" s="58" t="e">
        <f>CVEs!E38+"8O&lt;!$A1"</f>
        <v>#VALUE!</v>
      </c>
    </row>
    <row r="41" spans="6:256" x14ac:dyDescent="0.25">
      <c r="F41" s="58" t="e">
        <f>CVEs!#REF!+"8O&lt;!$A2"</f>
        <v>#REF!</v>
      </c>
      <c r="G41" s="58" t="e">
        <f>CVEs!#REF!+"8O&lt;!$A3"</f>
        <v>#REF!</v>
      </c>
      <c r="H41" s="58" t="e">
        <f>CVEs!#REF!+"8O&lt;!$A4"</f>
        <v>#REF!</v>
      </c>
      <c r="I41" s="58" t="e">
        <f>CVEs!#REF!+"8O&lt;!$A5"</f>
        <v>#REF!</v>
      </c>
      <c r="J41" s="58" t="e">
        <f>CVEs!#REF!+"8O&lt;!$A6"</f>
        <v>#REF!</v>
      </c>
      <c r="K41" s="58" t="e">
        <f>CVEs!#REF!+"8O&lt;!$A7"</f>
        <v>#REF!</v>
      </c>
      <c r="L41" s="58" t="e">
        <f>CVEs!#REF!+"8O&lt;!$A8"</f>
        <v>#REF!</v>
      </c>
      <c r="M41" s="58" t="e">
        <f>CVEs!#REF!+"8O&lt;!$A9"</f>
        <v>#REF!</v>
      </c>
      <c r="N41" s="58" t="e">
        <f>CVEs!#REF!+"8O&lt;!$A:"</f>
        <v>#REF!</v>
      </c>
      <c r="O41" s="58" t="e">
        <f>CVEs!#REF!+"8O&lt;!$A;"</f>
        <v>#REF!</v>
      </c>
      <c r="P41" s="58" t="e">
        <f>CVEs!#REF!+"8O&lt;!$A&lt;"</f>
        <v>#REF!</v>
      </c>
      <c r="Q41" s="58" t="e">
        <f>CVEs!#REF!+"8O&lt;!$A="</f>
        <v>#REF!</v>
      </c>
      <c r="R41" s="58" t="e">
        <f>CVEs!#REF!+"8O&lt;!$A&gt;"</f>
        <v>#REF!</v>
      </c>
      <c r="S41" s="58" t="e">
        <f>CVEs!#REF!+"8O&lt;!$A?"</f>
        <v>#REF!</v>
      </c>
      <c r="T41" s="58" t="e">
        <f>CVEs!#REF!+"8O&lt;!$A@"</f>
        <v>#REF!</v>
      </c>
      <c r="U41" s="58" t="e">
        <f>CVEs!#REF!+"8O&lt;!$AA"</f>
        <v>#REF!</v>
      </c>
      <c r="V41" s="58" t="e">
        <f>CVEs!E46+"8O&lt;!$AB"</f>
        <v>#VALUE!</v>
      </c>
      <c r="W41" t="e">
        <f>Drop_Downs!C11+"8O&lt;!$AC"</f>
        <v>#VALUE!</v>
      </c>
      <c r="X41" t="e">
        <f>Rules!B5+"8O&lt;!$AD"</f>
        <v>#VALUE!</v>
      </c>
      <c r="Y41" t="e">
        <f>CVEs!15:15-"8O&lt;!$AE"</f>
        <v>#VALUE!</v>
      </c>
      <c r="Z41" t="e">
        <f>CVEs!26:26-"8O&lt;!$AF"</f>
        <v>#VALUE!</v>
      </c>
      <c r="AA41" t="e">
        <f>CVEs!28:28-"8O&lt;!$AG"</f>
        <v>#VALUE!</v>
      </c>
      <c r="AB41" t="e">
        <f>CVEs!34:34-"8O&lt;!$AH"</f>
        <v>#VALUE!</v>
      </c>
      <c r="AC41" t="e">
        <f>CVEs!36:36-"8O&lt;!$AI"</f>
        <v>#VALUE!</v>
      </c>
      <c r="AD41" t="e">
        <f>CVEs!37:37-"8O&lt;!$AJ"</f>
        <v>#VALUE!</v>
      </c>
      <c r="AE41" t="e">
        <f>CVEs!39:39-"8O&lt;!$AK"</f>
        <v>#VALUE!</v>
      </c>
      <c r="AF41" t="e">
        <f>CVEs!40:40-"8O&lt;!$AL"</f>
        <v>#VALUE!</v>
      </c>
      <c r="AG41" t="e">
        <f>CVEs!H12+"8O&lt;!$AM"</f>
        <v>#VALUE!</v>
      </c>
      <c r="AH41" t="e">
        <f>CVEs!R12+"8O&lt;!$AN"</f>
        <v>#VALUE!</v>
      </c>
      <c r="AI41" t="e">
        <f>CVEs!V12+"8O&lt;!$AO"</f>
        <v>#VALUE!</v>
      </c>
      <c r="AJ41" t="e">
        <f>CVEs!A13+"8O&lt;!$AP"</f>
        <v>#VALUE!</v>
      </c>
      <c r="AK41" t="e">
        <f>CVEs!H13+"8O&lt;!$AQ"</f>
        <v>#VALUE!</v>
      </c>
      <c r="AL41" t="e">
        <f>CVEs!R13+"8O&lt;!$AR"</f>
        <v>#VALUE!</v>
      </c>
      <c r="AM41" t="e">
        <f>CVEs!V13+"8O&lt;!$AS"</f>
        <v>#VALUE!</v>
      </c>
      <c r="AN41" t="e">
        <f>CVEs!A14+"8O&lt;!$AT"</f>
        <v>#VALUE!</v>
      </c>
      <c r="AO41" t="e">
        <f>CVEs!H14+"8O&lt;!$AU"</f>
        <v>#VALUE!</v>
      </c>
      <c r="AP41" t="e">
        <f>CVEs!R14+"8O&lt;!$AV"</f>
        <v>#VALUE!</v>
      </c>
      <c r="AQ41" t="e">
        <f>CVEs!U14+"8O&lt;!$AW"</f>
        <v>#VALUE!</v>
      </c>
      <c r="AR41" t="e">
        <f>CVEs!V14+"8O&lt;!$AX"</f>
        <v>#VALUE!</v>
      </c>
      <c r="AS41" t="e">
        <f>CVEs!T14+"8O&lt;!$AY"</f>
        <v>#VALUE!</v>
      </c>
      <c r="AT41" t="e">
        <f>CVEs!A15+"8O&lt;!$AZ"</f>
        <v>#VALUE!</v>
      </c>
      <c r="AU41" t="e">
        <f>CVEs!B15+"8O&lt;!$A["</f>
        <v>#VALUE!</v>
      </c>
      <c r="AV41" t="e">
        <f>CVEs!C15+"8O&lt;!$A\"</f>
        <v>#VALUE!</v>
      </c>
      <c r="AW41" s="57" t="e">
        <f>CVEs!D15+"8O&lt;!$A]"</f>
        <v>#VALUE!</v>
      </c>
      <c r="AX41" s="58" t="e">
        <f>CVEs!E15+"8O&lt;!$A^"</f>
        <v>#VALUE!</v>
      </c>
      <c r="AY41" s="58" t="e">
        <f>CVEs!F15+"8O&lt;!$A_"</f>
        <v>#VALUE!</v>
      </c>
      <c r="AZ41" t="e">
        <f>CVEs!H15+"8O&lt;!$A`"</f>
        <v>#VALUE!</v>
      </c>
      <c r="BA41" t="e">
        <f>CVEs!I15+"8O&lt;!$Aa"</f>
        <v>#VALUE!</v>
      </c>
      <c r="BB41" t="e">
        <f>CVEs!J15+"8O&lt;!$Ab"</f>
        <v>#VALUE!</v>
      </c>
      <c r="BC41" t="e">
        <f>CVEs!K15+"8O&lt;!$Ac"</f>
        <v>#VALUE!</v>
      </c>
      <c r="BD41" t="e">
        <f>CVEs!L15+"8O&lt;!$Ad"</f>
        <v>#VALUE!</v>
      </c>
      <c r="BE41" t="e">
        <f>CVEs!M15+"8O&lt;!$Ae"</f>
        <v>#VALUE!</v>
      </c>
      <c r="BF41" t="e">
        <f>CVEs!N15+"8O&lt;!$Af"</f>
        <v>#VALUE!</v>
      </c>
      <c r="BG41" t="e">
        <f>CVEs!O15+"8O&lt;!$Ag"</f>
        <v>#VALUE!</v>
      </c>
      <c r="BH41" t="e">
        <f>CVEs!P15+"8O&lt;!$Ah"</f>
        <v>#VALUE!</v>
      </c>
      <c r="BI41" t="e">
        <f>CVEs!Q15+"8O&lt;!$Ai"</f>
        <v>#VALUE!</v>
      </c>
      <c r="BJ41" t="e">
        <f>CVEs!R15+"8O&lt;!$Aj"</f>
        <v>#VALUE!</v>
      </c>
      <c r="BK41" t="e">
        <f>CVEs!S15+"8O&lt;!$Ak"</f>
        <v>#VALUE!</v>
      </c>
      <c r="BL41" t="e">
        <f>CVEs!U15+"8O&lt;!$Al"</f>
        <v>#VALUE!</v>
      </c>
      <c r="BM41" t="e">
        <f>CVEs!V15+"8O&lt;!$Am"</f>
        <v>#VALUE!</v>
      </c>
      <c r="BN41" t="e">
        <f>CVEs!W15+"8O&lt;!$An"</f>
        <v>#VALUE!</v>
      </c>
      <c r="BO41" t="e">
        <f>CVEs!T15+"8O&lt;!$Ao"</f>
        <v>#VALUE!</v>
      </c>
      <c r="BP41" t="e">
        <f>CVEs!A16+"8O&lt;!$Ap"</f>
        <v>#VALUE!</v>
      </c>
      <c r="BQ41" t="e">
        <f>CVEs!H16+"8O&lt;!$Aq"</f>
        <v>#VALUE!</v>
      </c>
      <c r="BR41" t="e">
        <f>CVEs!R16+"8O&lt;!$Ar"</f>
        <v>#VALUE!</v>
      </c>
      <c r="BS41" t="e">
        <f>CVEs!U16+"8O&lt;!$As"</f>
        <v>#VALUE!</v>
      </c>
      <c r="BT41" t="e">
        <f>CVEs!V16+"8O&lt;!$At"</f>
        <v>#VALUE!</v>
      </c>
      <c r="BU41" t="e">
        <f>CVEs!T16+"8O&lt;!$Au"</f>
        <v>#VALUE!</v>
      </c>
      <c r="BV41" t="e">
        <f>CVEs!A18+"8O&lt;!$Av"</f>
        <v>#VALUE!</v>
      </c>
      <c r="BW41" t="e">
        <f>CVEs!H18+"8O&lt;!$Aw"</f>
        <v>#VALUE!</v>
      </c>
      <c r="BX41" t="e">
        <f>CVEs!R18+"8O&lt;!$Ax"</f>
        <v>#VALUE!</v>
      </c>
      <c r="BY41" t="e">
        <f>CVEs!U18+"8O&lt;!$Ay"</f>
        <v>#VALUE!</v>
      </c>
      <c r="BZ41" t="e">
        <f>CVEs!V18+"8O&lt;!$Az"</f>
        <v>#VALUE!</v>
      </c>
      <c r="CA41" t="e">
        <f>CVEs!T18+"8O&lt;!$A{"</f>
        <v>#VALUE!</v>
      </c>
      <c r="CB41" t="e">
        <f>CVEs!A19+"8O&lt;!$A|"</f>
        <v>#VALUE!</v>
      </c>
      <c r="CC41" t="e">
        <f>CVEs!H19+"8O&lt;!$A}"</f>
        <v>#VALUE!</v>
      </c>
      <c r="CD41" t="e">
        <f>CVEs!R19+"8O&lt;!$A~"</f>
        <v>#VALUE!</v>
      </c>
      <c r="CE41" t="e">
        <f>CVEs!U19+"8O&lt;!$B#"</f>
        <v>#VALUE!</v>
      </c>
      <c r="CF41" t="e">
        <f>CVEs!V19+"8O&lt;!$B$"</f>
        <v>#VALUE!</v>
      </c>
      <c r="CG41" t="e">
        <f>CVEs!T19+"8O&lt;!$B%"</f>
        <v>#VALUE!</v>
      </c>
      <c r="CH41" t="e">
        <f>CVEs!A20+"8O&lt;!$B&amp;"</f>
        <v>#VALUE!</v>
      </c>
      <c r="CI41" t="e">
        <f>CVEs!H20+"8O&lt;!$B'"</f>
        <v>#VALUE!</v>
      </c>
      <c r="CJ41" t="e">
        <f>CVEs!R20+"8O&lt;!$B("</f>
        <v>#VALUE!</v>
      </c>
      <c r="CK41" t="e">
        <f>CVEs!U20+"8O&lt;!$B)"</f>
        <v>#VALUE!</v>
      </c>
      <c r="CL41" t="e">
        <f>CVEs!V20+"8O&lt;!$B."</f>
        <v>#VALUE!</v>
      </c>
      <c r="CM41" t="e">
        <f>CVEs!T20+"8O&lt;!$B/"</f>
        <v>#VALUE!</v>
      </c>
      <c r="CN41" t="e">
        <f>CVEs!A21+"8O&lt;!$B0"</f>
        <v>#VALUE!</v>
      </c>
      <c r="CO41" t="e">
        <f>CVEs!H21+"8O&lt;!$B1"</f>
        <v>#VALUE!</v>
      </c>
      <c r="CP41" t="e">
        <f>CVEs!R21+"8O&lt;!$B2"</f>
        <v>#VALUE!</v>
      </c>
      <c r="CQ41" t="e">
        <f>CVEs!U21+"8O&lt;!$B3"</f>
        <v>#VALUE!</v>
      </c>
      <c r="CR41" t="e">
        <f>CVEs!V21+"8O&lt;!$B4"</f>
        <v>#VALUE!</v>
      </c>
      <c r="CS41" t="e">
        <f>CVEs!T21+"8O&lt;!$B5"</f>
        <v>#VALUE!</v>
      </c>
      <c r="CT41" t="e">
        <f>CVEs!A22+"8O&lt;!$B6"</f>
        <v>#VALUE!</v>
      </c>
      <c r="CU41" t="e">
        <f>CVEs!H22+"8O&lt;!$B7"</f>
        <v>#VALUE!</v>
      </c>
      <c r="CV41" t="e">
        <f>CVEs!R22+"8O&lt;!$B8"</f>
        <v>#VALUE!</v>
      </c>
      <c r="CW41" t="e">
        <f>CVEs!U22+"8O&lt;!$B9"</f>
        <v>#VALUE!</v>
      </c>
      <c r="CX41" t="e">
        <f>CVEs!V22+"8O&lt;!$B:"</f>
        <v>#VALUE!</v>
      </c>
      <c r="CY41" t="e">
        <f>CVEs!T22+"8O&lt;!$B;"</f>
        <v>#VALUE!</v>
      </c>
      <c r="CZ41" t="e">
        <f>CVEs!A23+"8O&lt;!$B&lt;"</f>
        <v>#VALUE!</v>
      </c>
      <c r="DA41" t="e">
        <f>CVEs!H23+"8O&lt;!$B="</f>
        <v>#VALUE!</v>
      </c>
      <c r="DB41" t="e">
        <f>CVEs!L23+"8O&lt;!$B&gt;"</f>
        <v>#VALUE!</v>
      </c>
      <c r="DC41" t="e">
        <f>CVEs!R23+"8O&lt;!$B?"</f>
        <v>#VALUE!</v>
      </c>
      <c r="DD41" t="e">
        <f>CVEs!U23+"8O&lt;!$B@"</f>
        <v>#VALUE!</v>
      </c>
      <c r="DE41" t="e">
        <f>CVEs!V23+"8O&lt;!$BA"</f>
        <v>#VALUE!</v>
      </c>
      <c r="DF41" t="e">
        <f>CVEs!T23+"8O&lt;!$BB"</f>
        <v>#VALUE!</v>
      </c>
      <c r="DG41" t="e">
        <f>CVEs!A24+"8O&lt;!$BC"</f>
        <v>#VALUE!</v>
      </c>
      <c r="DH41" t="e">
        <f>CVEs!H24+"8O&lt;!$BD"</f>
        <v>#VALUE!</v>
      </c>
      <c r="DI41" t="e">
        <f>CVEs!L24+"8O&lt;!$BE"</f>
        <v>#VALUE!</v>
      </c>
      <c r="DJ41" t="e">
        <f>CVEs!R24+"8O&lt;!$BF"</f>
        <v>#VALUE!</v>
      </c>
      <c r="DK41" t="e">
        <f>CVEs!U24+"8O&lt;!$BG"</f>
        <v>#VALUE!</v>
      </c>
      <c r="DL41" t="e">
        <f>CVEs!V24+"8O&lt;!$BH"</f>
        <v>#VALUE!</v>
      </c>
      <c r="DM41" t="e">
        <f>CVEs!T24+"8O&lt;!$BI"</f>
        <v>#VALUE!</v>
      </c>
      <c r="DN41" t="e">
        <f>CVEs!A25+"8O&lt;!$BJ"</f>
        <v>#VALUE!</v>
      </c>
      <c r="DO41" t="e">
        <f>CVEs!H25+"8O&lt;!$BK"</f>
        <v>#VALUE!</v>
      </c>
      <c r="DP41" t="e">
        <f>CVEs!L25+"8O&lt;!$BL"</f>
        <v>#VALUE!</v>
      </c>
      <c r="DQ41" t="e">
        <f>CVEs!R25+"8O&lt;!$BM"</f>
        <v>#VALUE!</v>
      </c>
      <c r="DR41" t="e">
        <f>CVEs!U25+"8O&lt;!$BN"</f>
        <v>#VALUE!</v>
      </c>
      <c r="DS41" t="e">
        <f>CVEs!V25+"8O&lt;!$BO"</f>
        <v>#VALUE!</v>
      </c>
      <c r="DT41" t="e">
        <f>CVEs!T25+"8O&lt;!$BP"</f>
        <v>#VALUE!</v>
      </c>
      <c r="DU41" t="e">
        <f>CVEs!A26+"8O&lt;!$BQ"</f>
        <v>#VALUE!</v>
      </c>
      <c r="DV41" t="e">
        <f>CVEs!B26+"8O&lt;!$BR"</f>
        <v>#VALUE!</v>
      </c>
      <c r="DW41" t="e">
        <f>CVEs!C26+"8O&lt;!$BS"</f>
        <v>#VALUE!</v>
      </c>
      <c r="DX41" s="57" t="e">
        <f>CVEs!D26+"8O&lt;!$BT"</f>
        <v>#VALUE!</v>
      </c>
      <c r="DY41" s="58" t="e">
        <f>CVEs!E26+"8O&lt;!$BU"</f>
        <v>#VALUE!</v>
      </c>
      <c r="DZ41" s="58" t="e">
        <f>CVEs!F26+"8O&lt;!$BV"</f>
        <v>#VALUE!</v>
      </c>
      <c r="EA41" t="e">
        <f>CVEs!H26+"8O&lt;!$BW"</f>
        <v>#VALUE!</v>
      </c>
      <c r="EB41" t="e">
        <f>CVEs!I26+"8O&lt;!$BX"</f>
        <v>#VALUE!</v>
      </c>
      <c r="EC41" t="e">
        <f>CVEs!J26+"8O&lt;!$BY"</f>
        <v>#VALUE!</v>
      </c>
      <c r="ED41" t="e">
        <f>CVEs!K26+"8O&lt;!$BZ"</f>
        <v>#VALUE!</v>
      </c>
      <c r="EE41" t="e">
        <f>CVEs!L26+"8O&lt;!$B["</f>
        <v>#VALUE!</v>
      </c>
      <c r="EF41" t="e">
        <f>CVEs!M26+"8O&lt;!$B\"</f>
        <v>#VALUE!</v>
      </c>
      <c r="EG41" t="e">
        <f>CVEs!N26+"8O&lt;!$B]"</f>
        <v>#VALUE!</v>
      </c>
      <c r="EH41" t="e">
        <f>CVEs!O26+"8O&lt;!$B^"</f>
        <v>#VALUE!</v>
      </c>
      <c r="EI41" t="e">
        <f>CVEs!P26+"8O&lt;!$B_"</f>
        <v>#VALUE!</v>
      </c>
      <c r="EJ41" t="e">
        <f>CVEs!Q26+"8O&lt;!$B`"</f>
        <v>#VALUE!</v>
      </c>
      <c r="EK41" t="e">
        <f>CVEs!R26+"8O&lt;!$Ba"</f>
        <v>#VALUE!</v>
      </c>
      <c r="EL41" t="e">
        <f>CVEs!S26+"8O&lt;!$Bb"</f>
        <v>#VALUE!</v>
      </c>
      <c r="EM41" t="e">
        <f>CVEs!U26+"8O&lt;!$Bc"</f>
        <v>#VALUE!</v>
      </c>
      <c r="EN41" t="e">
        <f>CVEs!V26+"8O&lt;!$Bd"</f>
        <v>#VALUE!</v>
      </c>
      <c r="EO41" t="e">
        <f>CVEs!W26+"8O&lt;!$Be"</f>
        <v>#VALUE!</v>
      </c>
      <c r="EP41" t="e">
        <f>CVEs!T26+"8O&lt;!$Bf"</f>
        <v>#VALUE!</v>
      </c>
      <c r="EQ41" t="e">
        <f>CVEs!A28+"8O&lt;!$Bg"</f>
        <v>#VALUE!</v>
      </c>
      <c r="ER41" t="e">
        <f>CVEs!B28+"8O&lt;!$Bh"</f>
        <v>#VALUE!</v>
      </c>
      <c r="ES41" t="e">
        <f>CVEs!C28+"8O&lt;!$Bi"</f>
        <v>#VALUE!</v>
      </c>
      <c r="ET41" s="57" t="e">
        <f>CVEs!D28+"8O&lt;!$Bj"</f>
        <v>#VALUE!</v>
      </c>
      <c r="EU41" s="58" t="e">
        <f>CVEs!E28+"8O&lt;!$Bk"</f>
        <v>#VALUE!</v>
      </c>
      <c r="EV41" s="58" t="e">
        <f>CVEs!F28+"8O&lt;!$Bl"</f>
        <v>#VALUE!</v>
      </c>
      <c r="EW41" t="e">
        <f>CVEs!H28+"8O&lt;!$Bm"</f>
        <v>#VALUE!</v>
      </c>
      <c r="EX41" t="e">
        <f>CVEs!I28+"8O&lt;!$Bn"</f>
        <v>#VALUE!</v>
      </c>
      <c r="EY41" t="e">
        <f>CVEs!J28+"8O&lt;!$Bo"</f>
        <v>#VALUE!</v>
      </c>
      <c r="EZ41" t="e">
        <f>CVEs!K28+"8O&lt;!$Bp"</f>
        <v>#VALUE!</v>
      </c>
      <c r="FA41" t="e">
        <f>CVEs!L28+"8O&lt;!$Bq"</f>
        <v>#VALUE!</v>
      </c>
      <c r="FB41" t="e">
        <f>CVEs!M28+"8O&lt;!$Br"</f>
        <v>#VALUE!</v>
      </c>
      <c r="FC41" t="e">
        <f>CVEs!N28+"8O&lt;!$Bs"</f>
        <v>#VALUE!</v>
      </c>
      <c r="FD41" t="e">
        <f>CVEs!O28+"8O&lt;!$Bt"</f>
        <v>#VALUE!</v>
      </c>
      <c r="FE41" t="e">
        <f>CVEs!P28+"8O&lt;!$Bu"</f>
        <v>#VALUE!</v>
      </c>
      <c r="FF41" t="e">
        <f>CVEs!Q28+"8O&lt;!$Bv"</f>
        <v>#VALUE!</v>
      </c>
      <c r="FG41" t="e">
        <f>CVEs!R28+"8O&lt;!$Bw"</f>
        <v>#VALUE!</v>
      </c>
      <c r="FH41" t="e">
        <f>CVEs!S28+"8O&lt;!$Bx"</f>
        <v>#VALUE!</v>
      </c>
      <c r="FI41" t="e">
        <f>CVEs!U28+"8O&lt;!$By"</f>
        <v>#VALUE!</v>
      </c>
      <c r="FJ41" t="e">
        <f>CVEs!V28+"8O&lt;!$Bz"</f>
        <v>#VALUE!</v>
      </c>
      <c r="FK41" t="e">
        <f>CVEs!W28+"8O&lt;!$B{"</f>
        <v>#VALUE!</v>
      </c>
      <c r="FL41" t="e">
        <f>CVEs!T28+"8O&lt;!$B|"</f>
        <v>#VALUE!</v>
      </c>
      <c r="FM41" t="e">
        <f>CVEs!A29+"8O&lt;!$B}"</f>
        <v>#VALUE!</v>
      </c>
      <c r="FN41" t="e">
        <f>CVEs!H29+"8O&lt;!$B~"</f>
        <v>#VALUE!</v>
      </c>
      <c r="FO41" t="e">
        <f>CVEs!L29+"8O&lt;!$C#"</f>
        <v>#VALUE!</v>
      </c>
      <c r="FP41" t="e">
        <f>CVEs!R29+"8O&lt;!$C$"</f>
        <v>#VALUE!</v>
      </c>
      <c r="FQ41" t="e">
        <f>CVEs!U29+"8O&lt;!$C%"</f>
        <v>#VALUE!</v>
      </c>
      <c r="FR41" t="e">
        <f>CVEs!V29+"8O&lt;!$C&amp;"</f>
        <v>#VALUE!</v>
      </c>
      <c r="FS41" t="e">
        <f>CVEs!T29+"8O&lt;!$C'"</f>
        <v>#VALUE!</v>
      </c>
      <c r="FT41" t="e">
        <f>CVEs!A30+"8O&lt;!$C("</f>
        <v>#VALUE!</v>
      </c>
      <c r="FU41" t="e">
        <f>CVEs!H30+"8O&lt;!$C)"</f>
        <v>#VALUE!</v>
      </c>
      <c r="FV41" t="e">
        <f>CVEs!L30+"8O&lt;!$C."</f>
        <v>#VALUE!</v>
      </c>
      <c r="FW41" t="e">
        <f>CVEs!R30+"8O&lt;!$C/"</f>
        <v>#VALUE!</v>
      </c>
      <c r="FX41" t="e">
        <f>CVEs!U30+"8O&lt;!$C0"</f>
        <v>#VALUE!</v>
      </c>
      <c r="FY41" t="e">
        <f>CVEs!V30+"8O&lt;!$C1"</f>
        <v>#VALUE!</v>
      </c>
      <c r="FZ41" t="e">
        <f>CVEs!T30+"8O&lt;!$C2"</f>
        <v>#VALUE!</v>
      </c>
      <c r="GA41" t="e">
        <f>CVEs!A31+"8O&lt;!$C3"</f>
        <v>#VALUE!</v>
      </c>
      <c r="GB41" t="e">
        <f>CVEs!H31+"8O&lt;!$C4"</f>
        <v>#VALUE!</v>
      </c>
      <c r="GC41" t="e">
        <f>CVEs!L31+"8O&lt;!$C5"</f>
        <v>#VALUE!</v>
      </c>
      <c r="GD41" t="e">
        <f>CVEs!R31+"8O&lt;!$C6"</f>
        <v>#VALUE!</v>
      </c>
      <c r="GE41" t="e">
        <f>CVEs!U31+"8O&lt;!$C7"</f>
        <v>#VALUE!</v>
      </c>
      <c r="GF41" t="e">
        <f>CVEs!V31+"8O&lt;!$C8"</f>
        <v>#VALUE!</v>
      </c>
      <c r="GG41" t="e">
        <f>CVEs!T31+"8O&lt;!$C9"</f>
        <v>#VALUE!</v>
      </c>
      <c r="GH41" t="e">
        <f>CVEs!A32+"8O&lt;!$C:"</f>
        <v>#VALUE!</v>
      </c>
      <c r="GI41" t="e">
        <f>CVEs!H32+"8O&lt;!$C;"</f>
        <v>#VALUE!</v>
      </c>
      <c r="GJ41" t="e">
        <f>CVEs!L32+"8O&lt;!$C&lt;"</f>
        <v>#VALUE!</v>
      </c>
      <c r="GK41" t="e">
        <f>CVEs!R32+"8O&lt;!$C="</f>
        <v>#VALUE!</v>
      </c>
      <c r="GL41" t="e">
        <f>CVEs!U32+"8O&lt;!$C&gt;"</f>
        <v>#VALUE!</v>
      </c>
      <c r="GM41" t="e">
        <f>CVEs!V32+"8O&lt;!$C?"</f>
        <v>#VALUE!</v>
      </c>
      <c r="GN41" t="e">
        <f>CVEs!T32+"8O&lt;!$C@"</f>
        <v>#VALUE!</v>
      </c>
      <c r="GO41" t="e">
        <f>CVEs!A33+"8O&lt;!$CA"</f>
        <v>#VALUE!</v>
      </c>
      <c r="GP41" t="e">
        <f>CVEs!H33+"8O&lt;!$CB"</f>
        <v>#VALUE!</v>
      </c>
      <c r="GQ41" t="e">
        <f>CVEs!L33+"8O&lt;!$CC"</f>
        <v>#VALUE!</v>
      </c>
      <c r="GR41" t="e">
        <f>CVEs!R33+"8O&lt;!$CD"</f>
        <v>#VALUE!</v>
      </c>
      <c r="GS41" t="e">
        <f>CVEs!U33+"8O&lt;!$CE"</f>
        <v>#VALUE!</v>
      </c>
      <c r="GT41" t="e">
        <f>CVEs!V33+"8O&lt;!$CF"</f>
        <v>#VALUE!</v>
      </c>
      <c r="GU41" t="e">
        <f>CVEs!T33+"8O&lt;!$CG"</f>
        <v>#VALUE!</v>
      </c>
      <c r="GV41" t="e">
        <f>CVEs!A34+"8O&lt;!$CH"</f>
        <v>#VALUE!</v>
      </c>
      <c r="GW41" t="e">
        <f>CVEs!B34+"8O&lt;!$CI"</f>
        <v>#VALUE!</v>
      </c>
      <c r="GX41" t="e">
        <f>CVEs!C34+"8O&lt;!$CJ"</f>
        <v>#VALUE!</v>
      </c>
      <c r="GY41" s="57" t="e">
        <f>CVEs!D34+"8O&lt;!$CK"</f>
        <v>#VALUE!</v>
      </c>
      <c r="GZ41" s="58" t="e">
        <f>CVEs!E34+"8O&lt;!$CL"</f>
        <v>#VALUE!</v>
      </c>
      <c r="HA41" s="58" t="e">
        <f>CVEs!F34+"8O&lt;!$CM"</f>
        <v>#VALUE!</v>
      </c>
      <c r="HB41" t="e">
        <f>CVEs!H34+"8O&lt;!$CN"</f>
        <v>#VALUE!</v>
      </c>
      <c r="HC41" t="e">
        <f>CVEs!I34+"8O&lt;!$CO"</f>
        <v>#VALUE!</v>
      </c>
      <c r="HD41" t="e">
        <f>CVEs!J34+"8O&lt;!$CP"</f>
        <v>#VALUE!</v>
      </c>
      <c r="HE41" t="e">
        <f>CVEs!K34+"8O&lt;!$CQ"</f>
        <v>#VALUE!</v>
      </c>
      <c r="HF41" t="e">
        <f>CVEs!L34+"8O&lt;!$CR"</f>
        <v>#VALUE!</v>
      </c>
      <c r="HG41" t="e">
        <f>CVEs!M34+"8O&lt;!$CS"</f>
        <v>#VALUE!</v>
      </c>
      <c r="HH41" t="e">
        <f>CVEs!N34+"8O&lt;!$CT"</f>
        <v>#VALUE!</v>
      </c>
      <c r="HI41" t="e">
        <f>CVEs!O34+"8O&lt;!$CU"</f>
        <v>#VALUE!</v>
      </c>
      <c r="HJ41" t="e">
        <f>CVEs!P34+"8O&lt;!$CV"</f>
        <v>#VALUE!</v>
      </c>
      <c r="HK41" t="e">
        <f>CVEs!Q34+"8O&lt;!$CW"</f>
        <v>#VALUE!</v>
      </c>
      <c r="HL41" t="e">
        <f>CVEs!R34+"8O&lt;!$CX"</f>
        <v>#VALUE!</v>
      </c>
      <c r="HM41" t="e">
        <f>CVEs!S34+"8O&lt;!$CY"</f>
        <v>#VALUE!</v>
      </c>
      <c r="HN41" t="e">
        <f>CVEs!U34+"8O&lt;!$CZ"</f>
        <v>#VALUE!</v>
      </c>
      <c r="HO41" t="e">
        <f>CVEs!V34+"8O&lt;!$C["</f>
        <v>#VALUE!</v>
      </c>
      <c r="HP41" t="e">
        <f>CVEs!W34+"8O&lt;!$C\"</f>
        <v>#VALUE!</v>
      </c>
      <c r="HQ41" t="e">
        <f>CVEs!T34+"8O&lt;!$C]"</f>
        <v>#VALUE!</v>
      </c>
      <c r="HR41" t="e">
        <f>CVEs!A35+"8O&lt;!$C^"</f>
        <v>#VALUE!</v>
      </c>
      <c r="HS41" t="e">
        <f>CVEs!H35+"8O&lt;!$C_"</f>
        <v>#VALUE!</v>
      </c>
      <c r="HT41" t="e">
        <f>CVEs!L35+"8O&lt;!$C`"</f>
        <v>#VALUE!</v>
      </c>
      <c r="HU41" t="e">
        <f>CVEs!R35+"8O&lt;!$Ca"</f>
        <v>#VALUE!</v>
      </c>
      <c r="HV41" t="e">
        <f>CVEs!U35+"8O&lt;!$Cb"</f>
        <v>#VALUE!</v>
      </c>
      <c r="HW41" t="e">
        <f>CVEs!V35+"8O&lt;!$Cc"</f>
        <v>#VALUE!</v>
      </c>
      <c r="HX41" t="e">
        <f>CVEs!T35+"8O&lt;!$Cd"</f>
        <v>#VALUE!</v>
      </c>
      <c r="HY41" t="e">
        <f>CVEs!A36+"8O&lt;!$Ce"</f>
        <v>#VALUE!</v>
      </c>
      <c r="HZ41" t="e">
        <f>CVEs!B36+"8O&lt;!$Cf"</f>
        <v>#VALUE!</v>
      </c>
      <c r="IA41" t="e">
        <f>CVEs!C36+"8O&lt;!$Cg"</f>
        <v>#VALUE!</v>
      </c>
      <c r="IB41" s="57" t="e">
        <f>CVEs!D36+"8O&lt;!$Ch"</f>
        <v>#VALUE!</v>
      </c>
      <c r="IC41" s="58" t="e">
        <f>CVEs!E36+"8O&lt;!$Ci"</f>
        <v>#VALUE!</v>
      </c>
      <c r="ID41" s="58" t="e">
        <f>CVEs!F36+"8O&lt;!$Cj"</f>
        <v>#VALUE!</v>
      </c>
      <c r="IE41" t="e">
        <f>CVEs!H36+"8O&lt;!$Ck"</f>
        <v>#VALUE!</v>
      </c>
      <c r="IF41" t="e">
        <f>CVEs!I36+"8O&lt;!$Cl"</f>
        <v>#VALUE!</v>
      </c>
      <c r="IG41" t="e">
        <f>CVEs!J36+"8O&lt;!$Cm"</f>
        <v>#VALUE!</v>
      </c>
      <c r="IH41" t="e">
        <f>CVEs!K36+"8O&lt;!$Cn"</f>
        <v>#VALUE!</v>
      </c>
      <c r="II41" t="e">
        <f>CVEs!L36+"8O&lt;!$Co"</f>
        <v>#VALUE!</v>
      </c>
      <c r="IJ41" t="e">
        <f>CVEs!M36+"8O&lt;!$Cp"</f>
        <v>#VALUE!</v>
      </c>
      <c r="IK41" t="e">
        <f>CVEs!N36+"8O&lt;!$Cq"</f>
        <v>#VALUE!</v>
      </c>
      <c r="IL41" t="e">
        <f>CVEs!O36+"8O&lt;!$Cr"</f>
        <v>#VALUE!</v>
      </c>
      <c r="IM41" t="e">
        <f>CVEs!P36+"8O&lt;!$Cs"</f>
        <v>#VALUE!</v>
      </c>
      <c r="IN41" t="e">
        <f>CVEs!Q36+"8O&lt;!$Ct"</f>
        <v>#VALUE!</v>
      </c>
      <c r="IO41" t="e">
        <f>CVEs!R36+"8O&lt;!$Cu"</f>
        <v>#VALUE!</v>
      </c>
      <c r="IP41" t="e">
        <f>CVEs!S36+"8O&lt;!$Cv"</f>
        <v>#VALUE!</v>
      </c>
      <c r="IQ41" t="e">
        <f>CVEs!U36+"8O&lt;!$Cw"</f>
        <v>#VALUE!</v>
      </c>
      <c r="IR41" t="e">
        <f>CVEs!V36+"8O&lt;!$Cx"</f>
        <v>#VALUE!</v>
      </c>
      <c r="IS41" t="e">
        <f>CVEs!W36+"8O&lt;!$Cy"</f>
        <v>#VALUE!</v>
      </c>
      <c r="IT41" t="e">
        <f>CVEs!T36+"8O&lt;!$Cz"</f>
        <v>#VALUE!</v>
      </c>
      <c r="IU41" t="e">
        <f>CVEs!A37+"8O&lt;!$C{"</f>
        <v>#VALUE!</v>
      </c>
      <c r="IV41" t="e">
        <f>CVEs!B37+"8O&lt;!$C|"</f>
        <v>#VALUE!</v>
      </c>
    </row>
    <row r="42" spans="6:256" x14ac:dyDescent="0.25">
      <c r="F42" t="e">
        <f>CVEs!C37+"8O&lt;!$C}"</f>
        <v>#VALUE!</v>
      </c>
      <c r="G42" s="57" t="e">
        <f>CVEs!D37+"8O&lt;!$C~"</f>
        <v>#VALUE!</v>
      </c>
      <c r="H42" s="58" t="e">
        <f>CVEs!E37+"8O&lt;!$D#"</f>
        <v>#VALUE!</v>
      </c>
      <c r="I42" s="58" t="e">
        <f>CVEs!F37+"8O&lt;!$D$"</f>
        <v>#VALUE!</v>
      </c>
      <c r="J42" t="e">
        <f>CVEs!H37+"8O&lt;!$D%"</f>
        <v>#VALUE!</v>
      </c>
      <c r="K42" t="e">
        <f>CVEs!I37+"8O&lt;!$D&amp;"</f>
        <v>#VALUE!</v>
      </c>
      <c r="L42" t="e">
        <f>CVEs!J37+"8O&lt;!$D'"</f>
        <v>#VALUE!</v>
      </c>
      <c r="M42" t="e">
        <f>CVEs!K37+"8O&lt;!$D("</f>
        <v>#VALUE!</v>
      </c>
      <c r="N42" t="e">
        <f>CVEs!L37+"8O&lt;!$D)"</f>
        <v>#VALUE!</v>
      </c>
      <c r="O42" t="e">
        <f>CVEs!M37+"8O&lt;!$D."</f>
        <v>#VALUE!</v>
      </c>
      <c r="P42" t="e">
        <f>CVEs!N37+"8O&lt;!$D/"</f>
        <v>#VALUE!</v>
      </c>
      <c r="Q42" t="e">
        <f>CVEs!O37+"8O&lt;!$D0"</f>
        <v>#VALUE!</v>
      </c>
      <c r="R42" t="e">
        <f>CVEs!P37+"8O&lt;!$D1"</f>
        <v>#VALUE!</v>
      </c>
      <c r="S42" t="e">
        <f>CVEs!Q37+"8O&lt;!$D2"</f>
        <v>#VALUE!</v>
      </c>
      <c r="T42" t="e">
        <f>CVEs!R37+"8O&lt;!$D3"</f>
        <v>#VALUE!</v>
      </c>
      <c r="U42" t="e">
        <f>CVEs!S37+"8O&lt;!$D4"</f>
        <v>#VALUE!</v>
      </c>
      <c r="V42" t="e">
        <f>CVEs!U37+"8O&lt;!$D5"</f>
        <v>#VALUE!</v>
      </c>
      <c r="W42" t="e">
        <f>CVEs!V37+"8O&lt;!$D6"</f>
        <v>#VALUE!</v>
      </c>
      <c r="X42" t="e">
        <f>CVEs!W37+"8O&lt;!$D7"</f>
        <v>#VALUE!</v>
      </c>
      <c r="Y42" t="e">
        <f>CVEs!T37+"8O&lt;!$D8"</f>
        <v>#VALUE!</v>
      </c>
      <c r="Z42" t="e">
        <f>CVEs!A38+"8O&lt;!$D9"</f>
        <v>#VALUE!</v>
      </c>
      <c r="AA42" t="e">
        <f>CVEs!H38+"8O&lt;!$D:"</f>
        <v>#VALUE!</v>
      </c>
      <c r="AB42" t="e">
        <f>CVEs!L38+"8O&lt;!$D;"</f>
        <v>#VALUE!</v>
      </c>
      <c r="AC42" t="e">
        <f>CVEs!R38+"8O&lt;!$D&lt;"</f>
        <v>#VALUE!</v>
      </c>
      <c r="AD42" t="e">
        <f>CVEs!U38+"8O&lt;!$D="</f>
        <v>#VALUE!</v>
      </c>
      <c r="AE42" t="e">
        <f>CVEs!V38+"8O&lt;!$D&gt;"</f>
        <v>#VALUE!</v>
      </c>
      <c r="AF42" t="e">
        <f>CVEs!T38+"8O&lt;!$D?"</f>
        <v>#VALUE!</v>
      </c>
      <c r="AG42" t="e">
        <f>CVEs!A39+"8O&lt;!$D@"</f>
        <v>#VALUE!</v>
      </c>
      <c r="AH42" t="e">
        <f>CVEs!B39+"8O&lt;!$DA"</f>
        <v>#VALUE!</v>
      </c>
      <c r="AI42" t="e">
        <f>CVEs!C39+"8O&lt;!$DB"</f>
        <v>#VALUE!</v>
      </c>
      <c r="AJ42" s="57" t="e">
        <f>CVEs!D39+"8O&lt;!$DC"</f>
        <v>#VALUE!</v>
      </c>
      <c r="AK42" s="58" t="e">
        <f>CVEs!E39+"8O&lt;!$DD"</f>
        <v>#VALUE!</v>
      </c>
      <c r="AL42" s="58" t="e">
        <f>CVEs!F39+"8O&lt;!$DE"</f>
        <v>#VALUE!</v>
      </c>
      <c r="AM42" t="e">
        <f>CVEs!H39+"8O&lt;!$DF"</f>
        <v>#VALUE!</v>
      </c>
      <c r="AN42" t="e">
        <f>CVEs!I39+"8O&lt;!$DG"</f>
        <v>#VALUE!</v>
      </c>
      <c r="AO42" t="e">
        <f>CVEs!J39+"8O&lt;!$DH"</f>
        <v>#VALUE!</v>
      </c>
      <c r="AP42" t="e">
        <f>CVEs!K39+"8O&lt;!$DI"</f>
        <v>#VALUE!</v>
      </c>
      <c r="AQ42" t="e">
        <f>CVEs!L39+"8O&lt;!$DJ"</f>
        <v>#VALUE!</v>
      </c>
      <c r="AR42" t="e">
        <f>CVEs!M39+"8O&lt;!$DK"</f>
        <v>#VALUE!</v>
      </c>
      <c r="AS42" t="e">
        <f>CVEs!N39+"8O&lt;!$DL"</f>
        <v>#VALUE!</v>
      </c>
      <c r="AT42" t="e">
        <f>CVEs!O39+"8O&lt;!$DM"</f>
        <v>#VALUE!</v>
      </c>
      <c r="AU42" t="e">
        <f>CVEs!P39+"8O&lt;!$DN"</f>
        <v>#VALUE!</v>
      </c>
      <c r="AV42" t="e">
        <f>CVEs!Q39+"8O&lt;!$DO"</f>
        <v>#VALUE!</v>
      </c>
      <c r="AW42" t="e">
        <f>CVEs!R39+"8O&lt;!$DP"</f>
        <v>#VALUE!</v>
      </c>
      <c r="AX42" t="e">
        <f>CVEs!S39+"8O&lt;!$DQ"</f>
        <v>#VALUE!</v>
      </c>
      <c r="AY42" t="e">
        <f>CVEs!U39+"8O&lt;!$DR"</f>
        <v>#VALUE!</v>
      </c>
      <c r="AZ42" t="e">
        <f>CVEs!V39+"8O&lt;!$DS"</f>
        <v>#VALUE!</v>
      </c>
      <c r="BA42" t="e">
        <f>CVEs!W39+"8O&lt;!$DT"</f>
        <v>#VALUE!</v>
      </c>
      <c r="BB42" t="e">
        <f>CVEs!T39+"8O&lt;!$DU"</f>
        <v>#VALUE!</v>
      </c>
      <c r="BC42" t="e">
        <f>CVEs!A40+"8O&lt;!$DV"</f>
        <v>#VALUE!</v>
      </c>
      <c r="BD42" t="e">
        <f>CVEs!B40+"8O&lt;!$DW"</f>
        <v>#VALUE!</v>
      </c>
      <c r="BE42" t="e">
        <f>CVEs!C40+"8O&lt;!$DX"</f>
        <v>#VALUE!</v>
      </c>
      <c r="BF42" s="57" t="e">
        <f>CVEs!D40+"8O&lt;!$DY"</f>
        <v>#VALUE!</v>
      </c>
      <c r="BG42" s="58" t="e">
        <f>CVEs!E40+"8O&lt;!$DZ"</f>
        <v>#VALUE!</v>
      </c>
      <c r="BH42" s="58" t="e">
        <f>CVEs!F40+"8O&lt;!$D["</f>
        <v>#VALUE!</v>
      </c>
      <c r="BI42" t="e">
        <f>CVEs!H40+"8O&lt;!$D\"</f>
        <v>#VALUE!</v>
      </c>
      <c r="BJ42" t="e">
        <f>CVEs!I40+"8O&lt;!$D]"</f>
        <v>#VALUE!</v>
      </c>
      <c r="BK42" t="e">
        <f>CVEs!J40+"8O&lt;!$D^"</f>
        <v>#VALUE!</v>
      </c>
      <c r="BL42" t="e">
        <f>CVEs!K40+"8O&lt;!$D_"</f>
        <v>#VALUE!</v>
      </c>
      <c r="BM42" t="e">
        <f>CVEs!L40+"8O&lt;!$D`"</f>
        <v>#VALUE!</v>
      </c>
      <c r="BN42" t="e">
        <f>CVEs!M40+"8O&lt;!$Da"</f>
        <v>#VALUE!</v>
      </c>
      <c r="BO42" t="e">
        <f>CVEs!N40+"8O&lt;!$Db"</f>
        <v>#VALUE!</v>
      </c>
      <c r="BP42" t="e">
        <f>CVEs!O40+"8O&lt;!$Dc"</f>
        <v>#VALUE!</v>
      </c>
      <c r="BQ42" t="e">
        <f>CVEs!P40+"8O&lt;!$Dd"</f>
        <v>#VALUE!</v>
      </c>
      <c r="BR42" t="e">
        <f>CVEs!Q40+"8O&lt;!$De"</f>
        <v>#VALUE!</v>
      </c>
      <c r="BS42" t="e">
        <f>CVEs!R40+"8O&lt;!$Df"</f>
        <v>#VALUE!</v>
      </c>
      <c r="BT42" t="e">
        <f>CVEs!S40+"8O&lt;!$Dg"</f>
        <v>#VALUE!</v>
      </c>
      <c r="BU42" t="e">
        <f>CVEs!U40+"8O&lt;!$Dh"</f>
        <v>#VALUE!</v>
      </c>
      <c r="BV42" t="e">
        <f>CVEs!V40+"8O&lt;!$Di"</f>
        <v>#VALUE!</v>
      </c>
      <c r="BW42" t="e">
        <f>CVEs!W40+"8O&lt;!$Dj"</f>
        <v>#VALUE!</v>
      </c>
      <c r="BX42" t="e">
        <f>CVEs!T40+"8O&lt;!$Dk"</f>
        <v>#VALUE!</v>
      </c>
      <c r="BY42" t="e">
        <f>CVEs!#REF!+"8O&lt;!$Dl"</f>
        <v>#REF!</v>
      </c>
      <c r="BZ42" t="e">
        <f>CVEs!#REF!+"8O&lt;!$Dm"</f>
        <v>#REF!</v>
      </c>
      <c r="CA42" t="e">
        <f>CVEs!#REF!+"8O&lt;!$Dn"</f>
        <v>#REF!</v>
      </c>
      <c r="CB42" s="57" t="e">
        <f>CVEs!#REF!+"8O&lt;!$Do"</f>
        <v>#REF!</v>
      </c>
      <c r="CC42" t="e">
        <f>CVEs!#REF!+"8O&lt;!$Dp"</f>
        <v>#REF!</v>
      </c>
      <c r="CD42" t="e">
        <f>CVEs!#REF!+"8O&lt;!$Dq"</f>
        <v>#REF!</v>
      </c>
      <c r="CE42" t="e">
        <f>CVEs!#REF!+"8O&lt;!$Dr"</f>
        <v>#REF!</v>
      </c>
      <c r="CF42" t="e">
        <f>CVEs!#REF!+"8O&lt;!$Ds"</f>
        <v>#REF!</v>
      </c>
      <c r="CG42" t="e">
        <f>CVEs!#REF!+"8O&lt;!$Dt"</f>
        <v>#REF!</v>
      </c>
      <c r="CH42" t="e">
        <f>CVEs!#REF!+"8O&lt;!$Du"</f>
        <v>#REF!</v>
      </c>
      <c r="CI42" t="e">
        <f>CVEs!#REF!+"8O&lt;!$Dv"</f>
        <v>#REF!</v>
      </c>
      <c r="CJ42" t="e">
        <f>CVEs!#REF!+"8O&lt;!$Dw"</f>
        <v>#REF!</v>
      </c>
      <c r="CK42" t="e">
        <f>CVEs!#REF!+"8O&lt;!$Dx"</f>
        <v>#REF!</v>
      </c>
      <c r="CL42" t="e">
        <f>CVEs!#REF!+"8O&lt;!$Dy"</f>
        <v>#REF!</v>
      </c>
      <c r="CM42" s="57" t="e">
        <f>CVEs!#REF!+"8O&lt;!$Dz"</f>
        <v>#REF!</v>
      </c>
      <c r="CN42" t="e">
        <f>CVEs!#REF!+"8O&lt;!$D{"</f>
        <v>#REF!</v>
      </c>
      <c r="CO42" t="e">
        <f>CVEs!#REF!+"8O&lt;!$D|"</f>
        <v>#REF!</v>
      </c>
      <c r="CP42" t="e">
        <f>CVEs!#REF!+"8O&lt;!$D}"</f>
        <v>#REF!</v>
      </c>
      <c r="CQ42" t="e">
        <f>CVEs!#REF!+"8O&lt;!$D~"</f>
        <v>#REF!</v>
      </c>
      <c r="CR42" t="e">
        <f>CVEs!#REF!+"8O&lt;!$E#"</f>
        <v>#REF!</v>
      </c>
      <c r="CS42" t="e">
        <f>CVEs!#REF!+"8O&lt;!$E$"</f>
        <v>#REF!</v>
      </c>
      <c r="CT42" t="e">
        <f>CVEs!#REF!+"8O&lt;!$E%"</f>
        <v>#REF!</v>
      </c>
      <c r="CU42" t="e">
        <f>CVEs!#REF!+"8O&lt;!$E&amp;"</f>
        <v>#REF!</v>
      </c>
      <c r="CV42" t="e">
        <f>CVEs!#REF!+"8O&lt;!$E'"</f>
        <v>#REF!</v>
      </c>
      <c r="CW42" t="e">
        <f>CVEs!#REF!+"8O&lt;!$E("</f>
        <v>#REF!</v>
      </c>
      <c r="CX42" s="57" t="e">
        <f>CVEs!#REF!+"8O&lt;!$E)"</f>
        <v>#REF!</v>
      </c>
      <c r="CY42" t="e">
        <f>CVEs!#REF!+"8O&lt;!$E."</f>
        <v>#REF!</v>
      </c>
      <c r="CZ42" t="e">
        <f>CVEs!#REF!+"8O&lt;!$E/"</f>
        <v>#REF!</v>
      </c>
      <c r="DA42" t="e">
        <f>CVEs!#REF!+"8O&lt;!$E0"</f>
        <v>#REF!</v>
      </c>
      <c r="DB42" t="e">
        <f>CVEs!#REF!+"8O&lt;!$E1"</f>
        <v>#REF!</v>
      </c>
      <c r="DC42" t="e">
        <f>CVEs!#REF!+"8O&lt;!$E2"</f>
        <v>#REF!</v>
      </c>
      <c r="DD42" t="e">
        <f>CVEs!#REF!+"8O&lt;!$E3"</f>
        <v>#REF!</v>
      </c>
      <c r="DE42" t="e">
        <f>CVEs!#REF!+"8O&lt;!$E4"</f>
        <v>#REF!</v>
      </c>
      <c r="DF42" t="e">
        <f>CVEs!#REF!+"8O&lt;!$E5"</f>
        <v>#REF!</v>
      </c>
      <c r="DG42" t="e">
        <f>CVEs!#REF!+"8O&lt;!$E6"</f>
        <v>#REF!</v>
      </c>
      <c r="DH42" t="e">
        <f>CVEs!#REF!+"8O&lt;!$E7"</f>
        <v>#REF!</v>
      </c>
      <c r="DI42" s="57" t="e">
        <f>CVEs!#REF!+"8O&lt;!$E8"</f>
        <v>#REF!</v>
      </c>
      <c r="DJ42" t="e">
        <f>CVEs!#REF!+"8O&lt;!$E9"</f>
        <v>#REF!</v>
      </c>
      <c r="DK42" t="e">
        <f>CVEs!#REF!+"8O&lt;!$E:"</f>
        <v>#REF!</v>
      </c>
      <c r="DL42" t="e">
        <f>CVEs!#REF!+"8O&lt;!$E;"</f>
        <v>#REF!</v>
      </c>
      <c r="DM42" t="e">
        <f>CVEs!#REF!+"8O&lt;!$E&lt;"</f>
        <v>#REF!</v>
      </c>
      <c r="DN42" t="e">
        <f>CVEs!#REF!+"8O&lt;!$E="</f>
        <v>#REF!</v>
      </c>
      <c r="DO42" t="e">
        <f>CVEs!#REF!+"8O&lt;!$E&gt;"</f>
        <v>#REF!</v>
      </c>
      <c r="DP42" t="e">
        <f>CVEs!#REF!+"8O&lt;!$E?"</f>
        <v>#REF!</v>
      </c>
      <c r="DQ42" t="e">
        <f>CVEs!#REF!+"8O&lt;!$E@"</f>
        <v>#REF!</v>
      </c>
      <c r="DR42" t="e">
        <f>CVEs!#REF!+"8O&lt;!$EA"</f>
        <v>#REF!</v>
      </c>
      <c r="DS42" t="e">
        <f>CVEs!#REF!+"8O&lt;!$EB"</f>
        <v>#REF!</v>
      </c>
      <c r="DT42" s="57" t="e">
        <f>CVEs!#REF!+"8O&lt;!$EC"</f>
        <v>#REF!</v>
      </c>
      <c r="DU42" t="e">
        <f>CVEs!#REF!+"8O&lt;!$ED"</f>
        <v>#REF!</v>
      </c>
      <c r="DV42" t="e">
        <f>CVEs!#REF!+"8O&lt;!$EE"</f>
        <v>#REF!</v>
      </c>
      <c r="DW42" t="e">
        <f>CVEs!#REF!+"8O&lt;!$EF"</f>
        <v>#REF!</v>
      </c>
      <c r="DX42" t="e">
        <f>CVEs!#REF!+"8O&lt;!$EG"</f>
        <v>#REF!</v>
      </c>
      <c r="DY42" t="e">
        <f>CVEs!#REF!+"8O&lt;!$EH"</f>
        <v>#REF!</v>
      </c>
      <c r="DZ42" t="e">
        <f>CVEs!#REF!+"8O&lt;!$EI"</f>
        <v>#REF!</v>
      </c>
      <c r="EA42" t="e">
        <f>CVEs!#REF!+"8O&lt;!$EJ"</f>
        <v>#REF!</v>
      </c>
      <c r="EB42" t="e">
        <f>CVEs!#REF!+"8O&lt;!$EK"</f>
        <v>#REF!</v>
      </c>
      <c r="EC42" t="e">
        <f>CVEs!#REF!+"8O&lt;!$EL"</f>
        <v>#REF!</v>
      </c>
      <c r="ED42" t="e">
        <f>CVEs!#REF!+"8O&lt;!$EM"</f>
        <v>#REF!</v>
      </c>
      <c r="EE42" s="57" t="e">
        <f>CVEs!#REF!+"8O&lt;!$EN"</f>
        <v>#REF!</v>
      </c>
      <c r="EF42" t="e">
        <f>CVEs!#REF!+"8O&lt;!$EO"</f>
        <v>#REF!</v>
      </c>
      <c r="EG42" t="e">
        <f>CVEs!#REF!+"8O&lt;!$EP"</f>
        <v>#REF!</v>
      </c>
      <c r="EH42" t="e">
        <f>CVEs!#REF!+"8O&lt;!$EQ"</f>
        <v>#REF!</v>
      </c>
      <c r="EI42" t="e">
        <f>CVEs!#REF!+"8O&lt;!$ER"</f>
        <v>#REF!</v>
      </c>
      <c r="EJ42" t="e">
        <f>CVEs!#REF!+"8O&lt;!$ES"</f>
        <v>#REF!</v>
      </c>
      <c r="EK42" t="e">
        <f>CVEs!#REF!+"8O&lt;!$ET"</f>
        <v>#REF!</v>
      </c>
      <c r="EL42" t="e">
        <f>CVEs!#REF!+"8O&lt;!$EU"</f>
        <v>#REF!</v>
      </c>
      <c r="EM42" t="e">
        <f>CVEs!#REF!+"8O&lt;!$EV"</f>
        <v>#REF!</v>
      </c>
      <c r="EN42" t="e">
        <f>CVEs!#REF!+"8O&lt;!$EW"</f>
        <v>#REF!</v>
      </c>
      <c r="EO42" t="e">
        <f>CVEs!#REF!+"8O&lt;!$EX"</f>
        <v>#REF!</v>
      </c>
      <c r="EP42" s="57" t="e">
        <f>CVEs!#REF!+"8O&lt;!$EY"</f>
        <v>#REF!</v>
      </c>
      <c r="EQ42" t="e">
        <f>CVEs!#REF!+"8O&lt;!$EZ"</f>
        <v>#REF!</v>
      </c>
      <c r="ER42" t="e">
        <f>CVEs!#REF!+"8O&lt;!$E["</f>
        <v>#REF!</v>
      </c>
      <c r="ES42" t="e">
        <f>CVEs!#REF!+"8O&lt;!$E\"</f>
        <v>#REF!</v>
      </c>
      <c r="ET42" t="e">
        <f>CVEs!#REF!+"8O&lt;!$E]"</f>
        <v>#REF!</v>
      </c>
      <c r="EU42" t="e">
        <f>CVEs!#REF!+"8O&lt;!$E^"</f>
        <v>#REF!</v>
      </c>
      <c r="EV42" t="e">
        <f>CVEs!#REF!+"8O&lt;!$E_"</f>
        <v>#REF!</v>
      </c>
      <c r="EW42" t="e">
        <f>CVEs!#REF!+"8O&lt;!$E`"</f>
        <v>#REF!</v>
      </c>
      <c r="EX42" t="e">
        <f>CVEs!#REF!+"8O&lt;!$Ea"</f>
        <v>#REF!</v>
      </c>
      <c r="EY42" t="e">
        <f>CVEs!#REF!+"8O&lt;!$Eb"</f>
        <v>#REF!</v>
      </c>
      <c r="EZ42" t="e">
        <f>CVEs!#REF!+"8O&lt;!$Ec"</f>
        <v>#REF!</v>
      </c>
      <c r="FA42" s="57" t="e">
        <f>CVEs!#REF!+"8O&lt;!$Ed"</f>
        <v>#REF!</v>
      </c>
      <c r="FB42" t="e">
        <f>CVEs!#REF!+"8O&lt;!$Ee"</f>
        <v>#REF!</v>
      </c>
      <c r="FC42" t="e">
        <f>CVEs!#REF!+"8O&lt;!$Ef"</f>
        <v>#REF!</v>
      </c>
      <c r="FD42" t="e">
        <f>CVEs!#REF!+"8O&lt;!$Eg"</f>
        <v>#REF!</v>
      </c>
      <c r="FE42" t="e">
        <f>CVEs!#REF!+"8O&lt;!$Eh"</f>
        <v>#REF!</v>
      </c>
      <c r="FF42" t="e">
        <f>CVEs!#REF!+"8O&lt;!$Ei"</f>
        <v>#REF!</v>
      </c>
      <c r="FG42" t="e">
        <f>CVEs!#REF!+"8O&lt;!$Ej"</f>
        <v>#REF!</v>
      </c>
      <c r="FH42" t="e">
        <f>CVEs!#REF!+"8O&lt;!$Ek"</f>
        <v>#REF!</v>
      </c>
      <c r="FI42" t="e">
        <f>CVEs!#REF!+"8O&lt;!$El"</f>
        <v>#REF!</v>
      </c>
      <c r="FJ42" t="e">
        <f>CVEs!#REF!+"8O&lt;!$Em"</f>
        <v>#REF!</v>
      </c>
      <c r="FK42" t="e">
        <f>CVEs!#REF!+"8O&lt;!$En"</f>
        <v>#REF!</v>
      </c>
      <c r="FL42" s="57" t="e">
        <f>CVEs!#REF!+"8O&lt;!$Eo"</f>
        <v>#REF!</v>
      </c>
      <c r="FM42" t="e">
        <f>CVEs!#REF!+"8O&lt;!$Ep"</f>
        <v>#REF!</v>
      </c>
      <c r="FN42" t="e">
        <f>CVEs!#REF!+"8O&lt;!$Eq"</f>
        <v>#REF!</v>
      </c>
      <c r="FO42" t="e">
        <f>CVEs!#REF!+"8O&lt;!$Er"</f>
        <v>#REF!</v>
      </c>
      <c r="FP42" t="e">
        <f>CVEs!#REF!+"8O&lt;!$Es"</f>
        <v>#REF!</v>
      </c>
      <c r="FQ42" t="e">
        <f>CVEs!#REF!+"8O&lt;!$Et"</f>
        <v>#REF!</v>
      </c>
      <c r="FR42" t="e">
        <f>CVEs!#REF!+"8O&lt;!$Eu"</f>
        <v>#REF!</v>
      </c>
      <c r="FS42" t="e">
        <f>CVEs!#REF!+"8O&lt;!$Ev"</f>
        <v>#REF!</v>
      </c>
      <c r="FT42" t="e">
        <f>CVEs!#REF!+"8O&lt;!$Ew"</f>
        <v>#REF!</v>
      </c>
      <c r="FU42" t="e">
        <f>CVEs!#REF!+"8O&lt;!$Ex"</f>
        <v>#REF!</v>
      </c>
      <c r="FV42" t="e">
        <f>CVEs!#REF!+"8O&lt;!$Ey"</f>
        <v>#REF!</v>
      </c>
      <c r="FW42" s="57" t="e">
        <f>CVEs!#REF!+"8O&lt;!$Ez"</f>
        <v>#REF!</v>
      </c>
      <c r="FX42" t="e">
        <f>CVEs!#REF!+"8O&lt;!$E{"</f>
        <v>#REF!</v>
      </c>
      <c r="FY42" t="e">
        <f>CVEs!#REF!+"8O&lt;!$E|"</f>
        <v>#REF!</v>
      </c>
      <c r="FZ42" t="e">
        <f>CVEs!#REF!+"8O&lt;!$E}"</f>
        <v>#REF!</v>
      </c>
      <c r="GA42" t="e">
        <f>CVEs!#REF!+"8O&lt;!$E~"</f>
        <v>#REF!</v>
      </c>
      <c r="GB42" t="e">
        <f>CVEs!#REF!+"8O&lt;!$F#"</f>
        <v>#REF!</v>
      </c>
      <c r="GC42" t="e">
        <f>CVEs!#REF!+"8O&lt;!$F$"</f>
        <v>#REF!</v>
      </c>
      <c r="GD42" t="e">
        <f>CVEs!#REF!+"8O&lt;!$F%"</f>
        <v>#REF!</v>
      </c>
      <c r="GE42" t="e">
        <f>CVEs!#REF!+"8O&lt;!$F&amp;"</f>
        <v>#REF!</v>
      </c>
      <c r="GF42" t="e">
        <f>CVEs!#REF!+"8O&lt;!$F'"</f>
        <v>#REF!</v>
      </c>
      <c r="GG42" t="e">
        <f>CVEs!#REF!+"8O&lt;!$F("</f>
        <v>#REF!</v>
      </c>
      <c r="GH42" s="57" t="e">
        <f>CVEs!#REF!+"8O&lt;!$F)"</f>
        <v>#REF!</v>
      </c>
      <c r="GI42" t="e">
        <f>CVEs!#REF!+"8O&lt;!$F."</f>
        <v>#REF!</v>
      </c>
      <c r="GJ42" t="e">
        <f>CVEs!#REF!+"8O&lt;!$F/"</f>
        <v>#REF!</v>
      </c>
      <c r="GK42" t="e">
        <f>CVEs!#REF!+"8O&lt;!$F0"</f>
        <v>#REF!</v>
      </c>
      <c r="GL42" t="e">
        <f>CVEs!#REF!+"8O&lt;!$F1"</f>
        <v>#REF!</v>
      </c>
      <c r="GM42" t="e">
        <f>CVEs!#REF!+"8O&lt;!$F2"</f>
        <v>#REF!</v>
      </c>
      <c r="GN42" t="e">
        <f>CVEs!#REF!+"8O&lt;!$F3"</f>
        <v>#REF!</v>
      </c>
      <c r="GO42" t="e">
        <f>CVEs!#REF!+"8O&lt;!$F4"</f>
        <v>#REF!</v>
      </c>
      <c r="GP42" t="e">
        <f>CVEs!#REF!+"8O&lt;!$F5"</f>
        <v>#REF!</v>
      </c>
      <c r="GQ42" t="e">
        <f>CVEs!#REF!+"8O&lt;!$F6"</f>
        <v>#REF!</v>
      </c>
      <c r="GR42" t="e">
        <f>CVEs!#REF!+"8O&lt;!$F7"</f>
        <v>#REF!</v>
      </c>
      <c r="GS42" s="57" t="e">
        <f>CVEs!#REF!+"8O&lt;!$F8"</f>
        <v>#REF!</v>
      </c>
      <c r="GT42" t="e">
        <f>CVEs!#REF!+"8O&lt;!$F9"</f>
        <v>#REF!</v>
      </c>
      <c r="GU42" t="e">
        <f>CVEs!#REF!+"8O&lt;!$F:"</f>
        <v>#REF!</v>
      </c>
      <c r="GV42" t="e">
        <f>CVEs!#REF!+"8O&lt;!$F;"</f>
        <v>#REF!</v>
      </c>
      <c r="GW42" t="e">
        <f>CVEs!#REF!+"8O&lt;!$F&lt;"</f>
        <v>#REF!</v>
      </c>
      <c r="GX42" t="e">
        <f>CVEs!#REF!+"8O&lt;!$F="</f>
        <v>#REF!</v>
      </c>
      <c r="GY42" t="e">
        <f>CVEs!#REF!+"8O&lt;!$F&gt;"</f>
        <v>#REF!</v>
      </c>
      <c r="GZ42" t="e">
        <f>CVEs!#REF!+"8O&lt;!$F?"</f>
        <v>#REF!</v>
      </c>
      <c r="HA42" t="e">
        <f>CVEs!#REF!+"8O&lt;!$F@"</f>
        <v>#REF!</v>
      </c>
      <c r="HB42" t="e">
        <f>CVEs!#REF!+"8O&lt;!$FA"</f>
        <v>#REF!</v>
      </c>
      <c r="HC42" t="e">
        <f>CVEs!#REF!+"8O&lt;!$FB"</f>
        <v>#REF!</v>
      </c>
      <c r="HD42" s="57" t="e">
        <f>CVEs!#REF!+"8O&lt;!$FC"</f>
        <v>#REF!</v>
      </c>
      <c r="HE42" t="e">
        <f>CVEs!#REF!+"8O&lt;!$FD"</f>
        <v>#REF!</v>
      </c>
      <c r="HF42" t="e">
        <f>CVEs!#REF!+"8O&lt;!$FE"</f>
        <v>#REF!</v>
      </c>
      <c r="HG42" t="e">
        <f>CVEs!#REF!+"8O&lt;!$FF"</f>
        <v>#REF!</v>
      </c>
      <c r="HH42" t="e">
        <f>CVEs!#REF!+"8O&lt;!$FG"</f>
        <v>#REF!</v>
      </c>
      <c r="HI42" t="e">
        <f>CVEs!#REF!+"8O&lt;!$FH"</f>
        <v>#REF!</v>
      </c>
      <c r="HJ42" t="e">
        <f>CVEs!#REF!+"8O&lt;!$FI"</f>
        <v>#REF!</v>
      </c>
      <c r="HK42" t="e">
        <f>CVEs!#REF!+"8O&lt;!$FJ"</f>
        <v>#REF!</v>
      </c>
      <c r="HL42" t="e">
        <f>CVEs!#REF!+"8O&lt;!$FK"</f>
        <v>#REF!</v>
      </c>
      <c r="HM42" t="e">
        <f>CVEs!#REF!+"8O&lt;!$FL"</f>
        <v>#REF!</v>
      </c>
      <c r="HN42" t="e">
        <f>CVEs!#REF!+"8O&lt;!$FM"</f>
        <v>#REF!</v>
      </c>
      <c r="HO42" s="57" t="e">
        <f>CVEs!#REF!+"8O&lt;!$FN"</f>
        <v>#REF!</v>
      </c>
      <c r="HP42" t="e">
        <f>CVEs!#REF!+"8O&lt;!$FO"</f>
        <v>#REF!</v>
      </c>
      <c r="HQ42" t="e">
        <f>CVEs!#REF!+"8O&lt;!$FP"</f>
        <v>#REF!</v>
      </c>
      <c r="HR42" t="e">
        <f>CVEs!#REF!+"8O&lt;!$FQ"</f>
        <v>#REF!</v>
      </c>
      <c r="HS42" t="e">
        <f>CVEs!#REF!+"8O&lt;!$FR"</f>
        <v>#REF!</v>
      </c>
      <c r="HT42" t="e">
        <f>CVEs!#REF!+"8O&lt;!$FS"</f>
        <v>#REF!</v>
      </c>
      <c r="HU42" t="e">
        <f>CVEs!#REF!+"8O&lt;!$FT"</f>
        <v>#REF!</v>
      </c>
      <c r="HV42" t="e">
        <f>CVEs!#REF!+"8O&lt;!$FU"</f>
        <v>#REF!</v>
      </c>
      <c r="HW42" t="e">
        <f>CVEs!#REF!+"8O&lt;!$FV"</f>
        <v>#REF!</v>
      </c>
      <c r="HX42" t="e">
        <f>CVEs!#REF!+"8O&lt;!$FW"</f>
        <v>#REF!</v>
      </c>
      <c r="HY42" t="e">
        <f>CVEs!#REF!+"8O&lt;!$FX"</f>
        <v>#REF!</v>
      </c>
      <c r="HZ42" s="57" t="e">
        <f>CVEs!#REF!+"8O&lt;!$FY"</f>
        <v>#REF!</v>
      </c>
      <c r="IA42" t="e">
        <f>CVEs!#REF!+"8O&lt;!$FZ"</f>
        <v>#REF!</v>
      </c>
      <c r="IB42" t="e">
        <f>CVEs!#REF!+"8O&lt;!$F["</f>
        <v>#REF!</v>
      </c>
      <c r="IC42" t="e">
        <f>CVEs!#REF!+"8O&lt;!$F\"</f>
        <v>#REF!</v>
      </c>
      <c r="ID42" t="e">
        <f>CVEs!#REF!+"8O&lt;!$F]"</f>
        <v>#REF!</v>
      </c>
      <c r="IE42" t="e">
        <f>CVEs!#REF!+"8O&lt;!$F^"</f>
        <v>#REF!</v>
      </c>
      <c r="IF42" t="e">
        <f>CVEs!#REF!+"8O&lt;!$F_"</f>
        <v>#REF!</v>
      </c>
      <c r="IG42" t="e">
        <f>CVEs!#REF!+"8O&lt;!$F`"</f>
        <v>#REF!</v>
      </c>
      <c r="IH42" t="e">
        <f>CVEs!#REF!+"8O&lt;!$Fa"</f>
        <v>#REF!</v>
      </c>
      <c r="II42" t="e">
        <f>CVEs!#REF!+"8O&lt;!$Fb"</f>
        <v>#REF!</v>
      </c>
      <c r="IJ42" t="e">
        <f>CVEs!#REF!+"8O&lt;!$Fc"</f>
        <v>#REF!</v>
      </c>
      <c r="IK42" s="57" t="e">
        <f>CVEs!#REF!+"8O&lt;!$Fd"</f>
        <v>#REF!</v>
      </c>
      <c r="IL42" t="e">
        <f>CVEs!#REF!+"8O&lt;!$Fe"</f>
        <v>#REF!</v>
      </c>
      <c r="IM42" t="e">
        <f>CVEs!#REF!+"8O&lt;!$Ff"</f>
        <v>#REF!</v>
      </c>
      <c r="IN42" t="e">
        <f>CVEs!#REF!+"8O&lt;!$Fg"</f>
        <v>#REF!</v>
      </c>
      <c r="IO42" t="e">
        <f>CVEs!#REF!+"8O&lt;!$Fh"</f>
        <v>#REF!</v>
      </c>
      <c r="IP42" t="e">
        <f>CVEs!#REF!+"8O&lt;!$Fi"</f>
        <v>#REF!</v>
      </c>
      <c r="IQ42" t="e">
        <f>CVEs!#REF!+"8O&lt;!$Fj"</f>
        <v>#REF!</v>
      </c>
      <c r="IR42" t="e">
        <f>CVEs!#REF!+"8O&lt;!$Fk"</f>
        <v>#REF!</v>
      </c>
      <c r="IS42" t="e">
        <f>Drop_Downs!G20+"8O&lt;!$Fl"</f>
        <v>#VALUE!</v>
      </c>
      <c r="IT42" t="e">
        <f>Drop_Downs!G21+"8O&lt;!$Fm"</f>
        <v>#VALUE!</v>
      </c>
      <c r="IU42" t="e">
        <f>Drop_Downs!G22+"8O&lt;!$Fn"</f>
        <v>#VALUE!</v>
      </c>
      <c r="IV42" t="e">
        <f>Drop_Downs!F9+"8O&lt;!$Fo"</f>
        <v>#VALUE!</v>
      </c>
    </row>
    <row r="43" spans="6:256" x14ac:dyDescent="0.25">
      <c r="F43" t="e">
        <f>Drop_Downs!F18+"8O&lt;!$Fp"</f>
        <v>#VALUE!</v>
      </c>
      <c r="G43" t="e">
        <f>Drop_Downs!F20+"8O&lt;!$Fq"</f>
        <v>#VALUE!</v>
      </c>
      <c r="H43" t="e">
        <f>Drop_Downs!F21+"8O&lt;!$Fr"</f>
        <v>#VALUE!</v>
      </c>
      <c r="I43" t="e">
        <f>Drop_Downs!F22+"8O&lt;!$Fs"</f>
        <v>#VALUE!</v>
      </c>
      <c r="J43" t="e">
        <f>Drop_Downs!F23+"8O&lt;!$Ft"</f>
        <v>#VALUE!</v>
      </c>
      <c r="K43" t="e">
        <f>Drop_Downs!G23+"8O&lt;!$Fu"</f>
        <v>#VALUE!</v>
      </c>
      <c r="L43" t="e">
        <f>Rules!43:43-"8O&lt;!$Fv"</f>
        <v>#VALUE!</v>
      </c>
      <c r="M43" t="e">
        <f>Rules!240:240-"8O&lt;!$Fw"</f>
        <v>#VALUE!</v>
      </c>
      <c r="N43" t="e">
        <f>Rules!241:241-"8O&lt;!$Fx"</f>
        <v>#VALUE!</v>
      </c>
      <c r="O43" t="e">
        <f>Rules!242:242-"8O&lt;!$Fy"</f>
        <v>#VALUE!</v>
      </c>
      <c r="P43" t="e">
        <f>Rules!243:243-"8O&lt;!$Fz"</f>
        <v>#VALUE!</v>
      </c>
      <c r="Q43" t="e">
        <f>Rules!244:244-"8O&lt;!$F{"</f>
        <v>#VALUE!</v>
      </c>
      <c r="R43" t="e">
        <f>Rules!245:245-"8O&lt;!$F|"</f>
        <v>#VALUE!</v>
      </c>
      <c r="S43" t="e">
        <f>Rules!246:246-"8O&lt;!$F}"</f>
        <v>#VALUE!</v>
      </c>
      <c r="T43" t="e">
        <f>Rules!247:247-"8O&lt;!$F~"</f>
        <v>#VALUE!</v>
      </c>
      <c r="U43" t="e">
        <f>Rules!248:248-"8O&lt;!$G#"</f>
        <v>#VALUE!</v>
      </c>
      <c r="V43" t="e">
        <f>Rules!249:249-"8O&lt;!$G$"</f>
        <v>#VALUE!</v>
      </c>
      <c r="W43" t="e">
        <f>Rules!250:250-"8O&lt;!$G%"</f>
        <v>#VALUE!</v>
      </c>
      <c r="X43" t="e">
        <f>Rules!251:251-"8O&lt;!$G&amp;"</f>
        <v>#VALUE!</v>
      </c>
      <c r="Y43" t="e">
        <f>Rules!252:252-"8O&lt;!$G'"</f>
        <v>#VALUE!</v>
      </c>
      <c r="Z43" t="e">
        <f>Rules!A62+"8O&lt;!$G("</f>
        <v>#VALUE!</v>
      </c>
      <c r="AA43" t="e">
        <f>Rules!B62+"8O&lt;!$G)"</f>
        <v>#VALUE!</v>
      </c>
      <c r="AB43" t="e">
        <f>Rules!C62+"8O&lt;!$G."</f>
        <v>#VALUE!</v>
      </c>
      <c r="AC43" t="e">
        <f>Rules!A63+"8O&lt;!$G/"</f>
        <v>#VALUE!</v>
      </c>
      <c r="AD43" t="e">
        <f>Rules!B63+"8O&lt;!$G0"</f>
        <v>#VALUE!</v>
      </c>
      <c r="AE43" t="e">
        <f>Rules!A64+"8O&lt;!$G1"</f>
        <v>#VALUE!</v>
      </c>
      <c r="AF43" t="e">
        <f>Rules!B64+"8O&lt;!$G2"</f>
        <v>#VALUE!</v>
      </c>
      <c r="AG43" t="e">
        <f>Rules!C64+"8O&lt;!$G3"</f>
        <v>#VALUE!</v>
      </c>
      <c r="AH43" t="e">
        <f>Rules!A65+"8O&lt;!$G4"</f>
        <v>#VALUE!</v>
      </c>
      <c r="AI43" t="e">
        <f>Rules!C65+"8O&lt;!$G5"</f>
        <v>#VALUE!</v>
      </c>
      <c r="AJ43" t="e">
        <f>Rules!A66+"8O&lt;!$G6"</f>
        <v>#VALUE!</v>
      </c>
      <c r="AK43" t="e">
        <f>Rules!A67+"8O&lt;!$G7"</f>
        <v>#VALUE!</v>
      </c>
      <c r="AL43" t="e">
        <f>Rules!A45+"8O&lt;!$G8"</f>
        <v>#VALUE!</v>
      </c>
      <c r="AM43" t="e">
        <f>Rules!A46+"8O&lt;!$G9"</f>
        <v>#VALUE!</v>
      </c>
      <c r="AN43" t="e">
        <f>Rules!A47+"8O&lt;!$G:"</f>
        <v>#VALUE!</v>
      </c>
      <c r="AO43" t="e">
        <f>Rules!A48+"8O&lt;!$G;"</f>
        <v>#VALUE!</v>
      </c>
      <c r="AP43" t="e">
        <f>Rules!A49+"8O&lt;!$G&lt;"</f>
        <v>#VALUE!</v>
      </c>
      <c r="AQ43" t="e">
        <f>Rules!A50+"8O&lt;!$G="</f>
        <v>#VALUE!</v>
      </c>
      <c r="AR43" t="e">
        <f>CVEs!X:X*"8O&lt;!$G&gt;"</f>
        <v>#VALUE!</v>
      </c>
      <c r="AS43" t="e">
        <f>CVEs!11:11-"8O&lt;!$G?"</f>
        <v>#VALUE!</v>
      </c>
      <c r="AT43" t="e">
        <f>CVEs!17:17-"8O&lt;!$G@"</f>
        <v>#VALUE!</v>
      </c>
      <c r="AU43" t="e">
        <f>CVEs!27:27-"8O&lt;!$GA"</f>
        <v>#VALUE!</v>
      </c>
      <c r="AV43" t="e">
        <f>CVEs!41:41-"8O&lt;!$GB"</f>
        <v>#VALUE!</v>
      </c>
      <c r="AW43" t="e">
        <f>CVEs!42:42-"8O&lt;!$GC"</f>
        <v>#VALUE!</v>
      </c>
      <c r="AX43" t="e">
        <f>CVEs!43:43-"8O&lt;!$GD"</f>
        <v>#VALUE!</v>
      </c>
      <c r="AY43" t="e">
        <f>CVEs!44:44-"8O&lt;!$GE"</f>
        <v>#VALUE!</v>
      </c>
      <c r="AZ43" t="e">
        <f>CVEs!45:45-"8O&lt;!$GF"</f>
        <v>#VALUE!</v>
      </c>
      <c r="BA43" t="e">
        <f>CVEs!52:52-"8O&lt;!$GG"</f>
        <v>#VALUE!</v>
      </c>
      <c r="BB43" t="e">
        <f>CVEs!#REF!-"8O&lt;!$GH"</f>
        <v>#REF!</v>
      </c>
      <c r="BC43" t="e">
        <f>CVEs!#REF!-"8O&lt;!$GI"</f>
        <v>#REF!</v>
      </c>
      <c r="BD43" t="e">
        <f>CVEs!74:74-"8O&lt;!$GJ"</f>
        <v>#VALUE!</v>
      </c>
      <c r="BE43" t="e">
        <f>CVEs!75:75-"8O&lt;!$GK"</f>
        <v>#VALUE!</v>
      </c>
      <c r="BF43" t="e">
        <f>CVEs!76:76-"8O&lt;!$GL"</f>
        <v>#VALUE!</v>
      </c>
      <c r="BG43" t="e">
        <f>CVEs!77:77-"8O&lt;!$GM"</f>
        <v>#VALUE!</v>
      </c>
      <c r="BH43" t="e">
        <f>CVEs!78:78-"8O&lt;!$GN"</f>
        <v>#VALUE!</v>
      </c>
      <c r="BI43" t="e">
        <f>CVEs!277:277-"8O&lt;!$GO"</f>
        <v>#VALUE!</v>
      </c>
      <c r="BJ43" t="e">
        <f>CVEs!278:278-"8O&lt;!$GP"</f>
        <v>#VALUE!</v>
      </c>
      <c r="BK43" t="e">
        <f>CVEs!279:279-"8O&lt;!$GQ"</f>
        <v>#VALUE!</v>
      </c>
      <c r="BL43" t="e">
        <f>CVEs!280:280-"8O&lt;!$GR"</f>
        <v>#VALUE!</v>
      </c>
      <c r="BM43" t="e">
        <f>CVEs!281:281-"8O&lt;!$GS"</f>
        <v>#VALUE!</v>
      </c>
      <c r="BN43" t="e">
        <f>CVEs!282:282-"8O&lt;!$GT"</f>
        <v>#VALUE!</v>
      </c>
      <c r="BO43" t="e">
        <f>CVEs!283:283-"8O&lt;!$GU"</f>
        <v>#VALUE!</v>
      </c>
      <c r="BP43" t="e">
        <f>CVEs!284:284-"8O&lt;!$GV"</f>
        <v>#VALUE!</v>
      </c>
      <c r="BQ43" t="e">
        <f>CVEs!285:285-"8O&lt;!$GW"</f>
        <v>#VALUE!</v>
      </c>
      <c r="BR43" t="e">
        <f>CVEs!286:286-"8O&lt;!$GX"</f>
        <v>#VALUE!</v>
      </c>
      <c r="BS43" t="e">
        <f>CVEs!287:287-"8O&lt;!$GY"</f>
        <v>#VALUE!</v>
      </c>
      <c r="BT43" t="e">
        <f>CVEs!288:288-"8O&lt;!$GZ"</f>
        <v>#VALUE!</v>
      </c>
      <c r="BU43" t="e">
        <f>CVEs!289:289-"8O&lt;!$G["</f>
        <v>#VALUE!</v>
      </c>
      <c r="BV43" t="e">
        <f>CVEs!290:290-"8O&lt;!$G\"</f>
        <v>#VALUE!</v>
      </c>
      <c r="BW43" t="e">
        <f>CVEs!291:291-"8O&lt;!$G]"</f>
        <v>#VALUE!</v>
      </c>
      <c r="BX43" t="e">
        <f>CVEs!292:292-"8O&lt;!$G^"</f>
        <v>#VALUE!</v>
      </c>
      <c r="BY43" t="e">
        <f>CVEs!293:293-"8O&lt;!$G_"</f>
        <v>#VALUE!</v>
      </c>
      <c r="BZ43" t="e">
        <f>CVEs!294:294-"8O&lt;!$G`"</f>
        <v>#VALUE!</v>
      </c>
      <c r="CA43" t="e">
        <f>CVEs!295:295-"8O&lt;!$Ga"</f>
        <v>#VALUE!</v>
      </c>
      <c r="CB43" t="e">
        <f>CVEs!296:296-"8O&lt;!$Gb"</f>
        <v>#VALUE!</v>
      </c>
      <c r="CC43" t="e">
        <f>CVEs!297:297-"8O&lt;!$Gc"</f>
        <v>#VALUE!</v>
      </c>
      <c r="CD43" t="e">
        <f>CVEs!298:298-"8O&lt;!$Gd"</f>
        <v>#VALUE!</v>
      </c>
      <c r="CE43" t="e">
        <f>CVEs!299:299-"8O&lt;!$Ge"</f>
        <v>#VALUE!</v>
      </c>
      <c r="CF43" t="e">
        <f>CVEs!300:300-"8O&lt;!$Gf"</f>
        <v>#VALUE!</v>
      </c>
      <c r="CG43" t="e">
        <f>CVEs!301:301-"8O&lt;!$Gg"</f>
        <v>#VALUE!</v>
      </c>
      <c r="CH43" t="e">
        <f>CVEs!X4+"8O&lt;!$Gh"</f>
        <v>#VALUE!</v>
      </c>
      <c r="CI43" t="e">
        <f>CVEs!X5+"8O&lt;!$Gi"</f>
        <v>#VALUE!</v>
      </c>
      <c r="CJ43" t="e">
        <f>CVEs!X10+"8O&lt;!$Gj"</f>
        <v>#VALUE!</v>
      </c>
      <c r="CK43" t="e">
        <f>CVEs!A11+"8O&lt;!$Gk"</f>
        <v>#VALUE!</v>
      </c>
      <c r="CL43" t="e">
        <f>CVEs!B11+"8O&lt;!$Gl"</f>
        <v>#VALUE!</v>
      </c>
      <c r="CM43" t="e">
        <f>CVEs!C11+"8O&lt;!$Gm"</f>
        <v>#VALUE!</v>
      </c>
      <c r="CN43" s="57" t="e">
        <f>CVEs!D11+"8O&lt;!$Gn"</f>
        <v>#VALUE!</v>
      </c>
      <c r="CO43" s="58" t="e">
        <f>CVEs!E11+"8O&lt;!$Go"</f>
        <v>#VALUE!</v>
      </c>
      <c r="CP43" s="58" t="e">
        <f>CVEs!F11+"8O&lt;!$Gp"</f>
        <v>#VALUE!</v>
      </c>
      <c r="CQ43" t="e">
        <f>CVEs!I11+"8O&lt;!$Gq"</f>
        <v>#VALUE!</v>
      </c>
      <c r="CR43" t="e">
        <f>CVEs!J11+"8O&lt;!$Gr"</f>
        <v>#VALUE!</v>
      </c>
      <c r="CS43" t="e">
        <f>CVEs!K11+"8O&lt;!$Gs"</f>
        <v>#VALUE!</v>
      </c>
      <c r="CT43" t="e">
        <f>CVEs!L11+"8O&lt;!$Gt"</f>
        <v>#VALUE!</v>
      </c>
      <c r="CU43" t="e">
        <f>CVEs!M11+"8O&lt;!$Gu"</f>
        <v>#VALUE!</v>
      </c>
      <c r="CV43" t="e">
        <f>CVEs!N11+"8O&lt;!$Gv"</f>
        <v>#VALUE!</v>
      </c>
      <c r="CW43" t="e">
        <f>CVEs!O11+"8O&lt;!$Gw"</f>
        <v>#VALUE!</v>
      </c>
      <c r="CX43" t="e">
        <f>CVEs!P11+"8O&lt;!$Gx"</f>
        <v>#VALUE!</v>
      </c>
      <c r="CY43" t="e">
        <f>CVEs!Q11+"8O&lt;!$Gy"</f>
        <v>#VALUE!</v>
      </c>
      <c r="CZ43" t="e">
        <f>CVEs!S11+"8O&lt;!$Gz"</f>
        <v>#VALUE!</v>
      </c>
      <c r="DA43" t="e">
        <f>CVEs!U11+"8O&lt;!$G{"</f>
        <v>#VALUE!</v>
      </c>
      <c r="DB43" t="e">
        <f>CVEs!W11+"8O&lt;!$G|"</f>
        <v>#VALUE!</v>
      </c>
      <c r="DC43" t="e">
        <f>CVEs!X11+"8O&lt;!$G}"</f>
        <v>#VALUE!</v>
      </c>
      <c r="DD43" t="e">
        <f>CVEs!T11+"8O&lt;!$G~"</f>
        <v>#VALUE!</v>
      </c>
      <c r="DE43" t="e">
        <f>CVEs!X12+"8O&lt;!$H#"</f>
        <v>#VALUE!</v>
      </c>
      <c r="DF43" t="e">
        <f>CVEs!X13+"8O&lt;!$H$"</f>
        <v>#VALUE!</v>
      </c>
      <c r="DG43" t="e">
        <f>CVEs!X14+"8O&lt;!$H%"</f>
        <v>#VALUE!</v>
      </c>
      <c r="DH43" t="e">
        <f>CVEs!X15+"8O&lt;!$H&amp;"</f>
        <v>#VALUE!</v>
      </c>
      <c r="DI43" t="e">
        <f>CVEs!X16+"8O&lt;!$H'"</f>
        <v>#VALUE!</v>
      </c>
      <c r="DJ43" t="e">
        <f>CVEs!A17+"8O&lt;!$H("</f>
        <v>#VALUE!</v>
      </c>
      <c r="DK43" t="e">
        <f>CVEs!B17+"8O&lt;!$H)"</f>
        <v>#VALUE!</v>
      </c>
      <c r="DL43" t="e">
        <f>CVEs!C17+"8O&lt;!$H."</f>
        <v>#VALUE!</v>
      </c>
      <c r="DM43" s="57" t="e">
        <f>CVEs!D17+"8O&lt;!$H/"</f>
        <v>#VALUE!</v>
      </c>
      <c r="DN43" s="58" t="e">
        <f>CVEs!E17+"8O&lt;!$H0"</f>
        <v>#VALUE!</v>
      </c>
      <c r="DO43" s="58" t="e">
        <f>CVEs!F17+"8O&lt;!$H1"</f>
        <v>#VALUE!</v>
      </c>
      <c r="DP43" t="e">
        <f>CVEs!I17+"8O&lt;!$H2"</f>
        <v>#VALUE!</v>
      </c>
      <c r="DQ43" t="e">
        <f>CVEs!J17+"8O&lt;!$H3"</f>
        <v>#VALUE!</v>
      </c>
      <c r="DR43" t="e">
        <f>CVEs!K17+"8O&lt;!$H4"</f>
        <v>#VALUE!</v>
      </c>
      <c r="DS43" t="e">
        <f>CVEs!L17+"8O&lt;!$H5"</f>
        <v>#VALUE!</v>
      </c>
      <c r="DT43" t="e">
        <f>CVEs!M17+"8O&lt;!$H6"</f>
        <v>#VALUE!</v>
      </c>
      <c r="DU43" t="e">
        <f>CVEs!N17+"8O&lt;!$H7"</f>
        <v>#VALUE!</v>
      </c>
      <c r="DV43" t="e">
        <f>CVEs!O17+"8O&lt;!$H8"</f>
        <v>#VALUE!</v>
      </c>
      <c r="DW43" t="e">
        <f>CVEs!P17+"8O&lt;!$H9"</f>
        <v>#VALUE!</v>
      </c>
      <c r="DX43" t="e">
        <f>CVEs!Q17+"8O&lt;!$H:"</f>
        <v>#VALUE!</v>
      </c>
      <c r="DY43" t="e">
        <f>CVEs!S17+"8O&lt;!$H;"</f>
        <v>#VALUE!</v>
      </c>
      <c r="DZ43" t="e">
        <f>CVEs!U17+"8O&lt;!$H&lt;"</f>
        <v>#VALUE!</v>
      </c>
      <c r="EA43" t="e">
        <f>CVEs!W17+"8O&lt;!$H="</f>
        <v>#VALUE!</v>
      </c>
      <c r="EB43" t="e">
        <f>CVEs!X17+"8O&lt;!$H&gt;"</f>
        <v>#VALUE!</v>
      </c>
      <c r="EC43" t="e">
        <f>CVEs!T17+"8O&lt;!$H?"</f>
        <v>#VALUE!</v>
      </c>
      <c r="ED43" t="e">
        <f>CVEs!X18+"8O&lt;!$H@"</f>
        <v>#VALUE!</v>
      </c>
      <c r="EE43" t="e">
        <f>CVEs!X19+"8O&lt;!$HA"</f>
        <v>#VALUE!</v>
      </c>
      <c r="EF43" t="e">
        <f>CVEs!X20+"8O&lt;!$HB"</f>
        <v>#VALUE!</v>
      </c>
      <c r="EG43" t="e">
        <f>CVEs!X21+"8O&lt;!$HC"</f>
        <v>#VALUE!</v>
      </c>
      <c r="EH43" t="e">
        <f>CVEs!X22+"8O&lt;!$HD"</f>
        <v>#VALUE!</v>
      </c>
      <c r="EI43" t="e">
        <f>CVEs!X23+"8O&lt;!$HE"</f>
        <v>#VALUE!</v>
      </c>
      <c r="EJ43" t="e">
        <f>CVEs!X24+"8O&lt;!$HF"</f>
        <v>#VALUE!</v>
      </c>
      <c r="EK43" t="e">
        <f>CVEs!X25+"8O&lt;!$HG"</f>
        <v>#VALUE!</v>
      </c>
      <c r="EL43" t="e">
        <f>CVEs!X26+"8O&lt;!$HH"</f>
        <v>#VALUE!</v>
      </c>
      <c r="EM43" t="e">
        <f>CVEs!A27+"8O&lt;!$HI"</f>
        <v>#VALUE!</v>
      </c>
      <c r="EN43" t="e">
        <f>CVEs!B27+"8O&lt;!$HJ"</f>
        <v>#VALUE!</v>
      </c>
      <c r="EO43" t="e">
        <f>CVEs!C27+"8O&lt;!$HK"</f>
        <v>#VALUE!</v>
      </c>
      <c r="EP43" s="57" t="e">
        <f>CVEs!D27+"8O&lt;!$HL"</f>
        <v>#VALUE!</v>
      </c>
      <c r="EQ43" s="58" t="e">
        <f>CVEs!E27+"8O&lt;!$HM"</f>
        <v>#VALUE!</v>
      </c>
      <c r="ER43" s="58" t="e">
        <f>CVEs!F27+"8O&lt;!$HN"</f>
        <v>#VALUE!</v>
      </c>
      <c r="ES43" t="e">
        <f>CVEs!I27+"8O&lt;!$HO"</f>
        <v>#VALUE!</v>
      </c>
      <c r="ET43" t="e">
        <f>CVEs!J27+"8O&lt;!$HP"</f>
        <v>#VALUE!</v>
      </c>
      <c r="EU43" t="e">
        <f>CVEs!K27+"8O&lt;!$HQ"</f>
        <v>#VALUE!</v>
      </c>
      <c r="EV43" t="e">
        <f>CVEs!L27+"8O&lt;!$HR"</f>
        <v>#VALUE!</v>
      </c>
      <c r="EW43" t="e">
        <f>CVEs!M27+"8O&lt;!$HS"</f>
        <v>#VALUE!</v>
      </c>
      <c r="EX43" t="e">
        <f>CVEs!N27+"8O&lt;!$HT"</f>
        <v>#VALUE!</v>
      </c>
      <c r="EY43" t="e">
        <f>CVEs!O27+"8O&lt;!$HU"</f>
        <v>#VALUE!</v>
      </c>
      <c r="EZ43" t="e">
        <f>CVEs!P27+"8O&lt;!$HV"</f>
        <v>#VALUE!</v>
      </c>
      <c r="FA43" t="e">
        <f>CVEs!Q27+"8O&lt;!$HW"</f>
        <v>#VALUE!</v>
      </c>
      <c r="FB43" t="e">
        <f>CVEs!S27+"8O&lt;!$HX"</f>
        <v>#VALUE!</v>
      </c>
      <c r="FC43" t="e">
        <f>CVEs!U27+"8O&lt;!$HY"</f>
        <v>#VALUE!</v>
      </c>
      <c r="FD43" t="e">
        <f>CVEs!W27+"8O&lt;!$HZ"</f>
        <v>#VALUE!</v>
      </c>
      <c r="FE43" t="e">
        <f>CVEs!X27+"8O&lt;!$H["</f>
        <v>#VALUE!</v>
      </c>
      <c r="FF43" t="e">
        <f>CVEs!T27+"8O&lt;!$H\"</f>
        <v>#VALUE!</v>
      </c>
      <c r="FG43" t="e">
        <f>CVEs!X28+"8O&lt;!$H]"</f>
        <v>#VALUE!</v>
      </c>
      <c r="FH43" t="e">
        <f>CVEs!X29+"8O&lt;!$H^"</f>
        <v>#VALUE!</v>
      </c>
      <c r="FI43" t="e">
        <f>CVEs!X30+"8O&lt;!$H_"</f>
        <v>#VALUE!</v>
      </c>
      <c r="FJ43" t="e">
        <f>CVEs!X31+"8O&lt;!$H`"</f>
        <v>#VALUE!</v>
      </c>
      <c r="FK43" t="e">
        <f>CVEs!X32+"8O&lt;!$Ha"</f>
        <v>#VALUE!</v>
      </c>
      <c r="FL43" t="e">
        <f>CVEs!X33+"8O&lt;!$Hb"</f>
        <v>#VALUE!</v>
      </c>
      <c r="FM43" t="e">
        <f>CVEs!X34+"8O&lt;!$Hc"</f>
        <v>#VALUE!</v>
      </c>
      <c r="FN43" t="e">
        <f>CVEs!X35+"8O&lt;!$Hd"</f>
        <v>#VALUE!</v>
      </c>
      <c r="FO43" t="e">
        <f>CVEs!X36+"8O&lt;!$He"</f>
        <v>#VALUE!</v>
      </c>
      <c r="FP43" t="e">
        <f>CVEs!X37+"8O&lt;!$Hf"</f>
        <v>#VALUE!</v>
      </c>
      <c r="FQ43" t="e">
        <f>CVEs!X38+"8O&lt;!$Hg"</f>
        <v>#VALUE!</v>
      </c>
      <c r="FR43" t="e">
        <f>CVEs!X39+"8O&lt;!$Hh"</f>
        <v>#VALUE!</v>
      </c>
      <c r="FS43" t="e">
        <f>CVEs!X40+"8O&lt;!$Hi"</f>
        <v>#VALUE!</v>
      </c>
      <c r="FT43" t="e">
        <f>CVEs!A41+"8O&lt;!$Hj"</f>
        <v>#VALUE!</v>
      </c>
      <c r="FU43" t="e">
        <f>CVEs!B41+"8O&lt;!$Hk"</f>
        <v>#VALUE!</v>
      </c>
      <c r="FV43" t="e">
        <f>CVEs!C41+"8O&lt;!$Hl"</f>
        <v>#VALUE!</v>
      </c>
      <c r="FW43" s="57" t="e">
        <f>CVEs!D41+"8O&lt;!$Hm"</f>
        <v>#VALUE!</v>
      </c>
      <c r="FX43" s="58" t="e">
        <f>CVEs!E41+"8O&lt;!$Hn"</f>
        <v>#VALUE!</v>
      </c>
      <c r="FY43" s="58" t="e">
        <f>CVEs!F41+"8O&lt;!$Ho"</f>
        <v>#VALUE!</v>
      </c>
      <c r="FZ43" t="e">
        <f>CVEs!H41+"8O&lt;!$Hp"</f>
        <v>#VALUE!</v>
      </c>
      <c r="GA43" t="e">
        <f>CVEs!I41+"8O&lt;!$Hq"</f>
        <v>#VALUE!</v>
      </c>
      <c r="GB43" t="e">
        <f>CVEs!J41+"8O&lt;!$Hr"</f>
        <v>#VALUE!</v>
      </c>
      <c r="GC43" t="e">
        <f>CVEs!K41+"8O&lt;!$Hs"</f>
        <v>#VALUE!</v>
      </c>
      <c r="GD43" t="e">
        <f>CVEs!L41+"8O&lt;!$Ht"</f>
        <v>#VALUE!</v>
      </c>
      <c r="GE43" t="e">
        <f>CVEs!M41+"8O&lt;!$Hu"</f>
        <v>#VALUE!</v>
      </c>
      <c r="GF43" t="e">
        <f>CVEs!N41+"8O&lt;!$Hv"</f>
        <v>#VALUE!</v>
      </c>
      <c r="GG43" t="e">
        <f>CVEs!O41+"8O&lt;!$Hw"</f>
        <v>#VALUE!</v>
      </c>
      <c r="GH43" t="e">
        <f>CVEs!P41+"8O&lt;!$Hx"</f>
        <v>#VALUE!</v>
      </c>
      <c r="GI43" t="e">
        <f>CVEs!Q41+"8O&lt;!$Hy"</f>
        <v>#VALUE!</v>
      </c>
      <c r="GJ43" t="e">
        <f>CVEs!R41+"8O&lt;!$Hz"</f>
        <v>#VALUE!</v>
      </c>
      <c r="GK43" t="e">
        <f>CVEs!S41+"8O&lt;!$H{"</f>
        <v>#VALUE!</v>
      </c>
      <c r="GL43" t="e">
        <f>CVEs!U41+"8O&lt;!$H|"</f>
        <v>#VALUE!</v>
      </c>
      <c r="GM43" t="e">
        <f>CVEs!V41+"8O&lt;!$H}"</f>
        <v>#VALUE!</v>
      </c>
      <c r="GN43" t="e">
        <f>CVEs!W41+"8O&lt;!$H~"</f>
        <v>#VALUE!</v>
      </c>
      <c r="GO43" t="e">
        <f>CVEs!X41+"8O&lt;!$I#"</f>
        <v>#VALUE!</v>
      </c>
      <c r="GP43" t="e">
        <f>CVEs!T41+"8O&lt;!$I$"</f>
        <v>#VALUE!</v>
      </c>
      <c r="GQ43" t="e">
        <f>CVEs!A42+"8O&lt;!$I%"</f>
        <v>#VALUE!</v>
      </c>
      <c r="GR43" t="e">
        <f>CVEs!B42+"8O&lt;!$I&amp;"</f>
        <v>#VALUE!</v>
      </c>
      <c r="GS43" t="e">
        <f>CVEs!C42+"8O&lt;!$I'"</f>
        <v>#VALUE!</v>
      </c>
      <c r="GT43" s="57" t="e">
        <f>CVEs!D42+"8O&lt;!$I("</f>
        <v>#VALUE!</v>
      </c>
      <c r="GU43" s="58" t="e">
        <f>CVEs!E42+"8O&lt;!$I)"</f>
        <v>#VALUE!</v>
      </c>
      <c r="GV43" s="58" t="e">
        <f>CVEs!F42+"8O&lt;!$I."</f>
        <v>#VALUE!</v>
      </c>
      <c r="GW43" t="e">
        <f>CVEs!H42+"8O&lt;!$I/"</f>
        <v>#VALUE!</v>
      </c>
      <c r="GX43" t="e">
        <f>CVEs!I42+"8O&lt;!$I0"</f>
        <v>#VALUE!</v>
      </c>
      <c r="GY43" t="e">
        <f>CVEs!J42+"8O&lt;!$I1"</f>
        <v>#VALUE!</v>
      </c>
      <c r="GZ43" t="e">
        <f>CVEs!K42+"8O&lt;!$I2"</f>
        <v>#VALUE!</v>
      </c>
      <c r="HA43" t="e">
        <f>CVEs!L42+"8O&lt;!$I3"</f>
        <v>#VALUE!</v>
      </c>
      <c r="HB43" t="e">
        <f>CVEs!M42+"8O&lt;!$I4"</f>
        <v>#VALUE!</v>
      </c>
      <c r="HC43" t="e">
        <f>CVEs!N42+"8O&lt;!$I5"</f>
        <v>#VALUE!</v>
      </c>
      <c r="HD43" t="e">
        <f>CVEs!O42+"8O&lt;!$I6"</f>
        <v>#VALUE!</v>
      </c>
      <c r="HE43" t="e">
        <f>CVEs!P42+"8O&lt;!$I7"</f>
        <v>#VALUE!</v>
      </c>
      <c r="HF43" t="e">
        <f>CVEs!Q42+"8O&lt;!$I8"</f>
        <v>#VALUE!</v>
      </c>
      <c r="HG43" t="e">
        <f>CVEs!R42+"8O&lt;!$I9"</f>
        <v>#VALUE!</v>
      </c>
      <c r="HH43" t="e">
        <f>CVEs!S42+"8O&lt;!$I:"</f>
        <v>#VALUE!</v>
      </c>
      <c r="HI43" t="e">
        <f>CVEs!U42+"8O&lt;!$I;"</f>
        <v>#VALUE!</v>
      </c>
      <c r="HJ43" t="e">
        <f>CVEs!V42+"8O&lt;!$I&lt;"</f>
        <v>#VALUE!</v>
      </c>
      <c r="HK43" t="e">
        <f>CVEs!W42+"8O&lt;!$I="</f>
        <v>#VALUE!</v>
      </c>
      <c r="HL43" t="e">
        <f>CVEs!X42+"8O&lt;!$I&gt;"</f>
        <v>#VALUE!</v>
      </c>
      <c r="HM43" t="e">
        <f>CVEs!T42+"8O&lt;!$I?"</f>
        <v>#VALUE!</v>
      </c>
      <c r="HN43" t="e">
        <f>CVEs!A43+"8O&lt;!$I@"</f>
        <v>#VALUE!</v>
      </c>
      <c r="HO43" t="e">
        <f>CVEs!B43+"8O&lt;!$IA"</f>
        <v>#VALUE!</v>
      </c>
      <c r="HP43" t="e">
        <f>CVEs!C43+"8O&lt;!$IB"</f>
        <v>#VALUE!</v>
      </c>
      <c r="HQ43" s="57" t="e">
        <f>CVEs!D43+"8O&lt;!$IC"</f>
        <v>#VALUE!</v>
      </c>
      <c r="HR43" s="58" t="e">
        <f>CVEs!E43+"8O&lt;!$ID"</f>
        <v>#VALUE!</v>
      </c>
      <c r="HS43" s="58" t="e">
        <f>CVEs!F43+"8O&lt;!$IE"</f>
        <v>#VALUE!</v>
      </c>
      <c r="HT43" t="e">
        <f>CVEs!H43+"8O&lt;!$IF"</f>
        <v>#VALUE!</v>
      </c>
      <c r="HU43" t="e">
        <f>CVEs!I43+"8O&lt;!$IG"</f>
        <v>#VALUE!</v>
      </c>
      <c r="HV43" t="e">
        <f>CVEs!J43+"8O&lt;!$IH"</f>
        <v>#VALUE!</v>
      </c>
      <c r="HW43" t="e">
        <f>CVEs!K43+"8O&lt;!$II"</f>
        <v>#VALUE!</v>
      </c>
      <c r="HX43" t="e">
        <f>CVEs!L43+"8O&lt;!$IJ"</f>
        <v>#VALUE!</v>
      </c>
      <c r="HY43" t="e">
        <f>CVEs!M43+"8O&lt;!$IK"</f>
        <v>#VALUE!</v>
      </c>
      <c r="HZ43" t="e">
        <f>CVEs!N43+"8O&lt;!$IL"</f>
        <v>#VALUE!</v>
      </c>
      <c r="IA43" t="e">
        <f>CVEs!O43+"8O&lt;!$IM"</f>
        <v>#VALUE!</v>
      </c>
      <c r="IB43" t="e">
        <f>CVEs!P43+"8O&lt;!$IN"</f>
        <v>#VALUE!</v>
      </c>
      <c r="IC43" t="e">
        <f>CVEs!Q43+"8O&lt;!$IO"</f>
        <v>#VALUE!</v>
      </c>
      <c r="ID43" t="e">
        <f>CVEs!R43+"8O&lt;!$IP"</f>
        <v>#VALUE!</v>
      </c>
      <c r="IE43" t="e">
        <f>CVEs!S43+"8O&lt;!$IQ"</f>
        <v>#VALUE!</v>
      </c>
      <c r="IF43" t="e">
        <f>CVEs!U43+"8O&lt;!$IR"</f>
        <v>#VALUE!</v>
      </c>
      <c r="IG43" t="e">
        <f>CVEs!V43+"8O&lt;!$IS"</f>
        <v>#VALUE!</v>
      </c>
      <c r="IH43" t="e">
        <f>CVEs!W43+"8O&lt;!$IT"</f>
        <v>#VALUE!</v>
      </c>
      <c r="II43" t="e">
        <f>CVEs!X43+"8O&lt;!$IU"</f>
        <v>#VALUE!</v>
      </c>
      <c r="IJ43" t="e">
        <f>CVEs!T43+"8O&lt;!$IV"</f>
        <v>#VALUE!</v>
      </c>
      <c r="IK43" t="e">
        <f>CVEs!A44+"8O&lt;!$IW"</f>
        <v>#VALUE!</v>
      </c>
      <c r="IL43" t="e">
        <f>CVEs!B44+"8O&lt;!$IX"</f>
        <v>#VALUE!</v>
      </c>
      <c r="IM43" t="e">
        <f>CVEs!C44+"8O&lt;!$IY"</f>
        <v>#VALUE!</v>
      </c>
      <c r="IN43" s="57" t="e">
        <f>CVEs!D44+"8O&lt;!$IZ"</f>
        <v>#VALUE!</v>
      </c>
      <c r="IO43" s="58" t="e">
        <f>CVEs!E44+"8O&lt;!$I["</f>
        <v>#VALUE!</v>
      </c>
      <c r="IP43" s="58" t="e">
        <f>CVEs!F44+"8O&lt;!$I\"</f>
        <v>#VALUE!</v>
      </c>
      <c r="IQ43" t="e">
        <f>CVEs!H44+"8O&lt;!$I]"</f>
        <v>#VALUE!</v>
      </c>
      <c r="IR43" t="e">
        <f>CVEs!I44+"8O&lt;!$I^"</f>
        <v>#VALUE!</v>
      </c>
      <c r="IS43" t="e">
        <f>CVEs!J44+"8O&lt;!$I_"</f>
        <v>#VALUE!</v>
      </c>
      <c r="IT43" t="e">
        <f>CVEs!K44+"8O&lt;!$I`"</f>
        <v>#VALUE!</v>
      </c>
      <c r="IU43" t="e">
        <f>CVEs!L44+"8O&lt;!$Ia"</f>
        <v>#VALUE!</v>
      </c>
      <c r="IV43" t="e">
        <f>CVEs!M44+"8O&lt;!$Ib"</f>
        <v>#VALUE!</v>
      </c>
    </row>
    <row r="44" spans="6:256" x14ac:dyDescent="0.25">
      <c r="F44" t="e">
        <f>CVEs!N44+"8O&lt;!$Ic"</f>
        <v>#VALUE!</v>
      </c>
      <c r="G44" t="e">
        <f>CVEs!O44+"8O&lt;!$Id"</f>
        <v>#VALUE!</v>
      </c>
      <c r="H44" t="e">
        <f>CVEs!P44+"8O&lt;!$Ie"</f>
        <v>#VALUE!</v>
      </c>
      <c r="I44" t="e">
        <f>CVEs!Q44+"8O&lt;!$If"</f>
        <v>#VALUE!</v>
      </c>
      <c r="J44" t="e">
        <f>CVEs!R44+"8O&lt;!$Ig"</f>
        <v>#VALUE!</v>
      </c>
      <c r="K44" t="e">
        <f>CVEs!S44+"8O&lt;!$Ih"</f>
        <v>#VALUE!</v>
      </c>
      <c r="L44" t="e">
        <f>CVEs!U44+"8O&lt;!$Ii"</f>
        <v>#VALUE!</v>
      </c>
      <c r="M44" t="e">
        <f>CVEs!V44+"8O&lt;!$Ij"</f>
        <v>#VALUE!</v>
      </c>
      <c r="N44" t="e">
        <f>CVEs!W44+"8O&lt;!$Ik"</f>
        <v>#VALUE!</v>
      </c>
      <c r="O44" t="e">
        <f>CVEs!X44+"8O&lt;!$Il"</f>
        <v>#VALUE!</v>
      </c>
      <c r="P44" t="e">
        <f>CVEs!T44+"8O&lt;!$Im"</f>
        <v>#VALUE!</v>
      </c>
      <c r="Q44" t="e">
        <f>CVEs!A45+"8O&lt;!$In"</f>
        <v>#VALUE!</v>
      </c>
      <c r="R44" t="e">
        <f>CVEs!B45+"8O&lt;!$Io"</f>
        <v>#VALUE!</v>
      </c>
      <c r="S44" t="e">
        <f>CVEs!C45+"8O&lt;!$Ip"</f>
        <v>#VALUE!</v>
      </c>
      <c r="T44" s="57" t="e">
        <f>CVEs!D45+"8O&lt;!$Iq"</f>
        <v>#VALUE!</v>
      </c>
      <c r="U44" s="58" t="e">
        <f>CVEs!E45+"8O&lt;!$Ir"</f>
        <v>#VALUE!</v>
      </c>
      <c r="V44" s="58" t="e">
        <f>CVEs!F45+"8O&lt;!$Is"</f>
        <v>#VALUE!</v>
      </c>
      <c r="W44" t="e">
        <f>CVEs!H45+"8O&lt;!$It"</f>
        <v>#VALUE!</v>
      </c>
      <c r="X44" t="e">
        <f>CVEs!I45+"8O&lt;!$Iu"</f>
        <v>#VALUE!</v>
      </c>
      <c r="Y44" t="e">
        <f>CVEs!J45+"8O&lt;!$Iv"</f>
        <v>#VALUE!</v>
      </c>
      <c r="Z44" t="e">
        <f>CVEs!K45+"8O&lt;!$Iw"</f>
        <v>#VALUE!</v>
      </c>
      <c r="AA44" t="e">
        <f>CVEs!L45+"8O&lt;!$Ix"</f>
        <v>#VALUE!</v>
      </c>
      <c r="AB44" t="e">
        <f>CVEs!M45+"8O&lt;!$Iy"</f>
        <v>#VALUE!</v>
      </c>
      <c r="AC44" t="e">
        <f>CVEs!N45+"8O&lt;!$Iz"</f>
        <v>#VALUE!</v>
      </c>
      <c r="AD44" t="e">
        <f>CVEs!O45+"8O&lt;!$I{"</f>
        <v>#VALUE!</v>
      </c>
      <c r="AE44" t="e">
        <f>CVEs!P45+"8O&lt;!$I|"</f>
        <v>#VALUE!</v>
      </c>
      <c r="AF44" t="e">
        <f>CVEs!Q45+"8O&lt;!$I}"</f>
        <v>#VALUE!</v>
      </c>
      <c r="AG44" t="e">
        <f>CVEs!R45+"8O&lt;!$I~"</f>
        <v>#VALUE!</v>
      </c>
      <c r="AH44" t="e">
        <f>CVEs!S45+"8O&lt;!$J#"</f>
        <v>#VALUE!</v>
      </c>
      <c r="AI44" t="e">
        <f>CVEs!U45+"8O&lt;!$J$"</f>
        <v>#VALUE!</v>
      </c>
      <c r="AJ44" t="e">
        <f>CVEs!V45+"8O&lt;!$J%"</f>
        <v>#VALUE!</v>
      </c>
      <c r="AK44" t="e">
        <f>CVEs!W45+"8O&lt;!$J&amp;"</f>
        <v>#VALUE!</v>
      </c>
      <c r="AL44" t="e">
        <f>CVEs!X45+"8O&lt;!$J'"</f>
        <v>#VALUE!</v>
      </c>
      <c r="AM44" t="e">
        <f>CVEs!T45+"8O&lt;!$J("</f>
        <v>#VALUE!</v>
      </c>
      <c r="AN44" t="e">
        <f>CVEs!X46+"8O&lt;!$J)"</f>
        <v>#VALUE!</v>
      </c>
      <c r="AO44" t="e">
        <f>CVEs!A47+"8O&lt;!$J."</f>
        <v>#VALUE!</v>
      </c>
      <c r="AP44" t="e">
        <f>CVEs!B47+"8O&lt;!$J/"</f>
        <v>#VALUE!</v>
      </c>
      <c r="AQ44" t="e">
        <f>CVEs!C47+"8O&lt;!$J0"</f>
        <v>#VALUE!</v>
      </c>
      <c r="AR44" s="57" t="e">
        <f>CVEs!D47+"8O&lt;!$J1"</f>
        <v>#VALUE!</v>
      </c>
      <c r="AS44" s="58" t="e">
        <f>CVEs!E47+"8O&lt;!$J2"</f>
        <v>#VALUE!</v>
      </c>
      <c r="AT44" s="58" t="e">
        <f>CVEs!F47+"8O&lt;!$J3"</f>
        <v>#VALUE!</v>
      </c>
      <c r="AU44" t="e">
        <f>CVEs!H47+"8O&lt;!$J4"</f>
        <v>#VALUE!</v>
      </c>
      <c r="AV44" t="e">
        <f>CVEs!I47+"8O&lt;!$J5"</f>
        <v>#VALUE!</v>
      </c>
      <c r="AW44" t="e">
        <f>CVEs!J47+"8O&lt;!$J6"</f>
        <v>#VALUE!</v>
      </c>
      <c r="AX44" t="e">
        <f>CVEs!K47+"8O&lt;!$J7"</f>
        <v>#VALUE!</v>
      </c>
      <c r="AY44" t="e">
        <f>CVEs!L47+"8O&lt;!$J8"</f>
        <v>#VALUE!</v>
      </c>
      <c r="AZ44" t="e">
        <f>CVEs!M47+"8O&lt;!$J9"</f>
        <v>#VALUE!</v>
      </c>
      <c r="BA44" t="e">
        <f>CVEs!N47+"8O&lt;!$J:"</f>
        <v>#VALUE!</v>
      </c>
      <c r="BB44" t="e">
        <f>CVEs!O47+"8O&lt;!$J;"</f>
        <v>#VALUE!</v>
      </c>
      <c r="BC44" t="e">
        <f>CVEs!P47+"8O&lt;!$J&lt;"</f>
        <v>#VALUE!</v>
      </c>
      <c r="BD44" t="e">
        <f>CVEs!Q47+"8O&lt;!$J="</f>
        <v>#VALUE!</v>
      </c>
      <c r="BE44" t="e">
        <f>CVEs!R47+"8O&lt;!$J&gt;"</f>
        <v>#VALUE!</v>
      </c>
      <c r="BF44" t="e">
        <f>CVEs!S47+"8O&lt;!$J?"</f>
        <v>#VALUE!</v>
      </c>
      <c r="BG44" t="e">
        <f>CVEs!U47+"8O&lt;!$J@"</f>
        <v>#VALUE!</v>
      </c>
      <c r="BH44" t="e">
        <f>CVEs!V47+"8O&lt;!$JA"</f>
        <v>#VALUE!</v>
      </c>
      <c r="BI44" t="e">
        <f>CVEs!W47+"8O&lt;!$JB"</f>
        <v>#VALUE!</v>
      </c>
      <c r="BJ44" t="e">
        <f>CVEs!X47+"8O&lt;!$JC"</f>
        <v>#VALUE!</v>
      </c>
      <c r="BK44" t="e">
        <f>CVEs!T47+"8O&lt;!$JD"</f>
        <v>#VALUE!</v>
      </c>
      <c r="BL44" t="e">
        <f>CVEs!A86+"8O&lt;!$JE"</f>
        <v>#VALUE!</v>
      </c>
      <c r="BM44" t="e">
        <f>CVEs!B86+"8O&lt;!$JF"</f>
        <v>#VALUE!</v>
      </c>
      <c r="BN44" t="e">
        <f>CVEs!C86+"8O&lt;!$JG"</f>
        <v>#VALUE!</v>
      </c>
      <c r="BO44" s="57" t="e">
        <f>CVEs!D86+"8O&lt;!$JH"</f>
        <v>#VALUE!</v>
      </c>
      <c r="BP44" s="58" t="e">
        <f>CVEs!E86+"8O&lt;!$JI"</f>
        <v>#VALUE!</v>
      </c>
      <c r="BQ44" s="58" t="e">
        <f>CVEs!F86+"8O&lt;!$JJ"</f>
        <v>#VALUE!</v>
      </c>
      <c r="BR44" t="e">
        <f>CVEs!H86+"8O&lt;!$JK"</f>
        <v>#VALUE!</v>
      </c>
      <c r="BS44" t="e">
        <f>CVEs!I86+"8O&lt;!$JL"</f>
        <v>#VALUE!</v>
      </c>
      <c r="BT44" t="e">
        <f>CVEs!J86+"8O&lt;!$JM"</f>
        <v>#VALUE!</v>
      </c>
      <c r="BU44" t="e">
        <f>CVEs!K86+"8O&lt;!$JN"</f>
        <v>#VALUE!</v>
      </c>
      <c r="BV44" t="e">
        <f>CVEs!L86+"8O&lt;!$JO"</f>
        <v>#VALUE!</v>
      </c>
      <c r="BW44" t="e">
        <f>CVEs!M86+"8O&lt;!$JP"</f>
        <v>#VALUE!</v>
      </c>
      <c r="BX44" t="e">
        <f>CVEs!N86+"8O&lt;!$JQ"</f>
        <v>#VALUE!</v>
      </c>
      <c r="BY44" t="e">
        <f>CVEs!O86+"8O&lt;!$JR"</f>
        <v>#VALUE!</v>
      </c>
      <c r="BZ44" t="e">
        <f>CVEs!P86+"8O&lt;!$JS"</f>
        <v>#VALUE!</v>
      </c>
      <c r="CA44" t="e">
        <f>CVEs!Q86+"8O&lt;!$JT"</f>
        <v>#VALUE!</v>
      </c>
      <c r="CB44" t="e">
        <f>CVEs!R86+"8O&lt;!$JU"</f>
        <v>#VALUE!</v>
      </c>
      <c r="CC44" t="e">
        <f>CVEs!S86+"8O&lt;!$JV"</f>
        <v>#VALUE!</v>
      </c>
      <c r="CD44" t="e">
        <f>CVEs!U86+"8O&lt;!$JW"</f>
        <v>#VALUE!</v>
      </c>
      <c r="CE44" t="e">
        <f>CVEs!V86+"8O&lt;!$JX"</f>
        <v>#VALUE!</v>
      </c>
      <c r="CF44" t="e">
        <f>CVEs!W86+"8O&lt;!$JY"</f>
        <v>#VALUE!</v>
      </c>
      <c r="CG44" t="e">
        <f>CVEs!X86+"8O&lt;!$JZ"</f>
        <v>#VALUE!</v>
      </c>
      <c r="CH44" t="e">
        <f>CVEs!T86+"8O&lt;!$J["</f>
        <v>#VALUE!</v>
      </c>
      <c r="CI44" t="e">
        <f>CVEs!A49+"8O&lt;!$J\"</f>
        <v>#VALUE!</v>
      </c>
      <c r="CJ44" t="e">
        <f>CVEs!B49+"8O&lt;!$J]"</f>
        <v>#VALUE!</v>
      </c>
      <c r="CK44" t="e">
        <f>CVEs!C49+"8O&lt;!$J^"</f>
        <v>#VALUE!</v>
      </c>
      <c r="CL44" s="57" t="e">
        <f>CVEs!D49+"8O&lt;!$J_"</f>
        <v>#VALUE!</v>
      </c>
      <c r="CM44" s="58" t="e">
        <f>CVEs!E49+"8O&lt;!$J`"</f>
        <v>#VALUE!</v>
      </c>
      <c r="CN44" s="58" t="e">
        <f>CVEs!F49+"8O&lt;!$Ja"</f>
        <v>#VALUE!</v>
      </c>
      <c r="CO44" t="e">
        <f>CVEs!H49+"8O&lt;!$Jb"</f>
        <v>#VALUE!</v>
      </c>
      <c r="CP44" t="e">
        <f>CVEs!I49+"8O&lt;!$Jc"</f>
        <v>#VALUE!</v>
      </c>
      <c r="CQ44" t="e">
        <f>CVEs!J49+"8O&lt;!$Jd"</f>
        <v>#VALUE!</v>
      </c>
      <c r="CR44" t="e">
        <f>CVEs!K49+"8O&lt;!$Je"</f>
        <v>#VALUE!</v>
      </c>
      <c r="CS44" t="e">
        <f>CVEs!L49+"8O&lt;!$Jf"</f>
        <v>#VALUE!</v>
      </c>
      <c r="CT44" t="e">
        <f>CVEs!M49+"8O&lt;!$Jg"</f>
        <v>#VALUE!</v>
      </c>
      <c r="CU44" t="e">
        <f>CVEs!N49+"8O&lt;!$Jh"</f>
        <v>#VALUE!</v>
      </c>
      <c r="CV44" t="e">
        <f>CVEs!O49+"8O&lt;!$Ji"</f>
        <v>#VALUE!</v>
      </c>
      <c r="CW44" t="e">
        <f>CVEs!P49+"8O&lt;!$Jj"</f>
        <v>#VALUE!</v>
      </c>
      <c r="CX44" t="e">
        <f>CVEs!Q49+"8O&lt;!$Jk"</f>
        <v>#VALUE!</v>
      </c>
      <c r="CY44" t="e">
        <f>CVEs!R49+"8O&lt;!$Jl"</f>
        <v>#VALUE!</v>
      </c>
      <c r="CZ44" t="e">
        <f>CVEs!S49+"8O&lt;!$Jm"</f>
        <v>#VALUE!</v>
      </c>
      <c r="DA44" t="e">
        <f>CVEs!U49+"8O&lt;!$Jn"</f>
        <v>#VALUE!</v>
      </c>
      <c r="DB44" t="e">
        <f>CVEs!V49+"8O&lt;!$Jo"</f>
        <v>#VALUE!</v>
      </c>
      <c r="DC44" t="e">
        <f>CVEs!W49+"8O&lt;!$Jp"</f>
        <v>#VALUE!</v>
      </c>
      <c r="DD44" t="e">
        <f>CVEs!X49+"8O&lt;!$Jq"</f>
        <v>#VALUE!</v>
      </c>
      <c r="DE44" t="e">
        <f>CVEs!T49+"8O&lt;!$Jr"</f>
        <v>#VALUE!</v>
      </c>
      <c r="DF44" t="e">
        <f>CVEs!A50+"8O&lt;!$Js"</f>
        <v>#VALUE!</v>
      </c>
      <c r="DG44" t="e">
        <f>CVEs!B50+"8O&lt;!$Jt"</f>
        <v>#VALUE!</v>
      </c>
      <c r="DH44" t="e">
        <f>CVEs!C50+"8O&lt;!$Ju"</f>
        <v>#VALUE!</v>
      </c>
      <c r="DI44" s="57" t="e">
        <f>CVEs!D50+"8O&lt;!$Jv"</f>
        <v>#VALUE!</v>
      </c>
      <c r="DJ44" s="58" t="e">
        <f>CVEs!E50+"8O&lt;!$Jw"</f>
        <v>#VALUE!</v>
      </c>
      <c r="DK44" s="58" t="e">
        <f>CVEs!F50+"8O&lt;!$Jx"</f>
        <v>#VALUE!</v>
      </c>
      <c r="DL44" t="e">
        <f>CVEs!H50+"8O&lt;!$Jy"</f>
        <v>#VALUE!</v>
      </c>
      <c r="DM44" t="e">
        <f>CVEs!I50+"8O&lt;!$Jz"</f>
        <v>#VALUE!</v>
      </c>
      <c r="DN44" t="e">
        <f>CVEs!J50+"8O&lt;!$J{"</f>
        <v>#VALUE!</v>
      </c>
      <c r="DO44" t="e">
        <f>CVEs!K50+"8O&lt;!$J|"</f>
        <v>#VALUE!</v>
      </c>
      <c r="DP44" t="e">
        <f>CVEs!L50+"8O&lt;!$J}"</f>
        <v>#VALUE!</v>
      </c>
      <c r="DQ44" t="e">
        <f>CVEs!M50+"8O&lt;!$J~"</f>
        <v>#VALUE!</v>
      </c>
      <c r="DR44" t="e">
        <f>CVEs!N50+"8O&lt;!$K#"</f>
        <v>#VALUE!</v>
      </c>
      <c r="DS44" t="e">
        <f>CVEs!O50+"8O&lt;!$K$"</f>
        <v>#VALUE!</v>
      </c>
      <c r="DT44" t="e">
        <f>CVEs!P50+"8O&lt;!$K%"</f>
        <v>#VALUE!</v>
      </c>
      <c r="DU44" t="e">
        <f>CVEs!Q50+"8O&lt;!$K&amp;"</f>
        <v>#VALUE!</v>
      </c>
      <c r="DV44" t="e">
        <f>CVEs!R50+"8O&lt;!$K'"</f>
        <v>#VALUE!</v>
      </c>
      <c r="DW44" t="e">
        <f>CVEs!S50+"8O&lt;!$K("</f>
        <v>#VALUE!</v>
      </c>
      <c r="DX44" t="e">
        <f>CVEs!U50+"8O&lt;!$K)"</f>
        <v>#VALUE!</v>
      </c>
      <c r="DY44" t="e">
        <f>CVEs!V50+"8O&lt;!$K."</f>
        <v>#VALUE!</v>
      </c>
      <c r="DZ44" t="e">
        <f>CVEs!W50+"8O&lt;!$K/"</f>
        <v>#VALUE!</v>
      </c>
      <c r="EA44" t="e">
        <f>CVEs!X50+"8O&lt;!$K0"</f>
        <v>#VALUE!</v>
      </c>
      <c r="EB44" t="e">
        <f>CVEs!T50+"8O&lt;!$K1"</f>
        <v>#VALUE!</v>
      </c>
      <c r="EC44" t="e">
        <f>CVEs!A51+"8O&lt;!$K2"</f>
        <v>#VALUE!</v>
      </c>
      <c r="ED44" t="e">
        <f>CVEs!B51+"8O&lt;!$K3"</f>
        <v>#VALUE!</v>
      </c>
      <c r="EE44" t="e">
        <f>CVEs!C51+"8O&lt;!$K4"</f>
        <v>#VALUE!</v>
      </c>
      <c r="EF44" s="57" t="e">
        <f>CVEs!D51+"8O&lt;!$K5"</f>
        <v>#VALUE!</v>
      </c>
      <c r="EG44" s="58" t="e">
        <f>CVEs!E51+"8O&lt;!$K6"</f>
        <v>#VALUE!</v>
      </c>
      <c r="EH44" s="58" t="e">
        <f>CVEs!F51+"8O&lt;!$K7"</f>
        <v>#VALUE!</v>
      </c>
      <c r="EI44" t="e">
        <f>CVEs!H51+"8O&lt;!$K8"</f>
        <v>#VALUE!</v>
      </c>
      <c r="EJ44" t="e">
        <f>CVEs!I51+"8O&lt;!$K9"</f>
        <v>#VALUE!</v>
      </c>
      <c r="EK44" t="e">
        <f>CVEs!J51+"8O&lt;!$K:"</f>
        <v>#VALUE!</v>
      </c>
      <c r="EL44" t="e">
        <f>CVEs!K51+"8O&lt;!$K;"</f>
        <v>#VALUE!</v>
      </c>
      <c r="EM44" t="e">
        <f>CVEs!L51+"8O&lt;!$K&lt;"</f>
        <v>#VALUE!</v>
      </c>
      <c r="EN44" t="e">
        <f>CVEs!M51+"8O&lt;!$K="</f>
        <v>#VALUE!</v>
      </c>
      <c r="EO44" t="e">
        <f>CVEs!N51+"8O&lt;!$K&gt;"</f>
        <v>#VALUE!</v>
      </c>
      <c r="EP44" t="e">
        <f>CVEs!O51+"8O&lt;!$K?"</f>
        <v>#VALUE!</v>
      </c>
      <c r="EQ44" t="e">
        <f>CVEs!P51+"8O&lt;!$K@"</f>
        <v>#VALUE!</v>
      </c>
      <c r="ER44" t="e">
        <f>CVEs!Q51+"8O&lt;!$KA"</f>
        <v>#VALUE!</v>
      </c>
      <c r="ES44" t="e">
        <f>CVEs!R51+"8O&lt;!$KB"</f>
        <v>#VALUE!</v>
      </c>
      <c r="ET44" t="e">
        <f>CVEs!S51+"8O&lt;!$KC"</f>
        <v>#VALUE!</v>
      </c>
      <c r="EU44" t="e">
        <f>CVEs!U51+"8O&lt;!$KD"</f>
        <v>#VALUE!</v>
      </c>
      <c r="EV44" t="e">
        <f>CVEs!V51+"8O&lt;!$KE"</f>
        <v>#VALUE!</v>
      </c>
      <c r="EW44" t="e">
        <f>CVEs!W51+"8O&lt;!$KF"</f>
        <v>#VALUE!</v>
      </c>
      <c r="EX44" t="e">
        <f>CVEs!X51+"8O&lt;!$KG"</f>
        <v>#VALUE!</v>
      </c>
      <c r="EY44" t="e">
        <f>CVEs!T51+"8O&lt;!$KH"</f>
        <v>#VALUE!</v>
      </c>
      <c r="EZ44" t="e">
        <f>CVEs!A52+"8O&lt;!$KI"</f>
        <v>#VALUE!</v>
      </c>
      <c r="FA44" t="e">
        <f>CVEs!B52+"8O&lt;!$KJ"</f>
        <v>#VALUE!</v>
      </c>
      <c r="FB44" t="e">
        <f>CVEs!C52+"8O&lt;!$KK"</f>
        <v>#VALUE!</v>
      </c>
      <c r="FC44" s="57" t="e">
        <f>CVEs!D52+"8O&lt;!$KL"</f>
        <v>#VALUE!</v>
      </c>
      <c r="FD44" s="58" t="e">
        <f>CVEs!E52+"8O&lt;!$KM"</f>
        <v>#VALUE!</v>
      </c>
      <c r="FE44" s="58" t="e">
        <f>CVEs!F52+"8O&lt;!$KN"</f>
        <v>#VALUE!</v>
      </c>
      <c r="FF44" t="e">
        <f>CVEs!H52+"8O&lt;!$KO"</f>
        <v>#VALUE!</v>
      </c>
      <c r="FG44" t="e">
        <f>CVEs!I52+"8O&lt;!$KP"</f>
        <v>#VALUE!</v>
      </c>
      <c r="FH44" t="e">
        <f>CVEs!J52+"8O&lt;!$KQ"</f>
        <v>#VALUE!</v>
      </c>
      <c r="FI44" t="e">
        <f>CVEs!K52+"8O&lt;!$KR"</f>
        <v>#VALUE!</v>
      </c>
      <c r="FJ44" t="e">
        <f>CVEs!L52+"8O&lt;!$KS"</f>
        <v>#VALUE!</v>
      </c>
      <c r="FK44" t="e">
        <f>CVEs!M52+"8O&lt;!$KT"</f>
        <v>#VALUE!</v>
      </c>
      <c r="FL44" t="e">
        <f>CVEs!N52+"8O&lt;!$KU"</f>
        <v>#VALUE!</v>
      </c>
      <c r="FM44" t="e">
        <f>CVEs!O52+"8O&lt;!$KV"</f>
        <v>#VALUE!</v>
      </c>
      <c r="FN44" t="e">
        <f>CVEs!P52+"8O&lt;!$KW"</f>
        <v>#VALUE!</v>
      </c>
      <c r="FO44" t="e">
        <f>CVEs!Q52+"8O&lt;!$KX"</f>
        <v>#VALUE!</v>
      </c>
      <c r="FP44" t="e">
        <f>CVEs!R52+"8O&lt;!$KY"</f>
        <v>#VALUE!</v>
      </c>
      <c r="FQ44" t="e">
        <f>CVEs!S52+"8O&lt;!$KZ"</f>
        <v>#VALUE!</v>
      </c>
      <c r="FR44" t="e">
        <f>CVEs!U52+"8O&lt;!$K["</f>
        <v>#VALUE!</v>
      </c>
      <c r="FS44" t="e">
        <f>CVEs!V52+"8O&lt;!$K\"</f>
        <v>#VALUE!</v>
      </c>
      <c r="FT44" t="e">
        <f>CVEs!W52+"8O&lt;!$K]"</f>
        <v>#VALUE!</v>
      </c>
      <c r="FU44" t="e">
        <f>CVEs!X52+"8O&lt;!$K^"</f>
        <v>#VALUE!</v>
      </c>
      <c r="FV44" t="e">
        <f>CVEs!T52+"8O&lt;!$K_"</f>
        <v>#VALUE!</v>
      </c>
      <c r="FW44" t="e">
        <f>CVEs!#REF!+"8O&lt;!$K`"</f>
        <v>#REF!</v>
      </c>
      <c r="FX44" t="e">
        <f>CVEs!#REF!+"8O&lt;!$Ka"</f>
        <v>#REF!</v>
      </c>
      <c r="FY44" t="e">
        <f>CVEs!#REF!+"8O&lt;!$Kb"</f>
        <v>#REF!</v>
      </c>
      <c r="FZ44" s="57" t="e">
        <f>CVEs!#REF!+"8O&lt;!$Kc"</f>
        <v>#REF!</v>
      </c>
      <c r="GA44" s="58" t="e">
        <f>CVEs!#REF!+"8O&lt;!$Kd"</f>
        <v>#REF!</v>
      </c>
      <c r="GB44" s="58" t="e">
        <f>CVEs!#REF!+"8O&lt;!$Ke"</f>
        <v>#REF!</v>
      </c>
      <c r="GC44" t="e">
        <f>CVEs!#REF!+"8O&lt;!$Kf"</f>
        <v>#REF!</v>
      </c>
      <c r="GD44" t="e">
        <f>CVEs!#REF!+"8O&lt;!$Kg"</f>
        <v>#REF!</v>
      </c>
      <c r="GE44" t="e">
        <f>CVEs!#REF!+"8O&lt;!$Kh"</f>
        <v>#REF!</v>
      </c>
      <c r="GF44" t="e">
        <f>CVEs!#REF!+"8O&lt;!$Ki"</f>
        <v>#REF!</v>
      </c>
      <c r="GG44" t="e">
        <f>CVEs!#REF!+"8O&lt;!$Kj"</f>
        <v>#REF!</v>
      </c>
      <c r="GH44" t="e">
        <f>CVEs!#REF!+"8O&lt;!$Kk"</f>
        <v>#REF!</v>
      </c>
      <c r="GI44" t="e">
        <f>CVEs!#REF!+"8O&lt;!$Kl"</f>
        <v>#REF!</v>
      </c>
      <c r="GJ44" t="e">
        <f>CVEs!#REF!+"8O&lt;!$Km"</f>
        <v>#REF!</v>
      </c>
      <c r="GK44" t="e">
        <f>CVEs!#REF!+"8O&lt;!$Kn"</f>
        <v>#REF!</v>
      </c>
      <c r="GL44" t="e">
        <f>CVEs!#REF!+"8O&lt;!$Ko"</f>
        <v>#REF!</v>
      </c>
      <c r="GM44" t="e">
        <f>CVEs!#REF!+"8O&lt;!$Kp"</f>
        <v>#REF!</v>
      </c>
      <c r="GN44" t="e">
        <f>CVEs!#REF!+"8O&lt;!$Kq"</f>
        <v>#REF!</v>
      </c>
      <c r="GO44" t="e">
        <f>CVEs!#REF!+"8O&lt;!$Kr"</f>
        <v>#REF!</v>
      </c>
      <c r="GP44" t="e">
        <f>CVEs!#REF!+"8O&lt;!$Ks"</f>
        <v>#REF!</v>
      </c>
      <c r="GQ44" t="e">
        <f>CVEs!#REF!+"8O&lt;!$Kt"</f>
        <v>#REF!</v>
      </c>
      <c r="GR44" t="e">
        <f>CVEs!#REF!+"8O&lt;!$Ku"</f>
        <v>#REF!</v>
      </c>
      <c r="GS44" t="e">
        <f>CVEs!#REF!+"8O&lt;!$Kv"</f>
        <v>#REF!</v>
      </c>
      <c r="GT44" t="e">
        <f>CVEs!#REF!+"8O&lt;!$Kw"</f>
        <v>#REF!</v>
      </c>
      <c r="GU44" t="e">
        <f>CVEs!#REF!+"8O&lt;!$Kx"</f>
        <v>#REF!</v>
      </c>
      <c r="GV44" t="e">
        <f>CVEs!#REF!+"8O&lt;!$Ky"</f>
        <v>#REF!</v>
      </c>
      <c r="GW44" s="57" t="e">
        <f>CVEs!#REF!+"8O&lt;!$Kz"</f>
        <v>#REF!</v>
      </c>
      <c r="GX44" s="58" t="e">
        <f>CVEs!#REF!+"8O&lt;!$K{"</f>
        <v>#REF!</v>
      </c>
      <c r="GY44" s="58" t="e">
        <f>CVEs!#REF!+"8O&lt;!$K|"</f>
        <v>#REF!</v>
      </c>
      <c r="GZ44" t="e">
        <f>CVEs!#REF!+"8O&lt;!$K}"</f>
        <v>#REF!</v>
      </c>
      <c r="HA44" t="e">
        <f>CVEs!#REF!+"8O&lt;!$K~"</f>
        <v>#REF!</v>
      </c>
      <c r="HB44" t="e">
        <f>CVEs!#REF!+"8O&lt;!$L#"</f>
        <v>#REF!</v>
      </c>
      <c r="HC44" t="e">
        <f>CVEs!#REF!+"8O&lt;!$L$"</f>
        <v>#REF!</v>
      </c>
      <c r="HD44" t="e">
        <f>CVEs!#REF!+"8O&lt;!$L%"</f>
        <v>#REF!</v>
      </c>
      <c r="HE44" t="e">
        <f>CVEs!#REF!+"8O&lt;!$L&amp;"</f>
        <v>#REF!</v>
      </c>
      <c r="HF44" t="e">
        <f>CVEs!#REF!+"8O&lt;!$L'"</f>
        <v>#REF!</v>
      </c>
      <c r="HG44" t="e">
        <f>CVEs!#REF!+"8O&lt;!$L("</f>
        <v>#REF!</v>
      </c>
      <c r="HH44" t="e">
        <f>CVEs!#REF!+"8O&lt;!$L)"</f>
        <v>#REF!</v>
      </c>
      <c r="HI44" t="e">
        <f>CVEs!#REF!+"8O&lt;!$L."</f>
        <v>#REF!</v>
      </c>
      <c r="HJ44" t="e">
        <f>CVEs!#REF!+"8O&lt;!$L/"</f>
        <v>#REF!</v>
      </c>
      <c r="HK44" t="e">
        <f>CVEs!#REF!+"8O&lt;!$L0"</f>
        <v>#REF!</v>
      </c>
      <c r="HL44" t="e">
        <f>CVEs!#REF!+"8O&lt;!$L1"</f>
        <v>#REF!</v>
      </c>
      <c r="HM44" t="e">
        <f>CVEs!#REF!+"8O&lt;!$L2"</f>
        <v>#REF!</v>
      </c>
      <c r="HN44" t="e">
        <f>CVEs!#REF!+"8O&lt;!$L3"</f>
        <v>#REF!</v>
      </c>
      <c r="HO44" t="e">
        <f>CVEs!#REF!+"8O&lt;!$L4"</f>
        <v>#REF!</v>
      </c>
      <c r="HP44" t="e">
        <f>CVEs!#REF!+"8O&lt;!$L5"</f>
        <v>#REF!</v>
      </c>
      <c r="HQ44" t="e">
        <f>CVEs!A74+"8O&lt;!$L6"</f>
        <v>#VALUE!</v>
      </c>
      <c r="HR44" t="e">
        <f>CVEs!B74+"8O&lt;!$L7"</f>
        <v>#VALUE!</v>
      </c>
      <c r="HS44" t="e">
        <f>CVEs!C74+"8O&lt;!$L8"</f>
        <v>#VALUE!</v>
      </c>
      <c r="HT44" s="57" t="e">
        <f>CVEs!D74+"8O&lt;!$L9"</f>
        <v>#VALUE!</v>
      </c>
      <c r="HU44" s="58" t="e">
        <f>CVEs!E74+"8O&lt;!$L:"</f>
        <v>#VALUE!</v>
      </c>
      <c r="HV44" s="58" t="e">
        <f>CVEs!F74+"8O&lt;!$L;"</f>
        <v>#VALUE!</v>
      </c>
      <c r="HW44" t="e">
        <f>CVEs!H74+"8O&lt;!$L&lt;"</f>
        <v>#VALUE!</v>
      </c>
      <c r="HX44" t="e">
        <f>CVEs!I74+"8O&lt;!$L="</f>
        <v>#VALUE!</v>
      </c>
      <c r="HY44" t="e">
        <f>CVEs!J74+"8O&lt;!$L&gt;"</f>
        <v>#VALUE!</v>
      </c>
      <c r="HZ44" t="e">
        <f>CVEs!K74+"8O&lt;!$L?"</f>
        <v>#VALUE!</v>
      </c>
      <c r="IA44" t="e">
        <f>CVEs!L74+"8O&lt;!$L@"</f>
        <v>#VALUE!</v>
      </c>
      <c r="IB44" t="e">
        <f>CVEs!M74+"8O&lt;!$LA"</f>
        <v>#VALUE!</v>
      </c>
      <c r="IC44" t="e">
        <f>CVEs!N74+"8O&lt;!$LB"</f>
        <v>#VALUE!</v>
      </c>
      <c r="ID44" t="e">
        <f>CVEs!O74+"8O&lt;!$LC"</f>
        <v>#VALUE!</v>
      </c>
      <c r="IE44" t="e">
        <f>CVEs!P74+"8O&lt;!$LD"</f>
        <v>#VALUE!</v>
      </c>
      <c r="IF44" t="e">
        <f>CVEs!Q74+"8O&lt;!$LE"</f>
        <v>#VALUE!</v>
      </c>
      <c r="IG44" t="e">
        <f>CVEs!R74+"8O&lt;!$LF"</f>
        <v>#VALUE!</v>
      </c>
      <c r="IH44" t="e">
        <f>CVEs!S74+"8O&lt;!$LG"</f>
        <v>#VALUE!</v>
      </c>
      <c r="II44" t="e">
        <f>CVEs!U74+"8O&lt;!$LH"</f>
        <v>#VALUE!</v>
      </c>
      <c r="IJ44" t="e">
        <f>CVEs!V74+"8O&lt;!$LI"</f>
        <v>#VALUE!</v>
      </c>
      <c r="IK44" t="e">
        <f>CVEs!W74+"8O&lt;!$LJ"</f>
        <v>#VALUE!</v>
      </c>
      <c r="IL44" t="e">
        <f>CVEs!X74+"8O&lt;!$LK"</f>
        <v>#VALUE!</v>
      </c>
      <c r="IM44" t="e">
        <f>CVEs!T74+"8O&lt;!$LL"</f>
        <v>#VALUE!</v>
      </c>
      <c r="IN44" t="e">
        <f>CVEs!A75+"8O&lt;!$LM"</f>
        <v>#VALUE!</v>
      </c>
      <c r="IO44" t="e">
        <f>CVEs!B75+"8O&lt;!$LN"</f>
        <v>#VALUE!</v>
      </c>
      <c r="IP44" t="e">
        <f>CVEs!C75+"8O&lt;!$LO"</f>
        <v>#VALUE!</v>
      </c>
      <c r="IQ44" s="57" t="e">
        <f>CVEs!D75+"8O&lt;!$LP"</f>
        <v>#VALUE!</v>
      </c>
      <c r="IR44" s="58" t="e">
        <f>CVEs!E75+"8O&lt;!$LQ"</f>
        <v>#VALUE!</v>
      </c>
      <c r="IS44" s="58" t="e">
        <f>CVEs!F75+"8O&lt;!$LR"</f>
        <v>#VALUE!</v>
      </c>
      <c r="IT44" t="e">
        <f>CVEs!H75+"8O&lt;!$LS"</f>
        <v>#VALUE!</v>
      </c>
      <c r="IU44" t="e">
        <f>CVEs!I75+"8O&lt;!$LT"</f>
        <v>#VALUE!</v>
      </c>
      <c r="IV44" t="e">
        <f>CVEs!J75+"8O&lt;!$LU"</f>
        <v>#VALUE!</v>
      </c>
    </row>
    <row r="45" spans="6:256" x14ac:dyDescent="0.25">
      <c r="F45" t="e">
        <f>CVEs!K75+"8O&lt;!$LV"</f>
        <v>#VALUE!</v>
      </c>
      <c r="G45" t="e">
        <f>CVEs!L75+"8O&lt;!$LW"</f>
        <v>#VALUE!</v>
      </c>
      <c r="H45" t="e">
        <f>CVEs!M75+"8O&lt;!$LX"</f>
        <v>#VALUE!</v>
      </c>
      <c r="I45" t="e">
        <f>CVEs!N75+"8O&lt;!$LY"</f>
        <v>#VALUE!</v>
      </c>
      <c r="J45" t="e">
        <f>CVEs!O75+"8O&lt;!$LZ"</f>
        <v>#VALUE!</v>
      </c>
      <c r="K45" t="e">
        <f>CVEs!P75+"8O&lt;!$L["</f>
        <v>#VALUE!</v>
      </c>
      <c r="L45" t="e">
        <f>CVEs!Q75+"8O&lt;!$L\"</f>
        <v>#VALUE!</v>
      </c>
      <c r="M45" t="e">
        <f>CVEs!R75+"8O&lt;!$L]"</f>
        <v>#VALUE!</v>
      </c>
      <c r="N45" t="e">
        <f>CVEs!S75+"8O&lt;!$L^"</f>
        <v>#VALUE!</v>
      </c>
      <c r="O45" t="e">
        <f>CVEs!U75+"8O&lt;!$L_"</f>
        <v>#VALUE!</v>
      </c>
      <c r="P45" t="e">
        <f>CVEs!V75+"8O&lt;!$L`"</f>
        <v>#VALUE!</v>
      </c>
      <c r="Q45" t="e">
        <f>CVEs!W75+"8O&lt;!$La"</f>
        <v>#VALUE!</v>
      </c>
      <c r="R45" t="e">
        <f>CVEs!X75+"8O&lt;!$Lb"</f>
        <v>#VALUE!</v>
      </c>
      <c r="S45" t="e">
        <f>CVEs!T75+"8O&lt;!$Lc"</f>
        <v>#VALUE!</v>
      </c>
      <c r="T45" t="e">
        <f>CVEs!A76+"8O&lt;!$Ld"</f>
        <v>#VALUE!</v>
      </c>
      <c r="U45" t="e">
        <f>CVEs!B76+"8O&lt;!$Le"</f>
        <v>#VALUE!</v>
      </c>
      <c r="V45" t="e">
        <f>CVEs!C76+"8O&lt;!$Lf"</f>
        <v>#VALUE!</v>
      </c>
      <c r="W45" s="57" t="e">
        <f>CVEs!D76+"8O&lt;!$Lg"</f>
        <v>#VALUE!</v>
      </c>
      <c r="X45" s="58" t="e">
        <f>CVEs!E76+"8O&lt;!$Lh"</f>
        <v>#VALUE!</v>
      </c>
      <c r="Y45" s="58" t="e">
        <f>CVEs!F76+"8O&lt;!$Li"</f>
        <v>#VALUE!</v>
      </c>
      <c r="Z45" t="e">
        <f>CVEs!H76+"8O&lt;!$Lj"</f>
        <v>#VALUE!</v>
      </c>
      <c r="AA45" t="e">
        <f>CVEs!I76+"8O&lt;!$Lk"</f>
        <v>#VALUE!</v>
      </c>
      <c r="AB45" t="e">
        <f>CVEs!J76+"8O&lt;!$Ll"</f>
        <v>#VALUE!</v>
      </c>
      <c r="AC45" t="e">
        <f>CVEs!K76+"8O&lt;!$Lm"</f>
        <v>#VALUE!</v>
      </c>
      <c r="AD45" t="e">
        <f>CVEs!L76+"8O&lt;!$Ln"</f>
        <v>#VALUE!</v>
      </c>
      <c r="AE45" t="e">
        <f>CVEs!M76+"8O&lt;!$Lo"</f>
        <v>#VALUE!</v>
      </c>
      <c r="AF45" t="e">
        <f>CVEs!N76+"8O&lt;!$Lp"</f>
        <v>#VALUE!</v>
      </c>
      <c r="AG45" t="e">
        <f>CVEs!O76+"8O&lt;!$Lq"</f>
        <v>#VALUE!</v>
      </c>
      <c r="AH45" t="e">
        <f>CVEs!P76+"8O&lt;!$Lr"</f>
        <v>#VALUE!</v>
      </c>
      <c r="AI45" t="e">
        <f>CVEs!Q76+"8O&lt;!$Ls"</f>
        <v>#VALUE!</v>
      </c>
      <c r="AJ45" t="e">
        <f>CVEs!R76+"8O&lt;!$Lt"</f>
        <v>#VALUE!</v>
      </c>
      <c r="AK45" t="e">
        <f>CVEs!S76+"8O&lt;!$Lu"</f>
        <v>#VALUE!</v>
      </c>
      <c r="AL45" t="e">
        <f>CVEs!U76+"8O&lt;!$Lv"</f>
        <v>#VALUE!</v>
      </c>
      <c r="AM45" t="e">
        <f>CVEs!V76+"8O&lt;!$Lw"</f>
        <v>#VALUE!</v>
      </c>
      <c r="AN45" t="e">
        <f>CVEs!W76+"8O&lt;!$Lx"</f>
        <v>#VALUE!</v>
      </c>
      <c r="AO45" t="e">
        <f>CVEs!X76+"8O&lt;!$Ly"</f>
        <v>#VALUE!</v>
      </c>
      <c r="AP45" t="e">
        <f>CVEs!T76+"8O&lt;!$Lz"</f>
        <v>#VALUE!</v>
      </c>
      <c r="AQ45" t="e">
        <f>CVEs!A77+"8O&lt;!$L{"</f>
        <v>#VALUE!</v>
      </c>
      <c r="AR45" t="e">
        <f>CVEs!B77+"8O&lt;!$L|"</f>
        <v>#VALUE!</v>
      </c>
      <c r="AS45" t="e">
        <f>CVEs!C77+"8O&lt;!$L}"</f>
        <v>#VALUE!</v>
      </c>
      <c r="AT45" s="57" t="e">
        <f>CVEs!D77+"8O&lt;!$L~"</f>
        <v>#VALUE!</v>
      </c>
      <c r="AU45" s="58" t="e">
        <f>CVEs!E77+"8O&lt;!$M#"</f>
        <v>#VALUE!</v>
      </c>
      <c r="AV45" s="58" t="e">
        <f>CVEs!F77+"8O&lt;!$M$"</f>
        <v>#VALUE!</v>
      </c>
      <c r="AW45" t="e">
        <f>CVEs!H77+"8O&lt;!$M%"</f>
        <v>#VALUE!</v>
      </c>
      <c r="AX45" t="e">
        <f>CVEs!I77+"8O&lt;!$M&amp;"</f>
        <v>#VALUE!</v>
      </c>
      <c r="AY45" t="e">
        <f>CVEs!J77+"8O&lt;!$M'"</f>
        <v>#VALUE!</v>
      </c>
      <c r="AZ45" t="e">
        <f>CVEs!K77+"8O&lt;!$M("</f>
        <v>#VALUE!</v>
      </c>
      <c r="BA45" t="e">
        <f>CVEs!L77+"8O&lt;!$M)"</f>
        <v>#VALUE!</v>
      </c>
      <c r="BB45" t="e">
        <f>CVEs!M77+"8O&lt;!$M."</f>
        <v>#VALUE!</v>
      </c>
      <c r="BC45" t="e">
        <f>CVEs!N77+"8O&lt;!$M/"</f>
        <v>#VALUE!</v>
      </c>
      <c r="BD45" t="e">
        <f>CVEs!O77+"8O&lt;!$M0"</f>
        <v>#VALUE!</v>
      </c>
      <c r="BE45" t="e">
        <f>CVEs!P77+"8O&lt;!$M1"</f>
        <v>#VALUE!</v>
      </c>
      <c r="BF45" t="e">
        <f>CVEs!Q77+"8O&lt;!$M2"</f>
        <v>#VALUE!</v>
      </c>
      <c r="BG45" t="e">
        <f>CVEs!R77+"8O&lt;!$M3"</f>
        <v>#VALUE!</v>
      </c>
      <c r="BH45" t="e">
        <f>CVEs!S77+"8O&lt;!$M4"</f>
        <v>#VALUE!</v>
      </c>
      <c r="BI45" t="e">
        <f>CVEs!U77+"8O&lt;!$M5"</f>
        <v>#VALUE!</v>
      </c>
      <c r="BJ45" t="e">
        <f>CVEs!V77+"8O&lt;!$M6"</f>
        <v>#VALUE!</v>
      </c>
      <c r="BK45" t="e">
        <f>CVEs!W77+"8O&lt;!$M7"</f>
        <v>#VALUE!</v>
      </c>
      <c r="BL45" t="e">
        <f>CVEs!X77+"8O&lt;!$M8"</f>
        <v>#VALUE!</v>
      </c>
      <c r="BM45" t="e">
        <f>CVEs!T77+"8O&lt;!$M9"</f>
        <v>#VALUE!</v>
      </c>
      <c r="BN45" t="e">
        <f>CVEs!A78+"8O&lt;!$M:"</f>
        <v>#VALUE!</v>
      </c>
      <c r="BO45" t="e">
        <f>CVEs!B78+"8O&lt;!$M;"</f>
        <v>#VALUE!</v>
      </c>
      <c r="BP45" t="e">
        <f>CVEs!C78+"8O&lt;!$M&lt;"</f>
        <v>#VALUE!</v>
      </c>
      <c r="BQ45" s="57" t="e">
        <f>CVEs!D78+"8O&lt;!$M="</f>
        <v>#VALUE!</v>
      </c>
      <c r="BR45" s="58" t="e">
        <f>CVEs!E78+"8O&lt;!$M&gt;"</f>
        <v>#VALUE!</v>
      </c>
      <c r="BS45" s="58" t="e">
        <f>CVEs!F78+"8O&lt;!$M?"</f>
        <v>#VALUE!</v>
      </c>
      <c r="BT45" t="e">
        <f>CVEs!H78+"8O&lt;!$M@"</f>
        <v>#VALUE!</v>
      </c>
      <c r="BU45" t="e">
        <f>CVEs!I78+"8O&lt;!$MA"</f>
        <v>#VALUE!</v>
      </c>
      <c r="BV45" t="e">
        <f>CVEs!J78+"8O&lt;!$MB"</f>
        <v>#VALUE!</v>
      </c>
      <c r="BW45" t="e">
        <f>CVEs!K78+"8O&lt;!$MC"</f>
        <v>#VALUE!</v>
      </c>
      <c r="BX45" t="e">
        <f>CVEs!L78+"8O&lt;!$MD"</f>
        <v>#VALUE!</v>
      </c>
      <c r="BY45" t="e">
        <f>CVEs!M78+"8O&lt;!$ME"</f>
        <v>#VALUE!</v>
      </c>
      <c r="BZ45" t="e">
        <f>CVEs!N78+"8O&lt;!$MF"</f>
        <v>#VALUE!</v>
      </c>
      <c r="CA45" t="e">
        <f>CVEs!O78+"8O&lt;!$MG"</f>
        <v>#VALUE!</v>
      </c>
      <c r="CB45" t="e">
        <f>CVEs!P78+"8O&lt;!$MH"</f>
        <v>#VALUE!</v>
      </c>
      <c r="CC45" t="e">
        <f>CVEs!Q78+"8O&lt;!$MI"</f>
        <v>#VALUE!</v>
      </c>
      <c r="CD45" t="e">
        <f>CVEs!R78+"8O&lt;!$MJ"</f>
        <v>#VALUE!</v>
      </c>
      <c r="CE45" t="e">
        <f>CVEs!S78+"8O&lt;!$MK"</f>
        <v>#VALUE!</v>
      </c>
      <c r="CF45" t="e">
        <f>CVEs!U78+"8O&lt;!$ML"</f>
        <v>#VALUE!</v>
      </c>
      <c r="CG45" t="e">
        <f>CVEs!V78+"8O&lt;!$MM"</f>
        <v>#VALUE!</v>
      </c>
      <c r="CH45" t="e">
        <f>CVEs!W78+"8O&lt;!$MN"</f>
        <v>#VALUE!</v>
      </c>
      <c r="CI45" t="e">
        <f>CVEs!X78+"8O&lt;!$MO"</f>
        <v>#VALUE!</v>
      </c>
      <c r="CJ45" t="e">
        <f>CVEs!T78+"8O&lt;!$MP"</f>
        <v>#VALUE!</v>
      </c>
      <c r="CK45" t="e">
        <f>CVEs!A79+"8O&lt;!$MQ"</f>
        <v>#VALUE!</v>
      </c>
      <c r="CL45" t="e">
        <f>CVEs!B79+"8O&lt;!$MR"</f>
        <v>#VALUE!</v>
      </c>
      <c r="CM45" t="e">
        <f>CVEs!C79+"8O&lt;!$MS"</f>
        <v>#VALUE!</v>
      </c>
      <c r="CN45" s="57" t="e">
        <f>CVEs!D79+"8O&lt;!$MT"</f>
        <v>#VALUE!</v>
      </c>
      <c r="CO45" s="58" t="e">
        <f>CVEs!E79+"8O&lt;!$MU"</f>
        <v>#VALUE!</v>
      </c>
      <c r="CP45" s="58" t="e">
        <f>CVEs!F79+"8O&lt;!$MV"</f>
        <v>#VALUE!</v>
      </c>
      <c r="CQ45" t="e">
        <f>CVEs!H79+"8O&lt;!$MW"</f>
        <v>#VALUE!</v>
      </c>
      <c r="CR45" t="e">
        <f>CVEs!I79+"8O&lt;!$MX"</f>
        <v>#VALUE!</v>
      </c>
      <c r="CS45" t="e">
        <f>CVEs!J79+"8O&lt;!$MY"</f>
        <v>#VALUE!</v>
      </c>
      <c r="CT45" t="e">
        <f>CVEs!K79+"8O&lt;!$MZ"</f>
        <v>#VALUE!</v>
      </c>
      <c r="CU45" t="e">
        <f>CVEs!L79+"8O&lt;!$M["</f>
        <v>#VALUE!</v>
      </c>
      <c r="CV45" t="e">
        <f>CVEs!M79+"8O&lt;!$M\"</f>
        <v>#VALUE!</v>
      </c>
      <c r="CW45" t="e">
        <f>CVEs!N79+"8O&lt;!$M]"</f>
        <v>#VALUE!</v>
      </c>
      <c r="CX45" t="e">
        <f>CVEs!O79+"8O&lt;!$M^"</f>
        <v>#VALUE!</v>
      </c>
      <c r="CY45" t="e">
        <f>CVEs!P79+"8O&lt;!$M_"</f>
        <v>#VALUE!</v>
      </c>
      <c r="CZ45" t="e">
        <f>CVEs!Q79+"8O&lt;!$M`"</f>
        <v>#VALUE!</v>
      </c>
      <c r="DA45" t="e">
        <f>CVEs!R79+"8O&lt;!$Ma"</f>
        <v>#VALUE!</v>
      </c>
      <c r="DB45" t="e">
        <f>CVEs!S79+"8O&lt;!$Mb"</f>
        <v>#VALUE!</v>
      </c>
      <c r="DC45" t="e">
        <f>CVEs!U79+"8O&lt;!$Mc"</f>
        <v>#VALUE!</v>
      </c>
      <c r="DD45" t="e">
        <f>CVEs!V79+"8O&lt;!$Md"</f>
        <v>#VALUE!</v>
      </c>
      <c r="DE45" t="e">
        <f>CVEs!W79+"8O&lt;!$Me"</f>
        <v>#VALUE!</v>
      </c>
      <c r="DF45" t="e">
        <f>CVEs!X79+"8O&lt;!$Mf"</f>
        <v>#VALUE!</v>
      </c>
      <c r="DG45" t="e">
        <f>CVEs!T79+"8O&lt;!$Mg"</f>
        <v>#VALUE!</v>
      </c>
      <c r="DH45" t="e">
        <f>CVEs!A80+"8O&lt;!$Mh"</f>
        <v>#VALUE!</v>
      </c>
      <c r="DI45" t="e">
        <f>CVEs!B80+"8O&lt;!$Mi"</f>
        <v>#VALUE!</v>
      </c>
      <c r="DJ45" t="e">
        <f>CVEs!C80+"8O&lt;!$Mj"</f>
        <v>#VALUE!</v>
      </c>
      <c r="DK45" s="57" t="e">
        <f>CVEs!D80+"8O&lt;!$Mk"</f>
        <v>#VALUE!</v>
      </c>
      <c r="DL45" s="58" t="e">
        <f>CVEs!E80+"8O&lt;!$Ml"</f>
        <v>#VALUE!</v>
      </c>
      <c r="DM45" s="58" t="e">
        <f>CVEs!F80+"8O&lt;!$Mm"</f>
        <v>#VALUE!</v>
      </c>
      <c r="DN45" t="e">
        <f>CVEs!H80+"8O&lt;!$Mn"</f>
        <v>#VALUE!</v>
      </c>
      <c r="DO45" t="e">
        <f>CVEs!I80+"8O&lt;!$Mo"</f>
        <v>#VALUE!</v>
      </c>
      <c r="DP45" t="e">
        <f>CVEs!J80+"8O&lt;!$Mp"</f>
        <v>#VALUE!</v>
      </c>
      <c r="DQ45" t="e">
        <f>CVEs!K80+"8O&lt;!$Mq"</f>
        <v>#VALUE!</v>
      </c>
      <c r="DR45" t="e">
        <f>CVEs!L80+"8O&lt;!$Mr"</f>
        <v>#VALUE!</v>
      </c>
      <c r="DS45" t="e">
        <f>CVEs!M80+"8O&lt;!$Ms"</f>
        <v>#VALUE!</v>
      </c>
      <c r="DT45" t="e">
        <f>CVEs!N80+"8O&lt;!$Mt"</f>
        <v>#VALUE!</v>
      </c>
      <c r="DU45" t="e">
        <f>CVEs!O80+"8O&lt;!$Mu"</f>
        <v>#VALUE!</v>
      </c>
      <c r="DV45" t="e">
        <f>CVEs!P80+"8O&lt;!$Mv"</f>
        <v>#VALUE!</v>
      </c>
      <c r="DW45" t="e">
        <f>CVEs!Q80+"8O&lt;!$Mw"</f>
        <v>#VALUE!</v>
      </c>
      <c r="DX45" t="e">
        <f>CVEs!R80+"8O&lt;!$Mx"</f>
        <v>#VALUE!</v>
      </c>
      <c r="DY45" t="e">
        <f>CVEs!S80+"8O&lt;!$My"</f>
        <v>#VALUE!</v>
      </c>
      <c r="DZ45" t="e">
        <f>CVEs!U80+"8O&lt;!$Mz"</f>
        <v>#VALUE!</v>
      </c>
      <c r="EA45" t="e">
        <f>CVEs!V80+"8O&lt;!$M{"</f>
        <v>#VALUE!</v>
      </c>
      <c r="EB45" t="e">
        <f>CVEs!W80+"8O&lt;!$M|"</f>
        <v>#VALUE!</v>
      </c>
      <c r="EC45" t="e">
        <f>CVEs!X80+"8O&lt;!$M}"</f>
        <v>#VALUE!</v>
      </c>
      <c r="ED45" t="e">
        <f>CVEs!T80+"8O&lt;!$M~"</f>
        <v>#VALUE!</v>
      </c>
      <c r="EE45" t="e">
        <f>CVEs!A81+"8O&lt;!$N#"</f>
        <v>#VALUE!</v>
      </c>
      <c r="EF45" t="e">
        <f>CVEs!B81+"8O&lt;!$N$"</f>
        <v>#VALUE!</v>
      </c>
      <c r="EG45" t="e">
        <f>CVEs!C81+"8O&lt;!$N%"</f>
        <v>#VALUE!</v>
      </c>
      <c r="EH45" s="57" t="e">
        <f>CVEs!D81+"8O&lt;!$N&amp;"</f>
        <v>#VALUE!</v>
      </c>
      <c r="EI45" s="58" t="e">
        <f>CVEs!E81+"8O&lt;!$N'"</f>
        <v>#VALUE!</v>
      </c>
      <c r="EJ45" s="58" t="e">
        <f>CVEs!F81+"8O&lt;!$N("</f>
        <v>#VALUE!</v>
      </c>
      <c r="EK45" t="e">
        <f>CVEs!H81+"8O&lt;!$N)"</f>
        <v>#VALUE!</v>
      </c>
      <c r="EL45" t="e">
        <f>CVEs!I81+"8O&lt;!$N."</f>
        <v>#VALUE!</v>
      </c>
      <c r="EM45" t="e">
        <f>CVEs!J81+"8O&lt;!$N/"</f>
        <v>#VALUE!</v>
      </c>
      <c r="EN45" t="e">
        <f>CVEs!K81+"8O&lt;!$N0"</f>
        <v>#VALUE!</v>
      </c>
      <c r="EO45" t="e">
        <f>CVEs!L81+"8O&lt;!$N1"</f>
        <v>#VALUE!</v>
      </c>
      <c r="EP45" t="e">
        <f>CVEs!M81+"8O&lt;!$N2"</f>
        <v>#VALUE!</v>
      </c>
      <c r="EQ45" t="e">
        <f>CVEs!N81+"8O&lt;!$N3"</f>
        <v>#VALUE!</v>
      </c>
      <c r="ER45" t="e">
        <f>CVEs!O81+"8O&lt;!$N4"</f>
        <v>#VALUE!</v>
      </c>
      <c r="ES45" t="e">
        <f>CVEs!P81+"8O&lt;!$N5"</f>
        <v>#VALUE!</v>
      </c>
      <c r="ET45" t="e">
        <f>CVEs!Q81+"8O&lt;!$N6"</f>
        <v>#VALUE!</v>
      </c>
      <c r="EU45" t="e">
        <f>CVEs!R81+"8O&lt;!$N7"</f>
        <v>#VALUE!</v>
      </c>
      <c r="EV45" t="e">
        <f>CVEs!S81+"8O&lt;!$N8"</f>
        <v>#VALUE!</v>
      </c>
      <c r="EW45" t="e">
        <f>CVEs!U81+"8O&lt;!$N9"</f>
        <v>#VALUE!</v>
      </c>
      <c r="EX45" t="e">
        <f>CVEs!V81+"8O&lt;!$N:"</f>
        <v>#VALUE!</v>
      </c>
      <c r="EY45" t="e">
        <f>CVEs!W81+"8O&lt;!$N;"</f>
        <v>#VALUE!</v>
      </c>
      <c r="EZ45" t="e">
        <f>CVEs!X81+"8O&lt;!$N&lt;"</f>
        <v>#VALUE!</v>
      </c>
      <c r="FA45" t="e">
        <f>CVEs!T81+"8O&lt;!$N="</f>
        <v>#VALUE!</v>
      </c>
      <c r="FB45" t="e">
        <f>CVEs!A82+"8O&lt;!$N&gt;"</f>
        <v>#VALUE!</v>
      </c>
      <c r="FC45" t="e">
        <f>CVEs!B82+"8O&lt;!$N?"</f>
        <v>#VALUE!</v>
      </c>
      <c r="FD45" t="e">
        <f>CVEs!C82+"8O&lt;!$N@"</f>
        <v>#VALUE!</v>
      </c>
      <c r="FE45" s="57" t="e">
        <f>CVEs!D82+"8O&lt;!$NA"</f>
        <v>#VALUE!</v>
      </c>
      <c r="FF45" s="58" t="e">
        <f>CVEs!E82+"8O&lt;!$NB"</f>
        <v>#VALUE!</v>
      </c>
      <c r="FG45" s="58" t="e">
        <f>CVEs!F82+"8O&lt;!$NC"</f>
        <v>#VALUE!</v>
      </c>
      <c r="FH45" t="e">
        <f>CVEs!H82+"8O&lt;!$ND"</f>
        <v>#VALUE!</v>
      </c>
      <c r="FI45" t="e">
        <f>CVEs!I82+"8O&lt;!$NE"</f>
        <v>#VALUE!</v>
      </c>
      <c r="FJ45" t="e">
        <f>CVEs!J82+"8O&lt;!$NF"</f>
        <v>#VALUE!</v>
      </c>
      <c r="FK45" t="e">
        <f>CVEs!K82+"8O&lt;!$NG"</f>
        <v>#VALUE!</v>
      </c>
      <c r="FL45" t="e">
        <f>CVEs!L82+"8O&lt;!$NH"</f>
        <v>#VALUE!</v>
      </c>
      <c r="FM45" t="e">
        <f>CVEs!M82+"8O&lt;!$NI"</f>
        <v>#VALUE!</v>
      </c>
      <c r="FN45" t="e">
        <f>CVEs!N82+"8O&lt;!$NJ"</f>
        <v>#VALUE!</v>
      </c>
      <c r="FO45" t="e">
        <f>CVEs!O82+"8O&lt;!$NK"</f>
        <v>#VALUE!</v>
      </c>
      <c r="FP45" t="e">
        <f>CVEs!P82+"8O&lt;!$NL"</f>
        <v>#VALUE!</v>
      </c>
      <c r="FQ45" t="e">
        <f>CVEs!Q82+"8O&lt;!$NM"</f>
        <v>#VALUE!</v>
      </c>
      <c r="FR45" t="e">
        <f>CVEs!R82+"8O&lt;!$NN"</f>
        <v>#VALUE!</v>
      </c>
      <c r="FS45" t="e">
        <f>CVEs!S82+"8O&lt;!$NO"</f>
        <v>#VALUE!</v>
      </c>
      <c r="FT45" t="e">
        <f>CVEs!U82+"8O&lt;!$NP"</f>
        <v>#VALUE!</v>
      </c>
      <c r="FU45" t="e">
        <f>CVEs!V82+"8O&lt;!$NQ"</f>
        <v>#VALUE!</v>
      </c>
      <c r="FV45" t="e">
        <f>CVEs!W82+"8O&lt;!$NR"</f>
        <v>#VALUE!</v>
      </c>
      <c r="FW45" t="e">
        <f>CVEs!X82+"8O&lt;!$NS"</f>
        <v>#VALUE!</v>
      </c>
      <c r="FX45" t="e">
        <f>CVEs!T82+"8O&lt;!$NT"</f>
        <v>#VALUE!</v>
      </c>
      <c r="FY45" t="e">
        <f>CVEs!#REF!+"8O&lt;!$NU"</f>
        <v>#REF!</v>
      </c>
      <c r="FZ45" t="e">
        <f>CVEs!#REF!+"8O&lt;!$NV"</f>
        <v>#REF!</v>
      </c>
      <c r="GA45" t="e">
        <f>CVEs!#REF!+"8O&lt;!$NW"</f>
        <v>#REF!</v>
      </c>
      <c r="GB45" s="57" t="e">
        <f>CVEs!#REF!+"8O&lt;!$NX"</f>
        <v>#REF!</v>
      </c>
      <c r="GC45" s="58" t="e">
        <f>CVEs!#REF!+"8O&lt;!$NY"</f>
        <v>#REF!</v>
      </c>
      <c r="GD45" s="58" t="e">
        <f>CVEs!#REF!+"8O&lt;!$NZ"</f>
        <v>#REF!</v>
      </c>
      <c r="GE45" t="e">
        <f>CVEs!#REF!+"8O&lt;!$N["</f>
        <v>#REF!</v>
      </c>
      <c r="GF45" t="e">
        <f>CVEs!#REF!+"8O&lt;!$N\"</f>
        <v>#REF!</v>
      </c>
      <c r="GG45" t="e">
        <f>CVEs!#REF!+"8O&lt;!$N]"</f>
        <v>#REF!</v>
      </c>
      <c r="GH45" t="e">
        <f>CVEs!#REF!+"8O&lt;!$N^"</f>
        <v>#REF!</v>
      </c>
      <c r="GI45" t="e">
        <f>CVEs!#REF!+"8O&lt;!$N_"</f>
        <v>#REF!</v>
      </c>
      <c r="GJ45" t="e">
        <f>CVEs!#REF!+"8O&lt;!$N`"</f>
        <v>#REF!</v>
      </c>
      <c r="GK45" t="e">
        <f>CVEs!#REF!+"8O&lt;!$Na"</f>
        <v>#REF!</v>
      </c>
      <c r="GL45" t="e">
        <f>CVEs!#REF!+"8O&lt;!$Nb"</f>
        <v>#REF!</v>
      </c>
      <c r="GM45" t="e">
        <f>CVEs!#REF!+"8O&lt;!$Nc"</f>
        <v>#REF!</v>
      </c>
      <c r="GN45" t="e">
        <f>CVEs!#REF!+"8O&lt;!$Nd"</f>
        <v>#REF!</v>
      </c>
      <c r="GO45" t="e">
        <f>CVEs!#REF!+"8O&lt;!$Ne"</f>
        <v>#REF!</v>
      </c>
      <c r="GP45" t="e">
        <f>CVEs!#REF!+"8O&lt;!$Nf"</f>
        <v>#REF!</v>
      </c>
      <c r="GQ45" t="e">
        <f>CVEs!#REF!+"8O&lt;!$Ng"</f>
        <v>#REF!</v>
      </c>
      <c r="GR45" t="e">
        <f>CVEs!#REF!+"8O&lt;!$Nh"</f>
        <v>#REF!</v>
      </c>
      <c r="GS45" t="e">
        <f>CVEs!#REF!+"8O&lt;!$Ni"</f>
        <v>#REF!</v>
      </c>
      <c r="GT45" t="e">
        <f>CVEs!#REF!+"8O&lt;!$Nj"</f>
        <v>#REF!</v>
      </c>
      <c r="GU45" t="e">
        <f>CVEs!#REF!+"8O&lt;!$Nk"</f>
        <v>#REF!</v>
      </c>
      <c r="GV45" t="e">
        <f>CVEs!A98+"8O&lt;!$Nl"</f>
        <v>#VALUE!</v>
      </c>
      <c r="GW45" t="e">
        <f>CVEs!B98+"8O&lt;!$Nm"</f>
        <v>#VALUE!</v>
      </c>
      <c r="GX45" t="e">
        <f>CVEs!C98+"8O&lt;!$Nn"</f>
        <v>#VALUE!</v>
      </c>
      <c r="GY45" s="57" t="e">
        <f>CVEs!D98+"8O&lt;!$No"</f>
        <v>#VALUE!</v>
      </c>
      <c r="GZ45" s="58" t="e">
        <f>CVEs!E98+"8O&lt;!$Np"</f>
        <v>#VALUE!</v>
      </c>
      <c r="HA45" s="58" t="e">
        <f>CVEs!F98+"8O&lt;!$Nq"</f>
        <v>#VALUE!</v>
      </c>
      <c r="HB45" t="e">
        <f>CVEs!I98+"8O&lt;!$Nr"</f>
        <v>#VALUE!</v>
      </c>
      <c r="HC45" t="e">
        <f>CVEs!J98+"8O&lt;!$Ns"</f>
        <v>#VALUE!</v>
      </c>
      <c r="HD45" t="e">
        <f>CVEs!K98+"8O&lt;!$Nt"</f>
        <v>#VALUE!</v>
      </c>
      <c r="HE45" t="e">
        <f>CVEs!L98+"8O&lt;!$Nu"</f>
        <v>#VALUE!</v>
      </c>
      <c r="HF45" t="e">
        <f>CVEs!M98+"8O&lt;!$Nv"</f>
        <v>#VALUE!</v>
      </c>
      <c r="HG45" t="e">
        <f>CVEs!N98+"8O&lt;!$Nw"</f>
        <v>#VALUE!</v>
      </c>
      <c r="HH45" t="e">
        <f>CVEs!O98+"8O&lt;!$Nx"</f>
        <v>#VALUE!</v>
      </c>
      <c r="HI45" t="e">
        <f>CVEs!P98+"8O&lt;!$Ny"</f>
        <v>#VALUE!</v>
      </c>
      <c r="HJ45" t="e">
        <f>CVEs!Q98+"8O&lt;!$Nz"</f>
        <v>#VALUE!</v>
      </c>
      <c r="HK45" t="e">
        <f>CVEs!S98+"8O&lt;!$N{"</f>
        <v>#VALUE!</v>
      </c>
      <c r="HL45" t="e">
        <f>CVEs!U98+"8O&lt;!$N|"</f>
        <v>#VALUE!</v>
      </c>
      <c r="HM45" t="e">
        <f>CVEs!W98+"8O&lt;!$N}"</f>
        <v>#VALUE!</v>
      </c>
      <c r="HN45" t="e">
        <f>CVEs!X98+"8O&lt;!$N~"</f>
        <v>#VALUE!</v>
      </c>
      <c r="HO45" t="e">
        <f>CVEs!T98+"8O&lt;!$O#"</f>
        <v>#VALUE!</v>
      </c>
      <c r="HP45" t="e">
        <f>CVEs!A99+"8O&lt;!$O$"</f>
        <v>#VALUE!</v>
      </c>
      <c r="HQ45" t="e">
        <f>CVEs!B99+"8O&lt;!$O%"</f>
        <v>#VALUE!</v>
      </c>
      <c r="HR45" t="e">
        <f>CVEs!C99+"8O&lt;!$O&amp;"</f>
        <v>#VALUE!</v>
      </c>
      <c r="HS45" s="57" t="e">
        <f>CVEs!D99+"8O&lt;!$O'"</f>
        <v>#VALUE!</v>
      </c>
      <c r="HT45" s="58" t="e">
        <f>CVEs!E99+"8O&lt;!$O("</f>
        <v>#VALUE!</v>
      </c>
      <c r="HU45" s="58" t="e">
        <f>CVEs!F99+"8O&lt;!$O)"</f>
        <v>#VALUE!</v>
      </c>
      <c r="HV45" t="e">
        <f>CVEs!H99+"8O&lt;!$O."</f>
        <v>#VALUE!</v>
      </c>
      <c r="HW45" t="e">
        <f>CVEs!I99+"8O&lt;!$O/"</f>
        <v>#VALUE!</v>
      </c>
      <c r="HX45" t="e">
        <f>CVEs!J99+"8O&lt;!$O0"</f>
        <v>#VALUE!</v>
      </c>
      <c r="HY45" t="e">
        <f>CVEs!K99+"8O&lt;!$O1"</f>
        <v>#VALUE!</v>
      </c>
      <c r="HZ45" t="e">
        <f>CVEs!L99+"8O&lt;!$O2"</f>
        <v>#VALUE!</v>
      </c>
      <c r="IA45" t="e">
        <f>CVEs!M99+"8O&lt;!$O3"</f>
        <v>#VALUE!</v>
      </c>
      <c r="IB45" t="e">
        <f>CVEs!N99+"8O&lt;!$O4"</f>
        <v>#VALUE!</v>
      </c>
      <c r="IC45" t="e">
        <f>CVEs!O99+"8O&lt;!$O5"</f>
        <v>#VALUE!</v>
      </c>
      <c r="ID45" t="e">
        <f>CVEs!P99+"8O&lt;!$O6"</f>
        <v>#VALUE!</v>
      </c>
      <c r="IE45" t="e">
        <f>CVEs!Q99+"8O&lt;!$O7"</f>
        <v>#VALUE!</v>
      </c>
      <c r="IF45" t="e">
        <f>CVEs!R99+"8O&lt;!$O8"</f>
        <v>#VALUE!</v>
      </c>
      <c r="IG45" t="e">
        <f>CVEs!S99+"8O&lt;!$O9"</f>
        <v>#VALUE!</v>
      </c>
      <c r="IH45" t="e">
        <f>CVEs!U99+"8O&lt;!$O:"</f>
        <v>#VALUE!</v>
      </c>
      <c r="II45" t="e">
        <f>CVEs!V99+"8O&lt;!$O;"</f>
        <v>#VALUE!</v>
      </c>
      <c r="IJ45" t="e">
        <f>CVEs!W99+"8O&lt;!$O&lt;"</f>
        <v>#VALUE!</v>
      </c>
      <c r="IK45" t="e">
        <f>CVEs!X99+"8O&lt;!$O="</f>
        <v>#VALUE!</v>
      </c>
      <c r="IL45" t="e">
        <f>CVEs!T99+"8O&lt;!$O&gt;"</f>
        <v>#VALUE!</v>
      </c>
      <c r="IM45" t="e">
        <f>Rules!BD:BD*"8O&lt;!$O?"</f>
        <v>#VALUE!</v>
      </c>
      <c r="IN45" t="e">
        <f>Rules!10:10-"8O&lt;!$O@"</f>
        <v>#VALUE!</v>
      </c>
      <c r="IO45" t="e">
        <f>Rules!12:12-"8O&lt;!$OA"</f>
        <v>#VALUE!</v>
      </c>
      <c r="IP45" t="e">
        <f>Rules!13:13-"8O&lt;!$OB"</f>
        <v>#VALUE!</v>
      </c>
      <c r="IQ45" t="e">
        <f>Rules!14:14-"8O&lt;!$OC"</f>
        <v>#VALUE!</v>
      </c>
      <c r="IR45" t="e">
        <f>Rules!15:15-"8O&lt;!$OD"</f>
        <v>#VALUE!</v>
      </c>
      <c r="IS45" t="e">
        <f>Rules!16:16-"8O&lt;!$OE"</f>
        <v>#VALUE!</v>
      </c>
      <c r="IT45" t="e">
        <f>Rules!17:17-"8O&lt;!$OF"</f>
        <v>#VALUE!</v>
      </c>
      <c r="IU45" t="e">
        <f>Rules!18:18-"8O&lt;!$OG"</f>
        <v>#VALUE!</v>
      </c>
      <c r="IV45" t="e">
        <f>Rules!19:19-"8O&lt;!$OH"</f>
        <v>#VALUE!</v>
      </c>
    </row>
    <row r="46" spans="6:256" x14ac:dyDescent="0.25">
      <c r="F46" t="e">
        <f>Rules!253:253-"8O&lt;!$OI"</f>
        <v>#VALUE!</v>
      </c>
      <c r="G46" t="e">
        <f>Rules!254:254-"8O&lt;!$OJ"</f>
        <v>#VALUE!</v>
      </c>
      <c r="H46" t="e">
        <f>Rules!255:255-"8O&lt;!$OK"</f>
        <v>#VALUE!</v>
      </c>
      <c r="I46" t="e">
        <f>Rules!256:256-"8O&lt;!$OL"</f>
        <v>#VALUE!</v>
      </c>
      <c r="J46" t="e">
        <f>Rules!257:257-"8O&lt;!$OM"</f>
        <v>#VALUE!</v>
      </c>
      <c r="K46" t="e">
        <f>Rules!258:258-"8O&lt;!$ON"</f>
        <v>#VALUE!</v>
      </c>
      <c r="L46" t="e">
        <f>Rules!259:259-"8O&lt;!$OO"</f>
        <v>#VALUE!</v>
      </c>
      <c r="M46" t="e">
        <f>Rules!260:260-"8O&lt;!$OP"</f>
        <v>#VALUE!</v>
      </c>
      <c r="N46" t="e">
        <f>Rules!261:261-"8O&lt;!$OQ"</f>
        <v>#VALUE!</v>
      </c>
      <c r="O46" t="e">
        <f>Rules!262:262-"8O&lt;!$OR"</f>
        <v>#VALUE!</v>
      </c>
      <c r="P46" t="e">
        <f>Rules!263:263-"8O&lt;!$OS"</f>
        <v>#VALUE!</v>
      </c>
      <c r="Q46" t="e">
        <f>Rules!264:264-"8O&lt;!$OT"</f>
        <v>#VALUE!</v>
      </c>
      <c r="R46" t="e">
        <f>Rules!265:265-"8O&lt;!$OU"</f>
        <v>#VALUE!</v>
      </c>
      <c r="S46" t="e">
        <f>Rules!266:266-"8O&lt;!$OV"</f>
        <v>#VALUE!</v>
      </c>
      <c r="T46" t="e">
        <f>Rules!267:267-"8O&lt;!$OW"</f>
        <v>#VALUE!</v>
      </c>
      <c r="U46" t="e">
        <f>Rules!268:268-"8O&lt;!$OX"</f>
        <v>#VALUE!</v>
      </c>
      <c r="V46" t="e">
        <f>Rules!269:269-"8O&lt;!$OY"</f>
        <v>#VALUE!</v>
      </c>
      <c r="W46" t="e">
        <f>Rules!270:270-"8O&lt;!$OZ"</f>
        <v>#VALUE!</v>
      </c>
      <c r="X46" t="e">
        <f>Rules!271:271-"8O&lt;!$O["</f>
        <v>#VALUE!</v>
      </c>
      <c r="Y46" t="e">
        <f>Rules!272:272-"8O&lt;!$O\"</f>
        <v>#VALUE!</v>
      </c>
      <c r="Z46" t="e">
        <f>Rules!273:273-"8O&lt;!$O]"</f>
        <v>#VALUE!</v>
      </c>
      <c r="AA46" t="e">
        <f>Rules!274:274-"8O&lt;!$O^"</f>
        <v>#VALUE!</v>
      </c>
      <c r="AB46" t="e">
        <f>Rules!275:275-"8O&lt;!$O_"</f>
        <v>#VALUE!</v>
      </c>
      <c r="AC46" t="e">
        <f>Rules!276:276-"8O&lt;!$O`"</f>
        <v>#VALUE!</v>
      </c>
      <c r="AD46" t="e">
        <f>Rules!277:277-"8O&lt;!$Oa"</f>
        <v>#VALUE!</v>
      </c>
      <c r="AE46" t="e">
        <f>Rules!278:278-"8O&lt;!$Ob"</f>
        <v>#VALUE!</v>
      </c>
      <c r="AF46" t="e">
        <f>Rules!B8+"8O&lt;!$Oc"</f>
        <v>#VALUE!</v>
      </c>
      <c r="AG46" t="e">
        <f>Rules!B9+"8O&lt;!$Od"</f>
        <v>#VALUE!</v>
      </c>
      <c r="AH46" t="e">
        <f>Rules!A11+"8O&lt;!$Oe"</f>
        <v>#VALUE!</v>
      </c>
      <c r="AI46" t="e">
        <f>Rules!B11+"8O&lt;!$Of"</f>
        <v>#VALUE!</v>
      </c>
      <c r="AJ46" t="e">
        <f>Rules!A12+"8O&lt;!$Og"</f>
        <v>#VALUE!</v>
      </c>
      <c r="AK46" t="e">
        <f>Rules!B12+"8O&lt;!$Oh"</f>
        <v>#VALUE!</v>
      </c>
      <c r="AL46" t="e">
        <f>Rules!C12+"8O&lt;!$Oi"</f>
        <v>#VALUE!</v>
      </c>
      <c r="AM46" t="e">
        <f>Rules!D12+"8O&lt;!$Oj"</f>
        <v>#VALUE!</v>
      </c>
      <c r="AN46" t="e">
        <f>Rules!F12+"8O&lt;!$Ok"</f>
        <v>#VALUE!</v>
      </c>
      <c r="AO46" t="e">
        <f>Rules!A13+"8O&lt;!$Ol"</f>
        <v>#VALUE!</v>
      </c>
      <c r="AP46" t="e">
        <f>Rules!B13+"8O&lt;!$Om"</f>
        <v>#VALUE!</v>
      </c>
      <c r="AQ46" t="e">
        <f>Rules!C13+"8O&lt;!$On"</f>
        <v>#VALUE!</v>
      </c>
      <c r="AR46" t="e">
        <f>Rules!F13+"8O&lt;!$Oo"</f>
        <v>#VALUE!</v>
      </c>
      <c r="AS46" t="e">
        <f>Rules!A14+"8O&lt;!$Op"</f>
        <v>#VALUE!</v>
      </c>
      <c r="AT46" t="e">
        <f>Rules!B14+"8O&lt;!$Oq"</f>
        <v>#VALUE!</v>
      </c>
      <c r="AU46" t="e">
        <f>Rules!C14+"8O&lt;!$Or"</f>
        <v>#VALUE!</v>
      </c>
      <c r="AV46" t="e">
        <f>Rules!F14+"8O&lt;!$Os"</f>
        <v>#VALUE!</v>
      </c>
      <c r="AW46" t="e">
        <f>Rules!A15+"8O&lt;!$Ot"</f>
        <v>#VALUE!</v>
      </c>
      <c r="AX46" t="e">
        <f>Rules!B15+"8O&lt;!$Ou"</f>
        <v>#VALUE!</v>
      </c>
      <c r="AY46" t="e">
        <f>Rules!C15+"8O&lt;!$Ov"</f>
        <v>#VALUE!</v>
      </c>
      <c r="AZ46" t="e">
        <f>Rules!F15+"8O&lt;!$Ow"</f>
        <v>#VALUE!</v>
      </c>
      <c r="BA46" t="e">
        <f>Rules!A16+"8O&lt;!$Ox"</f>
        <v>#VALUE!</v>
      </c>
      <c r="BB46" t="e">
        <f>Rules!B16+"8O&lt;!$Oy"</f>
        <v>#VALUE!</v>
      </c>
      <c r="BC46" t="e">
        <f>Rules!C16+"8O&lt;!$Oz"</f>
        <v>#VALUE!</v>
      </c>
      <c r="BD46" t="e">
        <f>Rules!F16+"8O&lt;!$O{"</f>
        <v>#VALUE!</v>
      </c>
      <c r="BE46" t="e">
        <f>Rules!A17+"8O&lt;!$O|"</f>
        <v>#VALUE!</v>
      </c>
      <c r="BF46" t="e">
        <f>Rules!B17+"8O&lt;!$O}"</f>
        <v>#VALUE!</v>
      </c>
      <c r="BG46" t="e">
        <f>Rules!C17+"8O&lt;!$O~"</f>
        <v>#VALUE!</v>
      </c>
      <c r="BH46" t="e">
        <f>Rules!F17+"8O&lt;!$P#"</f>
        <v>#VALUE!</v>
      </c>
      <c r="BI46" t="e">
        <f>Rules!B18+"8O&lt;!$P$"</f>
        <v>#VALUE!</v>
      </c>
      <c r="BJ46" t="e">
        <f>Rules!C18+"8O&lt;!$P%"</f>
        <v>#VALUE!</v>
      </c>
      <c r="BK46" t="e">
        <f>Rules!F18+"8O&lt;!$P&amp;"</f>
        <v>#VALUE!</v>
      </c>
      <c r="BL46" t="e">
        <f>Rules!B19+"8O&lt;!$P'"</f>
        <v>#VALUE!</v>
      </c>
      <c r="BM46" t="e">
        <f>Rules!B20+"8O&lt;!$P("</f>
        <v>#VALUE!</v>
      </c>
      <c r="BN46" t="e">
        <f>Rules!B46+"8O&lt;!$P)"</f>
        <v>#VALUE!</v>
      </c>
      <c r="BO46" t="e">
        <f>Rules!C46+"8O&lt;!$P."</f>
        <v>#VALUE!</v>
      </c>
      <c r="BP46" t="e">
        <f>Rules!D46+"8O&lt;!$P/"</f>
        <v>#VALUE!</v>
      </c>
      <c r="BQ46" t="e">
        <f>Rules!B47+"8O&lt;!$P0"</f>
        <v>#VALUE!</v>
      </c>
      <c r="BR46" t="e">
        <f>Rules!C47+"8O&lt;!$P1"</f>
        <v>#VALUE!</v>
      </c>
      <c r="BS46" t="e">
        <f>Rules!B48+"8O&lt;!$P2"</f>
        <v>#VALUE!</v>
      </c>
      <c r="BT46" t="e">
        <f>Rules!C48+"8O&lt;!$P3"</f>
        <v>#VALUE!</v>
      </c>
      <c r="BU46" t="e">
        <f>Rules!B49+"8O&lt;!$P4"</f>
        <v>#VALUE!</v>
      </c>
      <c r="BV46" t="e">
        <f>Rules!C49+"8O&lt;!$P5"</f>
        <v>#VALUE!</v>
      </c>
      <c r="BW46" t="e">
        <f>Rules!B50+"8O&lt;!$P6"</f>
        <v>#VALUE!</v>
      </c>
      <c r="BX46" t="e">
        <f>Rules!C50+"8O&lt;!$P7"</f>
        <v>#VALUE!</v>
      </c>
      <c r="BY46" t="e">
        <f>Rules!A51+"8O&lt;!$P8"</f>
        <v>#VALUE!</v>
      </c>
      <c r="BZ46" t="e">
        <f>Rules!B51+"8O&lt;!$P9"</f>
        <v>#VALUE!</v>
      </c>
      <c r="CA46" t="e">
        <f>Rules!C51+"8O&lt;!$P:"</f>
        <v>#VALUE!</v>
      </c>
      <c r="CB46" t="e">
        <f>Rules!A52+"8O&lt;!$P;"</f>
        <v>#VALUE!</v>
      </c>
      <c r="CC46" t="e">
        <f>Rules!B52+"8O&lt;!$P&lt;"</f>
        <v>#VALUE!</v>
      </c>
      <c r="CD46" t="e">
        <f>Rules!C52+"8O&lt;!$P="</f>
        <v>#VALUE!</v>
      </c>
      <c r="CE46" t="e">
        <f>Rules!A53+"8O&lt;!$P&gt;"</f>
        <v>#VALUE!</v>
      </c>
      <c r="CF46" t="e">
        <f>Rules!B53+"8O&lt;!$P?"</f>
        <v>#VALUE!</v>
      </c>
      <c r="CG46" t="e">
        <f>Rules!A54+"8O&lt;!$P@"</f>
        <v>#VALUE!</v>
      </c>
      <c r="CH46" t="e">
        <f>Rules!B54+"8O&lt;!$PA"</f>
        <v>#VALUE!</v>
      </c>
      <c r="CI46" t="e">
        <f>Rules!A55+"8O&lt;!$PB"</f>
        <v>#VALUE!</v>
      </c>
      <c r="CJ46" t="e">
        <f>Rules!B55+"8O&lt;!$PC"</f>
        <v>#VALUE!</v>
      </c>
      <c r="CK46" t="e">
        <f>Rules!A56+"8O&lt;!$PD"</f>
        <v>#VALUE!</v>
      </c>
      <c r="CL46" t="e">
        <f>Rules!A57+"8O&lt;!$PE"</f>
        <v>#VALUE!</v>
      </c>
      <c r="CM46" t="e">
        <f>Rules!A58+"8O&lt;!$PF"</f>
        <v>#VALUE!</v>
      </c>
      <c r="CN46" t="e">
        <f>Rules!A59+"8O&lt;!$PG"</f>
        <v>#VALUE!</v>
      </c>
      <c r="CO46" t="e">
        <f>Rules!A68+"8O&lt;!$PH"</f>
        <v>#VALUE!</v>
      </c>
      <c r="CP46" t="e">
        <f>Rules!A69+"8O&lt;!$PI"</f>
        <v>#VALUE!</v>
      </c>
      <c r="CQ46" t="e">
        <f>Rules!A70+"8O&lt;!$PJ"</f>
        <v>#VALUE!</v>
      </c>
      <c r="CR46" t="e">
        <f>Rules!A71+"8O&lt;!$PK"</f>
        <v>#VALUE!</v>
      </c>
      <c r="CS46" t="e">
        <f>Rules!A72+"8O&lt;!$PL"</f>
        <v>#VALUE!</v>
      </c>
      <c r="CT46" t="e">
        <f>Rules!A73+"8O&lt;!$PM"</f>
        <v>#VALUE!</v>
      </c>
      <c r="CU46" t="e">
        <f>Rules!A74+"8O&lt;!$PN"</f>
        <v>#VALUE!</v>
      </c>
      <c r="CV46" t="e">
        <f>Rules!A75+"8O&lt;!$PO"</f>
        <v>#VALUE!</v>
      </c>
      <c r="CW46" t="e">
        <f>Rules!A76+"8O&lt;!$PP"</f>
        <v>#VALUE!</v>
      </c>
      <c r="CX46" t="e">
        <f>Rules!A77+"8O&lt;!$PQ"</f>
        <v>#VALUE!</v>
      </c>
      <c r="CY46" t="e">
        <f>Rules!A78+"8O&lt;!$PR"</f>
        <v>#VALUE!</v>
      </c>
      <c r="CZ46" t="e">
        <f>Drop_Downs!C12+"8O&lt;!$PS"</f>
        <v>#VALUE!</v>
      </c>
      <c r="DA46" t="e">
        <f>'CVE Blocks 2016'!A:A*"8O&lt;!$PT"</f>
        <v>#VALUE!</v>
      </c>
      <c r="DB46" t="e">
        <f>'CVE Blocks 2016'!B:B*"8O&lt;!$PU"</f>
        <v>#VALUE!</v>
      </c>
      <c r="DC46" t="e">
        <f>'CVE Blocks 2016'!C:C*"8O&lt;!$PV"</f>
        <v>#VALUE!</v>
      </c>
      <c r="DD46" t="e">
        <f>'CVE Blocks 2016'!D:D*"8O&lt;!$PW"</f>
        <v>#VALUE!</v>
      </c>
      <c r="DE46" t="e">
        <f>'CVE Blocks 2016'!F:F*"8O&lt;!$PX"</f>
        <v>#VALUE!</v>
      </c>
      <c r="DF46" t="e">
        <f>'CVE Blocks 2016'!G:G*"8O&lt;!$PY"</f>
        <v>#VALUE!</v>
      </c>
      <c r="DG46" t="e">
        <f>'CVE Blocks 2016'!H:H*"8O&lt;!$PZ"</f>
        <v>#VALUE!</v>
      </c>
      <c r="DH46" t="e">
        <f>'CVE Blocks 2016'!I:I*"8O&lt;!$P["</f>
        <v>#VALUE!</v>
      </c>
      <c r="DI46" t="e">
        <f>'CVE Blocks 2016'!J:J*"8O&lt;!$P\"</f>
        <v>#VALUE!</v>
      </c>
      <c r="DJ46" t="e">
        <f>'CVE Blocks 2016'!L:L*"8O&lt;!$P]"</f>
        <v>#VALUE!</v>
      </c>
      <c r="DK46" t="e">
        <f>'CVE Blocks 2016'!M:M*"8O&lt;!$P^"</f>
        <v>#VALUE!</v>
      </c>
      <c r="DL46" t="e">
        <f>'CVE Blocks 2016'!N:N*"8O&lt;!$P_"</f>
        <v>#VALUE!</v>
      </c>
      <c r="DM46" t="e">
        <f>'CVE Blocks 2016'!O:O*"8O&lt;!$P`"</f>
        <v>#VALUE!</v>
      </c>
      <c r="DN46" t="e">
        <f>'CVE Blocks 2016'!P:P*"8O&lt;!$Pa"</f>
        <v>#VALUE!</v>
      </c>
      <c r="DO46" t="e">
        <f>'CVE Blocks 2016'!Q:Q*"8O&lt;!$Pb"</f>
        <v>#VALUE!</v>
      </c>
      <c r="DP46" t="e">
        <f>'CVE Blocks 2016'!R:R*"8O&lt;!$Pc"</f>
        <v>#VALUE!</v>
      </c>
      <c r="DQ46" t="e">
        <f>'CVE Blocks 2016'!S:S*"8O&lt;!$Pd"</f>
        <v>#VALUE!</v>
      </c>
      <c r="DR46" t="e">
        <f>'CVE Blocks 2016'!T:T*"8O&lt;!$Pe"</f>
        <v>#VALUE!</v>
      </c>
      <c r="DS46" t="e">
        <f>'CVE Blocks 2016'!U:U*"8O&lt;!$Pf"</f>
        <v>#VALUE!</v>
      </c>
      <c r="DT46" t="e">
        <f>'CVE Blocks 2016'!V:V*"8O&lt;!$Pg"</f>
        <v>#VALUE!</v>
      </c>
      <c r="DU46" t="e">
        <f>'CVE Blocks 2016'!W:W*"8O&lt;!$Ph"</f>
        <v>#VALUE!</v>
      </c>
      <c r="DV46" t="e">
        <f>'CVE Blocks 2016'!X:X*"8O&lt;!$Pi"</f>
        <v>#VALUE!</v>
      </c>
      <c r="DW46" t="e">
        <f>'CVE Blocks 2016'!Y:Y*"8O&lt;!$Pj"</f>
        <v>#VALUE!</v>
      </c>
      <c r="DX46" t="e">
        <f>'CVE Blocks 2016'!Z:Z*"8O&lt;!$Pk"</f>
        <v>#VALUE!</v>
      </c>
      <c r="DY46" t="e">
        <f>'CVE Blocks 2016'!AA:AA*"8O&lt;!$Pl"</f>
        <v>#VALUE!</v>
      </c>
      <c r="DZ46" t="e">
        <f>'CVE Blocks 2016'!AB:AB*"8O&lt;!$Pm"</f>
        <v>#VALUE!</v>
      </c>
      <c r="EA46" t="e">
        <f>'CVE Blocks 2016'!AC:AC*"8O&lt;!$Pn"</f>
        <v>#VALUE!</v>
      </c>
      <c r="EB46" t="e">
        <f>'CVE Blocks 2016'!AD:AD*"8O&lt;!$Po"</f>
        <v>#VALUE!</v>
      </c>
      <c r="EC46" t="e">
        <f>'CVE Blocks 2016'!AE:AE*"8O&lt;!$Pp"</f>
        <v>#VALUE!</v>
      </c>
      <c r="ED46" t="e">
        <f>'CVE Blocks 2016'!AF:AF*"8O&lt;!$Pq"</f>
        <v>#VALUE!</v>
      </c>
      <c r="EE46" t="e">
        <f>'CVE Blocks 2016'!AG:AG*"8O&lt;!$Pr"</f>
        <v>#VALUE!</v>
      </c>
      <c r="EF46" t="e">
        <f>'CVE Blocks 2016'!AH:AH*"8O&lt;!$Ps"</f>
        <v>#VALUE!</v>
      </c>
      <c r="EG46" t="e">
        <f>'CVE Blocks 2016'!AI:AI*"8O&lt;!$Pt"</f>
        <v>#VALUE!</v>
      </c>
      <c r="EH46" t="e">
        <f>'CVE Blocks 2016'!AJ:AJ*"8O&lt;!$Pu"</f>
        <v>#VALUE!</v>
      </c>
      <c r="EI46" t="e">
        <f>'CVE Blocks 2016'!AK:AK*"8O&lt;!$Pv"</f>
        <v>#VALUE!</v>
      </c>
      <c r="EJ46" t="e">
        <f>'CVE Blocks 2016'!AL:AL*"8O&lt;!$Pw"</f>
        <v>#VALUE!</v>
      </c>
      <c r="EK46" t="e">
        <f>'CVE Blocks 2016'!AM:AM*"8O&lt;!$Px"</f>
        <v>#VALUE!</v>
      </c>
      <c r="EL46" t="e">
        <f>'CVE Blocks 2016'!AN:AN*"8O&lt;!$Py"</f>
        <v>#VALUE!</v>
      </c>
      <c r="EM46" t="e">
        <f>'CVE Blocks 2016'!AO:AO*"8O&lt;!$Pz"</f>
        <v>#VALUE!</v>
      </c>
      <c r="EN46" t="e">
        <f>'CVE Blocks 2016'!AP:AP*"8O&lt;!$P{"</f>
        <v>#VALUE!</v>
      </c>
      <c r="EO46" t="e">
        <f>'CVE Blocks 2016'!AQ:AQ*"8O&lt;!$P|"</f>
        <v>#VALUE!</v>
      </c>
      <c r="EP46" t="e">
        <f>'CVE Blocks 2016'!AR:AR*"8O&lt;!$P}"</f>
        <v>#VALUE!</v>
      </c>
      <c r="EQ46" t="e">
        <f>'CVE Blocks 2016'!AS:AS*"8O&lt;!$P~"</f>
        <v>#VALUE!</v>
      </c>
      <c r="ER46" t="e">
        <f>'CVE Blocks 2016'!AT:AT*"8O&lt;!$Q#"</f>
        <v>#VALUE!</v>
      </c>
      <c r="ES46" t="e">
        <f>'CVE Blocks 2016'!AU:AU*"8O&lt;!$Q$"</f>
        <v>#VALUE!</v>
      </c>
      <c r="ET46" t="e">
        <f>'CVE Blocks 2016'!AV:AV*"8O&lt;!$Q%"</f>
        <v>#VALUE!</v>
      </c>
      <c r="EU46" t="e">
        <f>'CVE Blocks 2016'!AW:AW*"8O&lt;!$Q&amp;"</f>
        <v>#VALUE!</v>
      </c>
      <c r="EV46" t="e">
        <f>'CVE Blocks 2016'!AX:AX*"8O&lt;!$Q'"</f>
        <v>#VALUE!</v>
      </c>
      <c r="EW46" t="e">
        <f>'CVE Blocks 2016'!AY:AY*"8O&lt;!$Q("</f>
        <v>#VALUE!</v>
      </c>
      <c r="EX46" t="e">
        <f>'CVE Blocks 2016'!AZ:AZ*"8O&lt;!$Q)"</f>
        <v>#VALUE!</v>
      </c>
      <c r="EY46" t="e">
        <f>'CVE Blocks 2016'!BA:BA*"8O&lt;!$Q."</f>
        <v>#VALUE!</v>
      </c>
      <c r="EZ46" t="e">
        <f>'CVE Blocks 2016'!BB:BB*"8O&lt;!$Q/"</f>
        <v>#VALUE!</v>
      </c>
      <c r="FA46" t="e">
        <f>'CVE Blocks 2016'!BC:BC*"8O&lt;!$Q0"</f>
        <v>#VALUE!</v>
      </c>
      <c r="FB46" t="e">
        <f>'CVE Blocks 2016'!BD:BD*"8O&lt;!$Q1"</f>
        <v>#VALUE!</v>
      </c>
      <c r="FC46" t="e">
        <f>'CVE Blocks 2016'!BE:BE*"8O&lt;!$Q2"</f>
        <v>#VALUE!</v>
      </c>
      <c r="FD46" t="e">
        <f>'CVE Blocks 2016'!BF:BF*"8O&lt;!$Q3"</f>
        <v>#VALUE!</v>
      </c>
      <c r="FE46" t="e">
        <f>'CVE Blocks 2016'!BG:BG*"8O&lt;!$Q4"</f>
        <v>#VALUE!</v>
      </c>
      <c r="FF46" t="e">
        <f>'CVE Blocks 2016'!BH:BH*"8O&lt;!$Q5"</f>
        <v>#VALUE!</v>
      </c>
      <c r="FG46" t="e">
        <f>'CVE Blocks 2016'!BI:BI*"8O&lt;!$Q6"</f>
        <v>#VALUE!</v>
      </c>
      <c r="FH46" t="e">
        <f>'CVE Blocks 2016'!BJ:BJ*"8O&lt;!$Q7"</f>
        <v>#VALUE!</v>
      </c>
      <c r="FI46" t="e">
        <f>'CVE Blocks 2016'!1:1-"8O&lt;!$Q8"</f>
        <v>#VALUE!</v>
      </c>
      <c r="FJ46" t="e">
        <f>'CVE Blocks 2016'!2:2-"8O&lt;!$Q9"</f>
        <v>#VALUE!</v>
      </c>
      <c r="FK46" t="e">
        <f>'CVE Blocks 2016'!3:3-"8O&lt;!$Q:"</f>
        <v>#VALUE!</v>
      </c>
      <c r="FL46" t="e">
        <f>'CVE Blocks 2016'!4:4-"8O&lt;!$Q;"</f>
        <v>#VALUE!</v>
      </c>
      <c r="FM46" s="102" t="e">
        <f>'CVE Blocks 2016'!5:5-"8O&lt;!$Q&lt;"</f>
        <v>#VALUE!</v>
      </c>
      <c r="FN46" t="e">
        <f>'CVE Blocks 2016'!6:6-"8O&lt;!$Q="</f>
        <v>#VALUE!</v>
      </c>
      <c r="FO46" t="e">
        <f>'CVE Blocks 2016'!7:7-"8O&lt;!$Q&gt;"</f>
        <v>#VALUE!</v>
      </c>
      <c r="FP46" t="e">
        <f>'CVE Blocks 2016'!8:8-"8O&lt;!$Q?"</f>
        <v>#VALUE!</v>
      </c>
      <c r="FQ46" t="e">
        <f>'CVE Blocks 2016'!9:9-"8O&lt;!$Q@"</f>
        <v>#VALUE!</v>
      </c>
      <c r="FR46" t="e">
        <f>'CVE Blocks 2016'!10:10-"8O&lt;!$QA"</f>
        <v>#VALUE!</v>
      </c>
      <c r="FS46" t="e">
        <f>'CVE Blocks 2016'!11:11-"8O&lt;!$QB"</f>
        <v>#VALUE!</v>
      </c>
      <c r="FT46" t="e">
        <f>'CVE Blocks 2016'!12:12-"8O&lt;!$QC"</f>
        <v>#VALUE!</v>
      </c>
      <c r="FU46" t="e">
        <f>'CVE Blocks 2016'!13:13-"8O&lt;!$QD"</f>
        <v>#VALUE!</v>
      </c>
      <c r="FV46" t="e">
        <f>'CVE Blocks 2016'!14:14-"8O&lt;!$QE"</f>
        <v>#VALUE!</v>
      </c>
      <c r="FW46" t="e">
        <f>'CVE Blocks 2016'!15:15-"8O&lt;!$QF"</f>
        <v>#VALUE!</v>
      </c>
      <c r="FX46" t="e">
        <f>'CVE Blocks 2016'!16:16-"8O&lt;!$QG"</f>
        <v>#VALUE!</v>
      </c>
      <c r="FY46" t="e">
        <f>'CVE Blocks 2016'!17:17-"8O&lt;!$QH"</f>
        <v>#VALUE!</v>
      </c>
      <c r="FZ46" t="e">
        <f>'CVE Blocks 2016'!18:18-"8O&lt;!$QI"</f>
        <v>#VALUE!</v>
      </c>
      <c r="GA46" t="e">
        <f>'CVE Blocks 2016'!19:19-"8O&lt;!$QJ"</f>
        <v>#VALUE!</v>
      </c>
      <c r="GB46" t="e">
        <f>'CVE Blocks 2016'!20:20-"8O&lt;!$QK"</f>
        <v>#VALUE!</v>
      </c>
      <c r="GC46" t="e">
        <f>'CVE Blocks 2016'!21:21-"8O&lt;!$QL"</f>
        <v>#VALUE!</v>
      </c>
      <c r="GD46" t="e">
        <f>'CVE Blocks 2016'!22:22-"8O&lt;!$QM"</f>
        <v>#VALUE!</v>
      </c>
      <c r="GE46" t="e">
        <f>'CVE Blocks 2016'!23:23-"8O&lt;!$QN"</f>
        <v>#VALUE!</v>
      </c>
      <c r="GF46" t="e">
        <f>'CVE Blocks 2016'!24:24-"8O&lt;!$QO"</f>
        <v>#VALUE!</v>
      </c>
      <c r="GG46" t="e">
        <f>'CVE Blocks 2016'!25:25-"8O&lt;!$QP"</f>
        <v>#VALUE!</v>
      </c>
      <c r="GH46" t="e">
        <f>'CVE Blocks 2016'!26:26-"8O&lt;!$QQ"</f>
        <v>#VALUE!</v>
      </c>
      <c r="GI46" t="e">
        <f>'CVE Blocks 2016'!27:27-"8O&lt;!$QR"</f>
        <v>#VALUE!</v>
      </c>
      <c r="GJ46" t="e">
        <f>'CVE Blocks 2016'!28:28-"8O&lt;!$QS"</f>
        <v>#VALUE!</v>
      </c>
      <c r="GK46" t="e">
        <f>'CVE Blocks 2016'!29:29-"8O&lt;!$QT"</f>
        <v>#VALUE!</v>
      </c>
      <c r="GL46" t="e">
        <f>'CVE Blocks 2016'!30:30-"8O&lt;!$QU"</f>
        <v>#VALUE!</v>
      </c>
      <c r="GM46" t="e">
        <f>'CVE Blocks 2016'!31:31-"8O&lt;!$QV"</f>
        <v>#VALUE!</v>
      </c>
      <c r="GN46" t="e">
        <f>'CVE Blocks 2016'!32:32-"8O&lt;!$QW"</f>
        <v>#VALUE!</v>
      </c>
      <c r="GO46" t="e">
        <f>'CVE Blocks 2016'!33:33-"8O&lt;!$QX"</f>
        <v>#VALUE!</v>
      </c>
      <c r="GP46" t="e">
        <f>'CVE Blocks 2016'!34:34-"8O&lt;!$QY"</f>
        <v>#VALUE!</v>
      </c>
      <c r="GQ46" t="e">
        <f>'CVE Blocks 2016'!35:35-"8O&lt;!$QZ"</f>
        <v>#VALUE!</v>
      </c>
      <c r="GR46" t="e">
        <f>'CVE Blocks 2016'!36:36-"8O&lt;!$Q["</f>
        <v>#VALUE!</v>
      </c>
      <c r="GS46" t="e">
        <f>'CVE Blocks 2016'!37:37-"8O&lt;!$Q\"</f>
        <v>#VALUE!</v>
      </c>
      <c r="GT46" t="e">
        <f>'CVE Blocks 2016'!38:38-"8O&lt;!$Q]"</f>
        <v>#VALUE!</v>
      </c>
      <c r="GU46" t="e">
        <f>'CVE Blocks 2016'!39:39-"8O&lt;!$Q^"</f>
        <v>#VALUE!</v>
      </c>
      <c r="GV46" t="e">
        <f>'CVE Blocks 2016'!40:40-"8O&lt;!$Q_"</f>
        <v>#VALUE!</v>
      </c>
      <c r="GW46" t="e">
        <f>'CVE Blocks 2016'!41:41-"8O&lt;!$Q`"</f>
        <v>#VALUE!</v>
      </c>
      <c r="GX46" t="e">
        <f>'CVE Blocks 2016'!42:42-"8O&lt;!$Qa"</f>
        <v>#VALUE!</v>
      </c>
      <c r="GY46" t="e">
        <f>'CVE Blocks 2016'!43:43-"8O&lt;!$Qb"</f>
        <v>#VALUE!</v>
      </c>
      <c r="GZ46" t="e">
        <f>'CVE Blocks 2016'!44:44-"8O&lt;!$Qc"</f>
        <v>#VALUE!</v>
      </c>
      <c r="HA46" t="e">
        <f>'CVE Blocks 2016'!45:45-"8O&lt;!$Qd"</f>
        <v>#VALUE!</v>
      </c>
      <c r="HB46" t="e">
        <f>'CVE Blocks 2016'!46:46-"8O&lt;!$Qe"</f>
        <v>#VALUE!</v>
      </c>
      <c r="HC46" t="e">
        <f>'CVE Blocks 2016'!47:47-"8O&lt;!$Qf"</f>
        <v>#VALUE!</v>
      </c>
      <c r="HD46" t="e">
        <f>'CVE Blocks 2016'!48:48-"8O&lt;!$Qg"</f>
        <v>#VALUE!</v>
      </c>
      <c r="HE46" t="e">
        <f>'CVE Blocks 2016'!49:49-"8O&lt;!$Qh"</f>
        <v>#VALUE!</v>
      </c>
      <c r="HF46" t="e">
        <f>'CVE Blocks 2016'!50:50-"8O&lt;!$Qi"</f>
        <v>#VALUE!</v>
      </c>
      <c r="HG46" t="e">
        <f>'CVE Blocks 2016'!51:51-"8O&lt;!$Qj"</f>
        <v>#VALUE!</v>
      </c>
      <c r="HH46" t="e">
        <f>'CVE Blocks 2016'!52:52-"8O&lt;!$Qk"</f>
        <v>#VALUE!</v>
      </c>
      <c r="HI46" t="e">
        <f>'CVE Blocks 2016'!53:53-"8O&lt;!$Ql"</f>
        <v>#VALUE!</v>
      </c>
      <c r="HJ46" t="e">
        <f>'CVE Blocks 2016'!54:54-"8O&lt;!$Qm"</f>
        <v>#VALUE!</v>
      </c>
      <c r="HK46" t="e">
        <f>'CVE Blocks 2016'!55:55-"8O&lt;!$Qn"</f>
        <v>#VALUE!</v>
      </c>
      <c r="HL46" t="e">
        <f>'CVE Blocks 2016'!56:56-"8O&lt;!$Qo"</f>
        <v>#VALUE!</v>
      </c>
      <c r="HM46" t="e">
        <f>'CVE Blocks 2016'!57:57-"8O&lt;!$Qp"</f>
        <v>#VALUE!</v>
      </c>
      <c r="HN46" t="e">
        <f>'CVE Blocks 2016'!58:58-"8O&lt;!$Qq"</f>
        <v>#VALUE!</v>
      </c>
      <c r="HO46" t="e">
        <f>'CVE Blocks 2016'!59:59-"8O&lt;!$Qr"</f>
        <v>#VALUE!</v>
      </c>
      <c r="HP46" t="e">
        <f>'CVE Blocks 2016'!60:60-"8O&lt;!$Qs"</f>
        <v>#VALUE!</v>
      </c>
      <c r="HQ46" t="e">
        <f>'CVE Blocks 2016'!61:61-"8O&lt;!$Qt"</f>
        <v>#VALUE!</v>
      </c>
      <c r="HR46" t="e">
        <f>'CVE Blocks 2016'!62:62-"8O&lt;!$Qu"</f>
        <v>#VALUE!</v>
      </c>
      <c r="HS46" t="e">
        <f>'CVE Blocks 2016'!63:63-"8O&lt;!$Qv"</f>
        <v>#VALUE!</v>
      </c>
      <c r="HT46" t="e">
        <f>'CVE Blocks 2016'!64:64-"8O&lt;!$Qw"</f>
        <v>#VALUE!</v>
      </c>
      <c r="HU46" t="e">
        <f>'CVE Blocks 2016'!65:65-"8O&lt;!$Qx"</f>
        <v>#VALUE!</v>
      </c>
      <c r="HV46" t="e">
        <f>'CVE Blocks 2016'!66:66-"8O&lt;!$Qy"</f>
        <v>#VALUE!</v>
      </c>
      <c r="HW46" t="e">
        <f>'CVE Blocks 2016'!67:67-"8O&lt;!$Qz"</f>
        <v>#VALUE!</v>
      </c>
      <c r="HX46" t="e">
        <f>'CVE Blocks 2016'!68:68-"8O&lt;!$Q{"</f>
        <v>#VALUE!</v>
      </c>
      <c r="HY46" t="e">
        <f>'CVE Blocks 2016'!69:69-"8O&lt;!$Q|"</f>
        <v>#VALUE!</v>
      </c>
      <c r="HZ46" t="e">
        <f>'CVE Blocks 2016'!70:70-"8O&lt;!$Q}"</f>
        <v>#VALUE!</v>
      </c>
      <c r="IA46" t="e">
        <f>'CVE Blocks 2016'!71:71-"8O&lt;!$Q~"</f>
        <v>#VALUE!</v>
      </c>
      <c r="IB46" t="e">
        <f>'CVE Blocks 2016'!72:72-"8O&lt;!$R#"</f>
        <v>#VALUE!</v>
      </c>
      <c r="IC46" t="e">
        <f>'CVE Blocks 2016'!73:73-"8O&lt;!$R$"</f>
        <v>#VALUE!</v>
      </c>
      <c r="ID46" t="e">
        <f>'CVE Blocks 2016'!74:74-"8O&lt;!$R%"</f>
        <v>#VALUE!</v>
      </c>
      <c r="IE46" t="e">
        <f>'CVE Blocks 2016'!75:75-"8O&lt;!$R&amp;"</f>
        <v>#VALUE!</v>
      </c>
      <c r="IF46" t="e">
        <f>'CVE Blocks 2016'!76:76-"8O&lt;!$R'"</f>
        <v>#VALUE!</v>
      </c>
      <c r="IG46" t="e">
        <f>'CVE Blocks 2016'!77:77-"8O&lt;!$R("</f>
        <v>#VALUE!</v>
      </c>
      <c r="IH46" t="e">
        <f>'CVE Blocks 2016'!78:78-"8O&lt;!$R)"</f>
        <v>#VALUE!</v>
      </c>
      <c r="II46" t="e">
        <f>'CVE Blocks 2016'!79:79-"8O&lt;!$R."</f>
        <v>#VALUE!</v>
      </c>
      <c r="IJ46" t="e">
        <f>'CVE Blocks 2016'!80:80-"8O&lt;!$R/"</f>
        <v>#VALUE!</v>
      </c>
      <c r="IK46" t="e">
        <f>'CVE Blocks 2016'!81:81-"8O&lt;!$R0"</f>
        <v>#VALUE!</v>
      </c>
      <c r="IL46" t="e">
        <f>'CVE Blocks 2016'!82:82-"8O&lt;!$R1"</f>
        <v>#VALUE!</v>
      </c>
      <c r="IM46" t="e">
        <f>'CVE Blocks 2016'!83:83-"8O&lt;!$R2"</f>
        <v>#VALUE!</v>
      </c>
      <c r="IN46" t="e">
        <f>'CVE Blocks 2016'!84:84-"8O&lt;!$R3"</f>
        <v>#VALUE!</v>
      </c>
      <c r="IO46" t="e">
        <f>'CVE Blocks 2016'!85:85-"8O&lt;!$R4"</f>
        <v>#VALUE!</v>
      </c>
      <c r="IP46" t="e">
        <f>'CVE Blocks 2016'!86:86-"8O&lt;!$R5"</f>
        <v>#VALUE!</v>
      </c>
      <c r="IQ46" t="e">
        <f>'CVE Blocks 2016'!87:87-"8O&lt;!$R6"</f>
        <v>#VALUE!</v>
      </c>
      <c r="IR46" t="e">
        <f>'CVE Blocks 2016'!88:88-"8O&lt;!$R7"</f>
        <v>#VALUE!</v>
      </c>
      <c r="IS46" t="e">
        <f>'CVE Blocks 2016'!89:89-"8O&lt;!$R8"</f>
        <v>#VALUE!</v>
      </c>
      <c r="IT46" t="e">
        <f>'CVE Blocks 2016'!90:90-"8O&lt;!$R9"</f>
        <v>#VALUE!</v>
      </c>
      <c r="IU46" t="e">
        <f>'CVE Blocks 2016'!91:91-"8O&lt;!$R:"</f>
        <v>#VALUE!</v>
      </c>
      <c r="IV46" t="e">
        <f>'CVE Blocks 2016'!92:92-"8O&lt;!$R;"</f>
        <v>#VALUE!</v>
      </c>
    </row>
    <row r="47" spans="6:256" x14ac:dyDescent="0.25">
      <c r="F47" t="e">
        <f>'CVE Blocks 2016'!93:93-"8O&lt;!$R&lt;"</f>
        <v>#VALUE!</v>
      </c>
      <c r="G47" t="e">
        <f>'CVE Blocks 2016'!94:94-"8O&lt;!$R="</f>
        <v>#VALUE!</v>
      </c>
      <c r="H47" t="e">
        <f>'CVE Blocks 2016'!95:95-"8O&lt;!$R&gt;"</f>
        <v>#VALUE!</v>
      </c>
      <c r="I47" t="e">
        <f>'CVE Blocks 2016'!96:96-"8O&lt;!$R?"</f>
        <v>#VALUE!</v>
      </c>
      <c r="J47" t="e">
        <f>'CVE Blocks 2016'!97:97-"8O&lt;!$R@"</f>
        <v>#VALUE!</v>
      </c>
      <c r="K47" t="e">
        <f>'CVE Blocks 2016'!98:98-"8O&lt;!$RA"</f>
        <v>#VALUE!</v>
      </c>
      <c r="L47" t="e">
        <f>'CVE Blocks 2016'!99:99-"8O&lt;!$RB"</f>
        <v>#VALUE!</v>
      </c>
      <c r="M47" t="e">
        <f>'CVE Blocks 2016'!100:100-"8O&lt;!$RC"</f>
        <v>#VALUE!</v>
      </c>
      <c r="N47" t="e">
        <f>'CVE Blocks 2016'!101:101-"8O&lt;!$RD"</f>
        <v>#VALUE!</v>
      </c>
      <c r="O47" t="e">
        <f>'CVE Blocks 2016'!102:102-"8O&lt;!$RE"</f>
        <v>#VALUE!</v>
      </c>
      <c r="P47" t="e">
        <f>'CVE Blocks 2016'!103:103-"8O&lt;!$RF"</f>
        <v>#VALUE!</v>
      </c>
      <c r="Q47" t="e">
        <f>'CVE Blocks 2016'!104:104-"8O&lt;!$RG"</f>
        <v>#VALUE!</v>
      </c>
      <c r="R47" t="e">
        <f>'CVE Blocks 2016'!105:105-"8O&lt;!$RH"</f>
        <v>#VALUE!</v>
      </c>
      <c r="S47" t="e">
        <f>'CVE Blocks 2016'!106:106-"8O&lt;!$RI"</f>
        <v>#VALUE!</v>
      </c>
      <c r="T47" t="e">
        <f>'CVE Blocks 2016'!107:107-"8O&lt;!$RJ"</f>
        <v>#VALUE!</v>
      </c>
      <c r="U47" t="e">
        <f>'CVE Blocks 2016'!108:108-"8O&lt;!$RK"</f>
        <v>#VALUE!</v>
      </c>
      <c r="V47" t="e">
        <f>'CVE Blocks 2016'!109:109-"8O&lt;!$RL"</f>
        <v>#VALUE!</v>
      </c>
      <c r="W47" t="e">
        <f>'CVE Blocks 2016'!110:110-"8O&lt;!$RM"</f>
        <v>#VALUE!</v>
      </c>
      <c r="X47" t="e">
        <f>'CVE Blocks 2016'!111:111-"8O&lt;!$RN"</f>
        <v>#VALUE!</v>
      </c>
      <c r="Y47" t="e">
        <f>'CVE Blocks 2016'!112:112-"8O&lt;!$RO"</f>
        <v>#VALUE!</v>
      </c>
      <c r="Z47" t="e">
        <f>'CVE Blocks 2016'!113:113-"8O&lt;!$RP"</f>
        <v>#VALUE!</v>
      </c>
      <c r="AA47" t="e">
        <f>'CVE Blocks 2016'!114:114-"8O&lt;!$RQ"</f>
        <v>#VALUE!</v>
      </c>
      <c r="AB47" t="e">
        <f>'CVE Blocks 2016'!115:115-"8O&lt;!$RR"</f>
        <v>#VALUE!</v>
      </c>
      <c r="AC47" t="e">
        <f>'CVE Blocks 2016'!116:116-"8O&lt;!$RS"</f>
        <v>#VALUE!</v>
      </c>
      <c r="AD47" t="e">
        <f>'CVE Blocks 2016'!117:117-"8O&lt;!$RT"</f>
        <v>#VALUE!</v>
      </c>
      <c r="AE47" t="e">
        <f>'CVE Blocks 2016'!118:118-"8O&lt;!$RU"</f>
        <v>#VALUE!</v>
      </c>
      <c r="AF47" t="e">
        <f>'CVE Blocks 2016'!119:119-"8O&lt;!$RV"</f>
        <v>#VALUE!</v>
      </c>
      <c r="AG47" t="e">
        <f>'CVE Blocks 2016'!120:120-"8O&lt;!$RW"</f>
        <v>#VALUE!</v>
      </c>
      <c r="AH47" t="e">
        <f>'CVE Blocks 2016'!121:121-"8O&lt;!$RX"</f>
        <v>#VALUE!</v>
      </c>
      <c r="AI47" t="e">
        <f>'CVE Blocks 2016'!122:122-"8O&lt;!$RY"</f>
        <v>#VALUE!</v>
      </c>
      <c r="AJ47" t="e">
        <f>'CVE Blocks 2016'!123:123-"8O&lt;!$RZ"</f>
        <v>#VALUE!</v>
      </c>
      <c r="AK47" t="e">
        <f>'CVE Blocks 2016'!124:124-"8O&lt;!$R["</f>
        <v>#VALUE!</v>
      </c>
      <c r="AL47" t="e">
        <f>'CVE Blocks 2016'!125:125-"8O&lt;!$R\"</f>
        <v>#VALUE!</v>
      </c>
      <c r="AM47" t="e">
        <f>'CVE Blocks 2016'!126:126-"8O&lt;!$R]"</f>
        <v>#VALUE!</v>
      </c>
      <c r="AN47" t="e">
        <f>'CVE Blocks 2016'!127:127-"8O&lt;!$R^"</f>
        <v>#VALUE!</v>
      </c>
      <c r="AO47" t="e">
        <f>'CVE Blocks 2016'!128:128-"8O&lt;!$R_"</f>
        <v>#VALUE!</v>
      </c>
      <c r="AP47" t="e">
        <f>'CVE Blocks 2016'!129:129-"8O&lt;!$R`"</f>
        <v>#VALUE!</v>
      </c>
      <c r="AQ47" t="e">
        <f>'CVE Blocks 2016'!130:130-"8O&lt;!$Ra"</f>
        <v>#VALUE!</v>
      </c>
      <c r="AR47" t="e">
        <f>'CVE Blocks 2016'!131:131-"8O&lt;!$Rb"</f>
        <v>#VALUE!</v>
      </c>
      <c r="AS47" t="e">
        <f>'CVE Blocks 2016'!132:132-"8O&lt;!$Rc"</f>
        <v>#VALUE!</v>
      </c>
      <c r="AT47" t="e">
        <f>'CVE Blocks 2016'!133:133-"8O&lt;!$Rd"</f>
        <v>#VALUE!</v>
      </c>
      <c r="AU47" t="e">
        <f>'CVE Blocks 2016'!134:134-"8O&lt;!$Re"</f>
        <v>#VALUE!</v>
      </c>
      <c r="AV47" t="e">
        <f>'CVE Blocks 2016'!135:135-"8O&lt;!$Rf"</f>
        <v>#VALUE!</v>
      </c>
      <c r="AW47" t="e">
        <f>'CVE Blocks 2016'!136:136-"8O&lt;!$Rg"</f>
        <v>#VALUE!</v>
      </c>
      <c r="AX47" t="e">
        <f>'CVE Blocks 2016'!137:137-"8O&lt;!$Rh"</f>
        <v>#VALUE!</v>
      </c>
      <c r="AY47" t="e">
        <f>'CVE Blocks 2016'!138:138-"8O&lt;!$Ri"</f>
        <v>#VALUE!</v>
      </c>
      <c r="AZ47" t="e">
        <f>'CVE Blocks 2016'!139:139-"8O&lt;!$Rj"</f>
        <v>#VALUE!</v>
      </c>
      <c r="BA47" t="e">
        <f>'CVE Blocks 2016'!140:140-"8O&lt;!$Rk"</f>
        <v>#VALUE!</v>
      </c>
      <c r="BB47" t="e">
        <f>'CVE Blocks 2016'!141:141-"8O&lt;!$Rl"</f>
        <v>#VALUE!</v>
      </c>
      <c r="BC47" t="e">
        <f>'CVE Blocks 2016'!142:142-"8O&lt;!$Rm"</f>
        <v>#VALUE!</v>
      </c>
      <c r="BD47" t="e">
        <f>'CVE Blocks 2016'!143:143-"8O&lt;!$Rn"</f>
        <v>#VALUE!</v>
      </c>
      <c r="BE47" t="e">
        <f>'CVE Blocks 2016'!144:144-"8O&lt;!$Ro"</f>
        <v>#VALUE!</v>
      </c>
      <c r="BF47" t="e">
        <f>'CVE Blocks 2016'!145:145-"8O&lt;!$Rp"</f>
        <v>#VALUE!</v>
      </c>
      <c r="BG47" t="e">
        <f>'CVE Blocks 2016'!146:146-"8O&lt;!$Rq"</f>
        <v>#VALUE!</v>
      </c>
      <c r="BH47" t="e">
        <f>'CVE Blocks 2016'!147:147-"8O&lt;!$Rr"</f>
        <v>#VALUE!</v>
      </c>
      <c r="BI47" t="e">
        <f>'CVE Blocks 2016'!148:148-"8O&lt;!$Rs"</f>
        <v>#VALUE!</v>
      </c>
      <c r="BJ47" t="e">
        <f>'CVE Blocks 2016'!149:149-"8O&lt;!$Rt"</f>
        <v>#VALUE!</v>
      </c>
      <c r="BK47" t="e">
        <f>'CVE Blocks 2016'!150:150-"8O&lt;!$Ru"</f>
        <v>#VALUE!</v>
      </c>
      <c r="BL47" t="e">
        <f>'CVE Blocks 2016'!151:151-"8O&lt;!$Rv"</f>
        <v>#VALUE!</v>
      </c>
      <c r="BM47" t="e">
        <f>'CVE Blocks 2016'!152:152-"8O&lt;!$Rw"</f>
        <v>#VALUE!</v>
      </c>
      <c r="BN47" t="e">
        <f>'CVE Blocks 2016'!153:153-"8O&lt;!$Rx"</f>
        <v>#VALUE!</v>
      </c>
      <c r="BO47" t="e">
        <f>'CVE Blocks 2016'!154:154-"8O&lt;!$Ry"</f>
        <v>#VALUE!</v>
      </c>
      <c r="BP47" t="e">
        <f>'CVE Blocks 2016'!155:155-"8O&lt;!$Rz"</f>
        <v>#VALUE!</v>
      </c>
      <c r="BQ47" t="e">
        <f>'CVE Blocks 2016'!156:156-"8O&lt;!$R{"</f>
        <v>#VALUE!</v>
      </c>
      <c r="BR47" t="e">
        <f>'CVE Blocks 2016'!157:157-"8O&lt;!$R|"</f>
        <v>#VALUE!</v>
      </c>
      <c r="BS47" t="e">
        <f>'CVE Blocks 2016'!158:158-"8O&lt;!$R}"</f>
        <v>#VALUE!</v>
      </c>
      <c r="BT47" t="e">
        <f>'CVE Blocks 2016'!159:159-"8O&lt;!$R~"</f>
        <v>#VALUE!</v>
      </c>
      <c r="BU47" t="e">
        <f>'CVE Blocks 2016'!160:160-"8O&lt;!$S#"</f>
        <v>#VALUE!</v>
      </c>
      <c r="BV47" t="e">
        <f>'CVE Blocks 2016'!161:161-"8O&lt;!$S$"</f>
        <v>#VALUE!</v>
      </c>
      <c r="BW47" t="e">
        <f>'CVE Blocks 2016'!162:162-"8O&lt;!$S%"</f>
        <v>#VALUE!</v>
      </c>
      <c r="BX47" t="e">
        <f>'CVE Blocks 2016'!163:163-"8O&lt;!$S&amp;"</f>
        <v>#VALUE!</v>
      </c>
      <c r="BY47" t="e">
        <f>'CVE Blocks 2016'!164:164-"8O&lt;!$S'"</f>
        <v>#VALUE!</v>
      </c>
      <c r="BZ47" t="e">
        <f>'CVE Blocks 2016'!165:165-"8O&lt;!$S("</f>
        <v>#VALUE!</v>
      </c>
      <c r="CA47" t="e">
        <f>'CVE Blocks 2016'!166:166-"8O&lt;!$S)"</f>
        <v>#VALUE!</v>
      </c>
      <c r="CB47" t="e">
        <f>'CVE Blocks 2016'!167:167-"8O&lt;!$S."</f>
        <v>#VALUE!</v>
      </c>
      <c r="CC47" t="e">
        <f>'CVE Blocks 2016'!168:168-"8O&lt;!$S/"</f>
        <v>#VALUE!</v>
      </c>
      <c r="CD47" t="e">
        <f>'CVE Blocks 2016'!169:169-"8O&lt;!$S0"</f>
        <v>#VALUE!</v>
      </c>
      <c r="CE47" t="e">
        <f>'CVE Blocks 2016'!170:170-"8O&lt;!$S1"</f>
        <v>#VALUE!</v>
      </c>
      <c r="CF47" t="e">
        <f>'CVE Blocks 2016'!171:171-"8O&lt;!$S2"</f>
        <v>#VALUE!</v>
      </c>
      <c r="CG47" t="e">
        <f>'CVE Blocks 2016'!172:172-"8O&lt;!$S3"</f>
        <v>#VALUE!</v>
      </c>
      <c r="CH47" t="e">
        <f>'CVE Blocks 2016'!173:173-"8O&lt;!$S4"</f>
        <v>#VALUE!</v>
      </c>
      <c r="CI47" t="e">
        <f>'CVE Blocks 2016'!174:174-"8O&lt;!$S5"</f>
        <v>#VALUE!</v>
      </c>
      <c r="CJ47" t="e">
        <f>'CVE Blocks 2016'!175:175-"8O&lt;!$S6"</f>
        <v>#VALUE!</v>
      </c>
      <c r="CK47" t="e">
        <f>'CVE Blocks 2016'!176:176-"8O&lt;!$S7"</f>
        <v>#VALUE!</v>
      </c>
      <c r="CL47" t="e">
        <f>'CVE Blocks 2016'!177:177-"8O&lt;!$S8"</f>
        <v>#VALUE!</v>
      </c>
      <c r="CM47" t="e">
        <f>'CVE Blocks 2016'!178:178-"8O&lt;!$S9"</f>
        <v>#VALUE!</v>
      </c>
      <c r="CN47" t="e">
        <f>'CVE Blocks 2016'!179:179-"8O&lt;!$S:"</f>
        <v>#VALUE!</v>
      </c>
      <c r="CO47" t="e">
        <f>'CVE Blocks 2016'!180:180-"8O&lt;!$S;"</f>
        <v>#VALUE!</v>
      </c>
      <c r="CP47" t="e">
        <f>'CVE Blocks 2016'!181:181-"8O&lt;!$S&lt;"</f>
        <v>#VALUE!</v>
      </c>
      <c r="CQ47" t="e">
        <f>'CVE Blocks 2016'!182:182-"8O&lt;!$S="</f>
        <v>#VALUE!</v>
      </c>
      <c r="CR47" t="e">
        <f>'CVE Blocks 2016'!183:183-"8O&lt;!$S&gt;"</f>
        <v>#VALUE!</v>
      </c>
      <c r="CS47" t="e">
        <f>'CVE Blocks 2016'!184:184-"8O&lt;!$S?"</f>
        <v>#VALUE!</v>
      </c>
      <c r="CT47" t="e">
        <f>'CVE Blocks 2016'!185:185-"8O&lt;!$S@"</f>
        <v>#VALUE!</v>
      </c>
      <c r="CU47" t="e">
        <f>'CVE Blocks 2016'!186:186-"8O&lt;!$SA"</f>
        <v>#VALUE!</v>
      </c>
      <c r="CV47" t="e">
        <f>'CVE Blocks 2016'!187:187-"8O&lt;!$SB"</f>
        <v>#VALUE!</v>
      </c>
      <c r="CW47" t="e">
        <f>'CVE Blocks 2016'!188:188-"8O&lt;!$SC"</f>
        <v>#VALUE!</v>
      </c>
      <c r="CX47" t="e">
        <f>'CVE Blocks 2016'!189:189-"8O&lt;!$SD"</f>
        <v>#VALUE!</v>
      </c>
      <c r="CY47" t="e">
        <f>'CVE Blocks 2016'!190:190-"8O&lt;!$SE"</f>
        <v>#VALUE!</v>
      </c>
      <c r="CZ47" t="e">
        <f>'CVE Blocks 2016'!191:191-"8O&lt;!$SF"</f>
        <v>#VALUE!</v>
      </c>
      <c r="DA47" t="e">
        <f>'CVE Blocks 2016'!192:192-"8O&lt;!$SG"</f>
        <v>#VALUE!</v>
      </c>
      <c r="DB47" t="e">
        <f>'CVE Blocks 2016'!193:193-"8O&lt;!$SH"</f>
        <v>#VALUE!</v>
      </c>
      <c r="DC47" t="e">
        <f>'CVE Blocks 2016'!194:194-"8O&lt;!$SI"</f>
        <v>#VALUE!</v>
      </c>
      <c r="DD47" t="e">
        <f>'CVE Blocks 2016'!195:195-"8O&lt;!$SJ"</f>
        <v>#VALUE!</v>
      </c>
      <c r="DE47" t="e">
        <f>'CVE Blocks 2016'!196:196-"8O&lt;!$SK"</f>
        <v>#VALUE!</v>
      </c>
      <c r="DF47" t="e">
        <f>'CVE Blocks 2016'!197:197-"8O&lt;!$SL"</f>
        <v>#VALUE!</v>
      </c>
      <c r="DG47" t="e">
        <f>'CVE Blocks 2016'!198:198-"8O&lt;!$SM"</f>
        <v>#VALUE!</v>
      </c>
      <c r="DH47" t="e">
        <f>'CVE Blocks 2016'!199:199-"8O&lt;!$SN"</f>
        <v>#VALUE!</v>
      </c>
      <c r="DI47" t="e">
        <f>'CVE Blocks 2016'!200:200-"8O&lt;!$SO"</f>
        <v>#VALUE!</v>
      </c>
      <c r="DJ47" t="e">
        <f>'CVE Blocks 2016'!201:201-"8O&lt;!$SP"</f>
        <v>#VALUE!</v>
      </c>
      <c r="DK47" t="e">
        <f>'CVE Blocks 2016'!202:202-"8O&lt;!$SQ"</f>
        <v>#VALUE!</v>
      </c>
      <c r="DL47" t="e">
        <f>'CVE Blocks 2016'!203:203-"8O&lt;!$SR"</f>
        <v>#VALUE!</v>
      </c>
      <c r="DM47" t="e">
        <f>'CVE Blocks 2016'!204:204-"8O&lt;!$SS"</f>
        <v>#VALUE!</v>
      </c>
      <c r="DN47" t="e">
        <f>'CVE Blocks 2016'!205:205-"8O&lt;!$ST"</f>
        <v>#VALUE!</v>
      </c>
      <c r="DO47" t="e">
        <f>'CVE Blocks 2016'!206:206-"8O&lt;!$SU"</f>
        <v>#VALUE!</v>
      </c>
      <c r="DP47" t="e">
        <f>'CVE Blocks 2016'!207:207-"8O&lt;!$SV"</f>
        <v>#VALUE!</v>
      </c>
      <c r="DQ47" t="e">
        <f>'CVE Blocks 2016'!208:208-"8O&lt;!$SW"</f>
        <v>#VALUE!</v>
      </c>
      <c r="DR47" t="e">
        <f>'CVE Blocks 2016'!209:209-"8O&lt;!$SX"</f>
        <v>#VALUE!</v>
      </c>
      <c r="DS47" t="e">
        <f>'CVE Blocks 2016'!210:210-"8O&lt;!$SY"</f>
        <v>#VALUE!</v>
      </c>
      <c r="DT47" t="e">
        <f>'CVE Blocks 2016'!211:211-"8O&lt;!$SZ"</f>
        <v>#VALUE!</v>
      </c>
      <c r="DU47" t="e">
        <f>'CVE Blocks 2016'!212:212-"8O&lt;!$S["</f>
        <v>#VALUE!</v>
      </c>
      <c r="DV47" t="e">
        <f>'CVE Blocks 2016'!213:213-"8O&lt;!$S\"</f>
        <v>#VALUE!</v>
      </c>
      <c r="DW47" t="e">
        <f>'CVE Blocks 2016'!214:214-"8O&lt;!$S]"</f>
        <v>#VALUE!</v>
      </c>
      <c r="DX47" t="e">
        <f>'CVE Blocks 2016'!215:215-"8O&lt;!$S^"</f>
        <v>#VALUE!</v>
      </c>
      <c r="DY47" t="e">
        <f>'CVE Blocks 2016'!216:216-"8O&lt;!$S_"</f>
        <v>#VALUE!</v>
      </c>
      <c r="DZ47" t="e">
        <f>'CVE Blocks 2016'!217:217-"8O&lt;!$S`"</f>
        <v>#VALUE!</v>
      </c>
      <c r="EA47" t="e">
        <f>'CVE Blocks 2016'!218:218-"8O&lt;!$Sa"</f>
        <v>#VALUE!</v>
      </c>
      <c r="EB47" t="e">
        <f>'CVE Blocks 2016'!219:219-"8O&lt;!$Sb"</f>
        <v>#VALUE!</v>
      </c>
      <c r="EC47" t="e">
        <f>'CVE Blocks 2016'!220:220-"8O&lt;!$Sc"</f>
        <v>#VALUE!</v>
      </c>
      <c r="ED47" t="e">
        <f>'CVE Blocks 2016'!221:221-"8O&lt;!$Sd"</f>
        <v>#VALUE!</v>
      </c>
      <c r="EE47" t="e">
        <f>'CVE Blocks 2016'!222:222-"8O&lt;!$Se"</f>
        <v>#VALUE!</v>
      </c>
      <c r="EF47" t="e">
        <f>'CVE Blocks 2016'!223:223-"8O&lt;!$Sf"</f>
        <v>#VALUE!</v>
      </c>
      <c r="EG47" t="e">
        <f>'CVE Blocks 2016'!224:224-"8O&lt;!$Sg"</f>
        <v>#VALUE!</v>
      </c>
      <c r="EH47" t="e">
        <f>'CVE Blocks 2016'!225:225-"8O&lt;!$Sh"</f>
        <v>#VALUE!</v>
      </c>
      <c r="EI47" t="e">
        <f>'CVE Blocks 2016'!226:226-"8O&lt;!$Si"</f>
        <v>#VALUE!</v>
      </c>
      <c r="EJ47" t="e">
        <f>'CVE Blocks 2016'!227:227-"8O&lt;!$Sj"</f>
        <v>#VALUE!</v>
      </c>
      <c r="EK47" t="e">
        <f>'CVE Blocks 2016'!228:228-"8O&lt;!$Sk"</f>
        <v>#VALUE!</v>
      </c>
      <c r="EL47" t="e">
        <f>'CVE Blocks 2016'!229:229-"8O&lt;!$Sl"</f>
        <v>#VALUE!</v>
      </c>
      <c r="EM47" t="e">
        <f>'CVE Blocks 2016'!230:230-"8O&lt;!$Sm"</f>
        <v>#VALUE!</v>
      </c>
      <c r="EN47" t="e">
        <f>'CVE Blocks 2016'!231:231-"8O&lt;!$Sn"</f>
        <v>#VALUE!</v>
      </c>
      <c r="EO47" t="e">
        <f>'CVE Blocks 2016'!232:232-"8O&lt;!$So"</f>
        <v>#VALUE!</v>
      </c>
      <c r="EP47" t="e">
        <f>'CVE Blocks 2016'!233:233-"8O&lt;!$Sp"</f>
        <v>#VALUE!</v>
      </c>
      <c r="EQ47" t="e">
        <f>'CVE Blocks 2016'!234:234-"8O&lt;!$Sq"</f>
        <v>#VALUE!</v>
      </c>
      <c r="ER47" t="e">
        <f>'CVE Blocks 2016'!235:235-"8O&lt;!$Sr"</f>
        <v>#VALUE!</v>
      </c>
      <c r="ES47" t="e">
        <f>'CVE Blocks 2016'!236:236-"8O&lt;!$Ss"</f>
        <v>#VALUE!</v>
      </c>
      <c r="ET47" t="e">
        <f>'CVE Blocks 2016'!237:237-"8O&lt;!$St"</f>
        <v>#VALUE!</v>
      </c>
      <c r="EU47" t="e">
        <f>'CVE Blocks 2016'!238:238-"8O&lt;!$Su"</f>
        <v>#VALUE!</v>
      </c>
      <c r="EV47" t="e">
        <f>'CVE Blocks 2016'!239:239-"8O&lt;!$Sv"</f>
        <v>#VALUE!</v>
      </c>
      <c r="EW47" t="e">
        <f>'CVE Blocks 2016'!240:240-"8O&lt;!$Sw"</f>
        <v>#VALUE!</v>
      </c>
      <c r="EX47" t="e">
        <f>'CVE Blocks 2016'!241:241-"8O&lt;!$Sx"</f>
        <v>#VALUE!</v>
      </c>
      <c r="EY47" t="e">
        <f>'CVE Blocks 2016'!242:242-"8O&lt;!$Sy"</f>
        <v>#VALUE!</v>
      </c>
      <c r="EZ47" t="e">
        <f>'CVE Blocks 2016'!243:243-"8O&lt;!$Sz"</f>
        <v>#VALUE!</v>
      </c>
      <c r="FA47" t="e">
        <f>'CVE Blocks 2016'!244:244-"8O&lt;!$S{"</f>
        <v>#VALUE!</v>
      </c>
      <c r="FB47" t="e">
        <f>'CVE Blocks 2016'!245:245-"8O&lt;!$S|"</f>
        <v>#VALUE!</v>
      </c>
      <c r="FC47" t="e">
        <f>'CVE Blocks 2016'!246:246-"8O&lt;!$S}"</f>
        <v>#VALUE!</v>
      </c>
      <c r="FD47" t="e">
        <f>'CVE Blocks 2016'!247:247-"8O&lt;!$S~"</f>
        <v>#VALUE!</v>
      </c>
      <c r="FE47" t="e">
        <f>'CVE Blocks 2016'!248:248-"8O&lt;!$T#"</f>
        <v>#VALUE!</v>
      </c>
      <c r="FF47" t="e">
        <f>'CVE Blocks 2016'!249:249-"8O&lt;!$T$"</f>
        <v>#VALUE!</v>
      </c>
      <c r="FG47" t="e">
        <f>'CVE Blocks 2016'!250:250-"8O&lt;!$T%"</f>
        <v>#VALUE!</v>
      </c>
      <c r="FH47" t="e">
        <f>'CVE Blocks 2016'!251:251-"8O&lt;!$T&amp;"</f>
        <v>#VALUE!</v>
      </c>
      <c r="FI47" t="e">
        <f>'CVE Blocks 2016'!252:252-"8O&lt;!$T'"</f>
        <v>#VALUE!</v>
      </c>
      <c r="FJ47" t="e">
        <f>'CVE Blocks 2016'!253:253-"8O&lt;!$T("</f>
        <v>#VALUE!</v>
      </c>
      <c r="FK47" t="e">
        <f>'CVE Blocks 2016'!254:254-"8O&lt;!$T)"</f>
        <v>#VALUE!</v>
      </c>
      <c r="FL47" t="e">
        <f>'CVE Blocks 2016'!255:255-"8O&lt;!$T."</f>
        <v>#VALUE!</v>
      </c>
      <c r="FM47" t="e">
        <f>'CVE Blocks 2016'!256:256-"8O&lt;!$T/"</f>
        <v>#VALUE!</v>
      </c>
      <c r="FN47" t="e">
        <f>'CVE Blocks 2016'!257:257-"8O&lt;!$T0"</f>
        <v>#VALUE!</v>
      </c>
      <c r="FO47" t="e">
        <f>'CVE Blocks 2016'!258:258-"8O&lt;!$T1"</f>
        <v>#VALUE!</v>
      </c>
      <c r="FP47" t="e">
        <f>'CVE Blocks 2016'!259:259-"8O&lt;!$T2"</f>
        <v>#VALUE!</v>
      </c>
      <c r="FQ47" t="e">
        <f>'CVE Blocks 2016'!260:260-"8O&lt;!$T3"</f>
        <v>#VALUE!</v>
      </c>
      <c r="FR47" t="e">
        <f>'CVE Blocks 2016'!261:261-"8O&lt;!$T4"</f>
        <v>#VALUE!</v>
      </c>
      <c r="FS47" t="e">
        <f>'CVE Blocks 2016'!262:262-"8O&lt;!$T5"</f>
        <v>#VALUE!</v>
      </c>
      <c r="FT47" t="e">
        <f>'CVE Blocks 2016'!263:263-"8O&lt;!$T6"</f>
        <v>#VALUE!</v>
      </c>
      <c r="FU47" t="e">
        <f>'CVE Blocks 2016'!264:264-"8O&lt;!$T7"</f>
        <v>#VALUE!</v>
      </c>
      <c r="FV47" t="e">
        <f>'CVE Blocks 2016'!265:265-"8O&lt;!$T8"</f>
        <v>#VALUE!</v>
      </c>
      <c r="FW47" t="e">
        <f>'CVE Blocks 2016'!266:266-"8O&lt;!$T9"</f>
        <v>#VALUE!</v>
      </c>
      <c r="FX47" t="e">
        <f>'CVE Blocks 2016'!267:267-"8O&lt;!$T:"</f>
        <v>#VALUE!</v>
      </c>
      <c r="FY47" t="e">
        <f>'CVE Blocks 2016'!268:268-"8O&lt;!$T;"</f>
        <v>#VALUE!</v>
      </c>
      <c r="FZ47" t="e">
        <f>'CVE Blocks 2016'!269:269-"8O&lt;!$T&lt;"</f>
        <v>#VALUE!</v>
      </c>
      <c r="GA47" t="e">
        <f>'CVE Blocks 2016'!270:270-"8O&lt;!$T="</f>
        <v>#VALUE!</v>
      </c>
      <c r="GB47" t="e">
        <f>'CVE Blocks 2016'!271:271-"8O&lt;!$T&gt;"</f>
        <v>#VALUE!</v>
      </c>
      <c r="GC47" t="e">
        <f>'CVE Blocks 2016'!272:272-"8O&lt;!$T?"</f>
        <v>#VALUE!</v>
      </c>
      <c r="GD47" t="e">
        <f>'CVE Blocks 2016'!273:273-"8O&lt;!$T@"</f>
        <v>#VALUE!</v>
      </c>
      <c r="GE47" t="e">
        <f>'CVE Blocks 2016'!274:274-"8O&lt;!$TA"</f>
        <v>#VALUE!</v>
      </c>
      <c r="GF47" t="e">
        <f>'CVE Blocks 2016'!275:275-"8O&lt;!$TB"</f>
        <v>#VALUE!</v>
      </c>
      <c r="GG47" t="e">
        <f>'CVE Blocks 2016'!276:276-"8O&lt;!$TC"</f>
        <v>#VALUE!</v>
      </c>
      <c r="GH47" t="e">
        <f>'CVE Blocks 2016'!277:277-"8O&lt;!$TD"</f>
        <v>#VALUE!</v>
      </c>
      <c r="GI47" t="e">
        <f>'CVE Blocks 2016'!278:278-"8O&lt;!$TE"</f>
        <v>#VALUE!</v>
      </c>
      <c r="GJ47" t="e">
        <f>'CVE Blocks 2016'!279:279-"8O&lt;!$TF"</f>
        <v>#VALUE!</v>
      </c>
      <c r="GK47" t="e">
        <f>'CVE Blocks 2016'!280:280-"8O&lt;!$TG"</f>
        <v>#VALUE!</v>
      </c>
      <c r="GL47" t="e">
        <f>'CVE Blocks 2016'!281:281-"8O&lt;!$TH"</f>
        <v>#VALUE!</v>
      </c>
      <c r="GM47" t="e">
        <f>'CVE Blocks 2016'!282:282-"8O&lt;!$TI"</f>
        <v>#VALUE!</v>
      </c>
      <c r="GN47" t="e">
        <f>'CVE Blocks 2016'!283:283-"8O&lt;!$TJ"</f>
        <v>#VALUE!</v>
      </c>
      <c r="GO47" t="e">
        <f>'CVE Blocks 2016'!284:284-"8O&lt;!$TK"</f>
        <v>#VALUE!</v>
      </c>
      <c r="GP47" t="e">
        <f>'CVE Blocks 2016'!285:285-"8O&lt;!$TL"</f>
        <v>#VALUE!</v>
      </c>
      <c r="GQ47" t="e">
        <f>'CVE Blocks 2016'!286:286-"8O&lt;!$TM"</f>
        <v>#VALUE!</v>
      </c>
      <c r="GR47" t="e">
        <f>'CVE Blocks 2016'!287:287-"8O&lt;!$TN"</f>
        <v>#VALUE!</v>
      </c>
      <c r="GS47" t="e">
        <f>'CVE Blocks 2016'!288:288-"8O&lt;!$TO"</f>
        <v>#VALUE!</v>
      </c>
      <c r="GT47" t="e">
        <f>'CVE Blocks 2016'!289:289-"8O&lt;!$TP"</f>
        <v>#VALUE!</v>
      </c>
      <c r="GU47" t="e">
        <f>'CVE Blocks 2016'!290:290-"8O&lt;!$TQ"</f>
        <v>#VALUE!</v>
      </c>
      <c r="GV47" t="e">
        <f>'CVE Blocks 2016'!291:291-"8O&lt;!$TR"</f>
        <v>#VALUE!</v>
      </c>
      <c r="GW47" t="e">
        <f>'CVE Blocks 2016'!292:292-"8O&lt;!$TS"</f>
        <v>#VALUE!</v>
      </c>
      <c r="GX47" t="e">
        <f>'CVE Blocks 2016'!293:293-"8O&lt;!$TT"</f>
        <v>#VALUE!</v>
      </c>
      <c r="GY47" t="e">
        <f>'CVE Blocks 2016'!294:294-"8O&lt;!$TU"</f>
        <v>#VALUE!</v>
      </c>
      <c r="GZ47" t="e">
        <f>'CVE Blocks 2016'!295:295-"8O&lt;!$TV"</f>
        <v>#VALUE!</v>
      </c>
      <c r="HA47" t="e">
        <f>'CVE Blocks 2016'!296:296-"8O&lt;!$TW"</f>
        <v>#VALUE!</v>
      </c>
      <c r="HB47" t="e">
        <f>'CVE Blocks 2016'!297:297-"8O&lt;!$TX"</f>
        <v>#VALUE!</v>
      </c>
      <c r="HC47" t="e">
        <f>'CVE Blocks 2016'!298:298-"8O&lt;!$TY"</f>
        <v>#VALUE!</v>
      </c>
      <c r="HD47" t="e">
        <f>'CVE Blocks 2016'!299:299-"8O&lt;!$TZ"</f>
        <v>#VALUE!</v>
      </c>
      <c r="HE47" t="e">
        <f>'CVE Blocks 2016'!300:300-"8O&lt;!$T["</f>
        <v>#VALUE!</v>
      </c>
      <c r="HF47" t="e">
        <f>'CVE Blocks 2016'!301:301-"8O&lt;!$T\"</f>
        <v>#VALUE!</v>
      </c>
      <c r="HG47" t="e">
        <f>'CVE Blocks 2016'!302:302-"8O&lt;!$T]"</f>
        <v>#VALUE!</v>
      </c>
      <c r="HH47" t="e">
        <f>'CVE Blocks 2016'!303:303-"8O&lt;!$T^"</f>
        <v>#VALUE!</v>
      </c>
      <c r="HI47" t="e">
        <f>'CVE Blocks 2016'!304:304-"8O&lt;!$T_"</f>
        <v>#VALUE!</v>
      </c>
      <c r="HJ47" t="e">
        <f>'CVE Blocks 2016'!305:305-"8O&lt;!$T`"</f>
        <v>#VALUE!</v>
      </c>
      <c r="HK47" t="e">
        <f>'CVE Blocks 2016'!306:306-"8O&lt;!$Ta"</f>
        <v>#VALUE!</v>
      </c>
      <c r="HL47" t="e">
        <f>'CVE Blocks 2016'!307:307-"8O&lt;!$Tb"</f>
        <v>#VALUE!</v>
      </c>
      <c r="HM47" t="e">
        <f>'CVE Blocks 2016'!308:308-"8O&lt;!$Tc"</f>
        <v>#VALUE!</v>
      </c>
      <c r="HN47" t="e">
        <f>'CVE Blocks 2016'!309:309-"8O&lt;!$Td"</f>
        <v>#VALUE!</v>
      </c>
      <c r="HO47" t="e">
        <f>'CVE Blocks 2016'!310:310-"8O&lt;!$Te"</f>
        <v>#VALUE!</v>
      </c>
      <c r="HP47" t="e">
        <f>'CVE Blocks 2016'!311:311-"8O&lt;!$Tf"</f>
        <v>#VALUE!</v>
      </c>
      <c r="HQ47" t="e">
        <f>'CVE Blocks 2016'!312:312-"8O&lt;!$Tg"</f>
        <v>#VALUE!</v>
      </c>
      <c r="HR47" t="e">
        <f>'CVE Blocks 2016'!313:313-"8O&lt;!$Th"</f>
        <v>#VALUE!</v>
      </c>
      <c r="HS47" t="e">
        <f>'CVE Blocks 2016'!314:314-"8O&lt;!$Ti"</f>
        <v>#VALUE!</v>
      </c>
      <c r="HT47" t="e">
        <f>'CVE Blocks 2016'!315:315-"8O&lt;!$Tj"</f>
        <v>#VALUE!</v>
      </c>
      <c r="HU47" t="e">
        <f>'CVE Blocks 2016'!316:316-"8O&lt;!$Tk"</f>
        <v>#VALUE!</v>
      </c>
      <c r="HV47" t="e">
        <f>'CVE Blocks 2016'!317:317-"8O&lt;!$Tl"</f>
        <v>#VALUE!</v>
      </c>
      <c r="HW47" t="e">
        <f>'CVE Blocks 2016'!318:318-"8O&lt;!$Tm"</f>
        <v>#VALUE!</v>
      </c>
      <c r="HX47" t="e">
        <f>'CVE Blocks 2016'!A1+"8O&lt;!$Tn"</f>
        <v>#VALUE!</v>
      </c>
      <c r="HY47" t="e">
        <f>'CVE Blocks 2016'!G1+"8O&lt;!$To"</f>
        <v>#VALUE!</v>
      </c>
      <c r="HZ47" t="e">
        <f>'CVE Blocks 2016'!A2+"8O&lt;!$Tp"</f>
        <v>#VALUE!</v>
      </c>
      <c r="IA47" t="e">
        <f>'CVE Blocks 2016'!G2+"8O&lt;!$Tq"</f>
        <v>#VALUE!</v>
      </c>
      <c r="IB47" t="e">
        <f>'CVE Blocks 2016'!A3+"8O&lt;!$Tr"</f>
        <v>#VALUE!</v>
      </c>
      <c r="IC47" t="e">
        <f>'CVE Blocks 2016'!G3+"8O&lt;!$Ts"</f>
        <v>#VALUE!</v>
      </c>
      <c r="ID47" t="e">
        <f>'CVE Blocks 2016'!A4+"8O&lt;!$Tt"</f>
        <v>#VALUE!</v>
      </c>
      <c r="IE47" t="e">
        <f>'CVE Blocks 2016'!G4+"8O&lt;!$Tu"</f>
        <v>#VALUE!</v>
      </c>
      <c r="IF47" s="102" t="e">
        <f>'CVE Blocks 2016'!A5+"8O&lt;!$Tv"</f>
        <v>#VALUE!</v>
      </c>
      <c r="IG47" t="e">
        <f>'CVE Blocks 2016'!B5+"8O&lt;!$Tw"</f>
        <v>#VALUE!</v>
      </c>
      <c r="IH47" t="e">
        <f>'CVE Blocks 2016'!C5+"8O&lt;!$Tx"</f>
        <v>#VALUE!</v>
      </c>
      <c r="II47" t="e">
        <f>'CVE Blocks 2016'!D5+"8O&lt;!$Ty"</f>
        <v>#VALUE!</v>
      </c>
      <c r="IJ47" t="e">
        <f>'CVE Blocks 2016'!F5+"8O&lt;!$Tz"</f>
        <v>#VALUE!</v>
      </c>
      <c r="IK47" s="102" t="e">
        <f>'CVE Blocks 2016'!G5+"8O&lt;!$T{"</f>
        <v>#VALUE!</v>
      </c>
      <c r="IL47" t="e">
        <f>'CVE Blocks 2016'!H5+"8O&lt;!$T|"</f>
        <v>#VALUE!</v>
      </c>
      <c r="IM47" t="e">
        <f>'CVE Blocks 2016'!I5+"8O&lt;!$T}"</f>
        <v>#VALUE!</v>
      </c>
      <c r="IN47" t="e">
        <f>'CVE Blocks 2016'!J5+"8O&lt;!$T~"</f>
        <v>#VALUE!</v>
      </c>
      <c r="IO47" t="e">
        <f>'CVE Blocks 2016'!L5+"8O&lt;!$U#"</f>
        <v>#VALUE!</v>
      </c>
      <c r="IP47" t="e">
        <f>'CVE Blocks 2016'!A6+"8O&lt;!$U$"</f>
        <v>#VALUE!</v>
      </c>
      <c r="IQ47" t="e">
        <f>'CVE Blocks 2016'!B6+"8O&lt;!$U%"</f>
        <v>#VALUE!</v>
      </c>
      <c r="IR47" t="e">
        <f>'CVE Blocks 2016'!C6+"8O&lt;!$U&amp;"</f>
        <v>#VALUE!</v>
      </c>
      <c r="IS47" t="e">
        <f>'CVE Blocks 2016'!D6+"8O&lt;!$U'"</f>
        <v>#VALUE!</v>
      </c>
      <c r="IT47" t="e">
        <f>'CVE Blocks 2016'!G6+"8O&lt;!$U("</f>
        <v>#VALUE!</v>
      </c>
      <c r="IU47" t="e">
        <f>'CVE Blocks 2016'!H6+"8O&lt;!$U)"</f>
        <v>#VALUE!</v>
      </c>
      <c r="IV47" t="e">
        <f>'CVE Blocks 2016'!I6+"8O&lt;!$U."</f>
        <v>#VALUE!</v>
      </c>
    </row>
    <row r="48" spans="6:256" x14ac:dyDescent="0.25">
      <c r="F48" t="e">
        <f>'CVE Blocks 2016'!J6+"8O&lt;!$U/"</f>
        <v>#VALUE!</v>
      </c>
      <c r="G48" t="e">
        <f>'CVE Blocks 2016'!A7+"8O&lt;!$U0"</f>
        <v>#VALUE!</v>
      </c>
      <c r="H48" t="e">
        <f>'CVE Blocks 2016'!B7+"8O&lt;!$U1"</f>
        <v>#VALUE!</v>
      </c>
      <c r="I48" t="e">
        <f>'CVE Blocks 2016'!C7+"8O&lt;!$U2"</f>
        <v>#VALUE!</v>
      </c>
      <c r="J48" t="e">
        <f>'CVE Blocks 2016'!D7+"8O&lt;!$U3"</f>
        <v>#VALUE!</v>
      </c>
      <c r="K48" t="e">
        <f>'CVE Blocks 2016'!G7+"8O&lt;!$U4"</f>
        <v>#VALUE!</v>
      </c>
      <c r="L48" t="e">
        <f>'CVE Blocks 2016'!H7+"8O&lt;!$U5"</f>
        <v>#VALUE!</v>
      </c>
      <c r="M48" t="e">
        <f>'CVE Blocks 2016'!I7+"8O&lt;!$U6"</f>
        <v>#VALUE!</v>
      </c>
      <c r="N48" t="e">
        <f>'CVE Blocks 2016'!J7+"8O&lt;!$U7"</f>
        <v>#VALUE!</v>
      </c>
      <c r="O48" t="e">
        <f>'CVE Blocks 2016'!A8+"8O&lt;!$U8"</f>
        <v>#VALUE!</v>
      </c>
      <c r="P48" t="e">
        <f>'CVE Blocks 2016'!B8+"8O&lt;!$U9"</f>
        <v>#VALUE!</v>
      </c>
      <c r="Q48" t="e">
        <f>'CVE Blocks 2016'!C8+"8O&lt;!$U:"</f>
        <v>#VALUE!</v>
      </c>
      <c r="R48" t="e">
        <f>'CVE Blocks 2016'!D8+"8O&lt;!$U;"</f>
        <v>#VALUE!</v>
      </c>
      <c r="S48" t="e">
        <f>'CVE Blocks 2016'!H8+"8O&lt;!$U&lt;"</f>
        <v>#VALUE!</v>
      </c>
      <c r="T48" t="e">
        <f>'CVE Blocks 2016'!I8+"8O&lt;!$U="</f>
        <v>#VALUE!</v>
      </c>
      <c r="U48" t="e">
        <f>'CVE Blocks 2016'!J8+"8O&lt;!$U&gt;"</f>
        <v>#VALUE!</v>
      </c>
      <c r="V48" t="e">
        <f>'CVE Blocks 2016'!A9+"8O&lt;!$U?"</f>
        <v>#VALUE!</v>
      </c>
      <c r="W48" t="e">
        <f>'CVE Blocks 2016'!B9+"8O&lt;!$U@"</f>
        <v>#VALUE!</v>
      </c>
      <c r="X48" t="e">
        <f>'CVE Blocks 2016'!C9+"8O&lt;!$UA"</f>
        <v>#VALUE!</v>
      </c>
      <c r="Y48" t="e">
        <f>'CVE Blocks 2016'!D9+"8O&lt;!$UB"</f>
        <v>#VALUE!</v>
      </c>
      <c r="Z48" t="e">
        <f>'CVE Blocks 2016'!H9+"8O&lt;!$UC"</f>
        <v>#VALUE!</v>
      </c>
      <c r="AA48" t="e">
        <f>'CVE Blocks 2016'!I9+"8O&lt;!$UD"</f>
        <v>#VALUE!</v>
      </c>
      <c r="AB48" t="e">
        <f>'CVE Blocks 2016'!A10+"8O&lt;!$UE"</f>
        <v>#VALUE!</v>
      </c>
      <c r="AC48" t="e">
        <f>'CVE Blocks 2016'!B10+"8O&lt;!$UF"</f>
        <v>#VALUE!</v>
      </c>
      <c r="AD48" t="e">
        <f>'CVE Blocks 2016'!C10+"8O&lt;!$UG"</f>
        <v>#VALUE!</v>
      </c>
      <c r="AE48" t="e">
        <f>'CVE Blocks 2016'!D10+"8O&lt;!$UH"</f>
        <v>#VALUE!</v>
      </c>
      <c r="AF48" t="e">
        <f>'CVE Blocks 2016'!H10+"8O&lt;!$UI"</f>
        <v>#VALUE!</v>
      </c>
      <c r="AG48" t="e">
        <f>'CVE Blocks 2016'!I10+"8O&lt;!$UJ"</f>
        <v>#VALUE!</v>
      </c>
      <c r="AH48" t="e">
        <f>'CVE Blocks 2016'!A11+"8O&lt;!$UK"</f>
        <v>#VALUE!</v>
      </c>
      <c r="AI48" t="e">
        <f>'CVE Blocks 2016'!B11+"8O&lt;!$UL"</f>
        <v>#VALUE!</v>
      </c>
      <c r="AJ48" t="e">
        <f>'CVE Blocks 2016'!C11+"8O&lt;!$UM"</f>
        <v>#VALUE!</v>
      </c>
      <c r="AK48" t="e">
        <f>'CVE Blocks 2016'!D11+"8O&lt;!$UN"</f>
        <v>#VALUE!</v>
      </c>
      <c r="AL48" t="e">
        <f>'CVE Blocks 2016'!H11+"8O&lt;!$UO"</f>
        <v>#VALUE!</v>
      </c>
      <c r="AM48" t="e">
        <f>'CVE Blocks 2016'!I11+"8O&lt;!$UP"</f>
        <v>#VALUE!</v>
      </c>
      <c r="AN48" t="e">
        <f>'CVE Blocks 2016'!B12+"8O&lt;!$UQ"</f>
        <v>#VALUE!</v>
      </c>
      <c r="AO48" t="e">
        <f>'CVE Blocks 2016'!C12+"8O&lt;!$UR"</f>
        <v>#VALUE!</v>
      </c>
      <c r="AP48" t="e">
        <f>'CVE Blocks 2016'!H12+"8O&lt;!$US"</f>
        <v>#VALUE!</v>
      </c>
      <c r="AQ48" t="e">
        <f>'CVE Blocks 2016'!I12+"8O&lt;!$UT"</f>
        <v>#VALUE!</v>
      </c>
      <c r="AR48" t="e">
        <f>'CVE Blocks 2016'!B13+"8O&lt;!$UU"</f>
        <v>#VALUE!</v>
      </c>
      <c r="AS48" t="e">
        <f>'CVE Blocks 2016'!C13+"8O&lt;!$UV"</f>
        <v>#VALUE!</v>
      </c>
      <c r="AT48" t="e">
        <f>'CVE Blocks 2016'!H13+"8O&lt;!$UW"</f>
        <v>#VALUE!</v>
      </c>
      <c r="AU48" t="e">
        <f>'CVE Blocks 2016'!I13+"8O&lt;!$UX"</f>
        <v>#VALUE!</v>
      </c>
      <c r="AV48" t="e">
        <f>'CVE Blocks 2016'!B14+"8O&lt;!$UY"</f>
        <v>#VALUE!</v>
      </c>
      <c r="AW48" t="e">
        <f>'CVE Blocks 2016'!C14+"8O&lt;!$UZ"</f>
        <v>#VALUE!</v>
      </c>
      <c r="AX48" t="e">
        <f>'CVE Blocks 2016'!H14+"8O&lt;!$U["</f>
        <v>#VALUE!</v>
      </c>
      <c r="AY48" t="e">
        <f>'CVE Blocks 2016'!I14+"8O&lt;!$U\"</f>
        <v>#VALUE!</v>
      </c>
      <c r="AZ48" t="e">
        <f>'CVE Blocks 2016'!B15+"8O&lt;!$U]"</f>
        <v>#VALUE!</v>
      </c>
      <c r="BA48" t="e">
        <f>'CVE Blocks 2016'!C15+"8O&lt;!$U^"</f>
        <v>#VALUE!</v>
      </c>
      <c r="BB48" t="e">
        <f>'CVE Blocks 2016'!H15+"8O&lt;!$U_"</f>
        <v>#VALUE!</v>
      </c>
      <c r="BC48" t="e">
        <f>'CVE Blocks 2016'!I15+"8O&lt;!$U`"</f>
        <v>#VALUE!</v>
      </c>
      <c r="BD48" t="e">
        <f>'CVE Blocks 2016'!B16+"8O&lt;!$Ua"</f>
        <v>#VALUE!</v>
      </c>
      <c r="BE48" t="e">
        <f>'CVE Blocks 2016'!C16+"8O&lt;!$Ub"</f>
        <v>#VALUE!</v>
      </c>
      <c r="BF48" t="e">
        <f>'CVE Blocks 2016'!H16+"8O&lt;!$Uc"</f>
        <v>#VALUE!</v>
      </c>
      <c r="BG48" t="e">
        <f>'CVE Blocks 2016'!I16+"8O&lt;!$Ud"</f>
        <v>#VALUE!</v>
      </c>
      <c r="BH48" t="e">
        <f>'CVE Blocks 2016'!B17+"8O&lt;!$Ue"</f>
        <v>#VALUE!</v>
      </c>
      <c r="BI48" t="e">
        <f>'CVE Blocks 2016'!C17+"8O&lt;!$Uf"</f>
        <v>#VALUE!</v>
      </c>
      <c r="BJ48" t="e">
        <f>'CVE Blocks 2016'!H17+"8O&lt;!$Ug"</f>
        <v>#VALUE!</v>
      </c>
      <c r="BK48" t="e">
        <f>'CVE Blocks 2016'!I17+"8O&lt;!$Uh"</f>
        <v>#VALUE!</v>
      </c>
      <c r="BL48" t="e">
        <f>'CVE Blocks 2016'!B18+"8O&lt;!$Ui"</f>
        <v>#VALUE!</v>
      </c>
      <c r="BM48" t="e">
        <f>'CVE Blocks 2016'!C18+"8O&lt;!$Uj"</f>
        <v>#VALUE!</v>
      </c>
      <c r="BN48" t="e">
        <f>'CVE Blocks 2016'!H18+"8O&lt;!$Uk"</f>
        <v>#VALUE!</v>
      </c>
      <c r="BO48" t="e">
        <f>'CVE Blocks 2016'!I18+"8O&lt;!$Ul"</f>
        <v>#VALUE!</v>
      </c>
      <c r="BP48" t="e">
        <f>'CVE Blocks 2016'!B19+"8O&lt;!$Um"</f>
        <v>#VALUE!</v>
      </c>
      <c r="BQ48" t="e">
        <f>'CVE Blocks 2016'!C19+"8O&lt;!$Un"</f>
        <v>#VALUE!</v>
      </c>
      <c r="BR48" t="e">
        <f>'CVE Blocks 2016'!H19+"8O&lt;!$Uo"</f>
        <v>#VALUE!</v>
      </c>
      <c r="BS48" t="e">
        <f>'CVE Blocks 2016'!I19+"8O&lt;!$Up"</f>
        <v>#VALUE!</v>
      </c>
      <c r="BT48" t="e">
        <f>'CVE Blocks 2016'!B20+"8O&lt;!$Uq"</f>
        <v>#VALUE!</v>
      </c>
      <c r="BU48" t="e">
        <f>'CVE Blocks 2016'!C20+"8O&lt;!$Ur"</f>
        <v>#VALUE!</v>
      </c>
      <c r="BV48" t="e">
        <f>'CVE Blocks 2016'!H20+"8O&lt;!$Us"</f>
        <v>#VALUE!</v>
      </c>
      <c r="BW48" t="e">
        <f>'CVE Blocks 2016'!I20+"8O&lt;!$Ut"</f>
        <v>#VALUE!</v>
      </c>
      <c r="BX48" t="e">
        <f>'CVE Blocks 2016'!B21+"8O&lt;!$Uu"</f>
        <v>#VALUE!</v>
      </c>
      <c r="BY48" t="e">
        <f>'CVE Blocks 2016'!C21+"8O&lt;!$Uv"</f>
        <v>#VALUE!</v>
      </c>
      <c r="BZ48" t="e">
        <f>'CVE Blocks 2016'!H21+"8O&lt;!$Uw"</f>
        <v>#VALUE!</v>
      </c>
      <c r="CA48" t="e">
        <f>'CVE Blocks 2016'!I21+"8O&lt;!$Ux"</f>
        <v>#VALUE!</v>
      </c>
      <c r="CB48" t="e">
        <f>'CVE Blocks 2016'!B22+"8O&lt;!$Uy"</f>
        <v>#VALUE!</v>
      </c>
      <c r="CC48" t="e">
        <f>'CVE Blocks 2016'!C22+"8O&lt;!$Uz"</f>
        <v>#VALUE!</v>
      </c>
      <c r="CD48" t="e">
        <f>'CVE Blocks 2016'!H22+"8O&lt;!$U{"</f>
        <v>#VALUE!</v>
      </c>
      <c r="CE48" t="e">
        <f>'CVE Blocks 2016'!I22+"8O&lt;!$U|"</f>
        <v>#VALUE!</v>
      </c>
      <c r="CF48" t="e">
        <f>'CVE Blocks 2016'!B23+"8O&lt;!$U}"</f>
        <v>#VALUE!</v>
      </c>
      <c r="CG48" t="e">
        <f>'CVE Blocks 2016'!C23+"8O&lt;!$U~"</f>
        <v>#VALUE!</v>
      </c>
      <c r="CH48" t="e">
        <f>'CVE Blocks 2016'!H23+"8O&lt;!$V#"</f>
        <v>#VALUE!</v>
      </c>
      <c r="CI48" t="e">
        <f>'CVE Blocks 2016'!I23+"8O&lt;!$V$"</f>
        <v>#VALUE!</v>
      </c>
      <c r="CJ48" t="e">
        <f>'CVE Blocks 2016'!B24+"8O&lt;!$V%"</f>
        <v>#VALUE!</v>
      </c>
      <c r="CK48" t="e">
        <f>'CVE Blocks 2016'!C24+"8O&lt;!$V&amp;"</f>
        <v>#VALUE!</v>
      </c>
      <c r="CL48" t="e">
        <f>'CVE Blocks 2016'!H24+"8O&lt;!$V'"</f>
        <v>#VALUE!</v>
      </c>
      <c r="CM48" t="e">
        <f>'CVE Blocks 2016'!I24+"8O&lt;!$V("</f>
        <v>#VALUE!</v>
      </c>
      <c r="CN48" t="e">
        <f>'CVE Blocks 2016'!B25+"8O&lt;!$V)"</f>
        <v>#VALUE!</v>
      </c>
      <c r="CO48" t="e">
        <f>'CVE Blocks 2016'!C25+"8O&lt;!$V."</f>
        <v>#VALUE!</v>
      </c>
      <c r="CP48" t="e">
        <f>'CVE Blocks 2016'!H25+"8O&lt;!$V/"</f>
        <v>#VALUE!</v>
      </c>
      <c r="CQ48" t="e">
        <f>'CVE Blocks 2016'!I25+"8O&lt;!$V0"</f>
        <v>#VALUE!</v>
      </c>
      <c r="CR48" t="e">
        <f>'CVE Blocks 2016'!B26+"8O&lt;!$V1"</f>
        <v>#VALUE!</v>
      </c>
      <c r="CS48" t="e">
        <f>'CVE Blocks 2016'!C26+"8O&lt;!$V2"</f>
        <v>#VALUE!</v>
      </c>
      <c r="CT48" t="e">
        <f>'CVE Blocks 2016'!H26+"8O&lt;!$V3"</f>
        <v>#VALUE!</v>
      </c>
      <c r="CU48" t="e">
        <f>'CVE Blocks 2016'!I26+"8O&lt;!$V4"</f>
        <v>#VALUE!</v>
      </c>
      <c r="CV48" t="e">
        <f>'CVE Blocks 2016'!B27+"8O&lt;!$V5"</f>
        <v>#VALUE!</v>
      </c>
      <c r="CW48" t="e">
        <f>'CVE Blocks 2016'!C27+"8O&lt;!$V6"</f>
        <v>#VALUE!</v>
      </c>
      <c r="CX48" t="e">
        <f>'CVE Blocks 2016'!H27+"8O&lt;!$V7"</f>
        <v>#VALUE!</v>
      </c>
      <c r="CY48" t="e">
        <f>'CVE Blocks 2016'!I27+"8O&lt;!$V8"</f>
        <v>#VALUE!</v>
      </c>
      <c r="CZ48" t="e">
        <f>'CVE Blocks 2016'!B28+"8O&lt;!$V9"</f>
        <v>#VALUE!</v>
      </c>
      <c r="DA48" t="e">
        <f>'CVE Blocks 2016'!C28+"8O&lt;!$V:"</f>
        <v>#VALUE!</v>
      </c>
      <c r="DB48" t="e">
        <f>'CVE Blocks 2016'!H28+"8O&lt;!$V;"</f>
        <v>#VALUE!</v>
      </c>
      <c r="DC48" t="e">
        <f>'CVE Blocks 2016'!I28+"8O&lt;!$V&lt;"</f>
        <v>#VALUE!</v>
      </c>
      <c r="DD48" t="e">
        <f>'CVE Blocks 2016'!B29+"8O&lt;!$V="</f>
        <v>#VALUE!</v>
      </c>
      <c r="DE48" t="e">
        <f>'CVE Blocks 2016'!C29+"8O&lt;!$V&gt;"</f>
        <v>#VALUE!</v>
      </c>
      <c r="DF48" t="e">
        <f>'CVE Blocks 2016'!H29+"8O&lt;!$V?"</f>
        <v>#VALUE!</v>
      </c>
      <c r="DG48" t="e">
        <f>'CVE Blocks 2016'!I29+"8O&lt;!$V@"</f>
        <v>#VALUE!</v>
      </c>
      <c r="DH48" t="e">
        <f>'CVE Blocks 2016'!B30+"8O&lt;!$VA"</f>
        <v>#VALUE!</v>
      </c>
      <c r="DI48" t="e">
        <f>'CVE Blocks 2016'!C30+"8O&lt;!$VB"</f>
        <v>#VALUE!</v>
      </c>
      <c r="DJ48" t="e">
        <f>'CVE Blocks 2016'!H30+"8O&lt;!$VC"</f>
        <v>#VALUE!</v>
      </c>
      <c r="DK48" t="e">
        <f>'CVE Blocks 2016'!I30+"8O&lt;!$VD"</f>
        <v>#VALUE!</v>
      </c>
      <c r="DL48" t="e">
        <f>'CVE Blocks 2016'!B31+"8O&lt;!$VE"</f>
        <v>#VALUE!</v>
      </c>
      <c r="DM48" t="e">
        <f>'CVE Blocks 2016'!C31+"8O&lt;!$VF"</f>
        <v>#VALUE!</v>
      </c>
      <c r="DN48" t="e">
        <f>'CVE Blocks 2016'!H31+"8O&lt;!$VG"</f>
        <v>#VALUE!</v>
      </c>
      <c r="DO48" t="e">
        <f>'CVE Blocks 2016'!I31+"8O&lt;!$VH"</f>
        <v>#VALUE!</v>
      </c>
      <c r="DP48" t="e">
        <f>'CVE Blocks 2016'!B32+"8O&lt;!$VI"</f>
        <v>#VALUE!</v>
      </c>
      <c r="DQ48" t="e">
        <f>'CVE Blocks 2016'!C32+"8O&lt;!$VJ"</f>
        <v>#VALUE!</v>
      </c>
      <c r="DR48" t="e">
        <f>'CVE Blocks 2016'!H32+"8O&lt;!$VK"</f>
        <v>#VALUE!</v>
      </c>
      <c r="DS48" t="e">
        <f>'CVE Blocks 2016'!I32+"8O&lt;!$VL"</f>
        <v>#VALUE!</v>
      </c>
      <c r="DT48" t="e">
        <f>'CVE Blocks 2016'!B33+"8O&lt;!$VM"</f>
        <v>#VALUE!</v>
      </c>
      <c r="DU48" t="e">
        <f>'CVE Blocks 2016'!C33+"8O&lt;!$VN"</f>
        <v>#VALUE!</v>
      </c>
      <c r="DV48" t="e">
        <f>'CVE Blocks 2016'!H33+"8O&lt;!$VO"</f>
        <v>#VALUE!</v>
      </c>
      <c r="DW48" t="e">
        <f>'CVE Blocks 2016'!I33+"8O&lt;!$VP"</f>
        <v>#VALUE!</v>
      </c>
      <c r="DX48" t="e">
        <f>'CVE Blocks 2016'!B34+"8O&lt;!$VQ"</f>
        <v>#VALUE!</v>
      </c>
      <c r="DY48" t="e">
        <f>'CVE Blocks 2016'!C34+"8O&lt;!$VR"</f>
        <v>#VALUE!</v>
      </c>
      <c r="DZ48" t="e">
        <f>'CVE Blocks 2016'!H34+"8O&lt;!$VS"</f>
        <v>#VALUE!</v>
      </c>
      <c r="EA48" t="e">
        <f>'CVE Blocks 2016'!I34+"8O&lt;!$VT"</f>
        <v>#VALUE!</v>
      </c>
      <c r="EB48" t="e">
        <f>'CVE Blocks 2016'!B35+"8O&lt;!$VU"</f>
        <v>#VALUE!</v>
      </c>
      <c r="EC48" t="e">
        <f>'CVE Blocks 2016'!C35+"8O&lt;!$VV"</f>
        <v>#VALUE!</v>
      </c>
      <c r="ED48" t="e">
        <f>'CVE Blocks 2016'!H35+"8O&lt;!$VW"</f>
        <v>#VALUE!</v>
      </c>
      <c r="EE48" t="e">
        <f>'CVE Blocks 2016'!I35+"8O&lt;!$VX"</f>
        <v>#VALUE!</v>
      </c>
      <c r="EF48" t="e">
        <f>'CVE Blocks 2016'!B36+"8O&lt;!$VY"</f>
        <v>#VALUE!</v>
      </c>
      <c r="EG48" t="e">
        <f>'CVE Blocks 2016'!C36+"8O&lt;!$VZ"</f>
        <v>#VALUE!</v>
      </c>
      <c r="EH48" t="e">
        <f>'CVE Blocks 2016'!H36+"8O&lt;!$V["</f>
        <v>#VALUE!</v>
      </c>
      <c r="EI48" t="e">
        <f>'CVE Blocks 2016'!I36+"8O&lt;!$V\"</f>
        <v>#VALUE!</v>
      </c>
      <c r="EJ48" t="e">
        <f>'CVE Blocks 2016'!B37+"8O&lt;!$V]"</f>
        <v>#VALUE!</v>
      </c>
      <c r="EK48" t="e">
        <f>'CVE Blocks 2016'!C37+"8O&lt;!$V^"</f>
        <v>#VALUE!</v>
      </c>
      <c r="EL48" t="e">
        <f>'CVE Blocks 2016'!H37+"8O&lt;!$V_"</f>
        <v>#VALUE!</v>
      </c>
      <c r="EM48" t="e">
        <f>'CVE Blocks 2016'!I37+"8O&lt;!$V`"</f>
        <v>#VALUE!</v>
      </c>
      <c r="EN48" t="e">
        <f>'CVE Blocks 2016'!B38+"8O&lt;!$Va"</f>
        <v>#VALUE!</v>
      </c>
      <c r="EO48" t="e">
        <f>'CVE Blocks 2016'!C38+"8O&lt;!$Vb"</f>
        <v>#VALUE!</v>
      </c>
      <c r="EP48" t="e">
        <f>'CVE Blocks 2016'!H38+"8O&lt;!$Vc"</f>
        <v>#VALUE!</v>
      </c>
      <c r="EQ48" t="e">
        <f>'CVE Blocks 2016'!I38+"8O&lt;!$Vd"</f>
        <v>#VALUE!</v>
      </c>
      <c r="ER48" t="e">
        <f>'CVE Blocks 2016'!B39+"8O&lt;!$Ve"</f>
        <v>#VALUE!</v>
      </c>
      <c r="ES48" t="e">
        <f>'CVE Blocks 2016'!C39+"8O&lt;!$Vf"</f>
        <v>#VALUE!</v>
      </c>
      <c r="ET48" t="e">
        <f>'CVE Blocks 2016'!H39+"8O&lt;!$Vg"</f>
        <v>#VALUE!</v>
      </c>
      <c r="EU48" t="e">
        <f>'CVE Blocks 2016'!I39+"8O&lt;!$Vh"</f>
        <v>#VALUE!</v>
      </c>
      <c r="EV48" t="e">
        <f>'CVE Blocks 2016'!B40+"8O&lt;!$Vi"</f>
        <v>#VALUE!</v>
      </c>
      <c r="EW48" t="e">
        <f>'CVE Blocks 2016'!C40+"8O&lt;!$Vj"</f>
        <v>#VALUE!</v>
      </c>
      <c r="EX48" t="e">
        <f>'CVE Blocks 2016'!H40+"8O&lt;!$Vk"</f>
        <v>#VALUE!</v>
      </c>
      <c r="EY48" t="e">
        <f>'CVE Blocks 2016'!I40+"8O&lt;!$Vl"</f>
        <v>#VALUE!</v>
      </c>
      <c r="EZ48" t="e">
        <f>'CVE Blocks 2016'!B41+"8O&lt;!$Vm"</f>
        <v>#VALUE!</v>
      </c>
      <c r="FA48" t="e">
        <f>'CVE Blocks 2016'!C41+"8O&lt;!$Vn"</f>
        <v>#VALUE!</v>
      </c>
      <c r="FB48" t="e">
        <f>'CVE Blocks 2016'!H41+"8O&lt;!$Vo"</f>
        <v>#VALUE!</v>
      </c>
      <c r="FC48" t="e">
        <f>'CVE Blocks 2016'!I41+"8O&lt;!$Vp"</f>
        <v>#VALUE!</v>
      </c>
      <c r="FD48" t="e">
        <f>'CVE Blocks 2016'!B42+"8O&lt;!$Vq"</f>
        <v>#VALUE!</v>
      </c>
      <c r="FE48" t="e">
        <f>'CVE Blocks 2016'!C42+"8O&lt;!$Vr"</f>
        <v>#VALUE!</v>
      </c>
      <c r="FF48" t="e">
        <f>'CVE Blocks 2016'!H42+"8O&lt;!$Vs"</f>
        <v>#VALUE!</v>
      </c>
      <c r="FG48" t="e">
        <f>'CVE Blocks 2016'!I42+"8O&lt;!$Vt"</f>
        <v>#VALUE!</v>
      </c>
      <c r="FH48" t="e">
        <f>'CVE Blocks 2016'!B43+"8O&lt;!$Vu"</f>
        <v>#VALUE!</v>
      </c>
      <c r="FI48" t="e">
        <f>'CVE Blocks 2016'!C43+"8O&lt;!$Vv"</f>
        <v>#VALUE!</v>
      </c>
      <c r="FJ48" t="e">
        <f>'CVE Blocks 2016'!H43+"8O&lt;!$Vw"</f>
        <v>#VALUE!</v>
      </c>
      <c r="FK48" t="e">
        <f>'CVE Blocks 2016'!I43+"8O&lt;!$Vx"</f>
        <v>#VALUE!</v>
      </c>
      <c r="FL48" t="e">
        <f>'CVE Blocks 2016'!B44+"8O&lt;!$Vy"</f>
        <v>#VALUE!</v>
      </c>
      <c r="FM48" t="e">
        <f>'CVE Blocks 2016'!C44+"8O&lt;!$Vz"</f>
        <v>#VALUE!</v>
      </c>
      <c r="FN48" t="e">
        <f>'CVE Blocks 2016'!H44+"8O&lt;!$V{"</f>
        <v>#VALUE!</v>
      </c>
      <c r="FO48" t="e">
        <f>'CVE Blocks 2016'!I44+"8O&lt;!$V|"</f>
        <v>#VALUE!</v>
      </c>
      <c r="FP48" t="e">
        <f>'CVE Blocks 2016'!B45+"8O&lt;!$V}"</f>
        <v>#VALUE!</v>
      </c>
      <c r="FQ48" t="e">
        <f>'CVE Blocks 2016'!C45+"8O&lt;!$V~"</f>
        <v>#VALUE!</v>
      </c>
      <c r="FR48" t="e">
        <f>'CVE Blocks 2016'!H45+"8O&lt;!$W#"</f>
        <v>#VALUE!</v>
      </c>
      <c r="FS48" t="e">
        <f>'CVE Blocks 2016'!I45+"8O&lt;!$W$"</f>
        <v>#VALUE!</v>
      </c>
      <c r="FT48" t="e">
        <f>'CVE Blocks 2016'!B46+"8O&lt;!$W%"</f>
        <v>#VALUE!</v>
      </c>
      <c r="FU48" t="e">
        <f>'CVE Blocks 2016'!C46+"8O&lt;!$W&amp;"</f>
        <v>#VALUE!</v>
      </c>
      <c r="FV48" t="e">
        <f>'CVE Blocks 2016'!H46+"8O&lt;!$W'"</f>
        <v>#VALUE!</v>
      </c>
      <c r="FW48" t="e">
        <f>'CVE Blocks 2016'!I46+"8O&lt;!$W("</f>
        <v>#VALUE!</v>
      </c>
      <c r="FX48" t="e">
        <f>'CVE Blocks 2016'!B47+"8O&lt;!$W)"</f>
        <v>#VALUE!</v>
      </c>
      <c r="FY48" t="e">
        <f>'CVE Blocks 2016'!C47+"8O&lt;!$W."</f>
        <v>#VALUE!</v>
      </c>
      <c r="FZ48" t="e">
        <f>'CVE Blocks 2016'!H47+"8O&lt;!$W/"</f>
        <v>#VALUE!</v>
      </c>
      <c r="GA48" t="e">
        <f>'CVE Blocks 2016'!I47+"8O&lt;!$W0"</f>
        <v>#VALUE!</v>
      </c>
      <c r="GB48" t="e">
        <f>'CVE Blocks 2016'!B48+"8O&lt;!$W1"</f>
        <v>#VALUE!</v>
      </c>
      <c r="GC48" t="e">
        <f>'CVE Blocks 2016'!C48+"8O&lt;!$W2"</f>
        <v>#VALUE!</v>
      </c>
      <c r="GD48" t="e">
        <f>'CVE Blocks 2016'!H48+"8O&lt;!$W3"</f>
        <v>#VALUE!</v>
      </c>
      <c r="GE48" t="e">
        <f>'CVE Blocks 2016'!I48+"8O&lt;!$W4"</f>
        <v>#VALUE!</v>
      </c>
      <c r="GF48" t="e">
        <f>'CVE Blocks 2016'!B49+"8O&lt;!$W5"</f>
        <v>#VALUE!</v>
      </c>
      <c r="GG48" t="e">
        <f>'CVE Blocks 2016'!C49+"8O&lt;!$W6"</f>
        <v>#VALUE!</v>
      </c>
      <c r="GH48" t="e">
        <f>'CVE Blocks 2016'!H49+"8O&lt;!$W7"</f>
        <v>#VALUE!</v>
      </c>
      <c r="GI48" t="e">
        <f>'CVE Blocks 2016'!I49+"8O&lt;!$W8"</f>
        <v>#VALUE!</v>
      </c>
      <c r="GJ48" t="e">
        <f>'CVE Blocks 2016'!B50+"8O&lt;!$W9"</f>
        <v>#VALUE!</v>
      </c>
      <c r="GK48" t="e">
        <f>'CVE Blocks 2016'!C50+"8O&lt;!$W:"</f>
        <v>#VALUE!</v>
      </c>
      <c r="GL48" t="e">
        <f>'CVE Blocks 2016'!H50+"8O&lt;!$W;"</f>
        <v>#VALUE!</v>
      </c>
      <c r="GM48" t="e">
        <f>'CVE Blocks 2016'!I50+"8O&lt;!$W&lt;"</f>
        <v>#VALUE!</v>
      </c>
      <c r="GN48" t="e">
        <f>'CVE Blocks 2016'!B51+"8O&lt;!$W="</f>
        <v>#VALUE!</v>
      </c>
      <c r="GO48" t="e">
        <f>'CVE Blocks 2016'!C51+"8O&lt;!$W&gt;"</f>
        <v>#VALUE!</v>
      </c>
      <c r="GP48" t="e">
        <f>'CVE Blocks 2016'!H51+"8O&lt;!$W?"</f>
        <v>#VALUE!</v>
      </c>
      <c r="GQ48" t="e">
        <f>'CVE Blocks 2016'!I51+"8O&lt;!$W@"</f>
        <v>#VALUE!</v>
      </c>
      <c r="GR48" t="e">
        <f>'CVE Blocks 2016'!B52+"8O&lt;!$WA"</f>
        <v>#VALUE!</v>
      </c>
      <c r="GS48" t="e">
        <f>'CVE Blocks 2016'!C52+"8O&lt;!$WB"</f>
        <v>#VALUE!</v>
      </c>
      <c r="GT48" t="e">
        <f>'CVE Blocks 2016'!H52+"8O&lt;!$WC"</f>
        <v>#VALUE!</v>
      </c>
      <c r="GU48" t="e">
        <f>'CVE Blocks 2016'!I52+"8O&lt;!$WD"</f>
        <v>#VALUE!</v>
      </c>
      <c r="GV48" t="e">
        <f>'CVE Blocks 2016'!B53+"8O&lt;!$WE"</f>
        <v>#VALUE!</v>
      </c>
      <c r="GW48" t="e">
        <f>'CVE Blocks 2016'!C53+"8O&lt;!$WF"</f>
        <v>#VALUE!</v>
      </c>
      <c r="GX48" t="e">
        <f>'CVE Blocks 2016'!H53+"8O&lt;!$WG"</f>
        <v>#VALUE!</v>
      </c>
      <c r="GY48" t="e">
        <f>'CVE Blocks 2016'!I53+"8O&lt;!$WH"</f>
        <v>#VALUE!</v>
      </c>
      <c r="GZ48" t="e">
        <f>'CVE Blocks 2016'!B54+"8O&lt;!$WI"</f>
        <v>#VALUE!</v>
      </c>
      <c r="HA48" t="e">
        <f>'CVE Blocks 2016'!C54+"8O&lt;!$WJ"</f>
        <v>#VALUE!</v>
      </c>
      <c r="HB48" t="e">
        <f>'CVE Blocks 2016'!H54+"8O&lt;!$WK"</f>
        <v>#VALUE!</v>
      </c>
      <c r="HC48" t="e">
        <f>'CVE Blocks 2016'!I54+"8O&lt;!$WL"</f>
        <v>#VALUE!</v>
      </c>
      <c r="HD48" t="e">
        <f>'CVE Blocks 2016'!B55+"8O&lt;!$WM"</f>
        <v>#VALUE!</v>
      </c>
      <c r="HE48" t="e">
        <f>'CVE Blocks 2016'!C55+"8O&lt;!$WN"</f>
        <v>#VALUE!</v>
      </c>
      <c r="HF48" t="e">
        <f>'CVE Blocks 2016'!H55+"8O&lt;!$WO"</f>
        <v>#VALUE!</v>
      </c>
      <c r="HG48" t="e">
        <f>'CVE Blocks 2016'!I55+"8O&lt;!$WP"</f>
        <v>#VALUE!</v>
      </c>
      <c r="HH48" t="e">
        <f>'CVE Blocks 2016'!B56+"8O&lt;!$WQ"</f>
        <v>#VALUE!</v>
      </c>
      <c r="HI48" t="e">
        <f>'CVE Blocks 2016'!C56+"8O&lt;!$WR"</f>
        <v>#VALUE!</v>
      </c>
      <c r="HJ48" t="e">
        <f>'CVE Blocks 2016'!H56+"8O&lt;!$WS"</f>
        <v>#VALUE!</v>
      </c>
      <c r="HK48" t="e">
        <f>'CVE Blocks 2016'!I56+"8O&lt;!$WT"</f>
        <v>#VALUE!</v>
      </c>
      <c r="HL48" t="e">
        <f>'CVE Blocks 2016'!B57+"8O&lt;!$WU"</f>
        <v>#VALUE!</v>
      </c>
      <c r="HM48" t="e">
        <f>'CVE Blocks 2016'!C57+"8O&lt;!$WV"</f>
        <v>#VALUE!</v>
      </c>
      <c r="HN48" t="e">
        <f>'CVE Blocks 2016'!H57+"8O&lt;!$WW"</f>
        <v>#VALUE!</v>
      </c>
      <c r="HO48" t="e">
        <f>'CVE Blocks 2016'!I57+"8O&lt;!$WX"</f>
        <v>#VALUE!</v>
      </c>
      <c r="HP48" t="e">
        <f>'CVE Blocks 2016'!B58+"8O&lt;!$WY"</f>
        <v>#VALUE!</v>
      </c>
      <c r="HQ48" t="e">
        <f>'CVE Blocks 2016'!C58+"8O&lt;!$WZ"</f>
        <v>#VALUE!</v>
      </c>
      <c r="HR48" t="e">
        <f>'CVE Blocks 2016'!H58+"8O&lt;!$W["</f>
        <v>#VALUE!</v>
      </c>
      <c r="HS48" t="e">
        <f>'CVE Blocks 2016'!I58+"8O&lt;!$W\"</f>
        <v>#VALUE!</v>
      </c>
      <c r="HT48" t="e">
        <f>'CVE Blocks 2016'!B59+"8O&lt;!$W]"</f>
        <v>#VALUE!</v>
      </c>
      <c r="HU48" t="e">
        <f>'CVE Blocks 2016'!C59+"8O&lt;!$W^"</f>
        <v>#VALUE!</v>
      </c>
      <c r="HV48" t="e">
        <f>'CVE Blocks 2016'!H59+"8O&lt;!$W_"</f>
        <v>#VALUE!</v>
      </c>
      <c r="HW48" t="e">
        <f>'CVE Blocks 2016'!I59+"8O&lt;!$W`"</f>
        <v>#VALUE!</v>
      </c>
      <c r="HX48" t="e">
        <f>'CVE Blocks 2016'!B60+"8O&lt;!$Wa"</f>
        <v>#VALUE!</v>
      </c>
      <c r="HY48" t="e">
        <f>'CVE Blocks 2016'!C60+"8O&lt;!$Wb"</f>
        <v>#VALUE!</v>
      </c>
      <c r="HZ48" t="e">
        <f>'CVE Blocks 2016'!H60+"8O&lt;!$Wc"</f>
        <v>#VALUE!</v>
      </c>
      <c r="IA48" t="e">
        <f>'CVE Blocks 2016'!I60+"8O&lt;!$Wd"</f>
        <v>#VALUE!</v>
      </c>
      <c r="IB48" t="e">
        <f>'CVE Blocks 2016'!B61+"8O&lt;!$We"</f>
        <v>#VALUE!</v>
      </c>
      <c r="IC48" t="e">
        <f>'CVE Blocks 2016'!C61+"8O&lt;!$Wf"</f>
        <v>#VALUE!</v>
      </c>
      <c r="ID48" t="e">
        <f>'CVE Blocks 2016'!H61+"8O&lt;!$Wg"</f>
        <v>#VALUE!</v>
      </c>
      <c r="IE48" t="e">
        <f>'CVE Blocks 2016'!I61+"8O&lt;!$Wh"</f>
        <v>#VALUE!</v>
      </c>
      <c r="IF48" t="e">
        <f>'CVE Blocks 2016'!B62+"8O&lt;!$Wi"</f>
        <v>#VALUE!</v>
      </c>
      <c r="IG48" t="e">
        <f>'CVE Blocks 2016'!C62+"8O&lt;!$Wj"</f>
        <v>#VALUE!</v>
      </c>
      <c r="IH48" t="e">
        <f>'CVE Blocks 2016'!H62+"8O&lt;!$Wk"</f>
        <v>#VALUE!</v>
      </c>
      <c r="II48" t="e">
        <f>'CVE Blocks 2016'!I62+"8O&lt;!$Wl"</f>
        <v>#VALUE!</v>
      </c>
      <c r="IJ48" t="e">
        <f>'CVE Blocks 2016'!B63+"8O&lt;!$Wm"</f>
        <v>#VALUE!</v>
      </c>
      <c r="IK48" t="e">
        <f>'CVE Blocks 2016'!C63+"8O&lt;!$Wn"</f>
        <v>#VALUE!</v>
      </c>
      <c r="IL48" t="e">
        <f>'CVE Blocks 2016'!H63+"8O&lt;!$Wo"</f>
        <v>#VALUE!</v>
      </c>
      <c r="IM48" t="e">
        <f>'CVE Blocks 2016'!I63+"8O&lt;!$Wp"</f>
        <v>#VALUE!</v>
      </c>
      <c r="IN48" t="e">
        <f>'CVE Blocks 2016'!B64+"8O&lt;!$Wq"</f>
        <v>#VALUE!</v>
      </c>
      <c r="IO48" t="e">
        <f>'CVE Blocks 2016'!C64+"8O&lt;!$Wr"</f>
        <v>#VALUE!</v>
      </c>
      <c r="IP48" t="e">
        <f>'CVE Blocks 2016'!H64+"8O&lt;!$Ws"</f>
        <v>#VALUE!</v>
      </c>
      <c r="IQ48" t="e">
        <f>'CVE Blocks 2016'!I64+"8O&lt;!$Wt"</f>
        <v>#VALUE!</v>
      </c>
      <c r="IR48" t="e">
        <f>'CVE Blocks 2016'!B65+"8O&lt;!$Wu"</f>
        <v>#VALUE!</v>
      </c>
      <c r="IS48" t="e">
        <f>'CVE Blocks 2016'!C65+"8O&lt;!$Wv"</f>
        <v>#VALUE!</v>
      </c>
      <c r="IT48" t="e">
        <f>'CVE Blocks 2016'!H65+"8O&lt;!$Ww"</f>
        <v>#VALUE!</v>
      </c>
      <c r="IU48" t="e">
        <f>'CVE Blocks 2016'!I65+"8O&lt;!$Wx"</f>
        <v>#VALUE!</v>
      </c>
      <c r="IV48" t="e">
        <f>'CVE Blocks 2016'!B66+"8O&lt;!$Wy"</f>
        <v>#VALUE!</v>
      </c>
    </row>
    <row r="49" spans="6:256" x14ac:dyDescent="0.25">
      <c r="F49" t="e">
        <f>'CVE Blocks 2016'!C66+"8O&lt;!$Wz"</f>
        <v>#VALUE!</v>
      </c>
      <c r="G49" t="e">
        <f>'CVE Blocks 2016'!H66+"8O&lt;!$W{"</f>
        <v>#VALUE!</v>
      </c>
      <c r="H49" t="e">
        <f>'CVE Blocks 2016'!I66+"8O&lt;!$W|"</f>
        <v>#VALUE!</v>
      </c>
      <c r="I49" t="e">
        <f>'CVE Blocks 2016'!B67+"8O&lt;!$W}"</f>
        <v>#VALUE!</v>
      </c>
      <c r="J49" t="e">
        <f>'CVE Blocks 2016'!C67+"8O&lt;!$W~"</f>
        <v>#VALUE!</v>
      </c>
      <c r="K49" t="e">
        <f>'CVE Blocks 2016'!H67+"8O&lt;!$X#"</f>
        <v>#VALUE!</v>
      </c>
      <c r="L49" t="e">
        <f>'CVE Blocks 2016'!I67+"8O&lt;!$X$"</f>
        <v>#VALUE!</v>
      </c>
      <c r="M49" t="e">
        <f>'CVE Blocks 2016'!B68+"8O&lt;!$X%"</f>
        <v>#VALUE!</v>
      </c>
      <c r="N49" t="e">
        <f>'CVE Blocks 2016'!C68+"8O&lt;!$X&amp;"</f>
        <v>#VALUE!</v>
      </c>
      <c r="O49" t="e">
        <f>'CVE Blocks 2016'!H68+"8O&lt;!$X'"</f>
        <v>#VALUE!</v>
      </c>
      <c r="P49" t="e">
        <f>'CVE Blocks 2016'!I68+"8O&lt;!$X("</f>
        <v>#VALUE!</v>
      </c>
      <c r="Q49" t="e">
        <f>'CVE Blocks 2016'!B69+"8O&lt;!$X)"</f>
        <v>#VALUE!</v>
      </c>
      <c r="R49" t="e">
        <f>'CVE Blocks 2016'!C69+"8O&lt;!$X."</f>
        <v>#VALUE!</v>
      </c>
      <c r="S49" t="e">
        <f>'CVE Blocks 2016'!H69+"8O&lt;!$X/"</f>
        <v>#VALUE!</v>
      </c>
      <c r="T49" t="e">
        <f>'CVE Blocks 2016'!I69+"8O&lt;!$X0"</f>
        <v>#VALUE!</v>
      </c>
      <c r="U49" t="e">
        <f>'CVE Blocks 2016'!B70+"8O&lt;!$X1"</f>
        <v>#VALUE!</v>
      </c>
      <c r="V49" t="e">
        <f>'CVE Blocks 2016'!C70+"8O&lt;!$X2"</f>
        <v>#VALUE!</v>
      </c>
      <c r="W49" t="e">
        <f>'CVE Blocks 2016'!H70+"8O&lt;!$X3"</f>
        <v>#VALUE!</v>
      </c>
      <c r="X49" t="e">
        <f>'CVE Blocks 2016'!I70+"8O&lt;!$X4"</f>
        <v>#VALUE!</v>
      </c>
      <c r="Y49" t="e">
        <f>'CVE Blocks 2016'!B71+"8O&lt;!$X5"</f>
        <v>#VALUE!</v>
      </c>
      <c r="Z49" t="e">
        <f>'CVE Blocks 2016'!C71+"8O&lt;!$X6"</f>
        <v>#VALUE!</v>
      </c>
      <c r="AA49" t="e">
        <f>'CVE Blocks 2016'!H71+"8O&lt;!$X7"</f>
        <v>#VALUE!</v>
      </c>
      <c r="AB49" t="e">
        <f>'CVE Blocks 2016'!I71+"8O&lt;!$X8"</f>
        <v>#VALUE!</v>
      </c>
      <c r="AC49" t="e">
        <f>'CVE Blocks 2016'!B72+"8O&lt;!$X9"</f>
        <v>#VALUE!</v>
      </c>
      <c r="AD49" t="e">
        <f>'CVE Blocks 2016'!C72+"8O&lt;!$X:"</f>
        <v>#VALUE!</v>
      </c>
      <c r="AE49" t="e">
        <f>'CVE Blocks 2016'!H72+"8O&lt;!$X;"</f>
        <v>#VALUE!</v>
      </c>
      <c r="AF49" t="e">
        <f>'CVE Blocks 2016'!I72+"8O&lt;!$X&lt;"</f>
        <v>#VALUE!</v>
      </c>
      <c r="AG49" t="e">
        <f>'CVE Blocks 2016'!B73+"8O&lt;!$X="</f>
        <v>#VALUE!</v>
      </c>
      <c r="AH49" t="e">
        <f>'CVE Blocks 2016'!C73+"8O&lt;!$X&gt;"</f>
        <v>#VALUE!</v>
      </c>
      <c r="AI49" t="e">
        <f>'CVE Blocks 2016'!H73+"8O&lt;!$X?"</f>
        <v>#VALUE!</v>
      </c>
      <c r="AJ49" t="e">
        <f>'CVE Blocks 2016'!I73+"8O&lt;!$X@"</f>
        <v>#VALUE!</v>
      </c>
      <c r="AK49" t="e">
        <f>'CVE Blocks 2016'!B74+"8O&lt;!$XA"</f>
        <v>#VALUE!</v>
      </c>
      <c r="AL49" t="e">
        <f>'CVE Blocks 2016'!C74+"8O&lt;!$XB"</f>
        <v>#VALUE!</v>
      </c>
      <c r="AM49" t="e">
        <f>'CVE Blocks 2016'!H74+"8O&lt;!$XC"</f>
        <v>#VALUE!</v>
      </c>
      <c r="AN49" t="e">
        <f>'CVE Blocks 2016'!I74+"8O&lt;!$XD"</f>
        <v>#VALUE!</v>
      </c>
      <c r="AO49" t="e">
        <f>'CVE Blocks 2016'!B75+"8O&lt;!$XE"</f>
        <v>#VALUE!</v>
      </c>
      <c r="AP49" t="e">
        <f>'CVE Blocks 2016'!C75+"8O&lt;!$XF"</f>
        <v>#VALUE!</v>
      </c>
      <c r="AQ49" t="e">
        <f>'CVE Blocks 2016'!H75+"8O&lt;!$XG"</f>
        <v>#VALUE!</v>
      </c>
      <c r="AR49" t="e">
        <f>'CVE Blocks 2016'!I75+"8O&lt;!$XH"</f>
        <v>#VALUE!</v>
      </c>
      <c r="AS49" t="e">
        <f>'CVE Blocks 2016'!B76+"8O&lt;!$XI"</f>
        <v>#VALUE!</v>
      </c>
      <c r="AT49" t="e">
        <f>'CVE Blocks 2016'!C76+"8O&lt;!$XJ"</f>
        <v>#VALUE!</v>
      </c>
      <c r="AU49" t="e">
        <f>'CVE Blocks 2016'!H76+"8O&lt;!$XK"</f>
        <v>#VALUE!</v>
      </c>
      <c r="AV49" t="e">
        <f>'CVE Blocks 2016'!I76+"8O&lt;!$XL"</f>
        <v>#VALUE!</v>
      </c>
      <c r="AW49" t="e">
        <f>'CVE Blocks 2016'!B77+"8O&lt;!$XM"</f>
        <v>#VALUE!</v>
      </c>
      <c r="AX49" t="e">
        <f>'CVE Blocks 2016'!C77+"8O&lt;!$XN"</f>
        <v>#VALUE!</v>
      </c>
      <c r="AY49" t="e">
        <f>'CVE Blocks 2016'!H77+"8O&lt;!$XO"</f>
        <v>#VALUE!</v>
      </c>
      <c r="AZ49" t="e">
        <f>'CVE Blocks 2016'!I77+"8O&lt;!$XP"</f>
        <v>#VALUE!</v>
      </c>
      <c r="BA49" t="e">
        <f>'CVE Blocks 2016'!B78+"8O&lt;!$XQ"</f>
        <v>#VALUE!</v>
      </c>
      <c r="BB49" t="e">
        <f>'CVE Blocks 2016'!C78+"8O&lt;!$XR"</f>
        <v>#VALUE!</v>
      </c>
      <c r="BC49" t="e">
        <f>'CVE Blocks 2016'!H78+"8O&lt;!$XS"</f>
        <v>#VALUE!</v>
      </c>
      <c r="BD49" t="e">
        <f>'CVE Blocks 2016'!I78+"8O&lt;!$XT"</f>
        <v>#VALUE!</v>
      </c>
      <c r="BE49" t="e">
        <f>'CVE Blocks 2016'!B79+"8O&lt;!$XU"</f>
        <v>#VALUE!</v>
      </c>
      <c r="BF49" t="e">
        <f>'CVE Blocks 2016'!C79+"8O&lt;!$XV"</f>
        <v>#VALUE!</v>
      </c>
      <c r="BG49" t="e">
        <f>'CVE Blocks 2016'!H79+"8O&lt;!$XW"</f>
        <v>#VALUE!</v>
      </c>
      <c r="BH49" t="e">
        <f>'CVE Blocks 2016'!I79+"8O&lt;!$XX"</f>
        <v>#VALUE!</v>
      </c>
      <c r="BI49" t="e">
        <f>'CVE Blocks 2016'!B80+"8O&lt;!$XY"</f>
        <v>#VALUE!</v>
      </c>
      <c r="BJ49" t="e">
        <f>'CVE Blocks 2016'!C80+"8O&lt;!$XZ"</f>
        <v>#VALUE!</v>
      </c>
      <c r="BK49" t="e">
        <f>'CVE Blocks 2016'!H80+"8O&lt;!$X["</f>
        <v>#VALUE!</v>
      </c>
      <c r="BL49" t="e">
        <f>'CVE Blocks 2016'!I80+"8O&lt;!$X\"</f>
        <v>#VALUE!</v>
      </c>
      <c r="BM49" t="e">
        <f>'CVE Blocks 2016'!B81+"8O&lt;!$X]"</f>
        <v>#VALUE!</v>
      </c>
      <c r="BN49" t="e">
        <f>'CVE Blocks 2016'!C81+"8O&lt;!$X^"</f>
        <v>#VALUE!</v>
      </c>
      <c r="BO49" t="e">
        <f>'CVE Blocks 2016'!H81+"8O&lt;!$X_"</f>
        <v>#VALUE!</v>
      </c>
      <c r="BP49" t="e">
        <f>'CVE Blocks 2016'!I81+"8O&lt;!$X`"</f>
        <v>#VALUE!</v>
      </c>
      <c r="BQ49" t="e">
        <f>'CVE Blocks 2016'!B82+"8O&lt;!$Xa"</f>
        <v>#VALUE!</v>
      </c>
      <c r="BR49" t="e">
        <f>'CVE Blocks 2016'!C82+"8O&lt;!$Xb"</f>
        <v>#VALUE!</v>
      </c>
      <c r="BS49" t="e">
        <f>'CVE Blocks 2016'!H82+"8O&lt;!$Xc"</f>
        <v>#VALUE!</v>
      </c>
      <c r="BT49" t="e">
        <f>'CVE Blocks 2016'!I82+"8O&lt;!$Xd"</f>
        <v>#VALUE!</v>
      </c>
      <c r="BU49" t="e">
        <f>'CVE Blocks 2016'!B83+"8O&lt;!$Xe"</f>
        <v>#VALUE!</v>
      </c>
      <c r="BV49" t="e">
        <f>'CVE Blocks 2016'!C83+"8O&lt;!$Xf"</f>
        <v>#VALUE!</v>
      </c>
      <c r="BW49" t="e">
        <f>'CVE Blocks 2016'!H83+"8O&lt;!$Xg"</f>
        <v>#VALUE!</v>
      </c>
      <c r="BX49" t="e">
        <f>'CVE Blocks 2016'!I83+"8O&lt;!$Xh"</f>
        <v>#VALUE!</v>
      </c>
      <c r="BY49" t="e">
        <f>'CVE Blocks 2016'!B84+"8O&lt;!$Xi"</f>
        <v>#VALUE!</v>
      </c>
      <c r="BZ49" t="e">
        <f>'CVE Blocks 2016'!C84+"8O&lt;!$Xj"</f>
        <v>#VALUE!</v>
      </c>
      <c r="CA49" t="e">
        <f>'CVE Blocks 2016'!H84+"8O&lt;!$Xk"</f>
        <v>#VALUE!</v>
      </c>
      <c r="CB49" t="e">
        <f>'CVE Blocks 2016'!I84+"8O&lt;!$Xl"</f>
        <v>#VALUE!</v>
      </c>
      <c r="CC49" t="e">
        <f>'CVE Blocks 2016'!B85+"8O&lt;!$Xm"</f>
        <v>#VALUE!</v>
      </c>
      <c r="CD49" t="e">
        <f>'CVE Blocks 2016'!C85+"8O&lt;!$Xn"</f>
        <v>#VALUE!</v>
      </c>
      <c r="CE49" t="e">
        <f>'CVE Blocks 2016'!H85+"8O&lt;!$Xo"</f>
        <v>#VALUE!</v>
      </c>
      <c r="CF49" t="e">
        <f>'CVE Blocks 2016'!I85+"8O&lt;!$Xp"</f>
        <v>#VALUE!</v>
      </c>
      <c r="CG49" t="e">
        <f>'CVE Blocks 2016'!B86+"8O&lt;!$Xq"</f>
        <v>#VALUE!</v>
      </c>
      <c r="CH49" t="e">
        <f>'CVE Blocks 2016'!C86+"8O&lt;!$Xr"</f>
        <v>#VALUE!</v>
      </c>
      <c r="CI49" t="e">
        <f>'CVE Blocks 2016'!H86+"8O&lt;!$Xs"</f>
        <v>#VALUE!</v>
      </c>
      <c r="CJ49" t="e">
        <f>'CVE Blocks 2016'!I86+"8O&lt;!$Xt"</f>
        <v>#VALUE!</v>
      </c>
      <c r="CK49" t="e">
        <f>'CVE Blocks 2016'!B87+"8O&lt;!$Xu"</f>
        <v>#VALUE!</v>
      </c>
      <c r="CL49" t="e">
        <f>'CVE Blocks 2016'!C87+"8O&lt;!$Xv"</f>
        <v>#VALUE!</v>
      </c>
      <c r="CM49" t="e">
        <f>'CVE Blocks 2016'!H87+"8O&lt;!$Xw"</f>
        <v>#VALUE!</v>
      </c>
      <c r="CN49" t="e">
        <f>'CVE Blocks 2016'!I87+"8O&lt;!$Xx"</f>
        <v>#VALUE!</v>
      </c>
      <c r="CO49" t="e">
        <f>'CVE Blocks 2016'!B88+"8O&lt;!$Xy"</f>
        <v>#VALUE!</v>
      </c>
      <c r="CP49" t="e">
        <f>'CVE Blocks 2016'!C88+"8O&lt;!$Xz"</f>
        <v>#VALUE!</v>
      </c>
      <c r="CQ49" t="e">
        <f>'CVE Blocks 2016'!H88+"8O&lt;!$X{"</f>
        <v>#VALUE!</v>
      </c>
      <c r="CR49" t="e">
        <f>'CVE Blocks 2016'!I88+"8O&lt;!$X|"</f>
        <v>#VALUE!</v>
      </c>
      <c r="CS49" t="e">
        <f>'CVE Blocks 2016'!B89+"8O&lt;!$X}"</f>
        <v>#VALUE!</v>
      </c>
      <c r="CT49" t="e">
        <f>'CVE Blocks 2016'!C89+"8O&lt;!$X~"</f>
        <v>#VALUE!</v>
      </c>
      <c r="CU49" t="e">
        <f>'CVE Blocks 2016'!H89+"8O&lt;!$Y#"</f>
        <v>#VALUE!</v>
      </c>
      <c r="CV49" t="e">
        <f>'CVE Blocks 2016'!I89+"8O&lt;!$Y$"</f>
        <v>#VALUE!</v>
      </c>
      <c r="CW49" t="e">
        <f>'CVE Blocks 2016'!B90+"8O&lt;!$Y%"</f>
        <v>#VALUE!</v>
      </c>
      <c r="CX49" t="e">
        <f>'CVE Blocks 2016'!C90+"8O&lt;!$Y&amp;"</f>
        <v>#VALUE!</v>
      </c>
      <c r="CY49" t="e">
        <f>'CVE Blocks 2016'!H90+"8O&lt;!$Y'"</f>
        <v>#VALUE!</v>
      </c>
      <c r="CZ49" t="e">
        <f>'CVE Blocks 2016'!I90+"8O&lt;!$Y("</f>
        <v>#VALUE!</v>
      </c>
      <c r="DA49" t="e">
        <f>'CVE Blocks 2016'!B91+"8O&lt;!$Y)"</f>
        <v>#VALUE!</v>
      </c>
      <c r="DB49" t="e">
        <f>'CVE Blocks 2016'!C91+"8O&lt;!$Y."</f>
        <v>#VALUE!</v>
      </c>
      <c r="DC49" t="e">
        <f>'CVE Blocks 2016'!H91+"8O&lt;!$Y/"</f>
        <v>#VALUE!</v>
      </c>
      <c r="DD49" t="e">
        <f>'CVE Blocks 2016'!I91+"8O&lt;!$Y0"</f>
        <v>#VALUE!</v>
      </c>
      <c r="DE49" t="e">
        <f>'CVE Blocks 2016'!B92+"8O&lt;!$Y1"</f>
        <v>#VALUE!</v>
      </c>
      <c r="DF49" t="e">
        <f>'CVE Blocks 2016'!C92+"8O&lt;!$Y2"</f>
        <v>#VALUE!</v>
      </c>
      <c r="DG49" t="e">
        <f>'CVE Blocks 2016'!H92+"8O&lt;!$Y3"</f>
        <v>#VALUE!</v>
      </c>
      <c r="DH49" t="e">
        <f>'CVE Blocks 2016'!I92+"8O&lt;!$Y4"</f>
        <v>#VALUE!</v>
      </c>
      <c r="DI49" t="e">
        <f>'CVE Blocks 2016'!B93+"8O&lt;!$Y5"</f>
        <v>#VALUE!</v>
      </c>
      <c r="DJ49" t="e">
        <f>'CVE Blocks 2016'!C93+"8O&lt;!$Y6"</f>
        <v>#VALUE!</v>
      </c>
      <c r="DK49" t="e">
        <f>'CVE Blocks 2016'!H93+"8O&lt;!$Y7"</f>
        <v>#VALUE!</v>
      </c>
      <c r="DL49" t="e">
        <f>'CVE Blocks 2016'!I93+"8O&lt;!$Y8"</f>
        <v>#VALUE!</v>
      </c>
      <c r="DM49" t="e">
        <f>'CVE Blocks 2016'!B94+"8O&lt;!$Y9"</f>
        <v>#VALUE!</v>
      </c>
      <c r="DN49" t="e">
        <f>'CVE Blocks 2016'!C94+"8O&lt;!$Y:"</f>
        <v>#VALUE!</v>
      </c>
      <c r="DO49" t="e">
        <f>'CVE Blocks 2016'!H94+"8O&lt;!$Y;"</f>
        <v>#VALUE!</v>
      </c>
      <c r="DP49" t="e">
        <f>'CVE Blocks 2016'!I94+"8O&lt;!$Y&lt;"</f>
        <v>#VALUE!</v>
      </c>
      <c r="DQ49" t="e">
        <f>'CVE Blocks 2016'!B95+"8O&lt;!$Y="</f>
        <v>#VALUE!</v>
      </c>
      <c r="DR49" t="e">
        <f>'CVE Blocks 2016'!C95+"8O&lt;!$Y&gt;"</f>
        <v>#VALUE!</v>
      </c>
      <c r="DS49" t="e">
        <f>'CVE Blocks 2016'!H95+"8O&lt;!$Y?"</f>
        <v>#VALUE!</v>
      </c>
      <c r="DT49" t="e">
        <f>'CVE Blocks 2016'!I95+"8O&lt;!$Y@"</f>
        <v>#VALUE!</v>
      </c>
      <c r="DU49" t="e">
        <f>'CVE Blocks 2016'!B96+"8O&lt;!$YA"</f>
        <v>#VALUE!</v>
      </c>
      <c r="DV49" t="e">
        <f>'CVE Blocks 2016'!C96+"8O&lt;!$YB"</f>
        <v>#VALUE!</v>
      </c>
      <c r="DW49" t="e">
        <f>'CVE Blocks 2016'!H96+"8O&lt;!$YC"</f>
        <v>#VALUE!</v>
      </c>
      <c r="DX49" t="e">
        <f>'CVE Blocks 2016'!I96+"8O&lt;!$YD"</f>
        <v>#VALUE!</v>
      </c>
      <c r="DY49" t="e">
        <f>'CVE Blocks 2016'!B97+"8O&lt;!$YE"</f>
        <v>#VALUE!</v>
      </c>
      <c r="DZ49" t="e">
        <f>'CVE Blocks 2016'!C97+"8O&lt;!$YF"</f>
        <v>#VALUE!</v>
      </c>
      <c r="EA49" t="e">
        <f>'CVE Blocks 2016'!H97+"8O&lt;!$YG"</f>
        <v>#VALUE!</v>
      </c>
      <c r="EB49" t="e">
        <f>'CVE Blocks 2016'!I97+"8O&lt;!$YH"</f>
        <v>#VALUE!</v>
      </c>
      <c r="EC49" t="e">
        <f>'CVE Blocks 2016'!B98+"8O&lt;!$YI"</f>
        <v>#VALUE!</v>
      </c>
      <c r="ED49" t="e">
        <f>'CVE Blocks 2016'!C98+"8O&lt;!$YJ"</f>
        <v>#VALUE!</v>
      </c>
      <c r="EE49" t="e">
        <f>'CVE Blocks 2016'!H98+"8O&lt;!$YK"</f>
        <v>#VALUE!</v>
      </c>
      <c r="EF49" t="e">
        <f>'CVE Blocks 2016'!I98+"8O&lt;!$YL"</f>
        <v>#VALUE!</v>
      </c>
      <c r="EG49" t="e">
        <f>'CVE Blocks 2016'!B99+"8O&lt;!$YM"</f>
        <v>#VALUE!</v>
      </c>
      <c r="EH49" t="e">
        <f>'CVE Blocks 2016'!C99+"8O&lt;!$YN"</f>
        <v>#VALUE!</v>
      </c>
      <c r="EI49" t="e">
        <f>'CVE Blocks 2016'!H99+"8O&lt;!$YO"</f>
        <v>#VALUE!</v>
      </c>
      <c r="EJ49" t="e">
        <f>'CVE Blocks 2016'!I99+"8O&lt;!$YP"</f>
        <v>#VALUE!</v>
      </c>
      <c r="EK49" t="e">
        <f>'CVE Blocks 2016'!B100+"8O&lt;!$YQ"</f>
        <v>#VALUE!</v>
      </c>
      <c r="EL49" t="e">
        <f>'CVE Blocks 2016'!C100+"8O&lt;!$YR"</f>
        <v>#VALUE!</v>
      </c>
      <c r="EM49" t="e">
        <f>'CVE Blocks 2016'!H100+"8O&lt;!$YS"</f>
        <v>#VALUE!</v>
      </c>
      <c r="EN49" t="e">
        <f>'CVE Blocks 2016'!I100+"8O&lt;!$YT"</f>
        <v>#VALUE!</v>
      </c>
      <c r="EO49" t="e">
        <f>'CVE Blocks 2016'!B101+"8O&lt;!$YU"</f>
        <v>#VALUE!</v>
      </c>
      <c r="EP49" t="e">
        <f>'CVE Blocks 2016'!C101+"8O&lt;!$YV"</f>
        <v>#VALUE!</v>
      </c>
      <c r="EQ49" t="e">
        <f>'CVE Blocks 2016'!H101+"8O&lt;!$YW"</f>
        <v>#VALUE!</v>
      </c>
      <c r="ER49" t="e">
        <f>'CVE Blocks 2016'!I101+"8O&lt;!$YX"</f>
        <v>#VALUE!</v>
      </c>
      <c r="ES49" t="e">
        <f>'CVE Blocks 2016'!B102+"8O&lt;!$YY"</f>
        <v>#VALUE!</v>
      </c>
      <c r="ET49" t="e">
        <f>'CVE Blocks 2016'!C102+"8O&lt;!$YZ"</f>
        <v>#VALUE!</v>
      </c>
      <c r="EU49" t="e">
        <f>'CVE Blocks 2016'!H102+"8O&lt;!$Y["</f>
        <v>#VALUE!</v>
      </c>
      <c r="EV49" t="e">
        <f>'CVE Blocks 2016'!I102+"8O&lt;!$Y\"</f>
        <v>#VALUE!</v>
      </c>
      <c r="EW49" t="e">
        <f>'CVE Blocks 2016'!B103+"8O&lt;!$Y]"</f>
        <v>#VALUE!</v>
      </c>
      <c r="EX49" t="e">
        <f>'CVE Blocks 2016'!C103+"8O&lt;!$Y^"</f>
        <v>#VALUE!</v>
      </c>
      <c r="EY49" t="e">
        <f>'CVE Blocks 2016'!H103+"8O&lt;!$Y_"</f>
        <v>#VALUE!</v>
      </c>
      <c r="EZ49" t="e">
        <f>'CVE Blocks 2016'!I103+"8O&lt;!$Y`"</f>
        <v>#VALUE!</v>
      </c>
      <c r="FA49" t="e">
        <f>'CVE Blocks 2016'!B104+"8O&lt;!$Ya"</f>
        <v>#VALUE!</v>
      </c>
      <c r="FB49" t="e">
        <f>'CVE Blocks 2016'!C104+"8O&lt;!$Yb"</f>
        <v>#VALUE!</v>
      </c>
      <c r="FC49" t="e">
        <f>'CVE Blocks 2016'!H104+"8O&lt;!$Yc"</f>
        <v>#VALUE!</v>
      </c>
      <c r="FD49" t="e">
        <f>'CVE Blocks 2016'!I104+"8O&lt;!$Yd"</f>
        <v>#VALUE!</v>
      </c>
      <c r="FE49" t="e">
        <f>'CVE Blocks 2016'!B105+"8O&lt;!$Ye"</f>
        <v>#VALUE!</v>
      </c>
      <c r="FF49" t="e">
        <f>'CVE Blocks 2016'!C105+"8O&lt;!$Yf"</f>
        <v>#VALUE!</v>
      </c>
      <c r="FG49" t="e">
        <f>'CVE Blocks 2016'!H105+"8O&lt;!$Yg"</f>
        <v>#VALUE!</v>
      </c>
      <c r="FH49" t="e">
        <f>'CVE Blocks 2016'!I105+"8O&lt;!$Yh"</f>
        <v>#VALUE!</v>
      </c>
      <c r="FI49" t="e">
        <f>'CVE Blocks 2016'!A106+"8O&lt;!$Yi"</f>
        <v>#VALUE!</v>
      </c>
      <c r="FJ49" t="e">
        <f>'CVE Blocks 2016'!B106+"8O&lt;!$Yj"</f>
        <v>#VALUE!</v>
      </c>
      <c r="FK49" t="e">
        <f>'CVE Blocks 2016'!C106+"8O&lt;!$Yk"</f>
        <v>#VALUE!</v>
      </c>
      <c r="FL49" t="e">
        <f>'CVE Blocks 2016'!D106+"8O&lt;!$Yl"</f>
        <v>#VALUE!</v>
      </c>
      <c r="FM49" t="e">
        <f>'CVE Blocks 2016'!G106+"8O&lt;!$Ym"</f>
        <v>#VALUE!</v>
      </c>
      <c r="FN49" t="e">
        <f>'CVE Blocks 2016'!H106+"8O&lt;!$Yn"</f>
        <v>#VALUE!</v>
      </c>
      <c r="FO49" t="e">
        <f>'CVE Blocks 2016'!I106+"8O&lt;!$Yo"</f>
        <v>#VALUE!</v>
      </c>
      <c r="FP49" t="e">
        <f>'CVE Blocks 2016'!J106+"8O&lt;!$Yp"</f>
        <v>#VALUE!</v>
      </c>
      <c r="FQ49" t="e">
        <f>'CVE Blocks 2016'!A110+"8O&lt;!$Yq"</f>
        <v>#VALUE!</v>
      </c>
      <c r="FR49" t="e">
        <f>'CVE Blocks 2016'!G110+"8O&lt;!$Yr"</f>
        <v>#VALUE!</v>
      </c>
      <c r="FS49" t="e">
        <f>'CVE Blocks 2016'!A111+"8O&lt;!$Ys"</f>
        <v>#VALUE!</v>
      </c>
      <c r="FT49" t="e">
        <f>'CVE Blocks 2016'!G111+"8O&lt;!$Yt"</f>
        <v>#VALUE!</v>
      </c>
      <c r="FU49" t="e">
        <f>'CVE Blocks 2016'!A112+"8O&lt;!$Yu"</f>
        <v>#VALUE!</v>
      </c>
      <c r="FV49" t="e">
        <f>'CVE Blocks 2016'!G112+"8O&lt;!$Yv"</f>
        <v>#VALUE!</v>
      </c>
      <c r="FW49" t="e">
        <f>'CVE Blocks 2016'!A113+"8O&lt;!$Yw"</f>
        <v>#VALUE!</v>
      </c>
      <c r="FX49" t="e">
        <f>'CVE Blocks 2016'!G113+"8O&lt;!$Yx"</f>
        <v>#VALUE!</v>
      </c>
      <c r="FY49" t="e">
        <f>'CVE Blocks 2016'!A114+"8O&lt;!$Yy"</f>
        <v>#VALUE!</v>
      </c>
      <c r="FZ49" t="e">
        <f>'CVE Blocks 2016'!G114+"8O&lt;!$Yz"</f>
        <v>#VALUE!</v>
      </c>
      <c r="GA49" t="e">
        <f>'CVE Blocks 2016'!A116+"8O&lt;!$Y{"</f>
        <v>#VALUE!</v>
      </c>
      <c r="GB49" t="e">
        <f>'CVE Blocks 2016'!G116+"8O&lt;!$Y|"</f>
        <v>#VALUE!</v>
      </c>
      <c r="GC49" t="e">
        <f>'CVE Blocks 2016'!A117+"8O&lt;!$Y}"</f>
        <v>#VALUE!</v>
      </c>
      <c r="GD49" t="e">
        <f>'CVE Blocks 2016'!G117+"8O&lt;!$Y~"</f>
        <v>#VALUE!</v>
      </c>
      <c r="GE49" t="e">
        <f>'CVE Blocks 2016'!A118+"8O&lt;!$Z#"</f>
        <v>#VALUE!</v>
      </c>
      <c r="GF49" t="e">
        <f>'CVE Blocks 2016'!G118+"8O&lt;!$Z$"</f>
        <v>#VALUE!</v>
      </c>
      <c r="GG49" t="e">
        <f>CVEs!#REF!-"8O&lt;!$Z%"</f>
        <v>#REF!</v>
      </c>
      <c r="GH49" t="e">
        <f>CVEs!#REF!-"8O&lt;!$Z&amp;"</f>
        <v>#REF!</v>
      </c>
      <c r="GI49" t="e">
        <f>CVEs!#REF!-"8O&lt;!$Z'"</f>
        <v>#REF!</v>
      </c>
      <c r="GJ49" t="e">
        <f>CVEs!#REF!-"8O&lt;!$Z("</f>
        <v>#REF!</v>
      </c>
      <c r="GK49" t="e">
        <f>CVEs!#REF!-"8O&lt;!$Z)"</f>
        <v>#REF!</v>
      </c>
      <c r="GL49" t="e">
        <f>CVEs!#REF!-"8O&lt;!$Z."</f>
        <v>#REF!</v>
      </c>
      <c r="GM49" t="e">
        <f>CVEs!#REF!-"8O&lt;!$Z/"</f>
        <v>#REF!</v>
      </c>
      <c r="GN49" t="e">
        <f>CVEs!#REF!-"8O&lt;!$Z0"</f>
        <v>#REF!</v>
      </c>
      <c r="GO49" t="e">
        <f>CVEs!#REF!+"8O&lt;!$Z1"</f>
        <v>#REF!</v>
      </c>
      <c r="GP49" t="e">
        <f>CVEs!#REF!+"8O&lt;!$Z2"</f>
        <v>#REF!</v>
      </c>
      <c r="GQ49" t="e">
        <f>CVEs!#REF!+"8O&lt;!$Z3"</f>
        <v>#REF!</v>
      </c>
      <c r="GR49" s="57" t="e">
        <f>CVEs!#REF!+"8O&lt;!$Z4"</f>
        <v>#REF!</v>
      </c>
      <c r="GS49" s="58" t="e">
        <f>CVEs!#REF!+"8O&lt;!$Z5"</f>
        <v>#REF!</v>
      </c>
      <c r="GT49" s="58" t="e">
        <f>CVEs!#REF!+"8O&lt;!$Z6"</f>
        <v>#REF!</v>
      </c>
      <c r="GU49" t="e">
        <f>CVEs!#REF!+"8O&lt;!$Z7"</f>
        <v>#REF!</v>
      </c>
      <c r="GV49" t="e">
        <f>CVEs!#REF!+"8O&lt;!$Z8"</f>
        <v>#REF!</v>
      </c>
      <c r="GW49" t="e">
        <f>CVEs!#REF!+"8O&lt;!$Z9"</f>
        <v>#REF!</v>
      </c>
      <c r="GX49" t="e">
        <f>CVEs!#REF!+"8O&lt;!$Z:"</f>
        <v>#REF!</v>
      </c>
      <c r="GY49" t="e">
        <f>CVEs!#REF!+"8O&lt;!$Z;"</f>
        <v>#REF!</v>
      </c>
      <c r="GZ49" t="e">
        <f>CVEs!#REF!+"8O&lt;!$Z&lt;"</f>
        <v>#REF!</v>
      </c>
      <c r="HA49" t="e">
        <f>CVEs!#REF!+"8O&lt;!$Z="</f>
        <v>#REF!</v>
      </c>
      <c r="HB49" t="e">
        <f>CVEs!#REF!+"8O&lt;!$Z&gt;"</f>
        <v>#REF!</v>
      </c>
      <c r="HC49" t="e">
        <f>CVEs!#REF!+"8O&lt;!$Z?"</f>
        <v>#REF!</v>
      </c>
      <c r="HD49" t="e">
        <f>CVEs!#REF!+"8O&lt;!$Z@"</f>
        <v>#REF!</v>
      </c>
      <c r="HE49" t="e">
        <f>CVEs!#REF!+"8O&lt;!$ZA"</f>
        <v>#REF!</v>
      </c>
      <c r="HF49" t="e">
        <f>CVEs!#REF!+"8O&lt;!$ZB"</f>
        <v>#REF!</v>
      </c>
      <c r="HG49" t="e">
        <f>CVEs!#REF!+"8O&lt;!$ZC"</f>
        <v>#REF!</v>
      </c>
      <c r="HH49" t="e">
        <f>CVEs!#REF!+"8O&lt;!$ZD"</f>
        <v>#REF!</v>
      </c>
      <c r="HI49" t="e">
        <f>CVEs!#REF!+"8O&lt;!$ZE"</f>
        <v>#REF!</v>
      </c>
      <c r="HJ49" t="e">
        <f>CVEs!#REF!+"8O&lt;!$ZF"</f>
        <v>#REF!</v>
      </c>
      <c r="HK49" t="e">
        <f>CVEs!#REF!+"8O&lt;!$ZG"</f>
        <v>#REF!</v>
      </c>
      <c r="HL49" t="e">
        <f>CVEs!#REF!+"8O&lt;!$ZH"</f>
        <v>#REF!</v>
      </c>
      <c r="HM49" s="58" t="e">
        <f>CVEs!#REF!+"8O&lt;!$ZI"</f>
        <v>#REF!</v>
      </c>
      <c r="HN49" t="e">
        <f>CVEs!#REF!+"8O&lt;!$ZJ"</f>
        <v>#REF!</v>
      </c>
      <c r="HO49" s="57" t="e">
        <f>CVEs!#REF!+"8O&lt;!$ZK"</f>
        <v>#REF!</v>
      </c>
      <c r="HP49" s="58" t="e">
        <f>CVEs!#REF!+"8O&lt;!$ZL"</f>
        <v>#REF!</v>
      </c>
      <c r="HQ49" s="58" t="e">
        <f>CVEs!#REF!+"8O&lt;!$ZM"</f>
        <v>#REF!</v>
      </c>
      <c r="HR49" t="e">
        <f>CVEs!#REF!+"8O&lt;!$ZN"</f>
        <v>#REF!</v>
      </c>
      <c r="HS49" t="e">
        <f>CVEs!#REF!+"8O&lt;!$ZO"</f>
        <v>#REF!</v>
      </c>
      <c r="HT49" t="e">
        <f>CVEs!#REF!+"8O&lt;!$ZP"</f>
        <v>#REF!</v>
      </c>
      <c r="HU49" t="e">
        <f>CVEs!#REF!+"8O&lt;!$ZQ"</f>
        <v>#REF!</v>
      </c>
      <c r="HV49" t="e">
        <f>CVEs!#REF!+"8O&lt;!$ZR"</f>
        <v>#REF!</v>
      </c>
      <c r="HW49" t="e">
        <f>CVEs!#REF!+"8O&lt;!$ZS"</f>
        <v>#REF!</v>
      </c>
      <c r="HX49" t="e">
        <f>CVEs!#REF!+"8O&lt;!$ZT"</f>
        <v>#REF!</v>
      </c>
      <c r="HY49" t="e">
        <f>CVEs!#REF!+"8O&lt;!$ZU"</f>
        <v>#REF!</v>
      </c>
      <c r="HZ49" t="e">
        <f>CVEs!#REF!+"8O&lt;!$ZV"</f>
        <v>#REF!</v>
      </c>
      <c r="IA49" t="e">
        <f>CVEs!#REF!+"8O&lt;!$ZW"</f>
        <v>#REF!</v>
      </c>
      <c r="IB49" t="e">
        <f>CVEs!#REF!+"8O&lt;!$ZX"</f>
        <v>#REF!</v>
      </c>
      <c r="IC49" t="e">
        <f>CVEs!#REF!+"8O&lt;!$ZY"</f>
        <v>#REF!</v>
      </c>
      <c r="ID49" t="e">
        <f>CVEs!#REF!+"8O&lt;!$ZZ"</f>
        <v>#REF!</v>
      </c>
      <c r="IE49" t="e">
        <f>CVEs!#REF!+"8O&lt;!$Z["</f>
        <v>#REF!</v>
      </c>
      <c r="IF49" t="e">
        <f>CVEs!#REF!+"8O&lt;!$Z\"</f>
        <v>#REF!</v>
      </c>
      <c r="IG49" t="e">
        <f>CVEs!#REF!+"8O&lt;!$Z]"</f>
        <v>#REF!</v>
      </c>
      <c r="IH49" t="e">
        <f>CVEs!#REF!+"8O&lt;!$Z^"</f>
        <v>#REF!</v>
      </c>
      <c r="II49" t="e">
        <f>CVEs!#REF!+"8O&lt;!$Z_"</f>
        <v>#REF!</v>
      </c>
      <c r="IJ49" s="58" t="e">
        <f>CVEs!#REF!+"8O&lt;!$Z`"</f>
        <v>#REF!</v>
      </c>
      <c r="IK49" t="e">
        <f>CVEs!#REF!+"8O&lt;!$Za"</f>
        <v>#REF!</v>
      </c>
      <c r="IL49" s="57" t="e">
        <f>CVEs!#REF!+"8O&lt;!$Zb"</f>
        <v>#REF!</v>
      </c>
      <c r="IM49" s="58" t="e">
        <f>CVEs!#REF!+"8O&lt;!$Zc"</f>
        <v>#REF!</v>
      </c>
      <c r="IN49" s="58" t="e">
        <f>CVEs!#REF!+"8O&lt;!$Zd"</f>
        <v>#REF!</v>
      </c>
      <c r="IO49" t="e">
        <f>CVEs!#REF!+"8O&lt;!$Ze"</f>
        <v>#REF!</v>
      </c>
      <c r="IP49" t="e">
        <f>CVEs!#REF!+"8O&lt;!$Zf"</f>
        <v>#REF!</v>
      </c>
      <c r="IQ49" t="e">
        <f>CVEs!#REF!+"8O&lt;!$Zg"</f>
        <v>#REF!</v>
      </c>
      <c r="IR49" t="e">
        <f>CVEs!#REF!+"8O&lt;!$Zh"</f>
        <v>#REF!</v>
      </c>
      <c r="IS49" t="e">
        <f>CVEs!#REF!+"8O&lt;!$Zi"</f>
        <v>#REF!</v>
      </c>
      <c r="IT49" t="e">
        <f>CVEs!#REF!+"8O&lt;!$Zj"</f>
        <v>#REF!</v>
      </c>
      <c r="IU49" t="e">
        <f>CVEs!#REF!+"8O&lt;!$Zk"</f>
        <v>#REF!</v>
      </c>
      <c r="IV49" t="e">
        <f>CVEs!#REF!+"8O&lt;!$Zl"</f>
        <v>#REF!</v>
      </c>
    </row>
    <row r="50" spans="6:256" x14ac:dyDescent="0.25">
      <c r="F50" t="e">
        <f>CVEs!#REF!+"8O&lt;!$Zm"</f>
        <v>#REF!</v>
      </c>
      <c r="G50" t="e">
        <f>CVEs!#REF!+"8O&lt;!$Zn"</f>
        <v>#REF!</v>
      </c>
      <c r="H50" t="e">
        <f>CVEs!#REF!+"8O&lt;!$Zo"</f>
        <v>#REF!</v>
      </c>
      <c r="I50" t="e">
        <f>CVEs!#REF!+"8O&lt;!$Zp"</f>
        <v>#REF!</v>
      </c>
      <c r="J50" t="e">
        <f>CVEs!#REF!+"8O&lt;!$Zq"</f>
        <v>#REF!</v>
      </c>
      <c r="K50" t="e">
        <f>CVEs!#REF!+"8O&lt;!$Zr"</f>
        <v>#REF!</v>
      </c>
      <c r="L50" t="e">
        <f>CVEs!#REF!+"8O&lt;!$Zs"</f>
        <v>#REF!</v>
      </c>
      <c r="M50" t="e">
        <f>CVEs!#REF!+"8O&lt;!$Zt"</f>
        <v>#REF!</v>
      </c>
      <c r="N50" t="e">
        <f>CVEs!#REF!+"8O&lt;!$Zu"</f>
        <v>#REF!</v>
      </c>
      <c r="O50" t="e">
        <f>CVEs!#REF!+"8O&lt;!$Zv"</f>
        <v>#REF!</v>
      </c>
      <c r="P50" s="58" t="e">
        <f>CVEs!#REF!+"8O&lt;!$Zw"</f>
        <v>#REF!</v>
      </c>
      <c r="Q50" t="e">
        <f>CVEs!#REF!+"8O&lt;!$Zx"</f>
        <v>#REF!</v>
      </c>
      <c r="R50" s="57" t="e">
        <f>CVEs!#REF!+"8O&lt;!$Zy"</f>
        <v>#REF!</v>
      </c>
      <c r="S50" s="58" t="e">
        <f>CVEs!#REF!+"8O&lt;!$Zz"</f>
        <v>#REF!</v>
      </c>
      <c r="T50" s="58" t="e">
        <f>CVEs!#REF!+"8O&lt;!$Z{"</f>
        <v>#REF!</v>
      </c>
      <c r="U50" t="e">
        <f>CVEs!#REF!+"8O&lt;!$Z|"</f>
        <v>#REF!</v>
      </c>
      <c r="V50" t="e">
        <f>CVEs!#REF!+"8O&lt;!$Z}"</f>
        <v>#REF!</v>
      </c>
      <c r="W50" t="e">
        <f>CVEs!#REF!+"8O&lt;!$Z~"</f>
        <v>#REF!</v>
      </c>
      <c r="X50" t="e">
        <f>CVEs!#REF!+"8O&lt;!$[#"</f>
        <v>#REF!</v>
      </c>
      <c r="Y50" t="e">
        <f>CVEs!#REF!+"8O&lt;!$[$"</f>
        <v>#REF!</v>
      </c>
      <c r="Z50" t="e">
        <f>CVEs!#REF!+"8O&lt;!$[%"</f>
        <v>#REF!</v>
      </c>
      <c r="AA50" t="e">
        <f>CVEs!#REF!+"8O&lt;!$[&amp;"</f>
        <v>#REF!</v>
      </c>
      <c r="AB50" t="e">
        <f>CVEs!#REF!+"8O&lt;!$['"</f>
        <v>#REF!</v>
      </c>
      <c r="AC50" t="e">
        <f>CVEs!#REF!+"8O&lt;!$[("</f>
        <v>#REF!</v>
      </c>
      <c r="AD50" t="e">
        <f>CVEs!#REF!+"8O&lt;!$[)"</f>
        <v>#REF!</v>
      </c>
      <c r="AE50" t="e">
        <f>CVEs!#REF!+"8O&lt;!$[."</f>
        <v>#REF!</v>
      </c>
      <c r="AF50" t="e">
        <f>CVEs!#REF!+"8O&lt;!$[/"</f>
        <v>#REF!</v>
      </c>
      <c r="AG50" t="e">
        <f>CVEs!#REF!+"8O&lt;!$[0"</f>
        <v>#REF!</v>
      </c>
      <c r="AH50" t="e">
        <f>CVEs!#REF!+"8O&lt;!$[1"</f>
        <v>#REF!</v>
      </c>
      <c r="AI50" t="e">
        <f>CVEs!#REF!+"8O&lt;!$[2"</f>
        <v>#REF!</v>
      </c>
      <c r="AJ50" t="e">
        <f>CVEs!#REF!+"8O&lt;!$[3"</f>
        <v>#REF!</v>
      </c>
      <c r="AK50" t="e">
        <f>CVEs!#REF!+"8O&lt;!$[4"</f>
        <v>#REF!</v>
      </c>
      <c r="AL50" t="e">
        <f>CVEs!#REF!+"8O&lt;!$[5"</f>
        <v>#REF!</v>
      </c>
      <c r="AM50" s="58" t="e">
        <f>CVEs!#REF!+"8O&lt;!$[6"</f>
        <v>#REF!</v>
      </c>
      <c r="AN50" t="e">
        <f>CVEs!#REF!+"8O&lt;!$[7"</f>
        <v>#REF!</v>
      </c>
      <c r="AO50" s="57" t="e">
        <f>CVEs!#REF!+"8O&lt;!$[8"</f>
        <v>#REF!</v>
      </c>
      <c r="AP50" s="58" t="e">
        <f>CVEs!#REF!+"8O&lt;!$[9"</f>
        <v>#REF!</v>
      </c>
      <c r="AQ50" s="58" t="e">
        <f>CVEs!#REF!+"8O&lt;!$[:"</f>
        <v>#REF!</v>
      </c>
      <c r="AR50" t="e">
        <f>CVEs!#REF!+"8O&lt;!$[;"</f>
        <v>#REF!</v>
      </c>
      <c r="AS50" t="e">
        <f>CVEs!#REF!+"8O&lt;!$[&lt;"</f>
        <v>#REF!</v>
      </c>
      <c r="AT50" t="e">
        <f>CVEs!#REF!+"8O&lt;!$[="</f>
        <v>#REF!</v>
      </c>
      <c r="AU50" t="e">
        <f>CVEs!#REF!+"8O&lt;!$[&gt;"</f>
        <v>#REF!</v>
      </c>
      <c r="AV50" t="e">
        <f>CVEs!#REF!+"8O&lt;!$[?"</f>
        <v>#REF!</v>
      </c>
      <c r="AW50" t="e">
        <f>CVEs!#REF!+"8O&lt;!$[@"</f>
        <v>#REF!</v>
      </c>
      <c r="AX50" t="e">
        <f>CVEs!#REF!+"8O&lt;!$[A"</f>
        <v>#REF!</v>
      </c>
      <c r="AY50" t="e">
        <f>CVEs!#REF!+"8O&lt;!$[B"</f>
        <v>#REF!</v>
      </c>
      <c r="AZ50" t="e">
        <f>CVEs!#REF!+"8O&lt;!$[C"</f>
        <v>#REF!</v>
      </c>
      <c r="BA50" t="e">
        <f>CVEs!#REF!+"8O&lt;!$[D"</f>
        <v>#REF!</v>
      </c>
      <c r="BB50" t="e">
        <f>CVEs!#REF!+"8O&lt;!$[E"</f>
        <v>#REF!</v>
      </c>
      <c r="BC50" t="e">
        <f>CVEs!#REF!+"8O&lt;!$[F"</f>
        <v>#REF!</v>
      </c>
      <c r="BD50" t="e">
        <f>CVEs!#REF!+"8O&lt;!$[G"</f>
        <v>#REF!</v>
      </c>
      <c r="BE50" t="e">
        <f>CVEs!#REF!+"8O&lt;!$[H"</f>
        <v>#REF!</v>
      </c>
      <c r="BF50" t="e">
        <f>CVEs!#REF!+"8O&lt;!$[I"</f>
        <v>#REF!</v>
      </c>
      <c r="BG50" t="e">
        <f>CVEs!#REF!+"8O&lt;!$[J"</f>
        <v>#REF!</v>
      </c>
      <c r="BH50" t="e">
        <f>CVEs!#REF!+"8O&lt;!$[K"</f>
        <v>#REF!</v>
      </c>
      <c r="BI50" t="e">
        <f>CVEs!#REF!+"8O&lt;!$[L"</f>
        <v>#REF!</v>
      </c>
      <c r="BJ50" s="58" t="e">
        <f>CVEs!#REF!+"8O&lt;!$[M"</f>
        <v>#REF!</v>
      </c>
      <c r="BK50" t="e">
        <f>CVEs!#REF!+"8O&lt;!$[N"</f>
        <v>#REF!</v>
      </c>
      <c r="BL50" s="57" t="e">
        <f>CVEs!#REF!+"8O&lt;!$[O"</f>
        <v>#REF!</v>
      </c>
      <c r="BM50" s="58" t="e">
        <f>CVEs!#REF!+"8O&lt;!$[P"</f>
        <v>#REF!</v>
      </c>
      <c r="BN50" s="58" t="e">
        <f>CVEs!#REF!+"8O&lt;!$[Q"</f>
        <v>#REF!</v>
      </c>
      <c r="BO50" t="e">
        <f>CVEs!#REF!+"8O&lt;!$[R"</f>
        <v>#REF!</v>
      </c>
      <c r="BP50" t="e">
        <f>CVEs!#REF!+"8O&lt;!$[S"</f>
        <v>#REF!</v>
      </c>
      <c r="BQ50" t="e">
        <f>CVEs!#REF!+"8O&lt;!$[T"</f>
        <v>#REF!</v>
      </c>
      <c r="BR50" t="e">
        <f>CVEs!#REF!+"8O&lt;!$[U"</f>
        <v>#REF!</v>
      </c>
      <c r="BS50" t="e">
        <f>CVEs!#REF!+"8O&lt;!$[V"</f>
        <v>#REF!</v>
      </c>
      <c r="BT50" t="e">
        <f>CVEs!#REF!+"8O&lt;!$[W"</f>
        <v>#REF!</v>
      </c>
      <c r="BU50" t="e">
        <f>CVEs!#REF!+"8O&lt;!$[X"</f>
        <v>#REF!</v>
      </c>
      <c r="BV50" t="e">
        <f>CVEs!#REF!+"8O&lt;!$[Y"</f>
        <v>#REF!</v>
      </c>
      <c r="BW50" t="e">
        <f>CVEs!#REF!+"8O&lt;!$[Z"</f>
        <v>#REF!</v>
      </c>
      <c r="BX50" t="e">
        <f>CVEs!#REF!+"8O&lt;!$[["</f>
        <v>#REF!</v>
      </c>
      <c r="BY50" t="e">
        <f>CVEs!#REF!+"8O&lt;!$[\"</f>
        <v>#REF!</v>
      </c>
      <c r="BZ50" t="e">
        <f>CVEs!#REF!+"8O&lt;!$[]"</f>
        <v>#REF!</v>
      </c>
      <c r="CA50" t="e">
        <f>CVEs!#REF!+"8O&lt;!$[^"</f>
        <v>#REF!</v>
      </c>
      <c r="CB50" t="e">
        <f>CVEs!#REF!+"8O&lt;!$[_"</f>
        <v>#REF!</v>
      </c>
      <c r="CC50" t="e">
        <f>CVEs!#REF!+"8O&lt;!$[`"</f>
        <v>#REF!</v>
      </c>
      <c r="CD50" t="e">
        <f>CVEs!#REF!+"8O&lt;!$[a"</f>
        <v>#REF!</v>
      </c>
      <c r="CE50" t="e">
        <f>CVEs!#REF!+"8O&lt;!$[b"</f>
        <v>#REF!</v>
      </c>
      <c r="CF50" t="e">
        <f>CVEs!#REF!+"8O&lt;!$[c"</f>
        <v>#REF!</v>
      </c>
      <c r="CG50" s="58" t="e">
        <f>CVEs!#REF!+"8O&lt;!$[d"</f>
        <v>#REF!</v>
      </c>
      <c r="CH50" t="e">
        <f>CVEs!#REF!+"8O&lt;!$[e"</f>
        <v>#REF!</v>
      </c>
      <c r="CI50" s="57" t="e">
        <f>CVEs!#REF!+"8O&lt;!$[f"</f>
        <v>#REF!</v>
      </c>
      <c r="CJ50" s="58" t="e">
        <f>CVEs!#REF!+"8O&lt;!$[g"</f>
        <v>#REF!</v>
      </c>
      <c r="CK50" s="58" t="e">
        <f>CVEs!#REF!+"8O&lt;!$[h"</f>
        <v>#REF!</v>
      </c>
      <c r="CL50" t="e">
        <f>CVEs!#REF!+"8O&lt;!$[i"</f>
        <v>#REF!</v>
      </c>
      <c r="CM50" t="e">
        <f>CVEs!#REF!+"8O&lt;!$[j"</f>
        <v>#REF!</v>
      </c>
      <c r="CN50" t="e">
        <f>CVEs!#REF!+"8O&lt;!$[k"</f>
        <v>#REF!</v>
      </c>
      <c r="CO50" t="e">
        <f>CVEs!#REF!+"8O&lt;!$[l"</f>
        <v>#REF!</v>
      </c>
      <c r="CP50" t="e">
        <f>CVEs!#REF!+"8O&lt;!$[m"</f>
        <v>#REF!</v>
      </c>
      <c r="CQ50" t="e">
        <f>CVEs!#REF!+"8O&lt;!$[n"</f>
        <v>#REF!</v>
      </c>
      <c r="CR50" t="e">
        <f>CVEs!#REF!+"8O&lt;!$[o"</f>
        <v>#REF!</v>
      </c>
      <c r="CS50" t="e">
        <f>CVEs!#REF!+"8O&lt;!$[p"</f>
        <v>#REF!</v>
      </c>
      <c r="CT50" t="e">
        <f>CVEs!#REF!+"8O&lt;!$[q"</f>
        <v>#REF!</v>
      </c>
      <c r="CU50" t="e">
        <f>CVEs!#REF!+"8O&lt;!$[r"</f>
        <v>#REF!</v>
      </c>
      <c r="CV50" t="e">
        <f>CVEs!#REF!+"8O&lt;!$[s"</f>
        <v>#REF!</v>
      </c>
      <c r="CW50" t="e">
        <f>CVEs!#REF!+"8O&lt;!$[t"</f>
        <v>#REF!</v>
      </c>
      <c r="CX50" t="e">
        <f>CVEs!#REF!+"8O&lt;!$[u"</f>
        <v>#REF!</v>
      </c>
      <c r="CY50" t="e">
        <f>CVEs!#REF!+"8O&lt;!$[v"</f>
        <v>#REF!</v>
      </c>
      <c r="CZ50" t="e">
        <f>CVEs!#REF!+"8O&lt;!$[w"</f>
        <v>#REF!</v>
      </c>
      <c r="DA50" t="e">
        <f>CVEs!#REF!+"8O&lt;!$[x"</f>
        <v>#REF!</v>
      </c>
      <c r="DB50" t="e">
        <f>CVEs!#REF!+"8O&lt;!$[y"</f>
        <v>#REF!</v>
      </c>
      <c r="DC50" t="e">
        <f>CVEs!#REF!+"8O&lt;!$[z"</f>
        <v>#REF!</v>
      </c>
      <c r="DD50" s="58" t="e">
        <f>CVEs!#REF!+"8O&lt;!$[{"</f>
        <v>#REF!</v>
      </c>
      <c r="DE50" t="e">
        <f>CVEs!#REF!+"8O&lt;!$[|"</f>
        <v>#REF!</v>
      </c>
      <c r="DF50" s="57" t="e">
        <f>CVEs!#REF!+"8O&lt;!$[}"</f>
        <v>#REF!</v>
      </c>
      <c r="DG50" s="58" t="e">
        <f>CVEs!#REF!+"8O&lt;!$[~"</f>
        <v>#REF!</v>
      </c>
      <c r="DH50" s="58" t="e">
        <f>CVEs!#REF!+"8O&lt;!$\#"</f>
        <v>#REF!</v>
      </c>
      <c r="DI50" t="e">
        <f>CVEs!#REF!+"8O&lt;!$\$"</f>
        <v>#REF!</v>
      </c>
      <c r="DJ50" t="e">
        <f>CVEs!#REF!+"8O&lt;!$\%"</f>
        <v>#REF!</v>
      </c>
      <c r="DK50" t="e">
        <f>CVEs!#REF!+"8O&lt;!$\&amp;"</f>
        <v>#REF!</v>
      </c>
      <c r="DL50" t="e">
        <f>CVEs!#REF!+"8O&lt;!$\'"</f>
        <v>#REF!</v>
      </c>
      <c r="DM50" t="e">
        <f>CVEs!#REF!+"8O&lt;!$\("</f>
        <v>#REF!</v>
      </c>
      <c r="DN50" t="e">
        <f>CVEs!#REF!+"8O&lt;!$\)"</f>
        <v>#REF!</v>
      </c>
      <c r="DO50" t="e">
        <f>CVEs!#REF!+"8O&lt;!$\."</f>
        <v>#REF!</v>
      </c>
      <c r="DP50" t="e">
        <f>CVEs!#REF!+"8O&lt;!$\/"</f>
        <v>#REF!</v>
      </c>
      <c r="DQ50" t="e">
        <f>CVEs!#REF!+"8O&lt;!$\0"</f>
        <v>#REF!</v>
      </c>
      <c r="DR50" t="e">
        <f>CVEs!#REF!+"8O&lt;!$\1"</f>
        <v>#REF!</v>
      </c>
      <c r="DS50" t="e">
        <f>CVEs!#REF!+"8O&lt;!$\2"</f>
        <v>#REF!</v>
      </c>
      <c r="DT50" t="e">
        <f>CVEs!#REF!+"8O&lt;!$\3"</f>
        <v>#REF!</v>
      </c>
      <c r="DU50" t="e">
        <f>CVEs!#REF!+"8O&lt;!$\4"</f>
        <v>#REF!</v>
      </c>
      <c r="DV50" t="e">
        <f>CVEs!#REF!+"8O&lt;!$\5"</f>
        <v>#REF!</v>
      </c>
      <c r="DW50" t="e">
        <f>CVEs!#REF!+"8O&lt;!$\6"</f>
        <v>#REF!</v>
      </c>
      <c r="DX50" t="e">
        <f>CVEs!#REF!+"8O&lt;!$\7"</f>
        <v>#REF!</v>
      </c>
      <c r="DY50" t="e">
        <f>CVEs!#REF!+"8O&lt;!$\8"</f>
        <v>#REF!</v>
      </c>
      <c r="DZ50" t="e">
        <f>'CVE Blocks 2016'!E:E*"p&lt;8!%"</f>
        <v>#VALUE!</v>
      </c>
      <c r="EA50" t="e">
        <f>'CVE Blocks 2016'!K:K*"p&lt;8!&amp;"</f>
        <v>#VALUE!</v>
      </c>
      <c r="EB50" t="e">
        <f>'CVE Blocks 2016'!E5+"p&lt;8!'"</f>
        <v>#VALUE!</v>
      </c>
      <c r="EC50" t="e">
        <f>'CVE Blocks 2016'!K5+"p&lt;8!("</f>
        <v>#VALUE!</v>
      </c>
      <c r="ED50" t="e">
        <f>'CVE Blocks 2016'!E6+"p&lt;8!)"</f>
        <v>#VALUE!</v>
      </c>
      <c r="EE50" t="e">
        <f>'CVE Blocks 2016'!K6+"p&lt;8!."</f>
        <v>#VALUE!</v>
      </c>
      <c r="EF50" t="e">
        <f>'CVE Blocks 2016'!E7+"p&lt;8!/"</f>
        <v>#VALUE!</v>
      </c>
      <c r="EG50" t="e">
        <f>'CVE Blocks 2016'!K7+"p&lt;8!0"</f>
        <v>#VALUE!</v>
      </c>
      <c r="EH50" t="e">
        <f>'CVE Blocks 2016'!E8+"p&lt;8!1"</f>
        <v>#VALUE!</v>
      </c>
      <c r="EI50" t="e">
        <f>'CVE Blocks 2016'!K8+"p&lt;8!2"</f>
        <v>#VALUE!</v>
      </c>
      <c r="EJ50" t="e">
        <f>'CVE Blocks 2016'!E9+"p&lt;8!3"</f>
        <v>#VALUE!</v>
      </c>
      <c r="EK50" t="e">
        <f>'CVE Blocks 2016'!E10+"p&lt;8!4"</f>
        <v>#VALUE!</v>
      </c>
      <c r="EL50" t="e">
        <f>'CVE Blocks 2016'!E11+"p&lt;8!5"</f>
        <v>#VALUE!</v>
      </c>
      <c r="EM50" t="e">
        <f>'CVE Blocks 2016'!A12+"p&lt;8!6"</f>
        <v>#VALUE!</v>
      </c>
      <c r="EN50" t="e">
        <f>'CVE Blocks 2016'!D12+"p&lt;8!7"</f>
        <v>#VALUE!</v>
      </c>
      <c r="EO50" t="e">
        <f>'CVE Blocks 2016'!E12+"p&lt;8!8"</f>
        <v>#VALUE!</v>
      </c>
      <c r="EP50" t="e">
        <f>'CVE Blocks 2016'!E106+"p&lt;8!9"</f>
        <v>#VALUE!</v>
      </c>
      <c r="EQ50" t="e">
        <f>'CVE Blocks 2016'!K106+"p&lt;8!:"</f>
        <v>#VALUE!</v>
      </c>
      <c r="ER50" t="e">
        <f>CVEs!G:G*"p&lt;8!;"</f>
        <v>#VALUE!</v>
      </c>
      <c r="ES50" s="58" t="e">
        <f>CVEs!G2+"p&lt;8!&lt;"</f>
        <v>#VALUE!</v>
      </c>
      <c r="ET50" s="58" t="e">
        <f>CVEs!G4+"p&lt;8!="</f>
        <v>#VALUE!</v>
      </c>
      <c r="EU50" s="58" t="e">
        <f>CVEs!G5+"p&lt;8!&gt;"</f>
        <v>#VALUE!</v>
      </c>
      <c r="EV50" s="58" t="e">
        <f>CVEs!G7+"p&lt;8!?"</f>
        <v>#VALUE!</v>
      </c>
      <c r="EW50" s="58" t="e">
        <f>CVEs!G10+"p&lt;8!@"</f>
        <v>#VALUE!</v>
      </c>
      <c r="EX50" s="58" t="e">
        <f>CVEs!G11+"p&lt;8!A"</f>
        <v>#VALUE!</v>
      </c>
      <c r="EY50" s="58" t="e">
        <f>CVEs!G12+"p&lt;8!B"</f>
        <v>#VALUE!</v>
      </c>
      <c r="EZ50" s="58" t="e">
        <f>CVEs!G13+"p&lt;8!C"</f>
        <v>#VALUE!</v>
      </c>
      <c r="FA50" s="58" t="e">
        <f>CVEs!G14+"p&lt;8!D"</f>
        <v>#VALUE!</v>
      </c>
      <c r="FB50" s="58" t="e">
        <f>CVEs!G15+"p&lt;8!E"</f>
        <v>#VALUE!</v>
      </c>
      <c r="FC50" s="58" t="e">
        <f>CVEs!G16+"p&lt;8!F"</f>
        <v>#VALUE!</v>
      </c>
      <c r="FD50" s="57" t="e">
        <f>CVEs!G17+"p&lt;8!G"</f>
        <v>#VALUE!</v>
      </c>
      <c r="FE50" s="58" t="e">
        <f>CVEs!G18+"p&lt;8!H"</f>
        <v>#VALUE!</v>
      </c>
      <c r="FF50" s="58" t="e">
        <f>CVEs!G19+"p&lt;8!I"</f>
        <v>#VALUE!</v>
      </c>
      <c r="FG50" s="58" t="e">
        <f>CVEs!G20+"p&lt;8!J"</f>
        <v>#VALUE!</v>
      </c>
      <c r="FH50" s="58" t="e">
        <f>CVEs!G21+"p&lt;8!K"</f>
        <v>#VALUE!</v>
      </c>
      <c r="FI50" s="58" t="e">
        <f>CVEs!G22+"p&lt;8!L"</f>
        <v>#VALUE!</v>
      </c>
      <c r="FJ50" s="58" t="e">
        <f>CVEs!G23+"p&lt;8!M"</f>
        <v>#VALUE!</v>
      </c>
      <c r="FK50" s="58" t="e">
        <f>CVEs!G24+"p&lt;8!N"</f>
        <v>#VALUE!</v>
      </c>
      <c r="FL50" s="58" t="e">
        <f>CVEs!G25+"p&lt;8!O"</f>
        <v>#VALUE!</v>
      </c>
      <c r="FM50" s="58" t="e">
        <f>CVEs!G26+"p&lt;8!P"</f>
        <v>#VALUE!</v>
      </c>
      <c r="FN50" s="57" t="e">
        <f>CVEs!G27+"p&lt;8!Q"</f>
        <v>#VALUE!</v>
      </c>
      <c r="FO50" s="58" t="e">
        <f>CVEs!G28+"p&lt;8!R"</f>
        <v>#VALUE!</v>
      </c>
      <c r="FP50" s="58" t="e">
        <f>CVEs!G29+"p&lt;8!S"</f>
        <v>#VALUE!</v>
      </c>
      <c r="FQ50" s="58" t="e">
        <f>CVEs!G30+"p&lt;8!T"</f>
        <v>#VALUE!</v>
      </c>
      <c r="FR50" s="58" t="e">
        <f>CVEs!G31+"p&lt;8!U"</f>
        <v>#VALUE!</v>
      </c>
      <c r="FS50" s="58" t="e">
        <f>CVEs!G32+"p&lt;8!V"</f>
        <v>#VALUE!</v>
      </c>
      <c r="FT50" s="58" t="e">
        <f>CVEs!G33+"p&lt;8!W"</f>
        <v>#VALUE!</v>
      </c>
      <c r="FU50" s="58" t="e">
        <f>CVEs!G34+"p&lt;8!X"</f>
        <v>#VALUE!</v>
      </c>
      <c r="FV50" s="58" t="e">
        <f>CVEs!G35+"p&lt;8!Y"</f>
        <v>#VALUE!</v>
      </c>
      <c r="FW50" s="58" t="e">
        <f>CVEs!G36+"p&lt;8!Z"</f>
        <v>#VALUE!</v>
      </c>
      <c r="FX50" s="58" t="e">
        <f>CVEs!G37+"p&lt;8!["</f>
        <v>#VALUE!</v>
      </c>
      <c r="FY50" s="58" t="e">
        <f>CVEs!G38+"p&lt;8!\"</f>
        <v>#VALUE!</v>
      </c>
      <c r="FZ50" s="58" t="e">
        <f>CVEs!G39+"p&lt;8!]"</f>
        <v>#VALUE!</v>
      </c>
      <c r="GA50" s="58" t="e">
        <f>CVEs!G40+"p&lt;8!^"</f>
        <v>#VALUE!</v>
      </c>
      <c r="GB50" s="58" t="e">
        <f>CVEs!G41+"p&lt;8!_"</f>
        <v>#VALUE!</v>
      </c>
      <c r="GC50" s="58" t="e">
        <f>CVEs!G42+"p&lt;8!`"</f>
        <v>#VALUE!</v>
      </c>
      <c r="GD50" s="58" t="e">
        <f>CVEs!G43+"p&lt;8!a"</f>
        <v>#VALUE!</v>
      </c>
      <c r="GE50" s="58" t="e">
        <f>CVEs!G44+"p&lt;8!b"</f>
        <v>#VALUE!</v>
      </c>
      <c r="GF50" s="58" t="e">
        <f>CVEs!G45+"p&lt;8!c"</f>
        <v>#VALUE!</v>
      </c>
      <c r="GG50" s="57" t="e">
        <f>CVEs!G46+"p&lt;8!d"</f>
        <v>#VALUE!</v>
      </c>
      <c r="GH50" s="58" t="e">
        <f>CVEs!G47+"p&lt;8!e"</f>
        <v>#VALUE!</v>
      </c>
      <c r="GI50" s="58" t="e">
        <f>CVEs!G86+"p&lt;8!f"</f>
        <v>#VALUE!</v>
      </c>
      <c r="GJ50" s="58" t="e">
        <f>CVEs!G49+"p&lt;8!g"</f>
        <v>#VALUE!</v>
      </c>
      <c r="GK50" s="58" t="e">
        <f>CVEs!G50+"p&lt;8!h"</f>
        <v>#VALUE!</v>
      </c>
      <c r="GL50" s="58" t="e">
        <f>CVEs!G51+"p&lt;8!i"</f>
        <v>#VALUE!</v>
      </c>
      <c r="GM50" s="58" t="e">
        <f>CVEs!G52+"p&lt;8!j"</f>
        <v>#VALUE!</v>
      </c>
      <c r="GN50" s="58" t="e">
        <f>CVEs!#REF!+"p&lt;8!k"</f>
        <v>#REF!</v>
      </c>
      <c r="GO50" s="58" t="e">
        <f>CVEs!#REF!+"p&lt;8!l"</f>
        <v>#REF!</v>
      </c>
      <c r="GP50" s="58" t="e">
        <f>CVEs!G74+"p&lt;8!m"</f>
        <v>#VALUE!</v>
      </c>
      <c r="GQ50" s="58" t="e">
        <f>CVEs!G75+"p&lt;8!n"</f>
        <v>#VALUE!</v>
      </c>
      <c r="GR50" s="58" t="e">
        <f>CVEs!G76+"p&lt;8!o"</f>
        <v>#VALUE!</v>
      </c>
      <c r="GS50" s="58" t="e">
        <f>CVEs!G77+"p&lt;8!p"</f>
        <v>#VALUE!</v>
      </c>
      <c r="GT50" s="58" t="e">
        <f>CVEs!G78+"p&lt;8!q"</f>
        <v>#VALUE!</v>
      </c>
      <c r="GU50" s="58" t="e">
        <f>CVEs!G79+"p&lt;8!r"</f>
        <v>#VALUE!</v>
      </c>
      <c r="GV50" s="58" t="e">
        <f>CVEs!G80+"p&lt;8!s"</f>
        <v>#VALUE!</v>
      </c>
      <c r="GW50" s="58" t="e">
        <f>CVEs!G81+"p&lt;8!t"</f>
        <v>#VALUE!</v>
      </c>
      <c r="GX50" s="58" t="e">
        <f>CVEs!G82+"p&lt;8!u"</f>
        <v>#VALUE!</v>
      </c>
      <c r="GY50" s="57" t="e">
        <f>CVEs!#REF!+"p&lt;8!v"</f>
        <v>#REF!</v>
      </c>
      <c r="GZ50" s="58" t="e">
        <f>CVEs!#REF!+"p&lt;8!w"</f>
        <v>#REF!</v>
      </c>
      <c r="HA50" s="58" t="e">
        <f>CVEs!#REF!+"p&lt;8!x"</f>
        <v>#REF!</v>
      </c>
      <c r="HB50" s="58" t="e">
        <f>CVEs!#REF!+"p&lt;8!y"</f>
        <v>#REF!</v>
      </c>
      <c r="HC50" s="58" t="e">
        <f>CVEs!#REF!+"p&lt;8!z"</f>
        <v>#REF!</v>
      </c>
      <c r="HD50" s="58" t="e">
        <f>CVEs!#REF!+"p&lt;8!{"</f>
        <v>#REF!</v>
      </c>
      <c r="HE50" s="58" t="e">
        <f>CVEs!#REF!+"p&lt;8!|"</f>
        <v>#REF!</v>
      </c>
      <c r="HF50" s="58" t="e">
        <f>CVEs!#REF!+"p&lt;8!}"</f>
        <v>#REF!</v>
      </c>
      <c r="HG50" s="58" t="e">
        <f>CVEs!#REF!+"p&lt;8!~"</f>
        <v>#REF!</v>
      </c>
      <c r="HH50" s="57" t="e">
        <f>CVEs!G98+"p&lt;8!$#"</f>
        <v>#VALUE!</v>
      </c>
      <c r="HI50" s="58" t="e">
        <f>CVEs!G99+"p&lt;8!$$"</f>
        <v>#VALUE!</v>
      </c>
      <c r="HJ50" t="e">
        <f>CVEs!101:101-"p&lt;8!$%"</f>
        <v>#VALUE!</v>
      </c>
      <c r="HK50" t="e">
        <f>CVEs!302:302-"p&lt;8!$&amp;"</f>
        <v>#VALUE!</v>
      </c>
      <c r="HL50" t="e">
        <f>CVEs!303:303-"p&lt;8!$'"</f>
        <v>#VALUE!</v>
      </c>
      <c r="HM50" t="e">
        <f>CVEs!304:304-"p&lt;8!$("</f>
        <v>#VALUE!</v>
      </c>
      <c r="HN50" t="e">
        <f>CVEs!305:305-"p&lt;8!$)"</f>
        <v>#VALUE!</v>
      </c>
      <c r="HO50" t="e">
        <f>CVEs!306:306-"p&lt;8!$."</f>
        <v>#VALUE!</v>
      </c>
      <c r="HP50" t="e">
        <f>CVEs!307:307-"p&lt;8!$/"</f>
        <v>#VALUE!</v>
      </c>
      <c r="HQ50" t="e">
        <f>CVEs!308:308-"p&lt;8!$0"</f>
        <v>#VALUE!</v>
      </c>
      <c r="HR50" t="e">
        <f>CVEs!309:309-"p&lt;8!$1"</f>
        <v>#VALUE!</v>
      </c>
      <c r="HS50" t="e">
        <f>CVEs!310:310-"p&lt;8!$2"</f>
        <v>#VALUE!</v>
      </c>
      <c r="HT50" t="e">
        <f>CVEs!311:311-"p&lt;8!$3"</f>
        <v>#VALUE!</v>
      </c>
      <c r="HU50" t="e">
        <f>CVEs!312:312-"p&lt;8!$4"</f>
        <v>#VALUE!</v>
      </c>
      <c r="HV50" t="e">
        <f>CVEs!313:313-"p&lt;8!$5"</f>
        <v>#VALUE!</v>
      </c>
      <c r="HW50" t="e">
        <f>CVEs!314:314-"p&lt;8!$6"</f>
        <v>#VALUE!</v>
      </c>
      <c r="HX50" t="e">
        <f>CVEs!315:315-"p&lt;8!$7"</f>
        <v>#VALUE!</v>
      </c>
      <c r="HY50" t="e">
        <f>CVEs!316:316-"p&lt;8!$8"</f>
        <v>#VALUE!</v>
      </c>
      <c r="HZ50" t="e">
        <f>CVEs!317:317-"p&lt;8!$9"</f>
        <v>#VALUE!</v>
      </c>
      <c r="IA50" t="e">
        <f>CVEs!318:318-"p&lt;8!$:"</f>
        <v>#VALUE!</v>
      </c>
      <c r="IB50" t="e">
        <f>CVEs!319:319-"p&lt;8!$;"</f>
        <v>#VALUE!</v>
      </c>
      <c r="IC50" t="e">
        <f>CVEs!320:320-"p&lt;8!$&lt;"</f>
        <v>#VALUE!</v>
      </c>
      <c r="ID50" t="e">
        <f>CVEs!321:321-"p&lt;8!$="</f>
        <v>#VALUE!</v>
      </c>
      <c r="IE50" t="e">
        <f>CVEs!322:322-"p&lt;8!$&gt;"</f>
        <v>#VALUE!</v>
      </c>
      <c r="IF50" t="e">
        <f>CVEs!A9+"p&lt;8!$?"</f>
        <v>#VALUE!</v>
      </c>
      <c r="IG50" s="58" t="e">
        <f>CVEs!E9+"p&lt;8!$@"</f>
        <v>#VALUE!</v>
      </c>
      <c r="IH50" t="e">
        <f>CVEs!J101+"p&lt;8!$A"</f>
        <v>#VALUE!</v>
      </c>
      <c r="II50" t="e">
        <f>CVEs!I102+"p&lt;8!$B"</f>
        <v>#VALUE!</v>
      </c>
      <c r="IJ50" t="e">
        <f>CVEs!J102+"p&lt;8!$C"</f>
        <v>#VALUE!</v>
      </c>
      <c r="IK50" t="e">
        <f>CVEs!I103+"p&lt;8!$D"</f>
        <v>#VALUE!</v>
      </c>
      <c r="IL50" t="e">
        <f ca="1">CVEs!J103+"p&lt;8!$E"</f>
        <v>#VALUE!</v>
      </c>
      <c r="IM50" t="e">
        <f>CVEs!I104+"p&lt;8!$F"</f>
        <v>#VALUE!</v>
      </c>
      <c r="IN50" t="e">
        <f ca="1">CVEs!J104+"p&lt;8!$G"</f>
        <v>#VALUE!</v>
      </c>
      <c r="IO50" t="e">
        <f>CVEs!I105+"p&lt;8!$H"</f>
        <v>#VALUE!</v>
      </c>
      <c r="IP50" t="e">
        <f ca="1">CVEs!J105+"p&lt;8!$I"</f>
        <v>#VALUE!</v>
      </c>
      <c r="IQ50" t="e">
        <f>CVEs!I106+"p&lt;8!$J"</f>
        <v>#VALUE!</v>
      </c>
      <c r="IR50" t="e">
        <f ca="1">CVEs!J106+"p&lt;8!$K"</f>
        <v>#VALUE!</v>
      </c>
      <c r="IS50" t="e">
        <f>CVEs!I107+"p&lt;8!$L"</f>
        <v>#VALUE!</v>
      </c>
      <c r="IT50" t="e">
        <f ca="1">CVEs!J107+"p&lt;8!$M"</f>
        <v>#VALUE!</v>
      </c>
      <c r="IU50" t="e">
        <f>CVEs!I109+"p&lt;8!$N"</f>
        <v>#VALUE!</v>
      </c>
      <c r="IV50" t="e">
        <f ca="1">CVEs!J109+"p&lt;8!$O"</f>
        <v>#VALUE!</v>
      </c>
    </row>
    <row r="51" spans="6:256" x14ac:dyDescent="0.25">
      <c r="F51" t="e">
        <f>CVEs!I110+"p&lt;8!$P"</f>
        <v>#VALUE!</v>
      </c>
      <c r="G51" t="e">
        <f>CVEs!I111+"p&lt;8!$Q"</f>
        <v>#VALUE!</v>
      </c>
      <c r="H51" t="e">
        <f>CVEs!I112+"p&lt;8!$R"</f>
        <v>#VALUE!</v>
      </c>
      <c r="I51" t="e">
        <f>CVEs!I113+"p&lt;8!$S"</f>
        <v>#VALUE!</v>
      </c>
      <c r="J51" t="e">
        <f>CVEs!I114+"p&lt;8!$T"</f>
        <v>#VALUE!</v>
      </c>
      <c r="K51" t="e">
        <f>CVEs!I115+"p&lt;8!$U"</f>
        <v>#VALUE!</v>
      </c>
      <c r="L51" t="e">
        <f>CVEs!I116+"p&lt;8!$V"</f>
        <v>#VALUE!</v>
      </c>
      <c r="M51" t="e">
        <f>CVEs!I117+"p&lt;8!$W"</f>
        <v>#VALUE!</v>
      </c>
      <c r="N51" t="e">
        <f>CVEs!I118+"p&lt;8!$X"</f>
        <v>#VALUE!</v>
      </c>
      <c r="O51" t="e">
        <f>CVEs!I119+"p&lt;8!$Y"</f>
        <v>#VALUE!</v>
      </c>
      <c r="P51" t="e">
        <f>CVEs!I120+"p&lt;8!$Z"</f>
        <v>#VALUE!</v>
      </c>
      <c r="Q51" t="e">
        <f>CVEs!I121+"p&lt;8!$["</f>
        <v>#VALUE!</v>
      </c>
      <c r="R51" t="e">
        <f>CVEs!I122+"p&lt;8!$\"</f>
        <v>#VALUE!</v>
      </c>
      <c r="S51" t="e">
        <f>Drop_Downs!222:222-"p&lt;8!$]"</f>
        <v>#VALUE!</v>
      </c>
      <c r="T51" t="e">
        <f>Drop_Downs!223:223-"p&lt;8!$^"</f>
        <v>#VALUE!</v>
      </c>
      <c r="U51" t="e">
        <f>Drop_Downs!224:224-"p&lt;8!$_"</f>
        <v>#VALUE!</v>
      </c>
      <c r="V51" t="e">
        <f>Drop_Downs!225:225-"p&lt;8!$`"</f>
        <v>#VALUE!</v>
      </c>
      <c r="W51" t="e">
        <f>Drop_Downs!226:226-"p&lt;8!$a"</f>
        <v>#VALUE!</v>
      </c>
      <c r="X51" t="e">
        <f>Drop_Downs!227:227-"p&lt;8!$b"</f>
        <v>#VALUE!</v>
      </c>
      <c r="Y51" t="e">
        <f>Drop_Downs!228:228-"p&lt;8!$c"</f>
        <v>#VALUE!</v>
      </c>
      <c r="Z51" t="e">
        <f>Drop_Downs!229:229-"p&lt;8!$d"</f>
        <v>#VALUE!</v>
      </c>
      <c r="AA51" t="e">
        <f>Drop_Downs!230:230-"p&lt;8!$e"</f>
        <v>#VALUE!</v>
      </c>
      <c r="AB51" t="e">
        <f>Drop_Downs!231:231-"p&lt;8!$f"</f>
        <v>#VALUE!</v>
      </c>
      <c r="AC51" t="e">
        <f>Drop_Downs!232:232-"p&lt;8!$g"</f>
        <v>#VALUE!</v>
      </c>
      <c r="AD51" t="e">
        <f>Drop_Downs!233:233-"p&lt;8!$h"</f>
        <v>#VALUE!</v>
      </c>
      <c r="AE51" t="e">
        <f>Drop_Downs!234:234-"p&lt;8!$i"</f>
        <v>#VALUE!</v>
      </c>
      <c r="AF51" t="e">
        <f>Drop_Downs!235:235-"p&lt;8!$j"</f>
        <v>#VALUE!</v>
      </c>
      <c r="AG51" t="e">
        <f>Drop_Downs!236:236-"p&lt;8!$k"</f>
        <v>#VALUE!</v>
      </c>
      <c r="AH51" t="e">
        <f>Drop_Downs!237:237-"p&lt;8!$l"</f>
        <v>#VALUE!</v>
      </c>
      <c r="AI51" t="e">
        <f>Drop_Downs!238:238-"p&lt;8!$m"</f>
        <v>#VALUE!</v>
      </c>
      <c r="AJ51" t="e">
        <f>Drop_Downs!239:239-"p&lt;8!$n"</f>
        <v>#VALUE!</v>
      </c>
      <c r="AK51" t="e">
        <f>Drop_Downs!240:240-"p&lt;8!$o"</f>
        <v>#VALUE!</v>
      </c>
      <c r="AL51" t="e">
        <f>Drop_Downs!241:241-"p&lt;8!$p"</f>
        <v>#VALUE!</v>
      </c>
      <c r="AM51" t="e">
        <f>Drop_Downs!242:242-"p&lt;8!$q"</f>
        <v>#VALUE!</v>
      </c>
      <c r="AN51" t="e">
        <f>Drop_Downs!243:243-"p&lt;8!$r"</f>
        <v>#VALUE!</v>
      </c>
      <c r="AO51" t="e">
        <f>Drop_Downs!244:244-"p&lt;8!$s"</f>
        <v>#VALUE!</v>
      </c>
      <c r="AP51" t="e">
        <f>Drop_Downs!245:245-"p&lt;8!$t"</f>
        <v>#VALUE!</v>
      </c>
      <c r="AQ51" t="e">
        <f>Drop_Downs!246:246-"p&lt;8!$u"</f>
        <v>#VALUE!</v>
      </c>
      <c r="AR51" t="e">
        <f>Drop_Downs!247:247-"p&lt;8!$v"</f>
        <v>#VALUE!</v>
      </c>
      <c r="AS51" t="e">
        <f>Drop_Downs!248:248-"p&lt;8!$w"</f>
        <v>#VALUE!</v>
      </c>
      <c r="AT51" t="e">
        <f>Drop_Downs!249:249-"p&lt;8!$x"</f>
        <v>#VALUE!</v>
      </c>
      <c r="AU51" t="e">
        <f>Drop_Downs!250:250-"p&lt;8!$y"</f>
        <v>#VALUE!</v>
      </c>
      <c r="AV51" t="e">
        <f>Drop_Downs!251:251-"p&lt;8!$z"</f>
        <v>#VALUE!</v>
      </c>
      <c r="AW51" t="e">
        <f>Drop_Downs!252:252-"p&lt;8!${"</f>
        <v>#VALUE!</v>
      </c>
      <c r="AX51" t="e">
        <f>Drop_Downs!253:253-"p&lt;8!$|"</f>
        <v>#VALUE!</v>
      </c>
      <c r="AY51" t="e">
        <f>Drop_Downs!254:254-"p&lt;8!$}"</f>
        <v>#VALUE!</v>
      </c>
      <c r="AZ51" t="e">
        <f>Drop_Downs!255:255-"p&lt;8!$~"</f>
        <v>#VALUE!</v>
      </c>
      <c r="BA51" t="e">
        <f>Drop_Downs!256:256-"p&lt;8!%#"</f>
        <v>#VALUE!</v>
      </c>
      <c r="BB51" t="e">
        <f>Drop_Downs!257:257-"p&lt;8!%$"</f>
        <v>#VALUE!</v>
      </c>
      <c r="BC51" t="e">
        <f>Drop_Downs!258:258-"p&lt;8!%%"</f>
        <v>#VALUE!</v>
      </c>
      <c r="BD51" t="e">
        <f>Drop_Downs!259:259-"p&lt;8!%&amp;"</f>
        <v>#VALUE!</v>
      </c>
      <c r="BE51" t="e">
        <f>Drop_Downs!260:260-"p&lt;8!%'"</f>
        <v>#VALUE!</v>
      </c>
      <c r="BF51" t="e">
        <f>Drop_Downs!261:261-"p&lt;8!%("</f>
        <v>#VALUE!</v>
      </c>
      <c r="BG51" t="e">
        <f>Drop_Downs!262:262-"p&lt;8!%)"</f>
        <v>#VALUE!</v>
      </c>
      <c r="BH51" t="e">
        <f>Drop_Downs!263:263-"p&lt;8!%."</f>
        <v>#VALUE!</v>
      </c>
      <c r="BI51" t="e">
        <f>Drop_Downs!264:264-"p&lt;8!%/"</f>
        <v>#VALUE!</v>
      </c>
      <c r="BJ51" t="e">
        <f>Drop_Downs!265:265-"p&lt;8!%0"</f>
        <v>#VALUE!</v>
      </c>
      <c r="BK51" t="e">
        <f>Drop_Downs!266:266-"p&lt;8!%1"</f>
        <v>#VALUE!</v>
      </c>
      <c r="BL51" t="e">
        <f>Drop_Downs!267:267-"p&lt;8!%2"</f>
        <v>#VALUE!</v>
      </c>
      <c r="BM51" t="e">
        <f>Drop_Downs!268:268-"p&lt;8!%3"</f>
        <v>#VALUE!</v>
      </c>
      <c r="BN51" t="e">
        <f>Drop_Downs!269:269-"p&lt;8!%4"</f>
        <v>#VALUE!</v>
      </c>
      <c r="BO51" t="e">
        <f>Drop_Downs!270:270-"p&lt;8!%5"</f>
        <v>#VALUE!</v>
      </c>
      <c r="BP51" t="e">
        <f>Drop_Downs!271:271-"p&lt;8!%6"</f>
        <v>#VALUE!</v>
      </c>
      <c r="BQ51" t="e">
        <f>Drop_Downs!272:272-"p&lt;8!%7"</f>
        <v>#VALUE!</v>
      </c>
      <c r="BR51" t="e">
        <f>Drop_Downs!273:273-"p&lt;8!%8"</f>
        <v>#VALUE!</v>
      </c>
      <c r="BS51" t="e">
        <f>Drop_Downs!274:274-"p&lt;8!%9"</f>
        <v>#VALUE!</v>
      </c>
      <c r="BT51" t="e">
        <f>Drop_Downs!275:275-"p&lt;8!%:"</f>
        <v>#VALUE!</v>
      </c>
      <c r="BU51" t="e">
        <f>Drop_Downs!276:276-"p&lt;8!%;"</f>
        <v>#VALUE!</v>
      </c>
      <c r="BV51" t="e">
        <f>Drop_Downs!277:277-"p&lt;8!%&lt;"</f>
        <v>#VALUE!</v>
      </c>
      <c r="BW51" t="e">
        <f>Drop_Downs!278:278-"p&lt;8!%="</f>
        <v>#VALUE!</v>
      </c>
      <c r="BX51" t="e">
        <f>Drop_Downs!279:279-"p&lt;8!%&gt;"</f>
        <v>#VALUE!</v>
      </c>
      <c r="BY51" t="e">
        <f>Drop_Downs!280:280-"p&lt;8!%?"</f>
        <v>#VALUE!</v>
      </c>
      <c r="BZ51" t="e">
        <f>Drop_Downs!281:281-"p&lt;8!%@"</f>
        <v>#VALUE!</v>
      </c>
      <c r="CA51" t="e">
        <f>Drop_Downs!282:282-"p&lt;8!%A"</f>
        <v>#VALUE!</v>
      </c>
      <c r="CB51" t="e">
        <f>Drop_Downs!283:283-"p&lt;8!%B"</f>
        <v>#VALUE!</v>
      </c>
      <c r="CC51" t="e">
        <f>Drop_Downs!284:284-"p&lt;8!%C"</f>
        <v>#VALUE!</v>
      </c>
      <c r="CD51" t="e">
        <f>Drop_Downs!285:285-"p&lt;8!%D"</f>
        <v>#VALUE!</v>
      </c>
      <c r="CE51" t="e">
        <f>Drop_Downs!A13+"p&lt;8!%E"</f>
        <v>#VALUE!</v>
      </c>
      <c r="CF51" t="e">
        <f>Drop_Downs!A14+"p&lt;8!%F"</f>
        <v>#VALUE!</v>
      </c>
      <c r="CG51" t="e">
        <f>Drop_Downs!A15+"p&lt;8!%G"</f>
        <v>#VALUE!</v>
      </c>
      <c r="CH51" t="e">
        <f>Drop_Downs!A16+"p&lt;8!%H"</f>
        <v>#VALUE!</v>
      </c>
      <c r="CI51" t="e">
        <f>Drop_Downs!A17+"p&lt;8!%I"</f>
        <v>#VALUE!</v>
      </c>
      <c r="CJ51" t="e">
        <f>Drop_Downs!A18+"p&lt;8!%J"</f>
        <v>#VALUE!</v>
      </c>
      <c r="CK51" t="e">
        <f>Drop_Downs!A19+"p&lt;8!%K"</f>
        <v>#VALUE!</v>
      </c>
      <c r="CL51" t="e">
        <f>Drop_Downs!A20+"p&lt;8!%L"</f>
        <v>#VALUE!</v>
      </c>
      <c r="CM51" t="e">
        <f>Drop_Downs!A21+"p&lt;8!%M"</f>
        <v>#VALUE!</v>
      </c>
      <c r="CN51" t="e">
        <f>Drop_Downs!A22+"p&lt;8!%N"</f>
        <v>#VALUE!</v>
      </c>
      <c r="CO51" t="e">
        <f>Drop_Downs!A23+"p&lt;8!%O"</f>
        <v>#VALUE!</v>
      </c>
      <c r="CP51" t="e">
        <f>Drop_Downs!A24+"p&lt;8!%P"</f>
        <v>#VALUE!</v>
      </c>
      <c r="CQ51" t="e">
        <f>Drop_Downs!A25+"p&lt;8!%Q"</f>
        <v>#VALUE!</v>
      </c>
      <c r="CR51" t="e">
        <f>Drop_Downs!A26+"p&lt;8!%R"</f>
        <v>#VALUE!</v>
      </c>
      <c r="CS51" t="e">
        <f>Drop_Downs!A27+"p&lt;8!%S"</f>
        <v>#VALUE!</v>
      </c>
      <c r="CT51" t="e">
        <f>Drop_Downs!A28+"p&lt;8!%T"</f>
        <v>#VALUE!</v>
      </c>
      <c r="CU51" t="e">
        <f>Drop_Downs!A29+"p&lt;8!%U"</f>
        <v>#VALUE!</v>
      </c>
      <c r="CV51" t="e">
        <f>Drop_Downs!H30+"p&lt;8!%V"</f>
        <v>#VALUE!</v>
      </c>
      <c r="CW51" t="e">
        <f>Drop_Downs!I30+"p&lt;8!%W"</f>
        <v>#VALUE!</v>
      </c>
      <c r="CX51" t="e">
        <f>Drop_Downs!A31+"p&lt;8!%X"</f>
        <v>#VALUE!</v>
      </c>
      <c r="CY51" t="e">
        <f>Drop_Downs!#REF!+"p&lt;8!%Y"</f>
        <v>#REF!</v>
      </c>
      <c r="CZ51" t="e">
        <f>Drop_Downs!#REF!+"p&lt;8!%Z"</f>
        <v>#REF!</v>
      </c>
      <c r="DA51" t="e">
        <f>Drop_Downs!#REF!+"p&lt;8!%["</f>
        <v>#REF!</v>
      </c>
      <c r="DB51" t="e">
        <f>Drop_Downs!#REF!+"p&lt;8!%\"</f>
        <v>#REF!</v>
      </c>
      <c r="DC51" t="e">
        <f>Drop_Downs!A32+"p&lt;8!%]"</f>
        <v>#VALUE!</v>
      </c>
      <c r="DD51" t="e">
        <f>Drop_Downs!A33+"p&lt;8!%^"</f>
        <v>#VALUE!</v>
      </c>
      <c r="DE51" t="e">
        <f>Drop_Downs!A34+"p&lt;8!%_"</f>
        <v>#VALUE!</v>
      </c>
      <c r="DF51" t="e">
        <f>Drop_Downs!A35+"p&lt;8!%`"</f>
        <v>#VALUE!</v>
      </c>
      <c r="DG51" t="e">
        <f>Drop_Downs!#REF!+"p&lt;8!%a"</f>
        <v>#REF!</v>
      </c>
      <c r="DH51" t="e">
        <f>Drop_Downs!A36+"p&lt;8!%b"</f>
        <v>#VALUE!</v>
      </c>
      <c r="DI51" t="e">
        <f>Drop_Downs!A37+"p&lt;8!%c"</f>
        <v>#VALUE!</v>
      </c>
      <c r="DJ51" t="e">
        <f>Drop_Downs!A38+"p&lt;8!%d"</f>
        <v>#VALUE!</v>
      </c>
      <c r="DK51" t="e">
        <f>Drop_Downs!A39+"p&lt;8!%e"</f>
        <v>#VALUE!</v>
      </c>
      <c r="DL51" t="e">
        <f>Drop_Downs!A40+"p&lt;8!%f"</f>
        <v>#VALUE!</v>
      </c>
      <c r="DM51" t="e">
        <f>Drop_Downs!A41+"p&lt;8!%g"</f>
        <v>#VALUE!</v>
      </c>
      <c r="DN51" t="e">
        <f>Drop_Downs!A42+"p&lt;8!%h"</f>
        <v>#VALUE!</v>
      </c>
      <c r="DO51" t="e">
        <f>Drop_Downs!A43+"p&lt;8!%i"</f>
        <v>#VALUE!</v>
      </c>
      <c r="DP51" t="e">
        <f>Drop_Downs!A44+"p&lt;8!%j"</f>
        <v>#VALUE!</v>
      </c>
      <c r="DQ51" t="e">
        <f>Drop_Downs!A45+"p&lt;8!%k"</f>
        <v>#VALUE!</v>
      </c>
      <c r="DR51" t="e">
        <f>Drop_Downs!A46+"p&lt;8!%l"</f>
        <v>#VALUE!</v>
      </c>
      <c r="DS51" t="e">
        <f>Drop_Downs!A47+"p&lt;8!%m"</f>
        <v>#VALUE!</v>
      </c>
      <c r="DT51" t="e">
        <f>Drop_Downs!A48+"p&lt;8!%n"</f>
        <v>#VALUE!</v>
      </c>
      <c r="DU51" t="e">
        <f>Drop_Downs!A49+"p&lt;8!%o"</f>
        <v>#VALUE!</v>
      </c>
      <c r="DV51" t="e">
        <f>Drop_Downs!A50+"p&lt;8!%p"</f>
        <v>#VALUE!</v>
      </c>
      <c r="DW51" t="e">
        <f>Drop_Downs!A51+"p&lt;8!%q"</f>
        <v>#VALUE!</v>
      </c>
      <c r="DX51" t="e">
        <f>Drop_Downs!A52+"p&lt;8!%r"</f>
        <v>#VALUE!</v>
      </c>
      <c r="DY51" t="e">
        <f>Drop_Downs!A53+"p&lt;8!%s"</f>
        <v>#VALUE!</v>
      </c>
      <c r="DZ51" t="e">
        <f>Drop_Downs!A54+"p&lt;8!%t"</f>
        <v>#VALUE!</v>
      </c>
      <c r="EA51" t="e">
        <f>Drop_Downs!A55+"p&lt;8!%u"</f>
        <v>#VALUE!</v>
      </c>
      <c r="EB51" t="e">
        <f>Drop_Downs!A56+"p&lt;8!%v"</f>
        <v>#VALUE!</v>
      </c>
      <c r="EC51" t="e">
        <f>Drop_Downs!A57+"p&lt;8!%w"</f>
        <v>#VALUE!</v>
      </c>
      <c r="ED51" t="e">
        <f>Drop_Downs!A58+"p&lt;8!%x"</f>
        <v>#VALUE!</v>
      </c>
      <c r="EE51" t="e">
        <f>Drop_Downs!A59+"p&lt;8!%y"</f>
        <v>#VALUE!</v>
      </c>
      <c r="EF51" t="e">
        <f>Drop_Downs!A60+"p&lt;8!%z"</f>
        <v>#VALUE!</v>
      </c>
      <c r="EG51" t="e">
        <f>Drop_Downs!A61+"p&lt;8!%{"</f>
        <v>#VALUE!</v>
      </c>
      <c r="EH51" t="e">
        <f>Drop_Downs!A62+"p&lt;8!%|"</f>
        <v>#VALUE!</v>
      </c>
      <c r="EI51" t="e">
        <f>Drop_Downs!A63+"p&lt;8!%}"</f>
        <v>#VALUE!</v>
      </c>
      <c r="EJ51" t="e">
        <f>Drop_Downs!A64+"p&lt;8!%~"</f>
        <v>#VALUE!</v>
      </c>
      <c r="EK51" t="e">
        <f>Drop_Downs!A65+"p&lt;8!&amp;#"</f>
        <v>#VALUE!</v>
      </c>
      <c r="EL51" t="e">
        <f>Drop_Downs!A66+"p&lt;8!&amp;$"</f>
        <v>#VALUE!</v>
      </c>
      <c r="EM51" t="e">
        <f>Drop_Downs!A67+"p&lt;8!&amp;%"</f>
        <v>#VALUE!</v>
      </c>
      <c r="EN51" t="e">
        <f>Drop_Downs!A68+"p&lt;8!&amp;&amp;"</f>
        <v>#VALUE!</v>
      </c>
      <c r="EO51" t="e">
        <f>Drop_Downs!A69+"p&lt;8!&amp;'"</f>
        <v>#VALUE!</v>
      </c>
      <c r="EP51" t="e">
        <f>Drop_Downs!A70+"p&lt;8!&amp;("</f>
        <v>#VALUE!</v>
      </c>
      <c r="EQ51" t="e">
        <f>Drop_Downs!A71+"p&lt;8!&amp;)"</f>
        <v>#VALUE!</v>
      </c>
      <c r="ER51" t="e">
        <f>Drop_Downs!A72+"p&lt;8!&amp;."</f>
        <v>#VALUE!</v>
      </c>
      <c r="ES51" t="e">
        <f>Drop_Downs!A73+"p&lt;8!&amp;/"</f>
        <v>#VALUE!</v>
      </c>
      <c r="ET51" t="e">
        <f>Drop_Downs!A74+"p&lt;8!&amp;0"</f>
        <v>#VALUE!</v>
      </c>
      <c r="EU51" t="e">
        <f>Drop_Downs!A75+"p&lt;8!&amp;1"</f>
        <v>#VALUE!</v>
      </c>
      <c r="EV51" t="e">
        <f>Drop_Downs!A76+"p&lt;8!&amp;2"</f>
        <v>#VALUE!</v>
      </c>
      <c r="EW51" t="e">
        <f>Drop_Downs!A77+"p&lt;8!&amp;3"</f>
        <v>#VALUE!</v>
      </c>
      <c r="EX51" t="e">
        <f>Drop_Downs!A78+"p&lt;8!&amp;4"</f>
        <v>#VALUE!</v>
      </c>
      <c r="EY51" t="e">
        <f>Drop_Downs!A79+"p&lt;8!&amp;5"</f>
        <v>#VALUE!</v>
      </c>
      <c r="EZ51" t="e">
        <f>Drop_Downs!A80+"p&lt;8!&amp;6"</f>
        <v>#VALUE!</v>
      </c>
      <c r="FA51" t="e">
        <f>Drop_Downs!A81+"p&lt;8!&amp;7"</f>
        <v>#VALUE!</v>
      </c>
      <c r="FB51" t="e">
        <f>Drop_Downs!A82+"p&lt;8!&amp;8"</f>
        <v>#VALUE!</v>
      </c>
      <c r="FC51" t="e">
        <f>Drop_Downs!A83+"p&lt;8!&amp;9"</f>
        <v>#VALUE!</v>
      </c>
      <c r="FD51" t="e">
        <f>Drop_Downs!A84+"p&lt;8!&amp;:"</f>
        <v>#VALUE!</v>
      </c>
      <c r="FE51" t="e">
        <f>Drop_Downs!A85+"p&lt;8!&amp;;"</f>
        <v>#VALUE!</v>
      </c>
      <c r="FF51" t="e">
        <f>'CVE Blocks 2016'!D22+"fp2!%"</f>
        <v>#VALUE!</v>
      </c>
      <c r="FG51" t="e">
        <f>'CVE Blocks 2016'!D23+"fp2!&amp;"</f>
        <v>#VALUE!</v>
      </c>
      <c r="FH51" t="e">
        <f>'CVE Blocks 2016'!D24+"fp2!'"</f>
        <v>#VALUE!</v>
      </c>
      <c r="FI51" t="e">
        <f>'CVE Blocks 2016'!D25+"fp2!("</f>
        <v>#VALUE!</v>
      </c>
      <c r="FJ51" t="e">
        <f>'CVE Blocks 2016'!D26+"fp2!)"</f>
        <v>#VALUE!</v>
      </c>
      <c r="FK51" t="e">
        <f>'CVE Blocks 2016'!D27+"fp2!."</f>
        <v>#VALUE!</v>
      </c>
      <c r="FL51" t="e">
        <f>'CVE Blocks 2016'!D28+"fp2!/"</f>
        <v>#VALUE!</v>
      </c>
      <c r="FM51" t="e">
        <f>'CVE Blocks 2016'!D29+"fp2!0"</f>
        <v>#VALUE!</v>
      </c>
      <c r="FN51" t="e">
        <f>'CVE Blocks 2016'!D30+"fp2!1"</f>
        <v>#VALUE!</v>
      </c>
      <c r="FO51" t="e">
        <f>'CVE Blocks 2016'!D31+"fp2!2"</f>
        <v>#VALUE!</v>
      </c>
      <c r="FP51" t="e">
        <f>'CVE Blocks 2016'!E22+"fp2!3"</f>
        <v>#VALUE!</v>
      </c>
      <c r="FQ51" t="e">
        <f>'CVE Blocks 2016'!E23+"fp2!4"</f>
        <v>#VALUE!</v>
      </c>
      <c r="FR51" t="e">
        <f>'CVE Blocks 2016'!E24+"fp2!5"</f>
        <v>#VALUE!</v>
      </c>
      <c r="FS51" t="e">
        <f>'CVE Blocks 2016'!E25+"fp2!6"</f>
        <v>#VALUE!</v>
      </c>
      <c r="FT51" t="e">
        <f>'CVE Blocks 2016'!E26+"fp2!7"</f>
        <v>#VALUE!</v>
      </c>
      <c r="FU51" t="e">
        <f>'CVE Blocks 2016'!E27+"fp2!8"</f>
        <v>#VALUE!</v>
      </c>
      <c r="FV51" t="e">
        <f>'CVE Blocks 2016'!E28+"fp2!9"</f>
        <v>#VALUE!</v>
      </c>
      <c r="FW51" t="e">
        <f>'CVE Blocks 2016'!E29+"fp2!:"</f>
        <v>#VALUE!</v>
      </c>
      <c r="FX51" t="e">
        <f>'CVE Blocks 2016'!E30+"fp2!;"</f>
        <v>#VALUE!</v>
      </c>
      <c r="FY51" t="e">
        <f>'CVE Blocks 2016'!E31+"fp2!&lt;"</f>
        <v>#VALUE!</v>
      </c>
      <c r="FZ51" t="e">
        <f>CVEs!53:53-"fp2!="</f>
        <v>#VALUE!</v>
      </c>
      <c r="GA51" t="e">
        <f>CVEs!54:54-"fp2!&gt;"</f>
        <v>#VALUE!</v>
      </c>
      <c r="GB51" t="e">
        <f>CVEs!55:55-"fp2!?"</f>
        <v>#VALUE!</v>
      </c>
      <c r="GC51" t="e">
        <f>CVEs!48:48-"fp2!@"</f>
        <v>#VALUE!</v>
      </c>
      <c r="GD51" t="e">
        <f>CVEs!57:57-"fp2!A"</f>
        <v>#VALUE!</v>
      </c>
      <c r="GE51" t="e">
        <f>CVEs!58:58-"fp2!B"</f>
        <v>#VALUE!</v>
      </c>
      <c r="GF51" t="e">
        <f>CVEs!59:59-"fp2!C"</f>
        <v>#VALUE!</v>
      </c>
      <c r="GG51" t="e">
        <f>CVEs!60:60-"fp2!D"</f>
        <v>#VALUE!</v>
      </c>
      <c r="GH51" t="e">
        <f>CVEs!61:61-"fp2!E"</f>
        <v>#VALUE!</v>
      </c>
      <c r="GI51" t="e">
        <f>CVEs!62:62-"fp2!F"</f>
        <v>#VALUE!</v>
      </c>
      <c r="GJ51" t="e">
        <f>CVEs!63:63-"fp2!G"</f>
        <v>#VALUE!</v>
      </c>
      <c r="GK51" t="e">
        <f>CVEs!64:64-"fp2!H"</f>
        <v>#VALUE!</v>
      </c>
      <c r="GL51" t="e">
        <f>CVEs!65:65-"fp2!I"</f>
        <v>#VALUE!</v>
      </c>
      <c r="GM51" t="e">
        <f>CVEs!66:66-"fp2!J"</f>
        <v>#VALUE!</v>
      </c>
      <c r="GN51" t="e">
        <f>CVEs!67:67-"fp2!K"</f>
        <v>#VALUE!</v>
      </c>
      <c r="GO51" t="e">
        <f>CVEs!68:68-"fp2!L"</f>
        <v>#VALUE!</v>
      </c>
      <c r="GP51" t="e">
        <f>CVEs!69:69-"fp2!M"</f>
        <v>#VALUE!</v>
      </c>
      <c r="GQ51" t="e">
        <f>CVEs!70:70-"fp2!N"</f>
        <v>#VALUE!</v>
      </c>
      <c r="GR51" t="e">
        <f>CVEs!71:71-"fp2!O"</f>
        <v>#VALUE!</v>
      </c>
      <c r="GS51" t="e">
        <f>CVEs!A53+"fp2!P"</f>
        <v>#VALUE!</v>
      </c>
      <c r="GT51" t="e">
        <f>CVEs!B53+"fp2!Q"</f>
        <v>#VALUE!</v>
      </c>
      <c r="GU51" t="e">
        <f>CVEs!C53+"fp2!R"</f>
        <v>#VALUE!</v>
      </c>
      <c r="GV51" s="57" t="e">
        <f>CVEs!D53+"fp2!S"</f>
        <v>#VALUE!</v>
      </c>
      <c r="GW51" s="58" t="e">
        <f>CVEs!E53+"fp2!T"</f>
        <v>#VALUE!</v>
      </c>
      <c r="GX51" s="58" t="e">
        <f>CVEs!F53+"fp2!U"</f>
        <v>#VALUE!</v>
      </c>
      <c r="GY51" s="58" t="e">
        <f>CVEs!G53+"fp2!V"</f>
        <v>#VALUE!</v>
      </c>
      <c r="GZ51" t="e">
        <f>CVEs!H53+"fp2!W"</f>
        <v>#VALUE!</v>
      </c>
      <c r="HA51" t="e">
        <f>CVEs!I53+"fp2!X"</f>
        <v>#VALUE!</v>
      </c>
      <c r="HB51" t="e">
        <f>CVEs!J53+"fp2!Y"</f>
        <v>#VALUE!</v>
      </c>
      <c r="HC51" t="e">
        <f>CVEs!K53+"fp2!Z"</f>
        <v>#VALUE!</v>
      </c>
      <c r="HD51" t="e">
        <f>CVEs!L53+"fp2!["</f>
        <v>#VALUE!</v>
      </c>
      <c r="HE51" t="e">
        <f>CVEs!M53+"fp2!\"</f>
        <v>#VALUE!</v>
      </c>
      <c r="HF51" t="e">
        <f>CVEs!N53+"fp2!]"</f>
        <v>#VALUE!</v>
      </c>
      <c r="HG51" t="e">
        <f>CVEs!O53+"fp2!^"</f>
        <v>#VALUE!</v>
      </c>
      <c r="HH51" t="e">
        <f>CVEs!P53+"fp2!_"</f>
        <v>#VALUE!</v>
      </c>
      <c r="HI51" t="e">
        <f>CVEs!Q53+"fp2!`"</f>
        <v>#VALUE!</v>
      </c>
      <c r="HJ51" t="e">
        <f>CVEs!R53+"fp2!a"</f>
        <v>#VALUE!</v>
      </c>
      <c r="HK51" t="e">
        <f>CVEs!S53+"fp2!b"</f>
        <v>#VALUE!</v>
      </c>
      <c r="HL51" t="e">
        <f>CVEs!U53+"fp2!c"</f>
        <v>#VALUE!</v>
      </c>
      <c r="HM51" t="e">
        <f>CVEs!V53+"fp2!d"</f>
        <v>#VALUE!</v>
      </c>
      <c r="HN51" t="e">
        <f>CVEs!W53+"fp2!e"</f>
        <v>#VALUE!</v>
      </c>
      <c r="HO51" t="e">
        <f>CVEs!X53+"fp2!f"</f>
        <v>#VALUE!</v>
      </c>
      <c r="HP51" t="e">
        <f>CVEs!T53+"fp2!g"</f>
        <v>#VALUE!</v>
      </c>
      <c r="HQ51" t="e">
        <f>CVEs!#REF!+"fp2!h"</f>
        <v>#REF!</v>
      </c>
      <c r="HR51" t="e">
        <f>CVEs!B54+"fp2!i"</f>
        <v>#VALUE!</v>
      </c>
      <c r="HS51" t="e">
        <f>CVEs!C54+"fp2!j"</f>
        <v>#VALUE!</v>
      </c>
      <c r="HT51" s="57" t="e">
        <f>CVEs!D54+"fp2!k"</f>
        <v>#VALUE!</v>
      </c>
      <c r="HU51" s="58" t="e">
        <f>CVEs!E54+"fp2!l"</f>
        <v>#VALUE!</v>
      </c>
      <c r="HV51" s="58" t="e">
        <f>CVEs!F54+"fp2!m"</f>
        <v>#VALUE!</v>
      </c>
      <c r="HW51" s="58" t="e">
        <f>CVEs!G54+"fp2!n"</f>
        <v>#VALUE!</v>
      </c>
      <c r="HX51" t="e">
        <f>CVEs!H54+"fp2!o"</f>
        <v>#VALUE!</v>
      </c>
      <c r="HY51" t="e">
        <f>CVEs!I54+"fp2!p"</f>
        <v>#VALUE!</v>
      </c>
      <c r="HZ51" t="e">
        <f>CVEs!J54+"fp2!q"</f>
        <v>#VALUE!</v>
      </c>
      <c r="IA51" t="e">
        <f>CVEs!K54+"fp2!r"</f>
        <v>#VALUE!</v>
      </c>
      <c r="IB51" t="e">
        <f>CVEs!L54+"fp2!s"</f>
        <v>#VALUE!</v>
      </c>
      <c r="IC51" t="e">
        <f>CVEs!M54+"fp2!t"</f>
        <v>#VALUE!</v>
      </c>
      <c r="ID51" t="e">
        <f>CVEs!N54+"fp2!u"</f>
        <v>#VALUE!</v>
      </c>
      <c r="IE51" t="e">
        <f>CVEs!O54+"fp2!v"</f>
        <v>#VALUE!</v>
      </c>
      <c r="IF51" t="e">
        <f>CVEs!P54+"fp2!w"</f>
        <v>#VALUE!</v>
      </c>
      <c r="IG51" t="e">
        <f>CVEs!Q54+"fp2!x"</f>
        <v>#VALUE!</v>
      </c>
      <c r="IH51" t="e">
        <f>CVEs!R54+"fp2!y"</f>
        <v>#VALUE!</v>
      </c>
      <c r="II51" t="e">
        <f>CVEs!#REF!+"fp2!z"</f>
        <v>#REF!</v>
      </c>
      <c r="IJ51" t="e">
        <f>CVEs!U54+"fp2!{"</f>
        <v>#VALUE!</v>
      </c>
      <c r="IK51" t="e">
        <f>CVEs!V54+"fp2!|"</f>
        <v>#VALUE!</v>
      </c>
      <c r="IL51" t="e">
        <f>CVEs!W54+"fp2!}"</f>
        <v>#VALUE!</v>
      </c>
      <c r="IM51" t="e">
        <f>CVEs!X54+"fp2!~"</f>
        <v>#VALUE!</v>
      </c>
      <c r="IN51" t="e">
        <f>CVEs!T54+"fp2!$#"</f>
        <v>#VALUE!</v>
      </c>
      <c r="IO51" t="e">
        <f>CVEs!A55+"fp2!$$"</f>
        <v>#VALUE!</v>
      </c>
      <c r="IP51" t="e">
        <f>CVEs!B55+"fp2!$%"</f>
        <v>#VALUE!</v>
      </c>
      <c r="IQ51" t="e">
        <f>CVEs!C55+"fp2!$&amp;"</f>
        <v>#VALUE!</v>
      </c>
      <c r="IR51" s="57" t="e">
        <f>CVEs!D55+"fp2!$'"</f>
        <v>#VALUE!</v>
      </c>
      <c r="IS51" s="58" t="e">
        <f>CVEs!E55+"fp2!$("</f>
        <v>#VALUE!</v>
      </c>
      <c r="IT51" s="58" t="e">
        <f>CVEs!F55+"fp2!$)"</f>
        <v>#VALUE!</v>
      </c>
      <c r="IU51" s="58" t="e">
        <f>CVEs!G55+"fp2!$."</f>
        <v>#VALUE!</v>
      </c>
      <c r="IV51" t="e">
        <f>CVEs!H55+"fp2!$/"</f>
        <v>#VALUE!</v>
      </c>
    </row>
    <row r="52" spans="6:256" x14ac:dyDescent="0.25">
      <c r="F52" t="e">
        <f>CVEs!I55+"fp2!$0"</f>
        <v>#VALUE!</v>
      </c>
      <c r="G52" t="e">
        <f>CVEs!J55+"fp2!$1"</f>
        <v>#VALUE!</v>
      </c>
      <c r="H52" t="e">
        <f>CVEs!K55+"fp2!$2"</f>
        <v>#VALUE!</v>
      </c>
      <c r="I52" t="e">
        <f>CVEs!L55+"fp2!$3"</f>
        <v>#VALUE!</v>
      </c>
      <c r="J52" s="58" t="e">
        <f>CVEs!M55+"fp2!$4"</f>
        <v>#VALUE!</v>
      </c>
      <c r="K52" t="e">
        <f>CVEs!N55+"fp2!$5"</f>
        <v>#VALUE!</v>
      </c>
      <c r="L52" t="e">
        <f>CVEs!O55+"fp2!$6"</f>
        <v>#VALUE!</v>
      </c>
      <c r="M52" t="e">
        <f>CVEs!P55+"fp2!$7"</f>
        <v>#VALUE!</v>
      </c>
      <c r="N52" t="e">
        <f>CVEs!Q55+"fp2!$8"</f>
        <v>#VALUE!</v>
      </c>
      <c r="O52" t="e">
        <f>CVEs!R55+"fp2!$9"</f>
        <v>#VALUE!</v>
      </c>
      <c r="P52" t="e">
        <f>CVEs!S55+"fp2!$:"</f>
        <v>#VALUE!</v>
      </c>
      <c r="Q52" t="e">
        <f>CVEs!U55+"fp2!$;"</f>
        <v>#VALUE!</v>
      </c>
      <c r="R52" t="e">
        <f>CVEs!V55+"fp2!$&lt;"</f>
        <v>#VALUE!</v>
      </c>
      <c r="S52" t="e">
        <f>CVEs!W55+"fp2!$="</f>
        <v>#VALUE!</v>
      </c>
      <c r="T52" t="e">
        <f>CVEs!X55+"fp2!$&gt;"</f>
        <v>#VALUE!</v>
      </c>
      <c r="U52" t="e">
        <f>CVEs!T55+"fp2!$?"</f>
        <v>#VALUE!</v>
      </c>
      <c r="V52" t="e">
        <f>CVEs!A48+"fp2!$@"</f>
        <v>#VALUE!</v>
      </c>
      <c r="W52" t="e">
        <f>CVEs!B48+"fp2!$A"</f>
        <v>#VALUE!</v>
      </c>
      <c r="X52" t="e">
        <f>CVEs!C48+"fp2!$B"</f>
        <v>#VALUE!</v>
      </c>
      <c r="Y52" s="57" t="e">
        <f>CVEs!D48+"fp2!$C"</f>
        <v>#VALUE!</v>
      </c>
      <c r="Z52" s="58" t="e">
        <f>CVEs!E48+"fp2!$D"</f>
        <v>#VALUE!</v>
      </c>
      <c r="AA52" s="58" t="e">
        <f>CVEs!F48+"fp2!$E"</f>
        <v>#VALUE!</v>
      </c>
      <c r="AB52" s="58" t="e">
        <f>CVEs!G48+"fp2!$F"</f>
        <v>#VALUE!</v>
      </c>
      <c r="AC52" t="e">
        <f>CVEs!H48+"fp2!$G"</f>
        <v>#VALUE!</v>
      </c>
      <c r="AD52" t="e">
        <f>CVEs!I48+"fp2!$H"</f>
        <v>#VALUE!</v>
      </c>
      <c r="AE52" t="e">
        <f>CVEs!J48+"fp2!$I"</f>
        <v>#VALUE!</v>
      </c>
      <c r="AF52" t="e">
        <f>CVEs!K48+"fp2!$J"</f>
        <v>#VALUE!</v>
      </c>
      <c r="AG52" t="e">
        <f>CVEs!L48+"fp2!$K"</f>
        <v>#VALUE!</v>
      </c>
      <c r="AH52" s="58" t="e">
        <f>CVEs!M48+"fp2!$L"</f>
        <v>#VALUE!</v>
      </c>
      <c r="AI52" t="e">
        <f>CVEs!N48+"fp2!$M"</f>
        <v>#VALUE!</v>
      </c>
      <c r="AJ52" t="e">
        <f>CVEs!O48+"fp2!$N"</f>
        <v>#VALUE!</v>
      </c>
      <c r="AK52" t="e">
        <f>CVEs!P48+"fp2!$O"</f>
        <v>#VALUE!</v>
      </c>
      <c r="AL52" t="e">
        <f>CVEs!Q48+"fp2!$P"</f>
        <v>#VALUE!</v>
      </c>
      <c r="AM52" t="e">
        <f>CVEs!R48+"fp2!$Q"</f>
        <v>#VALUE!</v>
      </c>
      <c r="AN52" t="e">
        <f>CVEs!S48+"fp2!$R"</f>
        <v>#VALUE!</v>
      </c>
      <c r="AO52" t="e">
        <f>CVEs!U48+"fp2!$S"</f>
        <v>#VALUE!</v>
      </c>
      <c r="AP52" t="e">
        <f>CVEs!V48+"fp2!$T"</f>
        <v>#VALUE!</v>
      </c>
      <c r="AQ52" t="e">
        <f>CVEs!W48+"fp2!$U"</f>
        <v>#VALUE!</v>
      </c>
      <c r="AR52" t="e">
        <f>CVEs!X48+"fp2!$V"</f>
        <v>#VALUE!</v>
      </c>
      <c r="AS52" t="e">
        <f>CVEs!T48+"fp2!$W"</f>
        <v>#VALUE!</v>
      </c>
      <c r="AT52" t="e">
        <f>CVEs!A57+"fp2!$X"</f>
        <v>#VALUE!</v>
      </c>
      <c r="AU52" t="e">
        <f>CVEs!B57+"fp2!$Y"</f>
        <v>#VALUE!</v>
      </c>
      <c r="AV52" t="e">
        <f>CVEs!C57+"fp2!$Z"</f>
        <v>#VALUE!</v>
      </c>
      <c r="AW52" s="57" t="e">
        <f>CVEs!D57+"fp2!$["</f>
        <v>#VALUE!</v>
      </c>
      <c r="AX52" s="58" t="e">
        <f>CVEs!E57+"fp2!$\"</f>
        <v>#VALUE!</v>
      </c>
      <c r="AY52" s="58" t="e">
        <f>CVEs!F57+"fp2!$]"</f>
        <v>#VALUE!</v>
      </c>
      <c r="AZ52" s="58" t="e">
        <f>CVEs!G57+"fp2!$^"</f>
        <v>#VALUE!</v>
      </c>
      <c r="BA52" t="e">
        <f>CVEs!H57+"fp2!$_"</f>
        <v>#VALUE!</v>
      </c>
      <c r="BB52" t="e">
        <f>CVEs!I57+"fp2!$`"</f>
        <v>#VALUE!</v>
      </c>
      <c r="BC52" t="e">
        <f>CVEs!J57+"fp2!$a"</f>
        <v>#VALUE!</v>
      </c>
      <c r="BD52" t="e">
        <f>CVEs!K57+"fp2!$b"</f>
        <v>#VALUE!</v>
      </c>
      <c r="BE52" t="e">
        <f>CVEs!L57+"fp2!$c"</f>
        <v>#VALUE!</v>
      </c>
      <c r="BF52" t="e">
        <f>CVEs!M57+"fp2!$d"</f>
        <v>#VALUE!</v>
      </c>
      <c r="BG52" t="e">
        <f>CVEs!N57+"fp2!$e"</f>
        <v>#VALUE!</v>
      </c>
      <c r="BH52" t="e">
        <f>CVEs!O57+"fp2!$f"</f>
        <v>#VALUE!</v>
      </c>
      <c r="BI52" t="e">
        <f>CVEs!P57+"fp2!$g"</f>
        <v>#VALUE!</v>
      </c>
      <c r="BJ52" t="e">
        <f>CVEs!Q57+"fp2!$h"</f>
        <v>#VALUE!</v>
      </c>
      <c r="BK52" t="e">
        <f>CVEs!R57+"fp2!$i"</f>
        <v>#VALUE!</v>
      </c>
      <c r="BL52" t="e">
        <f>CVEs!S57+"fp2!$j"</f>
        <v>#VALUE!</v>
      </c>
      <c r="BM52" t="e">
        <f>CVEs!U57+"fp2!$k"</f>
        <v>#VALUE!</v>
      </c>
      <c r="BN52" t="e">
        <f>CVEs!V57+"fp2!$l"</f>
        <v>#VALUE!</v>
      </c>
      <c r="BO52" t="e">
        <f>CVEs!W57+"fp2!$m"</f>
        <v>#VALUE!</v>
      </c>
      <c r="BP52" t="e">
        <f>CVEs!X57+"fp2!$n"</f>
        <v>#VALUE!</v>
      </c>
      <c r="BQ52" t="e">
        <f>CVEs!T57+"fp2!$o"</f>
        <v>#VALUE!</v>
      </c>
      <c r="BR52" t="e">
        <f>CVEs!A54+"fp2!$p"</f>
        <v>#VALUE!</v>
      </c>
      <c r="BS52" t="e">
        <f>CVEs!B58+"fp2!$q"</f>
        <v>#VALUE!</v>
      </c>
      <c r="BT52" t="e">
        <f>CVEs!C58+"fp2!$r"</f>
        <v>#VALUE!</v>
      </c>
      <c r="BU52" s="57" t="e">
        <f>CVEs!D58+"fp2!$s"</f>
        <v>#VALUE!</v>
      </c>
      <c r="BV52" s="58" t="e">
        <f>CVEs!E58+"fp2!$t"</f>
        <v>#VALUE!</v>
      </c>
      <c r="BW52" s="58" t="e">
        <f>CVEs!F58+"fp2!$u"</f>
        <v>#VALUE!</v>
      </c>
      <c r="BX52" s="58" t="e">
        <f>CVEs!G58+"fp2!$v"</f>
        <v>#VALUE!</v>
      </c>
      <c r="BY52" t="e">
        <f>CVEs!H58+"fp2!$w"</f>
        <v>#VALUE!</v>
      </c>
      <c r="BZ52" t="e">
        <f>CVEs!I58+"fp2!$x"</f>
        <v>#VALUE!</v>
      </c>
      <c r="CA52" t="e">
        <f>CVEs!J58+"fp2!$y"</f>
        <v>#VALUE!</v>
      </c>
      <c r="CB52" t="e">
        <f>CVEs!K58+"fp2!$z"</f>
        <v>#VALUE!</v>
      </c>
      <c r="CC52" t="e">
        <f>CVEs!L58+"fp2!${"</f>
        <v>#VALUE!</v>
      </c>
      <c r="CD52" t="e">
        <f>CVEs!M58+"fp2!$|"</f>
        <v>#VALUE!</v>
      </c>
      <c r="CE52" t="e">
        <f>CVEs!N58+"fp2!$}"</f>
        <v>#VALUE!</v>
      </c>
      <c r="CF52" t="e">
        <f>CVEs!O58+"fp2!$~"</f>
        <v>#VALUE!</v>
      </c>
      <c r="CG52" t="e">
        <f>CVEs!P58+"fp2!%#"</f>
        <v>#VALUE!</v>
      </c>
      <c r="CH52" t="e">
        <f>CVEs!Q58+"fp2!%$"</f>
        <v>#VALUE!</v>
      </c>
      <c r="CI52" t="e">
        <f>CVEs!R58+"fp2!%%"</f>
        <v>#VALUE!</v>
      </c>
      <c r="CJ52" t="e">
        <f>CVEs!S54+"fp2!%&amp;"</f>
        <v>#VALUE!</v>
      </c>
      <c r="CK52" t="e">
        <f>CVEs!U58+"fp2!%'"</f>
        <v>#VALUE!</v>
      </c>
      <c r="CL52" t="e">
        <f>CVEs!V58+"fp2!%("</f>
        <v>#VALUE!</v>
      </c>
      <c r="CM52" t="e">
        <f>CVEs!W58+"fp2!%)"</f>
        <v>#VALUE!</v>
      </c>
      <c r="CN52" t="e">
        <f>CVEs!X58+"fp2!%."</f>
        <v>#VALUE!</v>
      </c>
      <c r="CO52" t="e">
        <f>CVEs!T58+"fp2!%/"</f>
        <v>#VALUE!</v>
      </c>
      <c r="CP52" t="e">
        <f>CVEs!A59+"fp2!%0"</f>
        <v>#VALUE!</v>
      </c>
      <c r="CQ52" t="e">
        <f>CVEs!B59+"fp2!%1"</f>
        <v>#VALUE!</v>
      </c>
      <c r="CR52" t="e">
        <f>CVEs!C59+"fp2!%2"</f>
        <v>#VALUE!</v>
      </c>
      <c r="CS52" s="57" t="e">
        <f>CVEs!D59+"fp2!%3"</f>
        <v>#VALUE!</v>
      </c>
      <c r="CT52" s="58" t="e">
        <f>CVEs!E59+"fp2!%4"</f>
        <v>#VALUE!</v>
      </c>
      <c r="CU52" s="58" t="e">
        <f>CVEs!F59+"fp2!%5"</f>
        <v>#VALUE!</v>
      </c>
      <c r="CV52" s="58" t="e">
        <f>CVEs!G59+"fp2!%6"</f>
        <v>#VALUE!</v>
      </c>
      <c r="CW52" t="e">
        <f>CVEs!H59+"fp2!%7"</f>
        <v>#VALUE!</v>
      </c>
      <c r="CX52" t="e">
        <f>CVEs!I59+"fp2!%8"</f>
        <v>#VALUE!</v>
      </c>
      <c r="CY52" t="e">
        <f>CVEs!J59+"fp2!%9"</f>
        <v>#VALUE!</v>
      </c>
      <c r="CZ52" t="e">
        <f>CVEs!K59+"fp2!%:"</f>
        <v>#VALUE!</v>
      </c>
      <c r="DA52" t="e">
        <f>CVEs!L59+"fp2!%;"</f>
        <v>#VALUE!</v>
      </c>
      <c r="DB52" t="e">
        <f>CVEs!M59+"fp2!%&lt;"</f>
        <v>#VALUE!</v>
      </c>
      <c r="DC52" t="e">
        <f>CVEs!N59+"fp2!%="</f>
        <v>#VALUE!</v>
      </c>
      <c r="DD52" t="e">
        <f>CVEs!O59+"fp2!%&gt;"</f>
        <v>#VALUE!</v>
      </c>
      <c r="DE52" t="e">
        <f>CVEs!P59+"fp2!%?"</f>
        <v>#VALUE!</v>
      </c>
      <c r="DF52" t="e">
        <f>CVEs!Q59+"fp2!%@"</f>
        <v>#VALUE!</v>
      </c>
      <c r="DG52" t="e">
        <f>CVEs!R59+"fp2!%A"</f>
        <v>#VALUE!</v>
      </c>
      <c r="DH52" t="e">
        <f>CVEs!S59+"fp2!%B"</f>
        <v>#VALUE!</v>
      </c>
      <c r="DI52" t="e">
        <f>CVEs!U59+"fp2!%C"</f>
        <v>#VALUE!</v>
      </c>
      <c r="DJ52" t="e">
        <f>CVEs!V59+"fp2!%D"</f>
        <v>#VALUE!</v>
      </c>
      <c r="DK52" t="e">
        <f>CVEs!W59+"fp2!%E"</f>
        <v>#VALUE!</v>
      </c>
      <c r="DL52" t="e">
        <f>CVEs!X59+"fp2!%F"</f>
        <v>#VALUE!</v>
      </c>
      <c r="DM52" t="e">
        <f>CVEs!T59+"fp2!%G"</f>
        <v>#VALUE!</v>
      </c>
      <c r="DN52" t="e">
        <f>CVEs!A60+"fp2!%H"</f>
        <v>#VALUE!</v>
      </c>
      <c r="DO52" t="e">
        <f>CVEs!B60+"fp2!%I"</f>
        <v>#VALUE!</v>
      </c>
      <c r="DP52" t="e">
        <f>CVEs!C60+"fp2!%J"</f>
        <v>#VALUE!</v>
      </c>
      <c r="DQ52" s="57" t="e">
        <f>CVEs!D60+"fp2!%K"</f>
        <v>#VALUE!</v>
      </c>
      <c r="DR52" s="58" t="e">
        <f>CVEs!E60+"fp2!%L"</f>
        <v>#VALUE!</v>
      </c>
      <c r="DS52" s="58" t="e">
        <f>CVEs!F60+"fp2!%M"</f>
        <v>#VALUE!</v>
      </c>
      <c r="DT52" s="58" t="e">
        <f>CVEs!G60+"fp2!%N"</f>
        <v>#VALUE!</v>
      </c>
      <c r="DU52" t="e">
        <f>CVEs!H60+"fp2!%O"</f>
        <v>#VALUE!</v>
      </c>
      <c r="DV52" t="e">
        <f>CVEs!I60+"fp2!%P"</f>
        <v>#VALUE!</v>
      </c>
      <c r="DW52" t="e">
        <f>CVEs!J60+"fp2!%Q"</f>
        <v>#VALUE!</v>
      </c>
      <c r="DX52" t="e">
        <f>CVEs!K60+"fp2!%R"</f>
        <v>#VALUE!</v>
      </c>
      <c r="DY52" t="e">
        <f>CVEs!L60+"fp2!%S"</f>
        <v>#VALUE!</v>
      </c>
      <c r="DZ52" t="e">
        <f>CVEs!M60+"fp2!%T"</f>
        <v>#VALUE!</v>
      </c>
      <c r="EA52" t="e">
        <f>CVEs!N60+"fp2!%U"</f>
        <v>#VALUE!</v>
      </c>
      <c r="EB52" t="e">
        <f>CVEs!O60+"fp2!%V"</f>
        <v>#VALUE!</v>
      </c>
      <c r="EC52" t="e">
        <f>CVEs!P60+"fp2!%W"</f>
        <v>#VALUE!</v>
      </c>
      <c r="ED52" t="e">
        <f>CVEs!Q60+"fp2!%X"</f>
        <v>#VALUE!</v>
      </c>
      <c r="EE52" t="e">
        <f>CVEs!R60+"fp2!%Y"</f>
        <v>#VALUE!</v>
      </c>
      <c r="EF52" t="e">
        <f>CVEs!S60+"fp2!%Z"</f>
        <v>#VALUE!</v>
      </c>
      <c r="EG52" t="e">
        <f>CVEs!U60+"fp2!%["</f>
        <v>#VALUE!</v>
      </c>
      <c r="EH52" t="e">
        <f>CVEs!V60+"fp2!%\"</f>
        <v>#VALUE!</v>
      </c>
      <c r="EI52" t="e">
        <f>CVEs!W60+"fp2!%]"</f>
        <v>#VALUE!</v>
      </c>
      <c r="EJ52" t="e">
        <f>CVEs!X60+"fp2!%^"</f>
        <v>#VALUE!</v>
      </c>
      <c r="EK52" t="e">
        <f>CVEs!T60+"fp2!%_"</f>
        <v>#VALUE!</v>
      </c>
      <c r="EL52" t="e">
        <f>CVEs!A61+"fp2!%`"</f>
        <v>#VALUE!</v>
      </c>
      <c r="EM52" t="e">
        <f>CVEs!B61+"fp2!%a"</f>
        <v>#VALUE!</v>
      </c>
      <c r="EN52" t="e">
        <f>CVEs!C61+"fp2!%b"</f>
        <v>#VALUE!</v>
      </c>
      <c r="EO52" s="57" t="e">
        <f>CVEs!D61+"fp2!%c"</f>
        <v>#VALUE!</v>
      </c>
      <c r="EP52" s="58" t="e">
        <f>CVEs!E61+"fp2!%d"</f>
        <v>#VALUE!</v>
      </c>
      <c r="EQ52" s="58" t="e">
        <f>CVEs!F61+"fp2!%e"</f>
        <v>#VALUE!</v>
      </c>
      <c r="ER52" s="58" t="e">
        <f>CVEs!G61+"fp2!%f"</f>
        <v>#VALUE!</v>
      </c>
      <c r="ES52" t="e">
        <f>CVEs!H61+"fp2!%g"</f>
        <v>#VALUE!</v>
      </c>
      <c r="ET52" t="e">
        <f>CVEs!I61+"fp2!%h"</f>
        <v>#VALUE!</v>
      </c>
      <c r="EU52" t="e">
        <f>CVEs!J61+"fp2!%i"</f>
        <v>#VALUE!</v>
      </c>
      <c r="EV52" t="e">
        <f>CVEs!K61+"fp2!%j"</f>
        <v>#VALUE!</v>
      </c>
      <c r="EW52" t="e">
        <f>CVEs!L61+"fp2!%k"</f>
        <v>#VALUE!</v>
      </c>
      <c r="EX52" t="e">
        <f>CVEs!M61+"fp2!%l"</f>
        <v>#VALUE!</v>
      </c>
      <c r="EY52" t="e">
        <f>CVEs!N61+"fp2!%m"</f>
        <v>#VALUE!</v>
      </c>
      <c r="EZ52" t="e">
        <f>CVEs!O61+"fp2!%n"</f>
        <v>#VALUE!</v>
      </c>
      <c r="FA52" t="e">
        <f>CVEs!P61+"fp2!%o"</f>
        <v>#VALUE!</v>
      </c>
      <c r="FB52" t="e">
        <f>CVEs!Q61+"fp2!%p"</f>
        <v>#VALUE!</v>
      </c>
      <c r="FC52" t="e">
        <f>CVEs!R61+"fp2!%q"</f>
        <v>#VALUE!</v>
      </c>
      <c r="FD52" t="e">
        <f>CVEs!S61+"fp2!%r"</f>
        <v>#VALUE!</v>
      </c>
      <c r="FE52" t="e">
        <f>CVEs!U61+"fp2!%s"</f>
        <v>#VALUE!</v>
      </c>
      <c r="FF52" t="e">
        <f>CVEs!V61+"fp2!%t"</f>
        <v>#VALUE!</v>
      </c>
      <c r="FG52" t="e">
        <f>CVEs!W61+"fp2!%u"</f>
        <v>#VALUE!</v>
      </c>
      <c r="FH52" t="e">
        <f>CVEs!X61+"fp2!%v"</f>
        <v>#VALUE!</v>
      </c>
      <c r="FI52" t="e">
        <f>CVEs!T61+"fp2!%w"</f>
        <v>#VALUE!</v>
      </c>
      <c r="FJ52" t="e">
        <f>CVEs!A62+"fp2!%x"</f>
        <v>#VALUE!</v>
      </c>
      <c r="FK52" t="e">
        <f>CVEs!B62+"fp2!%y"</f>
        <v>#VALUE!</v>
      </c>
      <c r="FL52" t="e">
        <f>CVEs!C62+"fp2!%z"</f>
        <v>#VALUE!</v>
      </c>
      <c r="FM52" s="57" t="e">
        <f>CVEs!D62+"fp2!%{"</f>
        <v>#VALUE!</v>
      </c>
      <c r="FN52" s="58" t="e">
        <f>CVEs!E62+"fp2!%|"</f>
        <v>#VALUE!</v>
      </c>
      <c r="FO52" s="58" t="e">
        <f>CVEs!F62+"fp2!%}"</f>
        <v>#VALUE!</v>
      </c>
      <c r="FP52" s="58" t="e">
        <f>CVEs!G62+"fp2!%~"</f>
        <v>#VALUE!</v>
      </c>
      <c r="FQ52" t="e">
        <f>CVEs!H62+"fp2!&amp;#"</f>
        <v>#VALUE!</v>
      </c>
      <c r="FR52" t="e">
        <f>CVEs!I62+"fp2!&amp;$"</f>
        <v>#VALUE!</v>
      </c>
      <c r="FS52" t="e">
        <f>CVEs!J62+"fp2!&amp;%"</f>
        <v>#VALUE!</v>
      </c>
      <c r="FT52" t="e">
        <f>CVEs!K62+"fp2!&amp;&amp;"</f>
        <v>#VALUE!</v>
      </c>
      <c r="FU52" t="e">
        <f>CVEs!L62+"fp2!&amp;'"</f>
        <v>#VALUE!</v>
      </c>
      <c r="FV52" t="e">
        <f>CVEs!M62+"fp2!&amp;("</f>
        <v>#VALUE!</v>
      </c>
      <c r="FW52" t="e">
        <f>CVEs!N62+"fp2!&amp;)"</f>
        <v>#VALUE!</v>
      </c>
      <c r="FX52" t="e">
        <f>CVEs!O62+"fp2!&amp;."</f>
        <v>#VALUE!</v>
      </c>
      <c r="FY52" t="e">
        <f>CVEs!P62+"fp2!&amp;/"</f>
        <v>#VALUE!</v>
      </c>
      <c r="FZ52" t="e">
        <f>CVEs!Q62+"fp2!&amp;0"</f>
        <v>#VALUE!</v>
      </c>
      <c r="GA52" t="e">
        <f>CVEs!R62+"fp2!&amp;1"</f>
        <v>#VALUE!</v>
      </c>
      <c r="GB52" t="e">
        <f>CVEs!S62+"fp2!&amp;2"</f>
        <v>#VALUE!</v>
      </c>
      <c r="GC52" t="e">
        <f>CVEs!U62+"fp2!&amp;3"</f>
        <v>#VALUE!</v>
      </c>
      <c r="GD52" t="e">
        <f>CVEs!V62+"fp2!&amp;4"</f>
        <v>#VALUE!</v>
      </c>
      <c r="GE52" t="e">
        <f>CVEs!W62+"fp2!&amp;5"</f>
        <v>#VALUE!</v>
      </c>
      <c r="GF52" t="e">
        <f>CVEs!X62+"fp2!&amp;6"</f>
        <v>#VALUE!</v>
      </c>
      <c r="GG52" t="e">
        <f>CVEs!T62+"fp2!&amp;7"</f>
        <v>#VALUE!</v>
      </c>
      <c r="GH52" t="e">
        <f>CVEs!A63+"fp2!&amp;8"</f>
        <v>#VALUE!</v>
      </c>
      <c r="GI52" t="e">
        <f>CVEs!B63+"fp2!&amp;9"</f>
        <v>#VALUE!</v>
      </c>
      <c r="GJ52" t="e">
        <f>CVEs!C63+"fp2!&amp;:"</f>
        <v>#VALUE!</v>
      </c>
      <c r="GK52" s="57" t="e">
        <f>CVEs!D63+"fp2!&amp;;"</f>
        <v>#VALUE!</v>
      </c>
      <c r="GL52" s="58" t="e">
        <f>CVEs!E63+"fp2!&amp;&lt;"</f>
        <v>#VALUE!</v>
      </c>
      <c r="GM52" s="58" t="e">
        <f>CVEs!F63+"fp2!&amp;="</f>
        <v>#VALUE!</v>
      </c>
      <c r="GN52" s="58" t="e">
        <f>CVEs!G63+"fp2!&amp;&gt;"</f>
        <v>#VALUE!</v>
      </c>
      <c r="GO52" t="e">
        <f>CVEs!H63+"fp2!&amp;?"</f>
        <v>#VALUE!</v>
      </c>
      <c r="GP52" t="e">
        <f>CVEs!I63+"fp2!&amp;@"</f>
        <v>#VALUE!</v>
      </c>
      <c r="GQ52" t="e">
        <f>CVEs!J63+"fp2!&amp;A"</f>
        <v>#VALUE!</v>
      </c>
      <c r="GR52" t="e">
        <f>CVEs!K63+"fp2!&amp;B"</f>
        <v>#VALUE!</v>
      </c>
      <c r="GS52" t="e">
        <f>CVEs!L63+"fp2!&amp;C"</f>
        <v>#VALUE!</v>
      </c>
      <c r="GT52" t="e">
        <f>CVEs!M63+"fp2!&amp;D"</f>
        <v>#VALUE!</v>
      </c>
      <c r="GU52" t="e">
        <f>CVEs!N63+"fp2!&amp;E"</f>
        <v>#VALUE!</v>
      </c>
      <c r="GV52" t="e">
        <f>CVEs!O63+"fp2!&amp;F"</f>
        <v>#VALUE!</v>
      </c>
      <c r="GW52" t="e">
        <f>CVEs!P63+"fp2!&amp;G"</f>
        <v>#VALUE!</v>
      </c>
      <c r="GX52" t="e">
        <f>CVEs!Q63+"fp2!&amp;H"</f>
        <v>#VALUE!</v>
      </c>
      <c r="GY52" t="e">
        <f>CVEs!R63+"fp2!&amp;I"</f>
        <v>#VALUE!</v>
      </c>
      <c r="GZ52" t="e">
        <f>CVEs!S63+"fp2!&amp;J"</f>
        <v>#VALUE!</v>
      </c>
      <c r="HA52" t="e">
        <f>CVEs!U63+"fp2!&amp;K"</f>
        <v>#VALUE!</v>
      </c>
      <c r="HB52" t="e">
        <f>CVEs!V63+"fp2!&amp;L"</f>
        <v>#VALUE!</v>
      </c>
      <c r="HC52" t="e">
        <f>CVEs!W63+"fp2!&amp;M"</f>
        <v>#VALUE!</v>
      </c>
      <c r="HD52" t="e">
        <f>CVEs!X63+"fp2!&amp;N"</f>
        <v>#VALUE!</v>
      </c>
      <c r="HE52" t="e">
        <f>CVEs!T63+"fp2!&amp;O"</f>
        <v>#VALUE!</v>
      </c>
      <c r="HF52" t="e">
        <f>CVEs!A64+"fp2!&amp;P"</f>
        <v>#VALUE!</v>
      </c>
      <c r="HG52" t="e">
        <f>CVEs!B64+"fp2!&amp;Q"</f>
        <v>#VALUE!</v>
      </c>
      <c r="HH52" t="e">
        <f>CVEs!C64+"fp2!&amp;R"</f>
        <v>#VALUE!</v>
      </c>
      <c r="HI52" s="57" t="e">
        <f>CVEs!D64+"fp2!&amp;S"</f>
        <v>#VALUE!</v>
      </c>
      <c r="HJ52" s="58" t="e">
        <f>CVEs!E64+"fp2!&amp;T"</f>
        <v>#VALUE!</v>
      </c>
      <c r="HK52" s="58" t="e">
        <f>CVEs!F64+"fp2!&amp;U"</f>
        <v>#VALUE!</v>
      </c>
      <c r="HL52" s="58" t="e">
        <f>CVEs!G64+"fp2!&amp;V"</f>
        <v>#VALUE!</v>
      </c>
      <c r="HM52" t="e">
        <f>CVEs!H64+"fp2!&amp;W"</f>
        <v>#VALUE!</v>
      </c>
      <c r="HN52" t="e">
        <f>CVEs!I64+"fp2!&amp;X"</f>
        <v>#VALUE!</v>
      </c>
      <c r="HO52" t="e">
        <f>CVEs!J64+"fp2!&amp;Y"</f>
        <v>#VALUE!</v>
      </c>
      <c r="HP52" t="e">
        <f>CVEs!K64+"fp2!&amp;Z"</f>
        <v>#VALUE!</v>
      </c>
      <c r="HQ52" t="e">
        <f>CVEs!L64+"fp2!&amp;["</f>
        <v>#VALUE!</v>
      </c>
      <c r="HR52" t="e">
        <f>CVEs!M64+"fp2!&amp;\"</f>
        <v>#VALUE!</v>
      </c>
      <c r="HS52" t="e">
        <f>CVEs!N64+"fp2!&amp;]"</f>
        <v>#VALUE!</v>
      </c>
      <c r="HT52" t="e">
        <f>CVEs!O64+"fp2!&amp;^"</f>
        <v>#VALUE!</v>
      </c>
      <c r="HU52" t="e">
        <f>CVEs!P64+"fp2!&amp;_"</f>
        <v>#VALUE!</v>
      </c>
      <c r="HV52" t="e">
        <f>CVEs!Q64+"fp2!&amp;`"</f>
        <v>#VALUE!</v>
      </c>
      <c r="HW52" t="e">
        <f>CVEs!R64+"fp2!&amp;a"</f>
        <v>#VALUE!</v>
      </c>
      <c r="HX52" t="e">
        <f>CVEs!S64+"fp2!&amp;b"</f>
        <v>#VALUE!</v>
      </c>
      <c r="HY52" t="e">
        <f>CVEs!U64+"fp2!&amp;c"</f>
        <v>#VALUE!</v>
      </c>
      <c r="HZ52" t="e">
        <f>CVEs!V64+"fp2!&amp;d"</f>
        <v>#VALUE!</v>
      </c>
      <c r="IA52" t="e">
        <f>CVEs!W64+"fp2!&amp;e"</f>
        <v>#VALUE!</v>
      </c>
      <c r="IB52" t="e">
        <f>CVEs!X64+"fp2!&amp;f"</f>
        <v>#VALUE!</v>
      </c>
      <c r="IC52" t="e">
        <f>CVEs!T64+"fp2!&amp;g"</f>
        <v>#VALUE!</v>
      </c>
      <c r="ID52" t="e">
        <f>CVEs!A65+"fp2!&amp;h"</f>
        <v>#VALUE!</v>
      </c>
      <c r="IE52" t="e">
        <f>CVEs!B65+"fp2!&amp;i"</f>
        <v>#VALUE!</v>
      </c>
      <c r="IF52" t="e">
        <f>CVEs!C65+"fp2!&amp;j"</f>
        <v>#VALUE!</v>
      </c>
      <c r="IG52" s="57" t="e">
        <f>CVEs!D65+"fp2!&amp;k"</f>
        <v>#VALUE!</v>
      </c>
      <c r="IH52" s="58" t="e">
        <f>CVEs!E65+"fp2!&amp;l"</f>
        <v>#VALUE!</v>
      </c>
      <c r="II52" s="58" t="e">
        <f>CVEs!F65+"fp2!&amp;m"</f>
        <v>#VALUE!</v>
      </c>
      <c r="IJ52" s="58" t="e">
        <f>CVEs!G65+"fp2!&amp;n"</f>
        <v>#VALUE!</v>
      </c>
      <c r="IK52" t="e">
        <f>CVEs!H65+"fp2!&amp;o"</f>
        <v>#VALUE!</v>
      </c>
      <c r="IL52" t="e">
        <f>CVEs!I65+"fp2!&amp;p"</f>
        <v>#VALUE!</v>
      </c>
      <c r="IM52" t="e">
        <f>CVEs!J65+"fp2!&amp;q"</f>
        <v>#VALUE!</v>
      </c>
      <c r="IN52" t="e">
        <f>CVEs!K65+"fp2!&amp;r"</f>
        <v>#VALUE!</v>
      </c>
      <c r="IO52" t="e">
        <f>CVEs!L65+"fp2!&amp;s"</f>
        <v>#VALUE!</v>
      </c>
      <c r="IP52" t="e">
        <f>CVEs!M65+"fp2!&amp;t"</f>
        <v>#VALUE!</v>
      </c>
      <c r="IQ52" t="e">
        <f>CVEs!N65+"fp2!&amp;u"</f>
        <v>#VALUE!</v>
      </c>
      <c r="IR52" t="e">
        <f>CVEs!O65+"fp2!&amp;v"</f>
        <v>#VALUE!</v>
      </c>
      <c r="IS52" t="e">
        <f>CVEs!P65+"fp2!&amp;w"</f>
        <v>#VALUE!</v>
      </c>
      <c r="IT52" t="e">
        <f>CVEs!Q65+"fp2!&amp;x"</f>
        <v>#VALUE!</v>
      </c>
      <c r="IU52" t="e">
        <f>CVEs!R65+"fp2!&amp;y"</f>
        <v>#VALUE!</v>
      </c>
      <c r="IV52" t="e">
        <f>CVEs!S65+"fp2!&amp;z"</f>
        <v>#VALUE!</v>
      </c>
    </row>
    <row r="53" spans="6:256" x14ac:dyDescent="0.25">
      <c r="F53" t="e">
        <f>CVEs!U65+"fp2!&amp;{"</f>
        <v>#VALUE!</v>
      </c>
      <c r="G53" t="e">
        <f>CVEs!V65+"fp2!&amp;|"</f>
        <v>#VALUE!</v>
      </c>
      <c r="H53" t="e">
        <f>CVEs!W65+"fp2!&amp;}"</f>
        <v>#VALUE!</v>
      </c>
      <c r="I53" t="e">
        <f>CVEs!X65+"fp2!&amp;~"</f>
        <v>#VALUE!</v>
      </c>
      <c r="J53" t="e">
        <f>CVEs!T65+"fp2!'#"</f>
        <v>#VALUE!</v>
      </c>
      <c r="K53" t="e">
        <f>CVEs!A66+"fp2!'$"</f>
        <v>#VALUE!</v>
      </c>
      <c r="L53" t="e">
        <f>CVEs!B66+"fp2!'%"</f>
        <v>#VALUE!</v>
      </c>
      <c r="M53" t="e">
        <f>CVEs!C66+"fp2!'&amp;"</f>
        <v>#VALUE!</v>
      </c>
      <c r="N53" s="57" t="e">
        <f>CVEs!D66+"fp2!''"</f>
        <v>#VALUE!</v>
      </c>
      <c r="O53" s="58" t="e">
        <f>CVEs!E66+"fp2!'("</f>
        <v>#VALUE!</v>
      </c>
      <c r="P53" s="58" t="e">
        <f>CVEs!F66+"fp2!')"</f>
        <v>#VALUE!</v>
      </c>
      <c r="Q53" s="58" t="e">
        <f>CVEs!G66+"fp2!'."</f>
        <v>#VALUE!</v>
      </c>
      <c r="R53" t="e">
        <f>CVEs!H66+"fp2!'/"</f>
        <v>#VALUE!</v>
      </c>
      <c r="S53" t="e">
        <f>CVEs!I66+"fp2!'0"</f>
        <v>#VALUE!</v>
      </c>
      <c r="T53" t="e">
        <f>CVEs!J66+"fp2!'1"</f>
        <v>#VALUE!</v>
      </c>
      <c r="U53" t="e">
        <f>CVEs!K66+"fp2!'2"</f>
        <v>#VALUE!</v>
      </c>
      <c r="V53" t="e">
        <f>CVEs!L66+"fp2!'3"</f>
        <v>#VALUE!</v>
      </c>
      <c r="W53" t="e">
        <f>CVEs!M66+"fp2!'4"</f>
        <v>#VALUE!</v>
      </c>
      <c r="X53" t="e">
        <f>CVEs!N66+"fp2!'5"</f>
        <v>#VALUE!</v>
      </c>
      <c r="Y53" t="e">
        <f>CVEs!O66+"fp2!'6"</f>
        <v>#VALUE!</v>
      </c>
      <c r="Z53" t="e">
        <f>CVEs!P66+"fp2!'7"</f>
        <v>#VALUE!</v>
      </c>
      <c r="AA53" t="e">
        <f>CVEs!Q66+"fp2!'8"</f>
        <v>#VALUE!</v>
      </c>
      <c r="AB53" t="e">
        <f>CVEs!R66+"fp2!'9"</f>
        <v>#VALUE!</v>
      </c>
      <c r="AC53" t="e">
        <f>CVEs!S66+"fp2!':"</f>
        <v>#VALUE!</v>
      </c>
      <c r="AD53" t="e">
        <f>CVEs!U66+"fp2!';"</f>
        <v>#VALUE!</v>
      </c>
      <c r="AE53" t="e">
        <f>CVEs!V66+"fp2!'&lt;"</f>
        <v>#VALUE!</v>
      </c>
      <c r="AF53" t="e">
        <f>CVEs!W66+"fp2!'="</f>
        <v>#VALUE!</v>
      </c>
      <c r="AG53" t="e">
        <f>CVEs!X66+"fp2!'&gt;"</f>
        <v>#VALUE!</v>
      </c>
      <c r="AH53" t="e">
        <f>CVEs!T66+"fp2!'?"</f>
        <v>#VALUE!</v>
      </c>
      <c r="AI53" t="e">
        <f>CVEs!A67+"fp2!'@"</f>
        <v>#VALUE!</v>
      </c>
      <c r="AJ53" t="e">
        <f>CVEs!B67+"fp2!'A"</f>
        <v>#VALUE!</v>
      </c>
      <c r="AK53" t="e">
        <f>CVEs!C67+"fp2!'B"</f>
        <v>#VALUE!</v>
      </c>
      <c r="AL53" s="57" t="e">
        <f>CVEs!D67+"fp2!'C"</f>
        <v>#VALUE!</v>
      </c>
      <c r="AM53" s="58" t="e">
        <f>CVEs!E67+"fp2!'D"</f>
        <v>#VALUE!</v>
      </c>
      <c r="AN53" s="58" t="e">
        <f>CVEs!F67+"fp2!'E"</f>
        <v>#VALUE!</v>
      </c>
      <c r="AO53" s="58" t="e">
        <f>CVEs!G67+"fp2!'F"</f>
        <v>#VALUE!</v>
      </c>
      <c r="AP53" t="e">
        <f>CVEs!H67+"fp2!'G"</f>
        <v>#VALUE!</v>
      </c>
      <c r="AQ53" s="58" t="e">
        <f>CVEs!I67+"fp2!'H"</f>
        <v>#VALUE!</v>
      </c>
      <c r="AR53" t="e">
        <f>CVEs!J67+"fp2!'I"</f>
        <v>#VALUE!</v>
      </c>
      <c r="AS53" t="e">
        <f>CVEs!K67+"fp2!'J"</f>
        <v>#VALUE!</v>
      </c>
      <c r="AT53" t="e">
        <f>CVEs!L67+"fp2!'K"</f>
        <v>#VALUE!</v>
      </c>
      <c r="AU53" t="e">
        <f>CVEs!M67+"fp2!'L"</f>
        <v>#VALUE!</v>
      </c>
      <c r="AV53" t="e">
        <f>CVEs!N67+"fp2!'M"</f>
        <v>#VALUE!</v>
      </c>
      <c r="AW53" t="e">
        <f>CVEs!O67+"fp2!'N"</f>
        <v>#VALUE!</v>
      </c>
      <c r="AX53" t="e">
        <f>CVEs!P67+"fp2!'O"</f>
        <v>#VALUE!</v>
      </c>
      <c r="AY53" t="e">
        <f>CVEs!Q67+"fp2!'P"</f>
        <v>#VALUE!</v>
      </c>
      <c r="AZ53" t="e">
        <f>CVEs!R67+"fp2!'Q"</f>
        <v>#VALUE!</v>
      </c>
      <c r="BA53" t="e">
        <f>CVEs!S67+"fp2!'R"</f>
        <v>#VALUE!</v>
      </c>
      <c r="BB53" t="e">
        <f>CVEs!U67+"fp2!'S"</f>
        <v>#VALUE!</v>
      </c>
      <c r="BC53" t="e">
        <f>CVEs!V67+"fp2!'T"</f>
        <v>#VALUE!</v>
      </c>
      <c r="BD53" t="e">
        <f>CVEs!W67+"fp2!'U"</f>
        <v>#VALUE!</v>
      </c>
      <c r="BE53" t="e">
        <f>CVEs!X67+"fp2!'V"</f>
        <v>#VALUE!</v>
      </c>
      <c r="BF53" t="e">
        <f>CVEs!T67+"fp2!'W"</f>
        <v>#VALUE!</v>
      </c>
      <c r="BG53" t="e">
        <f>CVEs!A68+"fp2!'X"</f>
        <v>#VALUE!</v>
      </c>
      <c r="BH53" t="e">
        <f>CVEs!B68+"fp2!'Y"</f>
        <v>#VALUE!</v>
      </c>
      <c r="BI53" t="e">
        <f>CVEs!C68+"fp2!'Z"</f>
        <v>#VALUE!</v>
      </c>
      <c r="BJ53" s="57" t="e">
        <f>CVEs!D68+"fp2!'["</f>
        <v>#VALUE!</v>
      </c>
      <c r="BK53" s="58" t="e">
        <f>CVEs!E68+"fp2!'\"</f>
        <v>#VALUE!</v>
      </c>
      <c r="BL53" s="58" t="e">
        <f>CVEs!F68+"fp2!']"</f>
        <v>#VALUE!</v>
      </c>
      <c r="BM53" s="58" t="e">
        <f>CVEs!G68+"fp2!'^"</f>
        <v>#VALUE!</v>
      </c>
      <c r="BN53" t="e">
        <f>CVEs!H68+"fp2!'_"</f>
        <v>#VALUE!</v>
      </c>
      <c r="BO53" t="e">
        <f>CVEs!I68+"fp2!'`"</f>
        <v>#VALUE!</v>
      </c>
      <c r="BP53" t="e">
        <f>CVEs!J68+"fp2!'a"</f>
        <v>#VALUE!</v>
      </c>
      <c r="BQ53" t="e">
        <f>CVEs!K68+"fp2!'b"</f>
        <v>#VALUE!</v>
      </c>
      <c r="BR53" t="e">
        <f>CVEs!L68+"fp2!'c"</f>
        <v>#VALUE!</v>
      </c>
      <c r="BS53" t="e">
        <f>CVEs!M68+"fp2!'d"</f>
        <v>#VALUE!</v>
      </c>
      <c r="BT53" t="e">
        <f>CVEs!N68+"fp2!'e"</f>
        <v>#VALUE!</v>
      </c>
      <c r="BU53" t="e">
        <f>CVEs!O68+"fp2!'f"</f>
        <v>#VALUE!</v>
      </c>
      <c r="BV53" t="e">
        <f>CVEs!P68+"fp2!'g"</f>
        <v>#VALUE!</v>
      </c>
      <c r="BW53" t="e">
        <f>CVEs!Q68+"fp2!'h"</f>
        <v>#VALUE!</v>
      </c>
      <c r="BX53" t="e">
        <f>CVEs!R68+"fp2!'i"</f>
        <v>#VALUE!</v>
      </c>
      <c r="BY53" t="e">
        <f>CVEs!S68+"fp2!'j"</f>
        <v>#VALUE!</v>
      </c>
      <c r="BZ53" t="e">
        <f>CVEs!U68+"fp2!'k"</f>
        <v>#VALUE!</v>
      </c>
      <c r="CA53" t="e">
        <f>CVEs!V68+"fp2!'l"</f>
        <v>#VALUE!</v>
      </c>
      <c r="CB53" t="e">
        <f>CVEs!W68+"fp2!'m"</f>
        <v>#VALUE!</v>
      </c>
      <c r="CC53" t="e">
        <f>CVEs!X68+"fp2!'n"</f>
        <v>#VALUE!</v>
      </c>
      <c r="CD53" t="e">
        <f>CVEs!T68+"fp2!'o"</f>
        <v>#VALUE!</v>
      </c>
      <c r="CE53" t="e">
        <f>CVEs!A69+"fp2!'p"</f>
        <v>#VALUE!</v>
      </c>
      <c r="CF53" t="e">
        <f>CVEs!B69+"fp2!'q"</f>
        <v>#VALUE!</v>
      </c>
      <c r="CG53" t="e">
        <f>CVEs!C69+"fp2!'r"</f>
        <v>#VALUE!</v>
      </c>
      <c r="CH53" s="57" t="e">
        <f>CVEs!D69+"fp2!'s"</f>
        <v>#VALUE!</v>
      </c>
      <c r="CI53" s="58" t="e">
        <f>CVEs!E69+"fp2!'t"</f>
        <v>#VALUE!</v>
      </c>
      <c r="CJ53" s="58" t="e">
        <f>CVEs!F69+"fp2!'u"</f>
        <v>#VALUE!</v>
      </c>
      <c r="CK53" s="58" t="e">
        <f>CVEs!G69+"fp2!'v"</f>
        <v>#VALUE!</v>
      </c>
      <c r="CL53" t="e">
        <f>CVEs!H69+"fp2!'w"</f>
        <v>#VALUE!</v>
      </c>
      <c r="CM53" t="e">
        <f>CVEs!I69+"fp2!'x"</f>
        <v>#VALUE!</v>
      </c>
      <c r="CN53" t="e">
        <f>CVEs!J69+"fp2!'y"</f>
        <v>#VALUE!</v>
      </c>
      <c r="CO53" t="e">
        <f>CVEs!K69+"fp2!'z"</f>
        <v>#VALUE!</v>
      </c>
      <c r="CP53" t="e">
        <f>CVEs!L69+"fp2!'{"</f>
        <v>#VALUE!</v>
      </c>
      <c r="CQ53" t="e">
        <f>CVEs!M69+"fp2!'|"</f>
        <v>#VALUE!</v>
      </c>
      <c r="CR53" t="e">
        <f>CVEs!N69+"fp2!'}"</f>
        <v>#VALUE!</v>
      </c>
      <c r="CS53" t="e">
        <f>CVEs!O69+"fp2!'~"</f>
        <v>#VALUE!</v>
      </c>
      <c r="CT53" t="e">
        <f>CVEs!P69+"fp2!(#"</f>
        <v>#VALUE!</v>
      </c>
      <c r="CU53" t="e">
        <f>CVEs!Q69+"fp2!($"</f>
        <v>#VALUE!</v>
      </c>
      <c r="CV53" t="e">
        <f>CVEs!R69+"fp2!(%"</f>
        <v>#VALUE!</v>
      </c>
      <c r="CW53" t="e">
        <f>CVEs!S69+"fp2!(&amp;"</f>
        <v>#VALUE!</v>
      </c>
      <c r="CX53" t="e">
        <f>CVEs!U69+"fp2!('"</f>
        <v>#VALUE!</v>
      </c>
      <c r="CY53" t="e">
        <f>CVEs!V69+"fp2!(("</f>
        <v>#VALUE!</v>
      </c>
      <c r="CZ53" t="e">
        <f>CVEs!W69+"fp2!()"</f>
        <v>#VALUE!</v>
      </c>
      <c r="DA53" t="e">
        <f>CVEs!X69+"fp2!(."</f>
        <v>#VALUE!</v>
      </c>
      <c r="DB53" t="e">
        <f>CVEs!T69+"fp2!(/"</f>
        <v>#VALUE!</v>
      </c>
      <c r="DC53" t="e">
        <f>CVEs!A70+"fp2!(0"</f>
        <v>#VALUE!</v>
      </c>
      <c r="DD53" t="e">
        <f>CVEs!B70+"fp2!(1"</f>
        <v>#VALUE!</v>
      </c>
      <c r="DE53" t="e">
        <f>CVEs!C70+"fp2!(2"</f>
        <v>#VALUE!</v>
      </c>
      <c r="DF53" s="57" t="e">
        <f>CVEs!D70+"fp2!(3"</f>
        <v>#VALUE!</v>
      </c>
      <c r="DG53" s="58" t="e">
        <f>CVEs!E70+"fp2!(4"</f>
        <v>#VALUE!</v>
      </c>
      <c r="DH53" s="58" t="e">
        <f>CVEs!F70+"fp2!(5"</f>
        <v>#VALUE!</v>
      </c>
      <c r="DI53" s="58" t="e">
        <f>CVEs!G70+"fp2!(6"</f>
        <v>#VALUE!</v>
      </c>
      <c r="DJ53" t="e">
        <f>CVEs!H70+"fp2!(7"</f>
        <v>#VALUE!</v>
      </c>
      <c r="DK53" t="e">
        <f>CVEs!I70+"fp2!(8"</f>
        <v>#VALUE!</v>
      </c>
      <c r="DL53" t="e">
        <f>CVEs!J70+"fp2!(9"</f>
        <v>#VALUE!</v>
      </c>
      <c r="DM53" t="e">
        <f>CVEs!K70+"fp2!(:"</f>
        <v>#VALUE!</v>
      </c>
      <c r="DN53" t="e">
        <f>CVEs!L70+"fp2!(;"</f>
        <v>#VALUE!</v>
      </c>
      <c r="DO53" t="e">
        <f>CVEs!M70+"fp2!(&lt;"</f>
        <v>#VALUE!</v>
      </c>
      <c r="DP53" t="e">
        <f>CVEs!N70+"fp2!(="</f>
        <v>#VALUE!</v>
      </c>
      <c r="DQ53" t="e">
        <f>CVEs!O70+"fp2!(&gt;"</f>
        <v>#VALUE!</v>
      </c>
      <c r="DR53" t="e">
        <f>CVEs!P70+"fp2!(?"</f>
        <v>#VALUE!</v>
      </c>
      <c r="DS53" t="e">
        <f>CVEs!Q70+"fp2!(@"</f>
        <v>#VALUE!</v>
      </c>
      <c r="DT53" t="e">
        <f>CVEs!R70+"fp2!(A"</f>
        <v>#VALUE!</v>
      </c>
      <c r="DU53" t="e">
        <f>CVEs!S70+"fp2!(B"</f>
        <v>#VALUE!</v>
      </c>
      <c r="DV53" t="e">
        <f>CVEs!U70+"fp2!(C"</f>
        <v>#VALUE!</v>
      </c>
      <c r="DW53" t="e">
        <f>CVEs!V70+"fp2!(D"</f>
        <v>#VALUE!</v>
      </c>
      <c r="DX53" t="e">
        <f>CVEs!W70+"fp2!(E"</f>
        <v>#VALUE!</v>
      </c>
      <c r="DY53" t="e">
        <f>CVEs!X70+"fp2!(F"</f>
        <v>#VALUE!</v>
      </c>
      <c r="DZ53" t="e">
        <f>CVEs!T70+"fp2!(G"</f>
        <v>#VALUE!</v>
      </c>
      <c r="EA53" t="e">
        <f>CVEs!A71+"fp2!(H"</f>
        <v>#VALUE!</v>
      </c>
      <c r="EB53" t="e">
        <f>CVEs!B71+"fp2!(I"</f>
        <v>#VALUE!</v>
      </c>
      <c r="EC53" t="e">
        <f>CVEs!C71+"fp2!(J"</f>
        <v>#VALUE!</v>
      </c>
      <c r="ED53" s="57" t="e">
        <f>CVEs!D71+"fp2!(K"</f>
        <v>#VALUE!</v>
      </c>
      <c r="EE53" s="58" t="e">
        <f>CVEs!E71+"fp2!(L"</f>
        <v>#VALUE!</v>
      </c>
      <c r="EF53" s="58" t="e">
        <f>CVEs!F71+"fp2!(M"</f>
        <v>#VALUE!</v>
      </c>
      <c r="EG53" s="58" t="e">
        <f>CVEs!G71+"fp2!(N"</f>
        <v>#VALUE!</v>
      </c>
      <c r="EH53" t="e">
        <f>CVEs!H71+"fp2!(O"</f>
        <v>#VALUE!</v>
      </c>
      <c r="EI53" t="e">
        <f>CVEs!I71+"fp2!(P"</f>
        <v>#VALUE!</v>
      </c>
      <c r="EJ53" t="e">
        <f>CVEs!J71+"fp2!(Q"</f>
        <v>#VALUE!</v>
      </c>
      <c r="EK53" t="e">
        <f>CVEs!K71+"fp2!(R"</f>
        <v>#VALUE!</v>
      </c>
      <c r="EL53" t="e">
        <f>CVEs!L71+"fp2!(S"</f>
        <v>#VALUE!</v>
      </c>
      <c r="EM53" t="e">
        <f>CVEs!M71+"fp2!(T"</f>
        <v>#VALUE!</v>
      </c>
      <c r="EN53" t="e">
        <f>CVEs!N71+"fp2!(U"</f>
        <v>#VALUE!</v>
      </c>
      <c r="EO53" t="e">
        <f>CVEs!O71+"fp2!(V"</f>
        <v>#VALUE!</v>
      </c>
      <c r="EP53" t="e">
        <f>CVEs!P71+"fp2!(W"</f>
        <v>#VALUE!</v>
      </c>
      <c r="EQ53" t="e">
        <f>CVEs!Q71+"fp2!(X"</f>
        <v>#VALUE!</v>
      </c>
      <c r="ER53" t="e">
        <f>CVEs!R71+"fp2!(Y"</f>
        <v>#VALUE!</v>
      </c>
      <c r="ES53" t="e">
        <f>CVEs!S71+"fp2!(Z"</f>
        <v>#VALUE!</v>
      </c>
      <c r="ET53" t="e">
        <f>CVEs!U71+"fp2!(["</f>
        <v>#VALUE!</v>
      </c>
      <c r="EU53" t="e">
        <f>CVEs!V71+"fp2!(\"</f>
        <v>#VALUE!</v>
      </c>
      <c r="EV53" t="e">
        <f>CVEs!W71+"fp2!(]"</f>
        <v>#VALUE!</v>
      </c>
      <c r="EW53" t="e">
        <f>CVEs!X71+"fp2!(^"</f>
        <v>#VALUE!</v>
      </c>
      <c r="EX53" t="e">
        <f>CVEs!T71+"fp2!(_"</f>
        <v>#VALUE!</v>
      </c>
      <c r="EY53" t="e">
        <f>CVEs!A58+"fp2!(`"</f>
        <v>#VALUE!</v>
      </c>
      <c r="EZ53" t="e">
        <f>CVEs!S58+"fp2!(a"</f>
        <v>#VALUE!</v>
      </c>
      <c r="FA53" t="e">
        <f>CVEs!I101+"$5F&amp;!%"</f>
        <v>#VALUE!</v>
      </c>
      <c r="FB53" t="e">
        <f>Drop_Downs!A3+"$5F&amp;!&amp;"</f>
        <v>#VALUE!</v>
      </c>
      <c r="FC53" t="e">
        <f>CVEs!BV:BV*"$5F&amp;!'"</f>
        <v>#VALUE!</v>
      </c>
      <c r="FD53" t="e">
        <f>CVEs!1:1-"$5F&amp;!("</f>
        <v>#VALUE!</v>
      </c>
      <c r="FE53" t="e">
        <f>CVEs!56:56-"$5F&amp;!)"</f>
        <v>#VALUE!</v>
      </c>
      <c r="FF53" t="e">
        <f>CVEs!72:72-"$5F&amp;!."</f>
        <v>#VALUE!</v>
      </c>
      <c r="FG53" t="e">
        <f>CVEs!73:73-"$5F&amp;!/"</f>
        <v>#VALUE!</v>
      </c>
      <c r="FH53" t="e">
        <f>CVEs!83:83-"$5F&amp;!0"</f>
        <v>#VALUE!</v>
      </c>
      <c r="FI53" t="e">
        <f>CVEs!84:84-"$5F&amp;!1"</f>
        <v>#VALUE!</v>
      </c>
      <c r="FJ53" t="e">
        <f>CVEs!85:85-"$5F&amp;!2"</f>
        <v>#VALUE!</v>
      </c>
      <c r="FK53" t="e">
        <f>CVEs!87:87-"$5F&amp;!3"</f>
        <v>#VALUE!</v>
      </c>
      <c r="FL53" t="e">
        <f>CVEs!88:88-"$5F&amp;!4"</f>
        <v>#VALUE!</v>
      </c>
      <c r="FM53" t="e">
        <f>CVEs!89:89-"$5F&amp;!5"</f>
        <v>#VALUE!</v>
      </c>
      <c r="FN53" t="e">
        <f>CVEs!90:90-"$5F&amp;!6"</f>
        <v>#VALUE!</v>
      </c>
      <c r="FO53" t="e">
        <f>CVEs!91:91-"$5F&amp;!7"</f>
        <v>#VALUE!</v>
      </c>
      <c r="FP53" t="e">
        <f>CVEs!92:92-"$5F&amp;!8"</f>
        <v>#VALUE!</v>
      </c>
      <c r="FQ53" t="e">
        <f>CVEs!93:93-"$5F&amp;!9"</f>
        <v>#VALUE!</v>
      </c>
      <c r="FR53" t="e">
        <f>CVEs!94:94-"$5F&amp;!:"</f>
        <v>#VALUE!</v>
      </c>
      <c r="FS53" t="e">
        <f>CVEs!95:95-"$5F&amp;!;"</f>
        <v>#VALUE!</v>
      </c>
      <c r="FT53" t="e">
        <f>CVEs!96:96-"$5F&amp;!&lt;"</f>
        <v>#VALUE!</v>
      </c>
      <c r="FU53" t="e">
        <f>CVEs!97:97-"$5F&amp;!="</f>
        <v>#VALUE!</v>
      </c>
      <c r="FV53" t="e">
        <f>CVEs!108:108-"$5F&amp;!&gt;"</f>
        <v>#VALUE!</v>
      </c>
      <c r="FW53" t="e">
        <f>CVEs!I1+"$5F&amp;!?"</f>
        <v>#VALUE!</v>
      </c>
      <c r="FX53" t="e">
        <f>CVEs!B9+"$5F&amp;!@"</f>
        <v>#VALUE!</v>
      </c>
      <c r="FY53" t="e">
        <f>CVEs!A56+"$5F&amp;!A"</f>
        <v>#VALUE!</v>
      </c>
      <c r="FZ53" t="e">
        <f>CVEs!B56+"$5F&amp;!B"</f>
        <v>#VALUE!</v>
      </c>
      <c r="GA53" t="e">
        <f>CVEs!C56+"$5F&amp;!C"</f>
        <v>#VALUE!</v>
      </c>
      <c r="GB53" s="57" t="e">
        <f>CVEs!D56+"$5F&amp;!D"</f>
        <v>#VALUE!</v>
      </c>
      <c r="GC53" s="58" t="e">
        <f>CVEs!E56+"$5F&amp;!E"</f>
        <v>#VALUE!</v>
      </c>
      <c r="GD53" s="58" t="e">
        <f>CVEs!F56+"$5F&amp;!F"</f>
        <v>#VALUE!</v>
      </c>
      <c r="GE53" s="58" t="e">
        <f>CVEs!G56+"$5F&amp;!G"</f>
        <v>#VALUE!</v>
      </c>
      <c r="GF53" t="e">
        <f>CVEs!H56+"$5F&amp;!H"</f>
        <v>#VALUE!</v>
      </c>
      <c r="GG53" t="e">
        <f>CVEs!I56+"$5F&amp;!I"</f>
        <v>#VALUE!</v>
      </c>
      <c r="GH53" t="e">
        <f>CVEs!J56+"$5F&amp;!J"</f>
        <v>#VALUE!</v>
      </c>
      <c r="GI53" t="e">
        <f>CVEs!K56+"$5F&amp;!K"</f>
        <v>#VALUE!</v>
      </c>
      <c r="GJ53" t="e">
        <f>CVEs!L56+"$5F&amp;!L"</f>
        <v>#VALUE!</v>
      </c>
      <c r="GK53" s="58" t="e">
        <f>CVEs!M56+"$5F&amp;!M"</f>
        <v>#VALUE!</v>
      </c>
      <c r="GL53" t="e">
        <f>CVEs!N56+"$5F&amp;!N"</f>
        <v>#VALUE!</v>
      </c>
      <c r="GM53" t="e">
        <f>CVEs!O56+"$5F&amp;!O"</f>
        <v>#VALUE!</v>
      </c>
      <c r="GN53" t="e">
        <f>CVEs!P56+"$5F&amp;!P"</f>
        <v>#VALUE!</v>
      </c>
      <c r="GO53" t="e">
        <f>CVEs!Q56+"$5F&amp;!Q"</f>
        <v>#VALUE!</v>
      </c>
      <c r="GP53" t="e">
        <f>CVEs!R56+"$5F&amp;!R"</f>
        <v>#VALUE!</v>
      </c>
      <c r="GQ53" t="e">
        <f>CVEs!S56+"$5F&amp;!S"</f>
        <v>#VALUE!</v>
      </c>
      <c r="GR53" t="e">
        <f>CVEs!T56+"$5F&amp;!T"</f>
        <v>#VALUE!</v>
      </c>
      <c r="GS53" t="e">
        <f>CVEs!U56+"$5F&amp;!U"</f>
        <v>#VALUE!</v>
      </c>
      <c r="GT53" t="e">
        <f>CVEs!V56+"$5F&amp;!V"</f>
        <v>#VALUE!</v>
      </c>
      <c r="GU53" t="e">
        <f>CVEs!W56+"$5F&amp;!W"</f>
        <v>#VALUE!</v>
      </c>
      <c r="GV53" t="e">
        <f>CVEs!X56+"$5F&amp;!X"</f>
        <v>#VALUE!</v>
      </c>
      <c r="GW53" t="e">
        <f>CVEs!A72+"$5F&amp;!Y"</f>
        <v>#VALUE!</v>
      </c>
      <c r="GX53" t="e">
        <f>CVEs!B72+"$5F&amp;!Z"</f>
        <v>#VALUE!</v>
      </c>
      <c r="GY53" t="e">
        <f>CVEs!C72+"$5F&amp;!["</f>
        <v>#VALUE!</v>
      </c>
      <c r="GZ53" s="57" t="e">
        <f>CVEs!D72+"$5F&amp;!\"</f>
        <v>#VALUE!</v>
      </c>
      <c r="HA53" s="58" t="e">
        <f>CVEs!E72+"$5F&amp;!]"</f>
        <v>#VALUE!</v>
      </c>
      <c r="HB53" s="58" t="e">
        <f>CVEs!F72+"$5F&amp;!^"</f>
        <v>#VALUE!</v>
      </c>
      <c r="HC53" s="58" t="e">
        <f>CVEs!G72+"$5F&amp;!_"</f>
        <v>#VALUE!</v>
      </c>
      <c r="HD53" t="e">
        <f>CVEs!H72+"$5F&amp;!`"</f>
        <v>#VALUE!</v>
      </c>
      <c r="HE53" t="e">
        <f>CVEs!I72+"$5F&amp;!a"</f>
        <v>#VALUE!</v>
      </c>
      <c r="HF53" t="e">
        <f>CVEs!J72+"$5F&amp;!b"</f>
        <v>#VALUE!</v>
      </c>
      <c r="HG53" t="e">
        <f>CVEs!K72+"$5F&amp;!c"</f>
        <v>#VALUE!</v>
      </c>
      <c r="HH53" t="e">
        <f>CVEs!L72+"$5F&amp;!d"</f>
        <v>#VALUE!</v>
      </c>
      <c r="HI53" t="e">
        <f>CVEs!M72+"$5F&amp;!e"</f>
        <v>#VALUE!</v>
      </c>
      <c r="HJ53" t="e">
        <f>CVEs!N72+"$5F&amp;!f"</f>
        <v>#VALUE!</v>
      </c>
      <c r="HK53" t="e">
        <f>CVEs!O72+"$5F&amp;!g"</f>
        <v>#VALUE!</v>
      </c>
      <c r="HL53" t="e">
        <f>CVEs!P72+"$5F&amp;!h"</f>
        <v>#VALUE!</v>
      </c>
      <c r="HM53" t="e">
        <f>CVEs!Q72+"$5F&amp;!i"</f>
        <v>#VALUE!</v>
      </c>
      <c r="HN53" t="e">
        <f>CVEs!R72+"$5F&amp;!j"</f>
        <v>#VALUE!</v>
      </c>
      <c r="HO53" t="e">
        <f>CVEs!S72+"$5F&amp;!k"</f>
        <v>#VALUE!</v>
      </c>
      <c r="HP53" t="e">
        <f>CVEs!T72+"$5F&amp;!l"</f>
        <v>#VALUE!</v>
      </c>
      <c r="HQ53" t="e">
        <f>CVEs!U72+"$5F&amp;!m"</f>
        <v>#VALUE!</v>
      </c>
      <c r="HR53" t="e">
        <f>CVEs!V72+"$5F&amp;!n"</f>
        <v>#VALUE!</v>
      </c>
      <c r="HS53" t="e">
        <f>CVEs!W72+"$5F&amp;!o"</f>
        <v>#VALUE!</v>
      </c>
      <c r="HT53" t="e">
        <f>CVEs!X72+"$5F&amp;!p"</f>
        <v>#VALUE!</v>
      </c>
      <c r="HU53" t="e">
        <f>CVEs!A73+"$5F&amp;!q"</f>
        <v>#VALUE!</v>
      </c>
      <c r="HV53" t="e">
        <f>CVEs!B73+"$5F&amp;!r"</f>
        <v>#VALUE!</v>
      </c>
      <c r="HW53" t="e">
        <f>CVEs!C73+"$5F&amp;!s"</f>
        <v>#VALUE!</v>
      </c>
      <c r="HX53" s="57" t="e">
        <f>CVEs!D73+"$5F&amp;!t"</f>
        <v>#VALUE!</v>
      </c>
      <c r="HY53" s="58" t="e">
        <f>CVEs!E73+"$5F&amp;!u"</f>
        <v>#VALUE!</v>
      </c>
      <c r="HZ53" s="58" t="e">
        <f>CVEs!F73+"$5F&amp;!v"</f>
        <v>#VALUE!</v>
      </c>
      <c r="IA53" s="58" t="e">
        <f>CVEs!G73+"$5F&amp;!w"</f>
        <v>#VALUE!</v>
      </c>
      <c r="IB53" t="e">
        <f>CVEs!H73+"$5F&amp;!x"</f>
        <v>#VALUE!</v>
      </c>
      <c r="IC53" t="e">
        <f>CVEs!I73+"$5F&amp;!y"</f>
        <v>#VALUE!</v>
      </c>
      <c r="ID53" t="e">
        <f>CVEs!J73+"$5F&amp;!z"</f>
        <v>#VALUE!</v>
      </c>
      <c r="IE53" t="e">
        <f>CVEs!K73+"$5F&amp;!{"</f>
        <v>#VALUE!</v>
      </c>
      <c r="IF53" t="e">
        <f>CVEs!L73+"$5F&amp;!|"</f>
        <v>#VALUE!</v>
      </c>
      <c r="IG53" t="e">
        <f>CVEs!M73+"$5F&amp;!}"</f>
        <v>#VALUE!</v>
      </c>
      <c r="IH53" t="e">
        <f>CVEs!N73+"$5F&amp;!~"</f>
        <v>#VALUE!</v>
      </c>
      <c r="II53" t="e">
        <f>CVEs!O73+"$5F&amp;!$#"</f>
        <v>#VALUE!</v>
      </c>
      <c r="IJ53" t="e">
        <f>CVEs!P73+"$5F&amp;!$$"</f>
        <v>#VALUE!</v>
      </c>
      <c r="IK53" t="e">
        <f>CVEs!Q73+"$5F&amp;!$%"</f>
        <v>#VALUE!</v>
      </c>
      <c r="IL53" t="e">
        <f>CVEs!R73+"$5F&amp;!$&amp;"</f>
        <v>#VALUE!</v>
      </c>
      <c r="IM53" t="e">
        <f>CVEs!S73+"$5F&amp;!$'"</f>
        <v>#VALUE!</v>
      </c>
      <c r="IN53" t="e">
        <f>CVEs!T73+"$5F&amp;!$("</f>
        <v>#VALUE!</v>
      </c>
      <c r="IO53" t="e">
        <f>CVEs!U73+"$5F&amp;!$)"</f>
        <v>#VALUE!</v>
      </c>
      <c r="IP53" t="e">
        <f>CVEs!V73+"$5F&amp;!$."</f>
        <v>#VALUE!</v>
      </c>
      <c r="IQ53" t="e">
        <f>CVEs!W73+"$5F&amp;!$/"</f>
        <v>#VALUE!</v>
      </c>
      <c r="IR53" t="e">
        <f>CVEs!X73+"$5F&amp;!$0"</f>
        <v>#VALUE!</v>
      </c>
      <c r="IS53" t="e">
        <f>CVEs!A83+"$5F&amp;!$1"</f>
        <v>#VALUE!</v>
      </c>
      <c r="IT53" t="e">
        <f>CVEs!B83+"$5F&amp;!$2"</f>
        <v>#VALUE!</v>
      </c>
      <c r="IU53" t="e">
        <f>CVEs!C83+"$5F&amp;!$3"</f>
        <v>#VALUE!</v>
      </c>
      <c r="IV53" s="57" t="e">
        <f>CVEs!D83+"$5F&amp;!$4"</f>
        <v>#VALUE!</v>
      </c>
    </row>
    <row r="54" spans="6:256" x14ac:dyDescent="0.25">
      <c r="F54" s="58" t="e">
        <f>CVEs!E83+"$5F&amp;!$5"</f>
        <v>#VALUE!</v>
      </c>
      <c r="G54" s="58" t="e">
        <f>CVEs!F83+"$5F&amp;!$6"</f>
        <v>#VALUE!</v>
      </c>
      <c r="H54" s="58" t="e">
        <f>CVEs!G83+"$5F&amp;!$7"</f>
        <v>#VALUE!</v>
      </c>
      <c r="I54" t="e">
        <f>CVEs!H83+"$5F&amp;!$8"</f>
        <v>#VALUE!</v>
      </c>
      <c r="J54" t="e">
        <f>CVEs!I83+"$5F&amp;!$9"</f>
        <v>#VALUE!</v>
      </c>
      <c r="K54" t="e">
        <f>CVEs!J83+"$5F&amp;!$:"</f>
        <v>#VALUE!</v>
      </c>
      <c r="L54" t="e">
        <f>CVEs!K83+"$5F&amp;!$;"</f>
        <v>#VALUE!</v>
      </c>
      <c r="M54" t="e">
        <f>CVEs!L83+"$5F&amp;!$&lt;"</f>
        <v>#VALUE!</v>
      </c>
      <c r="N54" t="e">
        <f>CVEs!M83+"$5F&amp;!$="</f>
        <v>#VALUE!</v>
      </c>
      <c r="O54" t="e">
        <f>CVEs!N83+"$5F&amp;!$&gt;"</f>
        <v>#VALUE!</v>
      </c>
      <c r="P54" t="e">
        <f>CVEs!O83+"$5F&amp;!$?"</f>
        <v>#VALUE!</v>
      </c>
      <c r="Q54" t="e">
        <f>CVEs!P83+"$5F&amp;!$@"</f>
        <v>#VALUE!</v>
      </c>
      <c r="R54" t="e">
        <f>CVEs!Q83+"$5F&amp;!$A"</f>
        <v>#VALUE!</v>
      </c>
      <c r="S54" t="e">
        <f>CVEs!R83+"$5F&amp;!$B"</f>
        <v>#VALUE!</v>
      </c>
      <c r="T54" t="e">
        <f>CVEs!S83+"$5F&amp;!$C"</f>
        <v>#VALUE!</v>
      </c>
      <c r="U54" t="e">
        <f>CVEs!T83+"$5F&amp;!$D"</f>
        <v>#VALUE!</v>
      </c>
      <c r="V54" t="e">
        <f>CVEs!U83+"$5F&amp;!$E"</f>
        <v>#VALUE!</v>
      </c>
      <c r="W54" t="e">
        <f>CVEs!V83+"$5F&amp;!$F"</f>
        <v>#VALUE!</v>
      </c>
      <c r="X54" t="e">
        <f>CVEs!W83+"$5F&amp;!$G"</f>
        <v>#VALUE!</v>
      </c>
      <c r="Y54" t="e">
        <f>CVEs!X83+"$5F&amp;!$H"</f>
        <v>#VALUE!</v>
      </c>
      <c r="Z54" t="e">
        <f>CVEs!A84+"$5F&amp;!$I"</f>
        <v>#VALUE!</v>
      </c>
      <c r="AA54" t="e">
        <f>CVEs!B84+"$5F&amp;!$J"</f>
        <v>#VALUE!</v>
      </c>
      <c r="AB54" t="e">
        <f>CVEs!C84+"$5F&amp;!$K"</f>
        <v>#VALUE!</v>
      </c>
      <c r="AC54" s="57" t="e">
        <f>CVEs!D84+"$5F&amp;!$L"</f>
        <v>#VALUE!</v>
      </c>
      <c r="AD54" s="58" t="e">
        <f>CVEs!E84+"$5F&amp;!$M"</f>
        <v>#VALUE!</v>
      </c>
      <c r="AE54" s="58" t="e">
        <f>CVEs!F84+"$5F&amp;!$N"</f>
        <v>#VALUE!</v>
      </c>
      <c r="AF54" s="58" t="e">
        <f>CVEs!G84+"$5F&amp;!$O"</f>
        <v>#VALUE!</v>
      </c>
      <c r="AG54" t="e">
        <f>CVEs!H84+"$5F&amp;!$P"</f>
        <v>#VALUE!</v>
      </c>
      <c r="AH54" t="e">
        <f>CVEs!I84+"$5F&amp;!$Q"</f>
        <v>#VALUE!</v>
      </c>
      <c r="AI54" t="e">
        <f>CVEs!J84+"$5F&amp;!$R"</f>
        <v>#VALUE!</v>
      </c>
      <c r="AJ54" t="e">
        <f>CVEs!K84+"$5F&amp;!$S"</f>
        <v>#VALUE!</v>
      </c>
      <c r="AK54" t="e">
        <f>CVEs!L84+"$5F&amp;!$T"</f>
        <v>#VALUE!</v>
      </c>
      <c r="AL54" t="e">
        <f>CVEs!M84+"$5F&amp;!$U"</f>
        <v>#VALUE!</v>
      </c>
      <c r="AM54" t="e">
        <f>CVEs!N84+"$5F&amp;!$V"</f>
        <v>#VALUE!</v>
      </c>
      <c r="AN54" t="e">
        <f>CVEs!O84+"$5F&amp;!$W"</f>
        <v>#VALUE!</v>
      </c>
      <c r="AO54" t="e">
        <f>CVEs!P84+"$5F&amp;!$X"</f>
        <v>#VALUE!</v>
      </c>
      <c r="AP54" t="e">
        <f>CVEs!Q84+"$5F&amp;!$Y"</f>
        <v>#VALUE!</v>
      </c>
      <c r="AQ54" t="e">
        <f>CVEs!R84+"$5F&amp;!$Z"</f>
        <v>#VALUE!</v>
      </c>
      <c r="AR54" t="e">
        <f>CVEs!S84+"$5F&amp;!$["</f>
        <v>#VALUE!</v>
      </c>
      <c r="AS54" t="e">
        <f>CVEs!T84+"$5F&amp;!$\"</f>
        <v>#VALUE!</v>
      </c>
      <c r="AT54" t="e">
        <f>CVEs!U84+"$5F&amp;!$]"</f>
        <v>#VALUE!</v>
      </c>
      <c r="AU54" t="e">
        <f>CVEs!V84+"$5F&amp;!$^"</f>
        <v>#VALUE!</v>
      </c>
      <c r="AV54" t="e">
        <f>CVEs!W84+"$5F&amp;!$_"</f>
        <v>#VALUE!</v>
      </c>
      <c r="AW54" t="e">
        <f>CVEs!X84+"$5F&amp;!$`"</f>
        <v>#VALUE!</v>
      </c>
      <c r="AX54" t="e">
        <f>CVEs!A85+"$5F&amp;!$a"</f>
        <v>#VALUE!</v>
      </c>
      <c r="AY54" t="e">
        <f>CVEs!B85+"$5F&amp;!$b"</f>
        <v>#VALUE!</v>
      </c>
      <c r="AZ54" t="e">
        <f>CVEs!C85+"$5F&amp;!$c"</f>
        <v>#VALUE!</v>
      </c>
      <c r="BA54" s="57" t="e">
        <f>CVEs!D85+"$5F&amp;!$d"</f>
        <v>#VALUE!</v>
      </c>
      <c r="BB54" s="58" t="e">
        <f>CVEs!E85+"$5F&amp;!$e"</f>
        <v>#VALUE!</v>
      </c>
      <c r="BC54" s="58" t="e">
        <f>CVEs!F85+"$5F&amp;!$f"</f>
        <v>#VALUE!</v>
      </c>
      <c r="BD54" s="58" t="e">
        <f>CVEs!G85+"$5F&amp;!$g"</f>
        <v>#VALUE!</v>
      </c>
      <c r="BE54" t="e">
        <f>CVEs!H85+"$5F&amp;!$h"</f>
        <v>#VALUE!</v>
      </c>
      <c r="BF54" t="e">
        <f>CVEs!I85+"$5F&amp;!$i"</f>
        <v>#VALUE!</v>
      </c>
      <c r="BG54" t="e">
        <f>CVEs!J85+"$5F&amp;!$j"</f>
        <v>#VALUE!</v>
      </c>
      <c r="BH54" t="e">
        <f>CVEs!K85+"$5F&amp;!$k"</f>
        <v>#VALUE!</v>
      </c>
      <c r="BI54" t="e">
        <f>CVEs!L85+"$5F&amp;!$l"</f>
        <v>#VALUE!</v>
      </c>
      <c r="BJ54" t="e">
        <f>CVEs!M85+"$5F&amp;!$m"</f>
        <v>#VALUE!</v>
      </c>
      <c r="BK54" t="e">
        <f>CVEs!N85+"$5F&amp;!$n"</f>
        <v>#VALUE!</v>
      </c>
      <c r="BL54" t="e">
        <f>CVEs!O85+"$5F&amp;!$o"</f>
        <v>#VALUE!</v>
      </c>
      <c r="BM54" t="e">
        <f>CVEs!P85+"$5F&amp;!$p"</f>
        <v>#VALUE!</v>
      </c>
      <c r="BN54" t="e">
        <f>CVEs!Q85+"$5F&amp;!$q"</f>
        <v>#VALUE!</v>
      </c>
      <c r="BO54" t="e">
        <f>CVEs!R85+"$5F&amp;!$r"</f>
        <v>#VALUE!</v>
      </c>
      <c r="BP54" t="e">
        <f>CVEs!S85+"$5F&amp;!$s"</f>
        <v>#VALUE!</v>
      </c>
      <c r="BQ54" t="e">
        <f>CVEs!T85+"$5F&amp;!$t"</f>
        <v>#VALUE!</v>
      </c>
      <c r="BR54" t="e">
        <f>CVEs!U85+"$5F&amp;!$u"</f>
        <v>#VALUE!</v>
      </c>
      <c r="BS54" t="e">
        <f>CVEs!V85+"$5F&amp;!$v"</f>
        <v>#VALUE!</v>
      </c>
      <c r="BT54" t="e">
        <f>CVEs!W85+"$5F&amp;!$w"</f>
        <v>#VALUE!</v>
      </c>
      <c r="BU54" t="e">
        <f>CVEs!X85+"$5F&amp;!$x"</f>
        <v>#VALUE!</v>
      </c>
      <c r="BV54" t="e">
        <f>CVEs!A87+"$5F&amp;!$y"</f>
        <v>#VALUE!</v>
      </c>
      <c r="BW54" t="e">
        <f>CVEs!B87+"$5F&amp;!$z"</f>
        <v>#VALUE!</v>
      </c>
      <c r="BX54" t="e">
        <f>CVEs!C87+"$5F&amp;!${"</f>
        <v>#VALUE!</v>
      </c>
      <c r="BY54" s="57" t="e">
        <f>CVEs!D87+"$5F&amp;!$|"</f>
        <v>#VALUE!</v>
      </c>
      <c r="BZ54" s="58" t="e">
        <f>CVEs!E87+"$5F&amp;!$}"</f>
        <v>#VALUE!</v>
      </c>
      <c r="CA54" s="58" t="e">
        <f>CVEs!F87+"$5F&amp;!$~"</f>
        <v>#VALUE!</v>
      </c>
      <c r="CB54" s="58" t="e">
        <f>CVEs!G87+"$5F&amp;!%#"</f>
        <v>#VALUE!</v>
      </c>
      <c r="CC54" t="e">
        <f>CVEs!H87+"$5F&amp;!%$"</f>
        <v>#VALUE!</v>
      </c>
      <c r="CD54" t="e">
        <f>CVEs!I87+"$5F&amp;!%%"</f>
        <v>#VALUE!</v>
      </c>
      <c r="CE54" t="e">
        <f>CVEs!J87+"$5F&amp;!%&amp;"</f>
        <v>#VALUE!</v>
      </c>
      <c r="CF54" t="e">
        <f>CVEs!K87+"$5F&amp;!%'"</f>
        <v>#VALUE!</v>
      </c>
      <c r="CG54" t="e">
        <f>CVEs!L87+"$5F&amp;!%("</f>
        <v>#VALUE!</v>
      </c>
      <c r="CH54" t="e">
        <f>CVEs!M87+"$5F&amp;!%)"</f>
        <v>#VALUE!</v>
      </c>
      <c r="CI54" t="e">
        <f>CVEs!N87+"$5F&amp;!%."</f>
        <v>#VALUE!</v>
      </c>
      <c r="CJ54" t="e">
        <f>CVEs!O87+"$5F&amp;!%/"</f>
        <v>#VALUE!</v>
      </c>
      <c r="CK54" t="e">
        <f>CVEs!P87+"$5F&amp;!%0"</f>
        <v>#VALUE!</v>
      </c>
      <c r="CL54" t="e">
        <f>CVEs!Q87+"$5F&amp;!%1"</f>
        <v>#VALUE!</v>
      </c>
      <c r="CM54" t="e">
        <f>CVEs!R87+"$5F&amp;!%2"</f>
        <v>#VALUE!</v>
      </c>
      <c r="CN54" t="e">
        <f>CVEs!S87+"$5F&amp;!%3"</f>
        <v>#VALUE!</v>
      </c>
      <c r="CO54" t="e">
        <f>CVEs!T87+"$5F&amp;!%4"</f>
        <v>#VALUE!</v>
      </c>
      <c r="CP54" t="e">
        <f>CVEs!U87+"$5F&amp;!%5"</f>
        <v>#VALUE!</v>
      </c>
      <c r="CQ54" t="e">
        <f>CVEs!V87+"$5F&amp;!%6"</f>
        <v>#VALUE!</v>
      </c>
      <c r="CR54" t="e">
        <f>CVEs!W87+"$5F&amp;!%7"</f>
        <v>#VALUE!</v>
      </c>
      <c r="CS54" t="e">
        <f>CVEs!X87+"$5F&amp;!%8"</f>
        <v>#VALUE!</v>
      </c>
      <c r="CT54" t="e">
        <f>CVEs!A88+"$5F&amp;!%9"</f>
        <v>#VALUE!</v>
      </c>
      <c r="CU54" t="e">
        <f>CVEs!B88+"$5F&amp;!%:"</f>
        <v>#VALUE!</v>
      </c>
      <c r="CV54" t="e">
        <f>CVEs!C88+"$5F&amp;!%;"</f>
        <v>#VALUE!</v>
      </c>
      <c r="CW54" s="57" t="e">
        <f>CVEs!D88+"$5F&amp;!%&lt;"</f>
        <v>#VALUE!</v>
      </c>
      <c r="CX54" s="58" t="e">
        <f>CVEs!E88+"$5F&amp;!%="</f>
        <v>#VALUE!</v>
      </c>
      <c r="CY54" s="58" t="e">
        <f>CVEs!F88+"$5F&amp;!%&gt;"</f>
        <v>#VALUE!</v>
      </c>
      <c r="CZ54" s="58" t="e">
        <f>CVEs!G88+"$5F&amp;!%?"</f>
        <v>#VALUE!</v>
      </c>
      <c r="DA54" t="e">
        <f>CVEs!H88+"$5F&amp;!%@"</f>
        <v>#VALUE!</v>
      </c>
      <c r="DB54" t="e">
        <f>CVEs!I88+"$5F&amp;!%A"</f>
        <v>#VALUE!</v>
      </c>
      <c r="DC54" t="e">
        <f>CVEs!J88+"$5F&amp;!%B"</f>
        <v>#VALUE!</v>
      </c>
      <c r="DD54" t="e">
        <f>CVEs!K88+"$5F&amp;!%C"</f>
        <v>#VALUE!</v>
      </c>
      <c r="DE54" t="e">
        <f>CVEs!L88+"$5F&amp;!%D"</f>
        <v>#VALUE!</v>
      </c>
      <c r="DF54" t="e">
        <f>CVEs!M88+"$5F&amp;!%E"</f>
        <v>#VALUE!</v>
      </c>
      <c r="DG54" t="e">
        <f>CVEs!N88+"$5F&amp;!%F"</f>
        <v>#VALUE!</v>
      </c>
      <c r="DH54" t="e">
        <f>CVEs!O88+"$5F&amp;!%G"</f>
        <v>#VALUE!</v>
      </c>
      <c r="DI54" t="e">
        <f>CVEs!P88+"$5F&amp;!%H"</f>
        <v>#VALUE!</v>
      </c>
      <c r="DJ54" t="e">
        <f>CVEs!Q88+"$5F&amp;!%I"</f>
        <v>#VALUE!</v>
      </c>
      <c r="DK54" t="e">
        <f>CVEs!R88+"$5F&amp;!%J"</f>
        <v>#VALUE!</v>
      </c>
      <c r="DL54" t="e">
        <f>CVEs!S88+"$5F&amp;!%K"</f>
        <v>#VALUE!</v>
      </c>
      <c r="DM54" t="e">
        <f>CVEs!T88+"$5F&amp;!%L"</f>
        <v>#VALUE!</v>
      </c>
      <c r="DN54" t="e">
        <f>CVEs!U88+"$5F&amp;!%M"</f>
        <v>#VALUE!</v>
      </c>
      <c r="DO54" t="e">
        <f>CVEs!V88+"$5F&amp;!%N"</f>
        <v>#VALUE!</v>
      </c>
      <c r="DP54" t="e">
        <f>CVEs!W88+"$5F&amp;!%O"</f>
        <v>#VALUE!</v>
      </c>
      <c r="DQ54" t="e">
        <f>CVEs!X88+"$5F&amp;!%P"</f>
        <v>#VALUE!</v>
      </c>
      <c r="DR54" t="e">
        <f>CVEs!A89+"$5F&amp;!%Q"</f>
        <v>#VALUE!</v>
      </c>
      <c r="DS54" t="e">
        <f>CVEs!B89+"$5F&amp;!%R"</f>
        <v>#VALUE!</v>
      </c>
      <c r="DT54" t="e">
        <f>CVEs!C89+"$5F&amp;!%S"</f>
        <v>#VALUE!</v>
      </c>
      <c r="DU54" s="57" t="e">
        <f>CVEs!D89+"$5F&amp;!%T"</f>
        <v>#VALUE!</v>
      </c>
      <c r="DV54" s="58" t="e">
        <f>CVEs!E89+"$5F&amp;!%U"</f>
        <v>#VALUE!</v>
      </c>
      <c r="DW54" s="58" t="e">
        <f>CVEs!F89+"$5F&amp;!%V"</f>
        <v>#VALUE!</v>
      </c>
      <c r="DX54" s="58" t="e">
        <f>CVEs!G89+"$5F&amp;!%W"</f>
        <v>#VALUE!</v>
      </c>
      <c r="DY54" t="e">
        <f>CVEs!H89+"$5F&amp;!%X"</f>
        <v>#VALUE!</v>
      </c>
      <c r="DZ54" t="e">
        <f>CVEs!I89+"$5F&amp;!%Y"</f>
        <v>#VALUE!</v>
      </c>
      <c r="EA54" t="e">
        <f>CVEs!J89+"$5F&amp;!%Z"</f>
        <v>#VALUE!</v>
      </c>
      <c r="EB54" t="e">
        <f>CVEs!K89+"$5F&amp;!%["</f>
        <v>#VALUE!</v>
      </c>
      <c r="EC54" t="e">
        <f>CVEs!L89+"$5F&amp;!%\"</f>
        <v>#VALUE!</v>
      </c>
      <c r="ED54" t="e">
        <f>CVEs!M89+"$5F&amp;!%]"</f>
        <v>#VALUE!</v>
      </c>
      <c r="EE54" t="e">
        <f>CVEs!N89+"$5F&amp;!%^"</f>
        <v>#VALUE!</v>
      </c>
      <c r="EF54" t="e">
        <f>CVEs!O89+"$5F&amp;!%_"</f>
        <v>#VALUE!</v>
      </c>
      <c r="EG54" t="e">
        <f>CVEs!P89+"$5F&amp;!%`"</f>
        <v>#VALUE!</v>
      </c>
      <c r="EH54" t="e">
        <f>CVEs!Q89+"$5F&amp;!%a"</f>
        <v>#VALUE!</v>
      </c>
      <c r="EI54" t="e">
        <f>CVEs!R89+"$5F&amp;!%b"</f>
        <v>#VALUE!</v>
      </c>
      <c r="EJ54" t="e">
        <f>CVEs!S89+"$5F&amp;!%c"</f>
        <v>#VALUE!</v>
      </c>
      <c r="EK54" t="e">
        <f>CVEs!T89+"$5F&amp;!%d"</f>
        <v>#VALUE!</v>
      </c>
      <c r="EL54" t="e">
        <f>CVEs!U89+"$5F&amp;!%e"</f>
        <v>#VALUE!</v>
      </c>
      <c r="EM54" t="e">
        <f>CVEs!V89+"$5F&amp;!%f"</f>
        <v>#VALUE!</v>
      </c>
      <c r="EN54" t="e">
        <f>CVEs!W89+"$5F&amp;!%g"</f>
        <v>#VALUE!</v>
      </c>
      <c r="EO54" t="e">
        <f>CVEs!X89+"$5F&amp;!%h"</f>
        <v>#VALUE!</v>
      </c>
      <c r="EP54" t="e">
        <f>CVEs!A90+"$5F&amp;!%i"</f>
        <v>#VALUE!</v>
      </c>
      <c r="EQ54" t="e">
        <f>CVEs!B90+"$5F&amp;!%j"</f>
        <v>#VALUE!</v>
      </c>
      <c r="ER54" t="e">
        <f>CVEs!C90+"$5F&amp;!%k"</f>
        <v>#VALUE!</v>
      </c>
      <c r="ES54" s="57" t="e">
        <f>CVEs!D90+"$5F&amp;!%l"</f>
        <v>#VALUE!</v>
      </c>
      <c r="ET54" s="58" t="e">
        <f>CVEs!E90+"$5F&amp;!%m"</f>
        <v>#VALUE!</v>
      </c>
      <c r="EU54" s="58" t="e">
        <f>CVEs!F90+"$5F&amp;!%n"</f>
        <v>#VALUE!</v>
      </c>
      <c r="EV54" s="58" t="e">
        <f>CVEs!G90+"$5F&amp;!%o"</f>
        <v>#VALUE!</v>
      </c>
      <c r="EW54" t="e">
        <f>CVEs!H90+"$5F&amp;!%p"</f>
        <v>#VALUE!</v>
      </c>
      <c r="EX54" t="e">
        <f>CVEs!I90+"$5F&amp;!%q"</f>
        <v>#VALUE!</v>
      </c>
      <c r="EY54" t="e">
        <f>CVEs!J90+"$5F&amp;!%r"</f>
        <v>#VALUE!</v>
      </c>
      <c r="EZ54" t="e">
        <f>CVEs!K90+"$5F&amp;!%s"</f>
        <v>#VALUE!</v>
      </c>
      <c r="FA54" t="e">
        <f>CVEs!L90+"$5F&amp;!%t"</f>
        <v>#VALUE!</v>
      </c>
      <c r="FB54" t="e">
        <f>CVEs!M90+"$5F&amp;!%u"</f>
        <v>#VALUE!</v>
      </c>
      <c r="FC54" t="e">
        <f>CVEs!N90+"$5F&amp;!%v"</f>
        <v>#VALUE!</v>
      </c>
      <c r="FD54" t="e">
        <f>CVEs!O90+"$5F&amp;!%w"</f>
        <v>#VALUE!</v>
      </c>
      <c r="FE54" t="e">
        <f>CVEs!P90+"$5F&amp;!%x"</f>
        <v>#VALUE!</v>
      </c>
      <c r="FF54" t="e">
        <f>CVEs!Q90+"$5F&amp;!%y"</f>
        <v>#VALUE!</v>
      </c>
      <c r="FG54" t="e">
        <f>CVEs!R90+"$5F&amp;!%z"</f>
        <v>#VALUE!</v>
      </c>
      <c r="FH54" t="e">
        <f>CVEs!S90+"$5F&amp;!%{"</f>
        <v>#VALUE!</v>
      </c>
      <c r="FI54" t="e">
        <f>CVEs!T90+"$5F&amp;!%|"</f>
        <v>#VALUE!</v>
      </c>
      <c r="FJ54" t="e">
        <f>CVEs!U90+"$5F&amp;!%}"</f>
        <v>#VALUE!</v>
      </c>
      <c r="FK54" t="e">
        <f>CVEs!V90+"$5F&amp;!%~"</f>
        <v>#VALUE!</v>
      </c>
      <c r="FL54" t="e">
        <f>CVEs!W90+"$5F&amp;!&amp;#"</f>
        <v>#VALUE!</v>
      </c>
      <c r="FM54" t="e">
        <f>CVEs!X90+"$5F&amp;!&amp;$"</f>
        <v>#VALUE!</v>
      </c>
      <c r="FN54" t="e">
        <f>CVEs!A91+"$5F&amp;!&amp;%"</f>
        <v>#VALUE!</v>
      </c>
      <c r="FO54" t="e">
        <f>CVEs!B91+"$5F&amp;!&amp;&amp;"</f>
        <v>#VALUE!</v>
      </c>
      <c r="FP54" t="e">
        <f>CVEs!C91+"$5F&amp;!&amp;'"</f>
        <v>#VALUE!</v>
      </c>
      <c r="FQ54" s="57" t="e">
        <f>CVEs!D91+"$5F&amp;!&amp;("</f>
        <v>#VALUE!</v>
      </c>
      <c r="FR54" s="58" t="e">
        <f>CVEs!E91+"$5F&amp;!&amp;)"</f>
        <v>#VALUE!</v>
      </c>
      <c r="FS54" s="58" t="e">
        <f>CVEs!F91+"$5F&amp;!&amp;."</f>
        <v>#VALUE!</v>
      </c>
      <c r="FT54" s="58" t="e">
        <f>CVEs!G91+"$5F&amp;!&amp;/"</f>
        <v>#VALUE!</v>
      </c>
      <c r="FU54" t="e">
        <f>CVEs!H91+"$5F&amp;!&amp;0"</f>
        <v>#VALUE!</v>
      </c>
      <c r="FV54" t="e">
        <f>CVEs!I91+"$5F&amp;!&amp;1"</f>
        <v>#VALUE!</v>
      </c>
      <c r="FW54" t="e">
        <f>CVEs!J91+"$5F&amp;!&amp;2"</f>
        <v>#VALUE!</v>
      </c>
      <c r="FX54" t="e">
        <f>CVEs!K91+"$5F&amp;!&amp;3"</f>
        <v>#VALUE!</v>
      </c>
      <c r="FY54" t="e">
        <f>CVEs!L91+"$5F&amp;!&amp;4"</f>
        <v>#VALUE!</v>
      </c>
      <c r="FZ54" t="e">
        <f>CVEs!M91+"$5F&amp;!&amp;5"</f>
        <v>#VALUE!</v>
      </c>
      <c r="GA54" t="e">
        <f>CVEs!N91+"$5F&amp;!&amp;6"</f>
        <v>#VALUE!</v>
      </c>
      <c r="GB54" t="e">
        <f>CVEs!O91+"$5F&amp;!&amp;7"</f>
        <v>#VALUE!</v>
      </c>
      <c r="GC54" t="e">
        <f>CVEs!P91+"$5F&amp;!&amp;8"</f>
        <v>#VALUE!</v>
      </c>
      <c r="GD54" t="e">
        <f>CVEs!Q91+"$5F&amp;!&amp;9"</f>
        <v>#VALUE!</v>
      </c>
      <c r="GE54" t="e">
        <f>CVEs!R91+"$5F&amp;!&amp;:"</f>
        <v>#VALUE!</v>
      </c>
      <c r="GF54" t="e">
        <f>CVEs!S91+"$5F&amp;!&amp;;"</f>
        <v>#VALUE!</v>
      </c>
      <c r="GG54" t="e">
        <f>CVEs!T91+"$5F&amp;!&amp;&lt;"</f>
        <v>#VALUE!</v>
      </c>
      <c r="GH54" t="e">
        <f>CVEs!U91+"$5F&amp;!&amp;="</f>
        <v>#VALUE!</v>
      </c>
      <c r="GI54" t="e">
        <f>CVEs!V91+"$5F&amp;!&amp;&gt;"</f>
        <v>#VALUE!</v>
      </c>
      <c r="GJ54" t="e">
        <f>CVEs!W91+"$5F&amp;!&amp;?"</f>
        <v>#VALUE!</v>
      </c>
      <c r="GK54" t="e">
        <f>CVEs!X91+"$5F&amp;!&amp;@"</f>
        <v>#VALUE!</v>
      </c>
      <c r="GL54" t="e">
        <f>CVEs!A92+"$5F&amp;!&amp;A"</f>
        <v>#VALUE!</v>
      </c>
      <c r="GM54" t="e">
        <f>CVEs!B92+"$5F&amp;!&amp;B"</f>
        <v>#VALUE!</v>
      </c>
      <c r="GN54" t="e">
        <f>CVEs!C92+"$5F&amp;!&amp;C"</f>
        <v>#VALUE!</v>
      </c>
      <c r="GO54" s="57" t="e">
        <f>CVEs!D92+"$5F&amp;!&amp;D"</f>
        <v>#VALUE!</v>
      </c>
      <c r="GP54" s="58" t="e">
        <f>CVEs!E92+"$5F&amp;!&amp;E"</f>
        <v>#VALUE!</v>
      </c>
      <c r="GQ54" s="58" t="e">
        <f>CVEs!F92+"$5F&amp;!&amp;F"</f>
        <v>#VALUE!</v>
      </c>
      <c r="GR54" s="58" t="e">
        <f>CVEs!G92+"$5F&amp;!&amp;G"</f>
        <v>#VALUE!</v>
      </c>
      <c r="GS54" t="e">
        <f>CVEs!H92+"$5F&amp;!&amp;H"</f>
        <v>#VALUE!</v>
      </c>
      <c r="GT54" t="e">
        <f>CVEs!I92+"$5F&amp;!&amp;I"</f>
        <v>#VALUE!</v>
      </c>
      <c r="GU54" t="e">
        <f>CVEs!J92+"$5F&amp;!&amp;J"</f>
        <v>#VALUE!</v>
      </c>
      <c r="GV54" t="e">
        <f>CVEs!K92+"$5F&amp;!&amp;K"</f>
        <v>#VALUE!</v>
      </c>
      <c r="GW54" t="e">
        <f>CVEs!L92+"$5F&amp;!&amp;L"</f>
        <v>#VALUE!</v>
      </c>
      <c r="GX54" t="e">
        <f>CVEs!M92+"$5F&amp;!&amp;M"</f>
        <v>#VALUE!</v>
      </c>
      <c r="GY54" t="e">
        <f>CVEs!N92+"$5F&amp;!&amp;N"</f>
        <v>#VALUE!</v>
      </c>
      <c r="GZ54" t="e">
        <f>CVEs!O92+"$5F&amp;!&amp;O"</f>
        <v>#VALUE!</v>
      </c>
      <c r="HA54" t="e">
        <f>CVEs!P92+"$5F&amp;!&amp;P"</f>
        <v>#VALUE!</v>
      </c>
      <c r="HB54" t="e">
        <f>CVEs!Q92+"$5F&amp;!&amp;Q"</f>
        <v>#VALUE!</v>
      </c>
      <c r="HC54" t="e">
        <f>CVEs!R92+"$5F&amp;!&amp;R"</f>
        <v>#VALUE!</v>
      </c>
      <c r="HD54" t="e">
        <f>CVEs!S92+"$5F&amp;!&amp;S"</f>
        <v>#VALUE!</v>
      </c>
      <c r="HE54" t="e">
        <f>CVEs!T92+"$5F&amp;!&amp;T"</f>
        <v>#VALUE!</v>
      </c>
      <c r="HF54" t="e">
        <f>CVEs!U92+"$5F&amp;!&amp;U"</f>
        <v>#VALUE!</v>
      </c>
      <c r="HG54" t="e">
        <f>CVEs!V92+"$5F&amp;!&amp;V"</f>
        <v>#VALUE!</v>
      </c>
      <c r="HH54" t="e">
        <f>CVEs!W92+"$5F&amp;!&amp;W"</f>
        <v>#VALUE!</v>
      </c>
      <c r="HI54" t="e">
        <f>CVEs!X92+"$5F&amp;!&amp;X"</f>
        <v>#VALUE!</v>
      </c>
      <c r="HJ54" t="e">
        <f>CVEs!A93+"$5F&amp;!&amp;Y"</f>
        <v>#VALUE!</v>
      </c>
      <c r="HK54" t="e">
        <f>CVEs!B93+"$5F&amp;!&amp;Z"</f>
        <v>#VALUE!</v>
      </c>
      <c r="HL54" t="e">
        <f>CVEs!C93+"$5F&amp;!&amp;["</f>
        <v>#VALUE!</v>
      </c>
      <c r="HM54" s="57" t="e">
        <f>CVEs!D93+"$5F&amp;!&amp;\"</f>
        <v>#VALUE!</v>
      </c>
      <c r="HN54" s="58" t="e">
        <f>CVEs!E93+"$5F&amp;!&amp;]"</f>
        <v>#VALUE!</v>
      </c>
      <c r="HO54" s="58" t="e">
        <f>CVEs!F93+"$5F&amp;!&amp;^"</f>
        <v>#VALUE!</v>
      </c>
      <c r="HP54" s="58" t="e">
        <f>CVEs!G93+"$5F&amp;!&amp;_"</f>
        <v>#VALUE!</v>
      </c>
      <c r="HQ54" t="e">
        <f>CVEs!H93+"$5F&amp;!&amp;`"</f>
        <v>#VALUE!</v>
      </c>
      <c r="HR54" t="e">
        <f>CVEs!I93+"$5F&amp;!&amp;a"</f>
        <v>#VALUE!</v>
      </c>
      <c r="HS54" t="e">
        <f>CVEs!J93+"$5F&amp;!&amp;b"</f>
        <v>#VALUE!</v>
      </c>
      <c r="HT54" t="e">
        <f>CVEs!K93+"$5F&amp;!&amp;c"</f>
        <v>#VALUE!</v>
      </c>
      <c r="HU54" t="e">
        <f>CVEs!L93+"$5F&amp;!&amp;d"</f>
        <v>#VALUE!</v>
      </c>
      <c r="HV54" t="e">
        <f>CVEs!M93+"$5F&amp;!&amp;e"</f>
        <v>#VALUE!</v>
      </c>
      <c r="HW54" t="e">
        <f>CVEs!N93+"$5F&amp;!&amp;f"</f>
        <v>#VALUE!</v>
      </c>
      <c r="HX54" t="e">
        <f>CVEs!O93+"$5F&amp;!&amp;g"</f>
        <v>#VALUE!</v>
      </c>
      <c r="HY54" t="e">
        <f>CVEs!P93+"$5F&amp;!&amp;h"</f>
        <v>#VALUE!</v>
      </c>
      <c r="HZ54" t="e">
        <f>CVEs!Q93+"$5F&amp;!&amp;i"</f>
        <v>#VALUE!</v>
      </c>
      <c r="IA54" t="e">
        <f>CVEs!R93+"$5F&amp;!&amp;j"</f>
        <v>#VALUE!</v>
      </c>
      <c r="IB54" t="e">
        <f>CVEs!S93+"$5F&amp;!&amp;k"</f>
        <v>#VALUE!</v>
      </c>
      <c r="IC54" t="e">
        <f>CVEs!T93+"$5F&amp;!&amp;l"</f>
        <v>#VALUE!</v>
      </c>
      <c r="ID54" t="e">
        <f>CVEs!U93+"$5F&amp;!&amp;m"</f>
        <v>#VALUE!</v>
      </c>
      <c r="IE54" t="e">
        <f>CVEs!V93+"$5F&amp;!&amp;n"</f>
        <v>#VALUE!</v>
      </c>
      <c r="IF54" t="e">
        <f>CVEs!W93+"$5F&amp;!&amp;o"</f>
        <v>#VALUE!</v>
      </c>
      <c r="IG54" t="e">
        <f>CVEs!X93+"$5F&amp;!&amp;p"</f>
        <v>#VALUE!</v>
      </c>
      <c r="IH54" t="e">
        <f>CVEs!A94+"$5F&amp;!&amp;q"</f>
        <v>#VALUE!</v>
      </c>
      <c r="II54" t="e">
        <f>CVEs!B94+"$5F&amp;!&amp;r"</f>
        <v>#VALUE!</v>
      </c>
      <c r="IJ54" t="e">
        <f>CVEs!C94+"$5F&amp;!&amp;s"</f>
        <v>#VALUE!</v>
      </c>
      <c r="IK54" s="57" t="e">
        <f>CVEs!D94+"$5F&amp;!&amp;t"</f>
        <v>#VALUE!</v>
      </c>
      <c r="IL54" s="58" t="e">
        <f>CVEs!E94+"$5F&amp;!&amp;u"</f>
        <v>#VALUE!</v>
      </c>
      <c r="IM54" s="58" t="e">
        <f>CVEs!F94+"$5F&amp;!&amp;v"</f>
        <v>#VALUE!</v>
      </c>
      <c r="IN54" s="58" t="e">
        <f>CVEs!G94+"$5F&amp;!&amp;w"</f>
        <v>#VALUE!</v>
      </c>
      <c r="IO54" t="e">
        <f>CVEs!H94+"$5F&amp;!&amp;x"</f>
        <v>#VALUE!</v>
      </c>
      <c r="IP54" t="e">
        <f>CVEs!I94+"$5F&amp;!&amp;y"</f>
        <v>#VALUE!</v>
      </c>
      <c r="IQ54" t="e">
        <f>CVEs!J94+"$5F&amp;!&amp;z"</f>
        <v>#VALUE!</v>
      </c>
      <c r="IR54" t="e">
        <f>CVEs!K94+"$5F&amp;!&amp;{"</f>
        <v>#VALUE!</v>
      </c>
      <c r="IS54" t="e">
        <f>CVEs!L94+"$5F&amp;!&amp;|"</f>
        <v>#VALUE!</v>
      </c>
      <c r="IT54" t="e">
        <f>CVEs!M94+"$5F&amp;!&amp;}"</f>
        <v>#VALUE!</v>
      </c>
      <c r="IU54" t="e">
        <f>CVEs!N94+"$5F&amp;!&amp;~"</f>
        <v>#VALUE!</v>
      </c>
      <c r="IV54" t="e">
        <f>CVEs!O94+"$5F&amp;!'#"</f>
        <v>#VALUE!</v>
      </c>
    </row>
    <row r="55" spans="6:256" x14ac:dyDescent="0.25">
      <c r="F55" t="e">
        <f>CVEs!P94+"$5F&amp;!'$"</f>
        <v>#VALUE!</v>
      </c>
      <c r="G55" t="e">
        <f>CVEs!Q94+"$5F&amp;!'%"</f>
        <v>#VALUE!</v>
      </c>
      <c r="H55" t="e">
        <f>CVEs!R94+"$5F&amp;!'&amp;"</f>
        <v>#VALUE!</v>
      </c>
      <c r="I55" t="e">
        <f>CVEs!S94+"$5F&amp;!''"</f>
        <v>#VALUE!</v>
      </c>
      <c r="J55" t="e">
        <f>CVEs!T94+"$5F&amp;!'("</f>
        <v>#VALUE!</v>
      </c>
      <c r="K55" t="e">
        <f>CVEs!U94+"$5F&amp;!')"</f>
        <v>#VALUE!</v>
      </c>
      <c r="L55" t="e">
        <f>CVEs!V94+"$5F&amp;!'."</f>
        <v>#VALUE!</v>
      </c>
      <c r="M55" t="e">
        <f>CVEs!W94+"$5F&amp;!'/"</f>
        <v>#VALUE!</v>
      </c>
      <c r="N55" t="e">
        <f>CVEs!X94+"$5F&amp;!'0"</f>
        <v>#VALUE!</v>
      </c>
      <c r="O55" t="e">
        <f>CVEs!A95+"$5F&amp;!'1"</f>
        <v>#VALUE!</v>
      </c>
      <c r="P55" t="e">
        <f>CVEs!B95+"$5F&amp;!'2"</f>
        <v>#VALUE!</v>
      </c>
      <c r="Q55" t="e">
        <f>CVEs!C95+"$5F&amp;!'3"</f>
        <v>#VALUE!</v>
      </c>
      <c r="R55" s="57" t="e">
        <f>CVEs!D95+"$5F&amp;!'4"</f>
        <v>#VALUE!</v>
      </c>
      <c r="S55" s="58" t="e">
        <f>CVEs!E95+"$5F&amp;!'5"</f>
        <v>#VALUE!</v>
      </c>
      <c r="T55" s="58" t="e">
        <f>CVEs!F95+"$5F&amp;!'6"</f>
        <v>#VALUE!</v>
      </c>
      <c r="U55" s="58" t="e">
        <f>CVEs!G95+"$5F&amp;!'7"</f>
        <v>#VALUE!</v>
      </c>
      <c r="V55" t="e">
        <f>CVEs!H95+"$5F&amp;!'8"</f>
        <v>#VALUE!</v>
      </c>
      <c r="W55" t="e">
        <f>CVEs!I95+"$5F&amp;!'9"</f>
        <v>#VALUE!</v>
      </c>
      <c r="X55" t="e">
        <f>CVEs!J95+"$5F&amp;!':"</f>
        <v>#VALUE!</v>
      </c>
      <c r="Y55" t="e">
        <f>CVEs!K95+"$5F&amp;!';"</f>
        <v>#VALUE!</v>
      </c>
      <c r="Z55" t="e">
        <f>CVEs!L95+"$5F&amp;!'&lt;"</f>
        <v>#VALUE!</v>
      </c>
      <c r="AA55" t="e">
        <f>CVEs!M95+"$5F&amp;!'="</f>
        <v>#VALUE!</v>
      </c>
      <c r="AB55" t="e">
        <f>CVEs!N95+"$5F&amp;!'&gt;"</f>
        <v>#VALUE!</v>
      </c>
      <c r="AC55" t="e">
        <f>CVEs!O95+"$5F&amp;!'?"</f>
        <v>#VALUE!</v>
      </c>
      <c r="AD55" t="e">
        <f>CVEs!P95+"$5F&amp;!'@"</f>
        <v>#VALUE!</v>
      </c>
      <c r="AE55" t="e">
        <f>CVEs!Q95+"$5F&amp;!'A"</f>
        <v>#VALUE!</v>
      </c>
      <c r="AF55" t="e">
        <f>CVEs!R95+"$5F&amp;!'B"</f>
        <v>#VALUE!</v>
      </c>
      <c r="AG55" t="e">
        <f>CVEs!S95+"$5F&amp;!'C"</f>
        <v>#VALUE!</v>
      </c>
      <c r="AH55" t="e">
        <f>CVEs!T95+"$5F&amp;!'D"</f>
        <v>#VALUE!</v>
      </c>
      <c r="AI55" t="e">
        <f>CVEs!U95+"$5F&amp;!'E"</f>
        <v>#VALUE!</v>
      </c>
      <c r="AJ55" t="e">
        <f>CVEs!V95+"$5F&amp;!'F"</f>
        <v>#VALUE!</v>
      </c>
      <c r="AK55" t="e">
        <f>CVEs!W95+"$5F&amp;!'G"</f>
        <v>#VALUE!</v>
      </c>
      <c r="AL55" t="e">
        <f>CVEs!X95+"$5F&amp;!'H"</f>
        <v>#VALUE!</v>
      </c>
      <c r="AM55" t="e">
        <f>CVEs!A96+"$5F&amp;!'I"</f>
        <v>#VALUE!</v>
      </c>
      <c r="AN55" t="e">
        <f>CVEs!B96+"$5F&amp;!'J"</f>
        <v>#VALUE!</v>
      </c>
      <c r="AO55" t="e">
        <f>CVEs!C96+"$5F&amp;!'K"</f>
        <v>#VALUE!</v>
      </c>
      <c r="AP55" s="57" t="e">
        <f>CVEs!D96+"$5F&amp;!'L"</f>
        <v>#VALUE!</v>
      </c>
      <c r="AQ55" s="58" t="e">
        <f>CVEs!E96+"$5F&amp;!'M"</f>
        <v>#VALUE!</v>
      </c>
      <c r="AR55" s="58" t="e">
        <f>CVEs!F96+"$5F&amp;!'N"</f>
        <v>#VALUE!</v>
      </c>
      <c r="AS55" s="58" t="e">
        <f>CVEs!G96+"$5F&amp;!'O"</f>
        <v>#VALUE!</v>
      </c>
      <c r="AT55" t="e">
        <f>CVEs!H96+"$5F&amp;!'P"</f>
        <v>#VALUE!</v>
      </c>
      <c r="AU55" t="e">
        <f>CVEs!I96+"$5F&amp;!'Q"</f>
        <v>#VALUE!</v>
      </c>
      <c r="AV55" t="e">
        <f>CVEs!J96+"$5F&amp;!'R"</f>
        <v>#VALUE!</v>
      </c>
      <c r="AW55" t="e">
        <f>CVEs!K96+"$5F&amp;!'S"</f>
        <v>#VALUE!</v>
      </c>
      <c r="AX55" t="e">
        <f>CVEs!L96+"$5F&amp;!'T"</f>
        <v>#VALUE!</v>
      </c>
      <c r="AY55" t="e">
        <f>CVEs!M96+"$5F&amp;!'U"</f>
        <v>#VALUE!</v>
      </c>
      <c r="AZ55" t="e">
        <f>CVEs!N96+"$5F&amp;!'V"</f>
        <v>#VALUE!</v>
      </c>
      <c r="BA55" t="e">
        <f>CVEs!O96+"$5F&amp;!'W"</f>
        <v>#VALUE!</v>
      </c>
      <c r="BB55" t="e">
        <f>CVEs!P96+"$5F&amp;!'X"</f>
        <v>#VALUE!</v>
      </c>
      <c r="BC55" t="e">
        <f>CVEs!Q96+"$5F&amp;!'Y"</f>
        <v>#VALUE!</v>
      </c>
      <c r="BD55" t="e">
        <f>CVEs!R96+"$5F&amp;!'Z"</f>
        <v>#VALUE!</v>
      </c>
      <c r="BE55" t="e">
        <f>CVEs!S96+"$5F&amp;!'["</f>
        <v>#VALUE!</v>
      </c>
      <c r="BF55" t="e">
        <f>CVEs!T96+"$5F&amp;!'\"</f>
        <v>#VALUE!</v>
      </c>
      <c r="BG55" t="e">
        <f>CVEs!U96+"$5F&amp;!']"</f>
        <v>#VALUE!</v>
      </c>
      <c r="BH55" t="e">
        <f>CVEs!V96+"$5F&amp;!'^"</f>
        <v>#VALUE!</v>
      </c>
      <c r="BI55" t="e">
        <f>CVEs!W96+"$5F&amp;!'_"</f>
        <v>#VALUE!</v>
      </c>
      <c r="BJ55" t="e">
        <f>CVEs!X96+"$5F&amp;!'`"</f>
        <v>#VALUE!</v>
      </c>
      <c r="BK55" t="e">
        <f>CVEs!A97+"$5F&amp;!'a"</f>
        <v>#VALUE!</v>
      </c>
      <c r="BL55" t="e">
        <f>CVEs!B97+"$5F&amp;!'b"</f>
        <v>#VALUE!</v>
      </c>
      <c r="BM55" t="e">
        <f>CVEs!C97+"$5F&amp;!'c"</f>
        <v>#VALUE!</v>
      </c>
      <c r="BN55" s="57" t="e">
        <f>CVEs!D97+"$5F&amp;!'d"</f>
        <v>#VALUE!</v>
      </c>
      <c r="BO55" s="58" t="e">
        <f>CVEs!E97+"$5F&amp;!'e"</f>
        <v>#VALUE!</v>
      </c>
      <c r="BP55" s="58" t="e">
        <f>CVEs!F97+"$5F&amp;!'f"</f>
        <v>#VALUE!</v>
      </c>
      <c r="BQ55" s="58" t="e">
        <f>CVEs!G97+"$5F&amp;!'g"</f>
        <v>#VALUE!</v>
      </c>
      <c r="BR55" t="e">
        <f>CVEs!H97+"$5F&amp;!'h"</f>
        <v>#VALUE!</v>
      </c>
      <c r="BS55" t="e">
        <f>CVEs!I97+"$5F&amp;!'i"</f>
        <v>#VALUE!</v>
      </c>
      <c r="BT55" t="e">
        <f>CVEs!J97+"$5F&amp;!'j"</f>
        <v>#VALUE!</v>
      </c>
      <c r="BU55" t="e">
        <f>CVEs!K97+"$5F&amp;!'k"</f>
        <v>#VALUE!</v>
      </c>
      <c r="BV55" t="e">
        <f>CVEs!L97+"$5F&amp;!'l"</f>
        <v>#VALUE!</v>
      </c>
      <c r="BW55" t="e">
        <f>CVEs!M97+"$5F&amp;!'m"</f>
        <v>#VALUE!</v>
      </c>
      <c r="BX55" t="e">
        <f>CVEs!N97+"$5F&amp;!'n"</f>
        <v>#VALUE!</v>
      </c>
      <c r="BY55" t="e">
        <f>CVEs!O97+"$5F&amp;!'o"</f>
        <v>#VALUE!</v>
      </c>
      <c r="BZ55" t="e">
        <f>CVEs!P97+"$5F&amp;!'p"</f>
        <v>#VALUE!</v>
      </c>
      <c r="CA55" t="e">
        <f>CVEs!Q97+"$5F&amp;!'q"</f>
        <v>#VALUE!</v>
      </c>
      <c r="CB55" t="e">
        <f>CVEs!R97+"$5F&amp;!'r"</f>
        <v>#VALUE!</v>
      </c>
      <c r="CC55" t="e">
        <f>CVEs!S97+"$5F&amp;!'s"</f>
        <v>#VALUE!</v>
      </c>
      <c r="CD55" t="e">
        <f>CVEs!T97+"$5F&amp;!'t"</f>
        <v>#VALUE!</v>
      </c>
      <c r="CE55" t="e">
        <f>CVEs!U97+"$5F&amp;!'u"</f>
        <v>#VALUE!</v>
      </c>
      <c r="CF55" t="e">
        <f>CVEs!V97+"$5F&amp;!'v"</f>
        <v>#VALUE!</v>
      </c>
      <c r="CG55" t="e">
        <f>CVEs!W97+"$5F&amp;!'w"</f>
        <v>#VALUE!</v>
      </c>
      <c r="CH55" t="e">
        <f>CVEs!X97+"$5F&amp;!'x"</f>
        <v>#VALUE!</v>
      </c>
      <c r="CI55" t="e">
        <f>CVEs!K101+"$5F&amp;!'y"</f>
        <v>#VALUE!</v>
      </c>
      <c r="CJ55" t="e">
        <f>CVEs!L101+"$5F&amp;!'z"</f>
        <v>#VALUE!</v>
      </c>
      <c r="CK55" t="e">
        <f>CVEs!K102+"$5F&amp;!'{"</f>
        <v>#VALUE!</v>
      </c>
      <c r="CL55" t="e">
        <f>CVEs!L102+"$5F&amp;!'|"</f>
        <v>#VALUE!</v>
      </c>
      <c r="CM55" t="e">
        <f>CVEs!K103+"$5F&amp;!'}"</f>
        <v>#VALUE!</v>
      </c>
      <c r="CN55" t="e">
        <f>CVEs!L103+"$5F&amp;!'~"</f>
        <v>#VALUE!</v>
      </c>
      <c r="CO55" t="e">
        <f>CVEs!M103+"$5F&amp;!(#"</f>
        <v>#VALUE!</v>
      </c>
      <c r="CP55" t="e">
        <f>CVEs!K104+"$5F&amp;!($"</f>
        <v>#VALUE!</v>
      </c>
      <c r="CQ55" t="e">
        <f>CVEs!L104+"$5F&amp;!(%"</f>
        <v>#VALUE!</v>
      </c>
      <c r="CR55" t="e">
        <f>CVEs!M104+"$5F&amp;!(&amp;"</f>
        <v>#VALUE!</v>
      </c>
      <c r="CS55" t="e">
        <f>CVEs!K105+"$5F&amp;!('"</f>
        <v>#VALUE!</v>
      </c>
      <c r="CT55" t="e">
        <f>CVEs!L105+"$5F&amp;!(("</f>
        <v>#VALUE!</v>
      </c>
      <c r="CU55" t="e">
        <f>CVEs!M105+"$5F&amp;!()"</f>
        <v>#VALUE!</v>
      </c>
      <c r="CV55" t="e">
        <f>CVEs!K106+"$5F&amp;!(."</f>
        <v>#VALUE!</v>
      </c>
      <c r="CW55" t="e">
        <f>CVEs!L106+"$5F&amp;!(/"</f>
        <v>#VALUE!</v>
      </c>
      <c r="CX55" t="e">
        <f>CVEs!M106+"$5F&amp;!(0"</f>
        <v>#VALUE!</v>
      </c>
      <c r="CY55" t="e">
        <f>CVEs!K107+"$5F&amp;!(1"</f>
        <v>#VALUE!</v>
      </c>
      <c r="CZ55" t="e">
        <f>CVEs!L107+"$5F&amp;!(2"</f>
        <v>#VALUE!</v>
      </c>
      <c r="DA55" t="e">
        <f>CVEs!M107+"$5F&amp;!(3"</f>
        <v>#VALUE!</v>
      </c>
      <c r="DB55" t="e">
        <f>CVEs!I108+"$5F&amp;!(4"</f>
        <v>#VALUE!</v>
      </c>
      <c r="DC55" t="e">
        <f ca="1">CVEs!J108+"$5F&amp;!(5"</f>
        <v>#VALUE!</v>
      </c>
      <c r="DD55" t="e">
        <f>CVEs!K108+"$5F&amp;!(6"</f>
        <v>#VALUE!</v>
      </c>
      <c r="DE55" t="e">
        <f>CVEs!L108+"$5F&amp;!(7"</f>
        <v>#VALUE!</v>
      </c>
      <c r="DF55" t="e">
        <f>CVEs!M108+"$5F&amp;!(8"</f>
        <v>#VALUE!</v>
      </c>
      <c r="DG55" t="e">
        <f>CVEs!K109+"$5F&amp;!(9"</f>
        <v>#VALUE!</v>
      </c>
      <c r="DH55" t="e">
        <f>CVEs!L109+"$5F&amp;!(:"</f>
        <v>#VALUE!</v>
      </c>
      <c r="DI55" t="e">
        <f>CVEs!M109+"$5F&amp;!(;"</f>
        <v>#VALUE!</v>
      </c>
      <c r="DJ55" t="e">
        <f>Rules!60:60-"$5F&amp;!(&lt;"</f>
        <v>#VALUE!</v>
      </c>
      <c r="DK55" t="e">
        <f>Rules!A60+"$5F&amp;!(="</f>
        <v>#VALUE!</v>
      </c>
      <c r="DL55" t="e">
        <f>CWE!A:A*"$5F&amp;!6z"</f>
        <v>#VALUE!</v>
      </c>
      <c r="DM55" t="e">
        <f>CWE!B:B*"$5F&amp;!6{"</f>
        <v>#VALUE!</v>
      </c>
      <c r="DN55" t="e">
        <f>CWE!C:C*"$5F&amp;!6|"</f>
        <v>#VALUE!</v>
      </c>
      <c r="DO55" t="e">
        <f>CWE!D:D*"$5F&amp;!6}"</f>
        <v>#VALUE!</v>
      </c>
      <c r="DP55" t="e">
        <f>CWE!E:E*"$5F&amp;!6~"</f>
        <v>#VALUE!</v>
      </c>
      <c r="DQ55" t="e">
        <f>CWE!F:F*"$5F&amp;!7#"</f>
        <v>#VALUE!</v>
      </c>
      <c r="DR55" t="e">
        <f>CWE!G:G*"$5F&amp;!7$"</f>
        <v>#VALUE!</v>
      </c>
      <c r="DS55" t="e">
        <f>CWE!H:H*"$5F&amp;!7%"</f>
        <v>#VALUE!</v>
      </c>
      <c r="DT55" t="e">
        <f>CWE!I:I*"$5F&amp;!7&amp;"</f>
        <v>#VALUE!</v>
      </c>
      <c r="DU55" t="e">
        <f>CWE!J:J*"$5F&amp;!7'"</f>
        <v>#VALUE!</v>
      </c>
      <c r="DV55" t="e">
        <f>CWE!K:K*"$5F&amp;!7("</f>
        <v>#VALUE!</v>
      </c>
      <c r="DW55" t="e">
        <f>CWE!L:L*"$5F&amp;!7)"</f>
        <v>#VALUE!</v>
      </c>
      <c r="DX55" t="e">
        <f>CWE!M:M*"$5F&amp;!7."</f>
        <v>#VALUE!</v>
      </c>
      <c r="DY55" t="e">
        <f>CWE!N:N*"$5F&amp;!7/"</f>
        <v>#VALUE!</v>
      </c>
      <c r="DZ55" t="e">
        <f>CWE!O:O*"$5F&amp;!70"</f>
        <v>#VALUE!</v>
      </c>
      <c r="EA55" t="e">
        <f>CWE!P:P*"$5F&amp;!71"</f>
        <v>#VALUE!</v>
      </c>
      <c r="EB55" t="e">
        <f>CWE!Q:Q*"$5F&amp;!72"</f>
        <v>#VALUE!</v>
      </c>
      <c r="EC55" t="e">
        <f>CWE!R:R*"$5F&amp;!73"</f>
        <v>#VALUE!</v>
      </c>
      <c r="ED55" t="e">
        <f>CWE!S:S*"$5F&amp;!74"</f>
        <v>#VALUE!</v>
      </c>
      <c r="EE55" t="e">
        <f>CWE!T:T*"$5F&amp;!75"</f>
        <v>#VALUE!</v>
      </c>
      <c r="EF55" t="e">
        <f>CWE!U:U*"$5F&amp;!76"</f>
        <v>#VALUE!</v>
      </c>
      <c r="EG55" t="e">
        <f>CWE!V:V*"$5F&amp;!77"</f>
        <v>#VALUE!</v>
      </c>
      <c r="EH55" t="e">
        <f>CWE!W:W*"$5F&amp;!78"</f>
        <v>#VALUE!</v>
      </c>
      <c r="EI55" t="e">
        <f>CWE!X:X*"$5F&amp;!79"</f>
        <v>#VALUE!</v>
      </c>
      <c r="EJ55" t="e">
        <f>CWE!Y:Y*"$5F&amp;!7:"</f>
        <v>#VALUE!</v>
      </c>
      <c r="EK55" t="e">
        <f>CWE!Z:Z*"$5F&amp;!7;"</f>
        <v>#VALUE!</v>
      </c>
      <c r="EL55" t="e">
        <f>CWE!AA:AA*"$5F&amp;!7&lt;"</f>
        <v>#VALUE!</v>
      </c>
      <c r="EM55" t="e">
        <f>CWE!AB:AB*"$5F&amp;!7="</f>
        <v>#VALUE!</v>
      </c>
      <c r="EN55" t="e">
        <f>CWE!AC:AC*"$5F&amp;!7&gt;"</f>
        <v>#VALUE!</v>
      </c>
      <c r="EO55" t="e">
        <f>CWE!AD:AD*"$5F&amp;!7?"</f>
        <v>#VALUE!</v>
      </c>
      <c r="EP55" t="e">
        <f>CWE!AE:AE*"$5F&amp;!7@"</f>
        <v>#VALUE!</v>
      </c>
      <c r="EQ55" t="e">
        <f>CWE!AF:AF*"$5F&amp;!7A"</f>
        <v>#VALUE!</v>
      </c>
      <c r="ER55" t="e">
        <f>CWE!AG:AG*"$5F&amp;!7B"</f>
        <v>#VALUE!</v>
      </c>
      <c r="ES55" t="e">
        <f>CWE!AH:AH*"$5F&amp;!7C"</f>
        <v>#VALUE!</v>
      </c>
      <c r="ET55" t="e">
        <f>CWE!AI:AI*"$5F&amp;!7D"</f>
        <v>#VALUE!</v>
      </c>
      <c r="EU55" t="e">
        <f>CWE!AJ:AJ*"$5F&amp;!7E"</f>
        <v>#VALUE!</v>
      </c>
      <c r="EV55" t="e">
        <f>CWE!AK:AK*"$5F&amp;!7F"</f>
        <v>#VALUE!</v>
      </c>
      <c r="EW55" t="e">
        <f>CWE!AL:AL*"$5F&amp;!7G"</f>
        <v>#VALUE!</v>
      </c>
      <c r="EX55" t="e">
        <f>CWE!AM:AM*"$5F&amp;!7H"</f>
        <v>#VALUE!</v>
      </c>
      <c r="EY55" t="e">
        <f>CWE!AN:AN*"$5F&amp;!7I"</f>
        <v>#VALUE!</v>
      </c>
      <c r="EZ55" t="e">
        <f>CWE!AO:AO*"$5F&amp;!7J"</f>
        <v>#VALUE!</v>
      </c>
      <c r="FA55" t="e">
        <f>CWE!AP:AP*"$5F&amp;!7K"</f>
        <v>#VALUE!</v>
      </c>
      <c r="FB55" t="e">
        <f>CWE!AQ:AQ*"$5F&amp;!7L"</f>
        <v>#VALUE!</v>
      </c>
      <c r="FC55" t="e">
        <f>CWE!AR:AR*"$5F&amp;!7M"</f>
        <v>#VALUE!</v>
      </c>
      <c r="FD55" t="e">
        <f>CWE!AS:AS*"$5F&amp;!7N"</f>
        <v>#VALUE!</v>
      </c>
      <c r="FE55" t="e">
        <f>CWE!AT:AT*"$5F&amp;!7O"</f>
        <v>#VALUE!</v>
      </c>
      <c r="FF55" t="e">
        <f>CWE!AU:AU*"$5F&amp;!7P"</f>
        <v>#VALUE!</v>
      </c>
      <c r="FG55" t="e">
        <f>CWE!AV:AV*"$5F&amp;!7Q"</f>
        <v>#VALUE!</v>
      </c>
      <c r="FH55" t="e">
        <f>CWE!AW:AW*"$5F&amp;!7R"</f>
        <v>#VALUE!</v>
      </c>
      <c r="FI55" t="e">
        <f>CWE!AX:AX*"$5F&amp;!7S"</f>
        <v>#VALUE!</v>
      </c>
      <c r="FJ55" t="e">
        <f>CWE!AY:AY*"$5F&amp;!7T"</f>
        <v>#VALUE!</v>
      </c>
      <c r="FK55" t="e">
        <f>CWE!AZ:AZ*"$5F&amp;!7U"</f>
        <v>#VALUE!</v>
      </c>
      <c r="FL55" t="e">
        <f>CWE!BA:BA*"$5F&amp;!7V"</f>
        <v>#VALUE!</v>
      </c>
      <c r="FM55" t="e">
        <f>CWE!BB:BB*"$5F&amp;!7W"</f>
        <v>#VALUE!</v>
      </c>
      <c r="FN55" t="e">
        <f>CWE!BC:BC*"$5F&amp;!7X"</f>
        <v>#VALUE!</v>
      </c>
      <c r="FO55" t="e">
        <f>CWE!BD:BD*"$5F&amp;!7Y"</f>
        <v>#VALUE!</v>
      </c>
      <c r="FP55" t="e">
        <f>CWE!1:1-"$5F&amp;!7Z"</f>
        <v>#VALUE!</v>
      </c>
      <c r="FQ55" t="e">
        <f>CWE!2:2-"$5F&amp;!7["</f>
        <v>#VALUE!</v>
      </c>
      <c r="FR55" t="e">
        <f>CWE!3:3-"$5F&amp;!7\"</f>
        <v>#VALUE!</v>
      </c>
      <c r="FS55" t="e">
        <f>CWE!4:4-"$5F&amp;!7]"</f>
        <v>#VALUE!</v>
      </c>
      <c r="FT55" t="e">
        <f>CWE!5:5-"$5F&amp;!7^"</f>
        <v>#VALUE!</v>
      </c>
      <c r="FU55" t="e">
        <f>CWE!6:6-"$5F&amp;!7_"</f>
        <v>#VALUE!</v>
      </c>
      <c r="FV55" t="e">
        <f>CWE!7:7-"$5F&amp;!7`"</f>
        <v>#VALUE!</v>
      </c>
      <c r="FW55" t="e">
        <f>CWE!8:8-"$5F&amp;!7a"</f>
        <v>#VALUE!</v>
      </c>
      <c r="FX55" t="e">
        <f>CWE!9:9-"$5F&amp;!7b"</f>
        <v>#VALUE!</v>
      </c>
      <c r="FY55" t="e">
        <f>CWE!10:10-"$5F&amp;!7c"</f>
        <v>#VALUE!</v>
      </c>
      <c r="FZ55" t="e">
        <f>CWE!11:11-"$5F&amp;!7d"</f>
        <v>#VALUE!</v>
      </c>
      <c r="GA55" t="e">
        <f>CWE!12:12-"$5F&amp;!7e"</f>
        <v>#VALUE!</v>
      </c>
      <c r="GB55" t="e">
        <f>CWE!13:13-"$5F&amp;!7f"</f>
        <v>#VALUE!</v>
      </c>
      <c r="GC55" t="e">
        <f>CWE!14:14-"$5F&amp;!7g"</f>
        <v>#VALUE!</v>
      </c>
      <c r="GD55" t="e">
        <f>CWE!15:15-"$5F&amp;!7h"</f>
        <v>#VALUE!</v>
      </c>
      <c r="GE55" t="e">
        <f>CWE!16:16-"$5F&amp;!7i"</f>
        <v>#VALUE!</v>
      </c>
      <c r="GF55" t="e">
        <f>CWE!17:17-"$5F&amp;!7j"</f>
        <v>#VALUE!</v>
      </c>
      <c r="GG55" t="e">
        <f>CWE!18:18-"$5F&amp;!7k"</f>
        <v>#VALUE!</v>
      </c>
      <c r="GH55" t="e">
        <f>CWE!19:19-"$5F&amp;!7l"</f>
        <v>#VALUE!</v>
      </c>
      <c r="GI55" t="e">
        <f>CWE!20:20-"$5F&amp;!7m"</f>
        <v>#VALUE!</v>
      </c>
      <c r="GJ55" t="e">
        <f>CWE!21:21-"$5F&amp;!7n"</f>
        <v>#VALUE!</v>
      </c>
      <c r="GK55" t="e">
        <f>CWE!22:22-"$5F&amp;!7o"</f>
        <v>#VALUE!</v>
      </c>
      <c r="GL55" t="e">
        <f>CWE!23:23-"$5F&amp;!7p"</f>
        <v>#VALUE!</v>
      </c>
      <c r="GM55" t="e">
        <f>CWE!24:24-"$5F&amp;!7q"</f>
        <v>#VALUE!</v>
      </c>
      <c r="GN55" t="e">
        <f>CWE!25:25-"$5F&amp;!7r"</f>
        <v>#VALUE!</v>
      </c>
      <c r="GO55" t="e">
        <f>CWE!26:26-"$5F&amp;!7s"</f>
        <v>#VALUE!</v>
      </c>
      <c r="GP55" t="e">
        <f>CWE!27:27-"$5F&amp;!7t"</f>
        <v>#VALUE!</v>
      </c>
      <c r="GQ55" t="e">
        <f>CWE!28:28-"$5F&amp;!7u"</f>
        <v>#VALUE!</v>
      </c>
      <c r="GR55" t="e">
        <f>CWE!29:29-"$5F&amp;!7v"</f>
        <v>#VALUE!</v>
      </c>
      <c r="GS55" t="e">
        <f>CWE!30:30-"$5F&amp;!7w"</f>
        <v>#VALUE!</v>
      </c>
      <c r="GT55" t="e">
        <f>CWE!31:31-"$5F&amp;!7x"</f>
        <v>#VALUE!</v>
      </c>
      <c r="GU55" t="e">
        <f>CWE!32:32-"$5F&amp;!7y"</f>
        <v>#VALUE!</v>
      </c>
      <c r="GV55" t="e">
        <f>CWE!33:33-"$5F&amp;!7z"</f>
        <v>#VALUE!</v>
      </c>
      <c r="GW55" t="e">
        <f>CWE!34:34-"$5F&amp;!7{"</f>
        <v>#VALUE!</v>
      </c>
      <c r="GX55" t="e">
        <f>CWE!35:35-"$5F&amp;!7|"</f>
        <v>#VALUE!</v>
      </c>
      <c r="GY55" t="e">
        <f>CWE!36:36-"$5F&amp;!7}"</f>
        <v>#VALUE!</v>
      </c>
      <c r="GZ55" t="e">
        <f>CWE!37:37-"$5F&amp;!7~"</f>
        <v>#VALUE!</v>
      </c>
      <c r="HA55" t="e">
        <f>CWE!38:38-"$5F&amp;!8#"</f>
        <v>#VALUE!</v>
      </c>
      <c r="HB55" t="e">
        <f>CWE!39:39-"$5F&amp;!8$"</f>
        <v>#VALUE!</v>
      </c>
      <c r="HC55" t="e">
        <f>CWE!40:40-"$5F&amp;!8%"</f>
        <v>#VALUE!</v>
      </c>
      <c r="HD55" t="e">
        <f>CWE!41:41-"$5F&amp;!8&amp;"</f>
        <v>#VALUE!</v>
      </c>
      <c r="HE55" t="e">
        <f>CWE!42:42-"$5F&amp;!8'"</f>
        <v>#VALUE!</v>
      </c>
      <c r="HF55" t="e">
        <f>CWE!43:43-"$5F&amp;!8("</f>
        <v>#VALUE!</v>
      </c>
      <c r="HG55" t="e">
        <f>CWE!44:44-"$5F&amp;!8)"</f>
        <v>#VALUE!</v>
      </c>
      <c r="HH55" t="e">
        <f>CWE!45:45-"$5F&amp;!8."</f>
        <v>#VALUE!</v>
      </c>
      <c r="HI55" t="e">
        <f>CWE!46:46-"$5F&amp;!8/"</f>
        <v>#VALUE!</v>
      </c>
      <c r="HJ55" t="e">
        <f>CWE!47:47-"$5F&amp;!80"</f>
        <v>#VALUE!</v>
      </c>
      <c r="HK55" t="e">
        <f>CWE!48:48-"$5F&amp;!81"</f>
        <v>#VALUE!</v>
      </c>
      <c r="HL55" t="e">
        <f>CWE!49:49-"$5F&amp;!82"</f>
        <v>#VALUE!</v>
      </c>
      <c r="HM55" t="e">
        <f>CWE!50:50-"$5F&amp;!83"</f>
        <v>#VALUE!</v>
      </c>
      <c r="HN55" t="e">
        <f>CWE!51:51-"$5F&amp;!84"</f>
        <v>#VALUE!</v>
      </c>
      <c r="HO55" t="e">
        <f>CWE!52:52-"$5F&amp;!85"</f>
        <v>#VALUE!</v>
      </c>
      <c r="HP55" t="e">
        <f>CWE!53:53-"$5F&amp;!86"</f>
        <v>#VALUE!</v>
      </c>
      <c r="HQ55" t="e">
        <f>CWE!54:54-"$5F&amp;!87"</f>
        <v>#VALUE!</v>
      </c>
      <c r="HR55" t="e">
        <f>CWE!55:55-"$5F&amp;!88"</f>
        <v>#VALUE!</v>
      </c>
      <c r="HS55" t="e">
        <f>CWE!56:56-"$5F&amp;!89"</f>
        <v>#VALUE!</v>
      </c>
      <c r="HT55" t="e">
        <f>CWE!57:57-"$5F&amp;!8:"</f>
        <v>#VALUE!</v>
      </c>
      <c r="HU55" t="e">
        <f>CWE!58:58-"$5F&amp;!8;"</f>
        <v>#VALUE!</v>
      </c>
      <c r="HV55" t="e">
        <f>CWE!59:59-"$5F&amp;!8&lt;"</f>
        <v>#VALUE!</v>
      </c>
      <c r="HW55" t="e">
        <f>CWE!60:60-"$5F&amp;!8="</f>
        <v>#VALUE!</v>
      </c>
      <c r="HX55" t="e">
        <f>CWE!61:61-"$5F&amp;!8&gt;"</f>
        <v>#VALUE!</v>
      </c>
      <c r="HY55" t="e">
        <f>CWE!62:62-"$5F&amp;!8?"</f>
        <v>#VALUE!</v>
      </c>
      <c r="HZ55" t="e">
        <f>CWE!63:63-"$5F&amp;!8@"</f>
        <v>#VALUE!</v>
      </c>
      <c r="IA55" t="e">
        <f>CWE!64:64-"$5F&amp;!8A"</f>
        <v>#VALUE!</v>
      </c>
      <c r="IB55" t="e">
        <f>CWE!65:65-"$5F&amp;!8B"</f>
        <v>#VALUE!</v>
      </c>
      <c r="IC55" t="e">
        <f>CWE!66:66-"$5F&amp;!8C"</f>
        <v>#VALUE!</v>
      </c>
      <c r="ID55" t="e">
        <f>CWE!67:67-"$5F&amp;!8D"</f>
        <v>#VALUE!</v>
      </c>
      <c r="IE55" t="e">
        <f>CWE!68:68-"$5F&amp;!8E"</f>
        <v>#VALUE!</v>
      </c>
      <c r="IF55" t="e">
        <f>CWE!69:69-"$5F&amp;!8F"</f>
        <v>#VALUE!</v>
      </c>
      <c r="IG55" t="e">
        <f>CWE!70:70-"$5F&amp;!8G"</f>
        <v>#VALUE!</v>
      </c>
      <c r="IH55" t="e">
        <f>CWE!71:71-"$5F&amp;!8H"</f>
        <v>#VALUE!</v>
      </c>
      <c r="II55" t="e">
        <f>CWE!72:72-"$5F&amp;!8I"</f>
        <v>#VALUE!</v>
      </c>
      <c r="IJ55" t="e">
        <f>CWE!73:73-"$5F&amp;!8J"</f>
        <v>#VALUE!</v>
      </c>
      <c r="IK55" t="e">
        <f>CWE!74:74-"$5F&amp;!8K"</f>
        <v>#VALUE!</v>
      </c>
      <c r="IL55" t="e">
        <f>CWE!75:75-"$5F&amp;!8L"</f>
        <v>#VALUE!</v>
      </c>
      <c r="IM55" t="e">
        <f>CWE!76:76-"$5F&amp;!8M"</f>
        <v>#VALUE!</v>
      </c>
      <c r="IN55" t="e">
        <f>CWE!77:77-"$5F&amp;!8N"</f>
        <v>#VALUE!</v>
      </c>
      <c r="IO55" t="e">
        <f>CWE!78:78-"$5F&amp;!8O"</f>
        <v>#VALUE!</v>
      </c>
      <c r="IP55" t="e">
        <f>CWE!79:79-"$5F&amp;!8P"</f>
        <v>#VALUE!</v>
      </c>
      <c r="IQ55" t="e">
        <f>CWE!80:80-"$5F&amp;!8Q"</f>
        <v>#VALUE!</v>
      </c>
      <c r="IR55" t="e">
        <f>CWE!81:81-"$5F&amp;!8R"</f>
        <v>#VALUE!</v>
      </c>
      <c r="IS55" t="e">
        <f>CWE!82:82-"$5F&amp;!8S"</f>
        <v>#VALUE!</v>
      </c>
      <c r="IT55" t="e">
        <f>CWE!83:83-"$5F&amp;!8T"</f>
        <v>#VALUE!</v>
      </c>
      <c r="IU55" t="e">
        <f>CWE!84:84-"$5F&amp;!8U"</f>
        <v>#VALUE!</v>
      </c>
      <c r="IV55" t="e">
        <f>CWE!85:85-"$5F&amp;!8V"</f>
        <v>#VALUE!</v>
      </c>
    </row>
    <row r="56" spans="6:256" x14ac:dyDescent="0.25">
      <c r="F56" t="e">
        <f>CWE!86:86-"$5F&amp;!8W"</f>
        <v>#VALUE!</v>
      </c>
      <c r="G56" t="e">
        <f>CWE!87:87-"$5F&amp;!8X"</f>
        <v>#VALUE!</v>
      </c>
      <c r="H56" t="e">
        <f>CWE!88:88-"$5F&amp;!8Y"</f>
        <v>#VALUE!</v>
      </c>
      <c r="I56" t="e">
        <f>CWE!89:89-"$5F&amp;!8Z"</f>
        <v>#VALUE!</v>
      </c>
      <c r="J56" t="e">
        <f>CWE!90:90-"$5F&amp;!8["</f>
        <v>#VALUE!</v>
      </c>
      <c r="K56" t="e">
        <f>CWE!91:91-"$5F&amp;!8\"</f>
        <v>#VALUE!</v>
      </c>
      <c r="L56" t="e">
        <f>CWE!92:92-"$5F&amp;!8]"</f>
        <v>#VALUE!</v>
      </c>
      <c r="M56" t="e">
        <f>CWE!93:93-"$5F&amp;!8^"</f>
        <v>#VALUE!</v>
      </c>
      <c r="N56" t="e">
        <f>CWE!94:94-"$5F&amp;!8_"</f>
        <v>#VALUE!</v>
      </c>
      <c r="O56" t="e">
        <f>CWE!95:95-"$5F&amp;!8`"</f>
        <v>#VALUE!</v>
      </c>
      <c r="P56" t="e">
        <f>CWE!96:96-"$5F&amp;!8a"</f>
        <v>#VALUE!</v>
      </c>
      <c r="Q56" t="e">
        <f>CWE!97:97-"$5F&amp;!8b"</f>
        <v>#VALUE!</v>
      </c>
      <c r="R56" t="e">
        <f>CWE!98:98-"$5F&amp;!8c"</f>
        <v>#VALUE!</v>
      </c>
      <c r="S56" t="e">
        <f>CWE!99:99-"$5F&amp;!8d"</f>
        <v>#VALUE!</v>
      </c>
      <c r="T56" t="e">
        <f>CWE!100:100-"$5F&amp;!8e"</f>
        <v>#VALUE!</v>
      </c>
      <c r="U56" t="e">
        <f>CWE!101:101-"$5F&amp;!8f"</f>
        <v>#VALUE!</v>
      </c>
      <c r="V56" t="e">
        <f>CWE!102:102-"$5F&amp;!8g"</f>
        <v>#VALUE!</v>
      </c>
      <c r="W56" t="e">
        <f>CWE!103:103-"$5F&amp;!8h"</f>
        <v>#VALUE!</v>
      </c>
      <c r="X56" t="e">
        <f>CWE!104:104-"$5F&amp;!8i"</f>
        <v>#VALUE!</v>
      </c>
      <c r="Y56" t="e">
        <f>CWE!105:105-"$5F&amp;!8j"</f>
        <v>#VALUE!</v>
      </c>
      <c r="Z56" t="e">
        <f>CWE!106:106-"$5F&amp;!8k"</f>
        <v>#VALUE!</v>
      </c>
      <c r="AA56" t="e">
        <f>CWE!107:107-"$5F&amp;!8l"</f>
        <v>#VALUE!</v>
      </c>
      <c r="AB56" t="e">
        <f>CWE!108:108-"$5F&amp;!8m"</f>
        <v>#VALUE!</v>
      </c>
      <c r="AC56" t="e">
        <f>CWE!109:109-"$5F&amp;!8n"</f>
        <v>#VALUE!</v>
      </c>
      <c r="AD56" t="e">
        <f>CWE!110:110-"$5F&amp;!8o"</f>
        <v>#VALUE!</v>
      </c>
      <c r="AE56" t="e">
        <f>CWE!111:111-"$5F&amp;!8p"</f>
        <v>#VALUE!</v>
      </c>
      <c r="AF56" t="e">
        <f>CWE!112:112-"$5F&amp;!8q"</f>
        <v>#VALUE!</v>
      </c>
      <c r="AG56" t="e">
        <f>CWE!113:113-"$5F&amp;!8r"</f>
        <v>#VALUE!</v>
      </c>
      <c r="AH56" t="e">
        <f>CWE!114:114-"$5F&amp;!8s"</f>
        <v>#VALUE!</v>
      </c>
      <c r="AI56" t="e">
        <f>CWE!115:115-"$5F&amp;!8t"</f>
        <v>#VALUE!</v>
      </c>
      <c r="AJ56" t="e">
        <f>CWE!116:116-"$5F&amp;!8u"</f>
        <v>#VALUE!</v>
      </c>
      <c r="AK56" t="e">
        <f>CWE!117:117-"$5F&amp;!8v"</f>
        <v>#VALUE!</v>
      </c>
      <c r="AL56" t="e">
        <f>CWE!118:118-"$5F&amp;!8w"</f>
        <v>#VALUE!</v>
      </c>
      <c r="AM56" t="e">
        <f>CWE!119:119-"$5F&amp;!8x"</f>
        <v>#VALUE!</v>
      </c>
      <c r="AN56" t="e">
        <f>CWE!120:120-"$5F&amp;!8y"</f>
        <v>#VALUE!</v>
      </c>
      <c r="AO56" t="e">
        <f>CWE!121:121-"$5F&amp;!8z"</f>
        <v>#VALUE!</v>
      </c>
      <c r="AP56" t="e">
        <f>CWE!122:122-"$5F&amp;!8{"</f>
        <v>#VALUE!</v>
      </c>
      <c r="AQ56" t="e">
        <f>CWE!123:123-"$5F&amp;!8|"</f>
        <v>#VALUE!</v>
      </c>
      <c r="AR56" t="e">
        <f>CWE!124:124-"$5F&amp;!8}"</f>
        <v>#VALUE!</v>
      </c>
      <c r="AS56" t="e">
        <f>CWE!125:125-"$5F&amp;!8~"</f>
        <v>#VALUE!</v>
      </c>
      <c r="AT56" t="e">
        <f>CWE!126:126-"$5F&amp;!9#"</f>
        <v>#VALUE!</v>
      </c>
      <c r="AU56" t="e">
        <f>CWE!127:127-"$5F&amp;!9$"</f>
        <v>#VALUE!</v>
      </c>
      <c r="AV56" t="e">
        <f>CWE!128:128-"$5F&amp;!9%"</f>
        <v>#VALUE!</v>
      </c>
      <c r="AW56" t="e">
        <f>CWE!129:129-"$5F&amp;!9&amp;"</f>
        <v>#VALUE!</v>
      </c>
      <c r="AX56" t="e">
        <f>CWE!130:130-"$5F&amp;!9'"</f>
        <v>#VALUE!</v>
      </c>
      <c r="AY56" t="e">
        <f>CWE!131:131-"$5F&amp;!9("</f>
        <v>#VALUE!</v>
      </c>
      <c r="AZ56" t="e">
        <f>CWE!132:132-"$5F&amp;!9)"</f>
        <v>#VALUE!</v>
      </c>
      <c r="BA56" t="e">
        <f>CWE!133:133-"$5F&amp;!9."</f>
        <v>#VALUE!</v>
      </c>
      <c r="BB56" t="e">
        <f>CWE!134:134-"$5F&amp;!9/"</f>
        <v>#VALUE!</v>
      </c>
      <c r="BC56" t="e">
        <f>CWE!135:135-"$5F&amp;!90"</f>
        <v>#VALUE!</v>
      </c>
      <c r="BD56" t="e">
        <f>CWE!136:136-"$5F&amp;!91"</f>
        <v>#VALUE!</v>
      </c>
      <c r="BE56" t="e">
        <f>CWE!137:137-"$5F&amp;!92"</f>
        <v>#VALUE!</v>
      </c>
      <c r="BF56" t="e">
        <f>CWE!138:138-"$5F&amp;!93"</f>
        <v>#VALUE!</v>
      </c>
      <c r="BG56" t="e">
        <f>CWE!139:139-"$5F&amp;!94"</f>
        <v>#VALUE!</v>
      </c>
      <c r="BH56" t="e">
        <f>CWE!140:140-"$5F&amp;!95"</f>
        <v>#VALUE!</v>
      </c>
      <c r="BI56" t="e">
        <f>CWE!141:141-"$5F&amp;!96"</f>
        <v>#VALUE!</v>
      </c>
      <c r="BJ56" t="e">
        <f>CWE!142:142-"$5F&amp;!97"</f>
        <v>#VALUE!</v>
      </c>
      <c r="BK56" t="e">
        <f>CWE!143:143-"$5F&amp;!98"</f>
        <v>#VALUE!</v>
      </c>
      <c r="BL56" t="e">
        <f>CWE!144:144-"$5F&amp;!99"</f>
        <v>#VALUE!</v>
      </c>
      <c r="BM56" t="e">
        <f>CWE!145:145-"$5F&amp;!9:"</f>
        <v>#VALUE!</v>
      </c>
      <c r="BN56" t="e">
        <f>CWE!146:146-"$5F&amp;!9;"</f>
        <v>#VALUE!</v>
      </c>
      <c r="BO56" t="e">
        <f>CWE!147:147-"$5F&amp;!9&lt;"</f>
        <v>#VALUE!</v>
      </c>
      <c r="BP56" t="e">
        <f>CWE!148:148-"$5F&amp;!9="</f>
        <v>#VALUE!</v>
      </c>
      <c r="BQ56" t="e">
        <f>CWE!149:149-"$5F&amp;!9&gt;"</f>
        <v>#VALUE!</v>
      </c>
      <c r="BR56" t="e">
        <f>CWE!150:150-"$5F&amp;!9?"</f>
        <v>#VALUE!</v>
      </c>
      <c r="BS56" t="e">
        <f>CWE!151:151-"$5F&amp;!9@"</f>
        <v>#VALUE!</v>
      </c>
      <c r="BT56" t="e">
        <f>CWE!152:152-"$5F&amp;!9A"</f>
        <v>#VALUE!</v>
      </c>
      <c r="BU56" t="e">
        <f>CWE!153:153-"$5F&amp;!9B"</f>
        <v>#VALUE!</v>
      </c>
      <c r="BV56" t="e">
        <f>CWE!154:154-"$5F&amp;!9C"</f>
        <v>#VALUE!</v>
      </c>
      <c r="BW56" t="e">
        <f>CWE!155:155-"$5F&amp;!9D"</f>
        <v>#VALUE!</v>
      </c>
      <c r="BX56" t="e">
        <f>CWE!156:156-"$5F&amp;!9E"</f>
        <v>#VALUE!</v>
      </c>
      <c r="BY56" t="e">
        <f>CWE!157:157-"$5F&amp;!9F"</f>
        <v>#VALUE!</v>
      </c>
      <c r="BZ56" t="e">
        <f>CWE!158:158-"$5F&amp;!9G"</f>
        <v>#VALUE!</v>
      </c>
      <c r="CA56" t="e">
        <f>CWE!159:159-"$5F&amp;!9H"</f>
        <v>#VALUE!</v>
      </c>
      <c r="CB56" t="e">
        <f>CWE!160:160-"$5F&amp;!9I"</f>
        <v>#VALUE!</v>
      </c>
      <c r="CC56" t="e">
        <f>CWE!161:161-"$5F&amp;!9J"</f>
        <v>#VALUE!</v>
      </c>
      <c r="CD56" t="e">
        <f>CWE!162:162-"$5F&amp;!9K"</f>
        <v>#VALUE!</v>
      </c>
      <c r="CE56" t="e">
        <f>CWE!163:163-"$5F&amp;!9L"</f>
        <v>#VALUE!</v>
      </c>
      <c r="CF56" t="e">
        <f>CWE!164:164-"$5F&amp;!9M"</f>
        <v>#VALUE!</v>
      </c>
      <c r="CG56" t="e">
        <f>CWE!165:165-"$5F&amp;!9N"</f>
        <v>#VALUE!</v>
      </c>
      <c r="CH56" t="e">
        <f>CWE!166:166-"$5F&amp;!9O"</f>
        <v>#VALUE!</v>
      </c>
      <c r="CI56" t="e">
        <f>CWE!167:167-"$5F&amp;!9P"</f>
        <v>#VALUE!</v>
      </c>
      <c r="CJ56" t="e">
        <f>CWE!168:168-"$5F&amp;!9Q"</f>
        <v>#VALUE!</v>
      </c>
      <c r="CK56" t="e">
        <f>CWE!169:169-"$5F&amp;!9R"</f>
        <v>#VALUE!</v>
      </c>
      <c r="CL56" t="e">
        <f>CWE!170:170-"$5F&amp;!9S"</f>
        <v>#VALUE!</v>
      </c>
      <c r="CM56" t="e">
        <f>CWE!171:171-"$5F&amp;!9T"</f>
        <v>#VALUE!</v>
      </c>
      <c r="CN56" t="e">
        <f>CWE!172:172-"$5F&amp;!9U"</f>
        <v>#VALUE!</v>
      </c>
      <c r="CO56" t="e">
        <f>CWE!173:173-"$5F&amp;!9V"</f>
        <v>#VALUE!</v>
      </c>
      <c r="CP56" t="e">
        <f>CWE!174:174-"$5F&amp;!9W"</f>
        <v>#VALUE!</v>
      </c>
      <c r="CQ56" t="e">
        <f>CWE!175:175-"$5F&amp;!9X"</f>
        <v>#VALUE!</v>
      </c>
      <c r="CR56" t="e">
        <f>CWE!176:176-"$5F&amp;!9Y"</f>
        <v>#VALUE!</v>
      </c>
      <c r="CS56" t="e">
        <f>CWE!177:177-"$5F&amp;!9Z"</f>
        <v>#VALUE!</v>
      </c>
      <c r="CT56" t="e">
        <f>CWE!178:178-"$5F&amp;!9["</f>
        <v>#VALUE!</v>
      </c>
      <c r="CU56" t="e">
        <f>CWE!179:179-"$5F&amp;!9\"</f>
        <v>#VALUE!</v>
      </c>
      <c r="CV56" t="e">
        <f>CWE!180:180-"$5F&amp;!9]"</f>
        <v>#VALUE!</v>
      </c>
      <c r="CW56" t="e">
        <f>CWE!181:181-"$5F&amp;!9^"</f>
        <v>#VALUE!</v>
      </c>
      <c r="CX56" t="e">
        <f>CWE!182:182-"$5F&amp;!9_"</f>
        <v>#VALUE!</v>
      </c>
      <c r="CY56" t="e">
        <f>CWE!183:183-"$5F&amp;!9`"</f>
        <v>#VALUE!</v>
      </c>
      <c r="CZ56" t="e">
        <f>CWE!184:184-"$5F&amp;!9a"</f>
        <v>#VALUE!</v>
      </c>
      <c r="DA56" t="e">
        <f>CWE!185:185-"$5F&amp;!9b"</f>
        <v>#VALUE!</v>
      </c>
      <c r="DB56" t="e">
        <f>CWE!186:186-"$5F&amp;!9c"</f>
        <v>#VALUE!</v>
      </c>
      <c r="DC56" t="e">
        <f>CWE!187:187-"$5F&amp;!9d"</f>
        <v>#VALUE!</v>
      </c>
      <c r="DD56" t="e">
        <f>CWE!188:188-"$5F&amp;!9e"</f>
        <v>#VALUE!</v>
      </c>
      <c r="DE56" t="e">
        <f>CWE!189:189-"$5F&amp;!9f"</f>
        <v>#VALUE!</v>
      </c>
      <c r="DF56" t="e">
        <f>CWE!190:190-"$5F&amp;!9g"</f>
        <v>#VALUE!</v>
      </c>
      <c r="DG56" t="e">
        <f>CWE!191:191-"$5F&amp;!9h"</f>
        <v>#VALUE!</v>
      </c>
      <c r="DH56" t="e">
        <f>CWE!192:192-"$5F&amp;!9i"</f>
        <v>#VALUE!</v>
      </c>
      <c r="DI56" t="e">
        <f>CWE!193:193-"$5F&amp;!9j"</f>
        <v>#VALUE!</v>
      </c>
      <c r="DJ56" t="e">
        <f>CWE!194:194-"$5F&amp;!9k"</f>
        <v>#VALUE!</v>
      </c>
      <c r="DK56" t="e">
        <f>CWE!195:195-"$5F&amp;!9l"</f>
        <v>#VALUE!</v>
      </c>
      <c r="DL56" t="e">
        <f>CWE!196:196-"$5F&amp;!9m"</f>
        <v>#VALUE!</v>
      </c>
      <c r="DM56" t="e">
        <f>CWE!197:197-"$5F&amp;!9n"</f>
        <v>#VALUE!</v>
      </c>
      <c r="DN56" t="e">
        <f>CWE!198:198-"$5F&amp;!9o"</f>
        <v>#VALUE!</v>
      </c>
      <c r="DO56" t="e">
        <f>CWE!199:199-"$5F&amp;!9p"</f>
        <v>#VALUE!</v>
      </c>
      <c r="DP56" t="e">
        <f>CWE!200:200-"$5F&amp;!9q"</f>
        <v>#VALUE!</v>
      </c>
      <c r="DQ56" t="e">
        <f>CWE!201:201-"$5F&amp;!9r"</f>
        <v>#VALUE!</v>
      </c>
      <c r="DR56" t="e">
        <f>CWE!202:202-"$5F&amp;!9s"</f>
        <v>#VALUE!</v>
      </c>
      <c r="DS56" t="e">
        <f>CWE!203:203-"$5F&amp;!9t"</f>
        <v>#VALUE!</v>
      </c>
      <c r="DT56" t="e">
        <f>CWE!204:204-"$5F&amp;!9u"</f>
        <v>#VALUE!</v>
      </c>
      <c r="DU56" t="e">
        <f>CWE!205:205-"$5F&amp;!9v"</f>
        <v>#VALUE!</v>
      </c>
      <c r="DV56" t="e">
        <f>CWE!206:206-"$5F&amp;!9w"</f>
        <v>#VALUE!</v>
      </c>
      <c r="DW56" t="e">
        <f>CWE!207:207-"$5F&amp;!9x"</f>
        <v>#VALUE!</v>
      </c>
      <c r="DX56" t="e">
        <f>CWE!208:208-"$5F&amp;!9y"</f>
        <v>#VALUE!</v>
      </c>
      <c r="DY56" t="e">
        <f>CWE!209:209-"$5F&amp;!9z"</f>
        <v>#VALUE!</v>
      </c>
      <c r="DZ56" t="e">
        <f>CWE!210:210-"$5F&amp;!9{"</f>
        <v>#VALUE!</v>
      </c>
      <c r="EA56" t="e">
        <f>CWE!211:211-"$5F&amp;!9|"</f>
        <v>#VALUE!</v>
      </c>
      <c r="EB56" t="e">
        <f>CWE!212:212-"$5F&amp;!9}"</f>
        <v>#VALUE!</v>
      </c>
      <c r="EC56" t="e">
        <f>CWE!213:213-"$5F&amp;!9~"</f>
        <v>#VALUE!</v>
      </c>
      <c r="ED56" t="e">
        <f>CWE!214:214-"$5F&amp;!:#"</f>
        <v>#VALUE!</v>
      </c>
      <c r="EE56" t="e">
        <f>CWE!215:215-"$5F&amp;!:$"</f>
        <v>#VALUE!</v>
      </c>
      <c r="EF56" t="e">
        <f>CWE!216:216-"$5F&amp;!:%"</f>
        <v>#VALUE!</v>
      </c>
      <c r="EG56" t="e">
        <f>CWE!217:217-"$5F&amp;!:&amp;"</f>
        <v>#VALUE!</v>
      </c>
      <c r="EH56" t="e">
        <f>CWE!218:218-"$5F&amp;!:'"</f>
        <v>#VALUE!</v>
      </c>
      <c r="EI56" t="e">
        <f>CWE!219:219-"$5F&amp;!:("</f>
        <v>#VALUE!</v>
      </c>
      <c r="EJ56" t="e">
        <f>CWE!220:220-"$5F&amp;!:)"</f>
        <v>#VALUE!</v>
      </c>
      <c r="EK56" t="e">
        <f>CWE!221:221-"$5F&amp;!:."</f>
        <v>#VALUE!</v>
      </c>
      <c r="EL56" t="e">
        <f>CWE!222:222-"$5F&amp;!:/"</f>
        <v>#VALUE!</v>
      </c>
      <c r="EM56" t="e">
        <f>CWE!223:223-"$5F&amp;!:0"</f>
        <v>#VALUE!</v>
      </c>
      <c r="EN56" t="e">
        <f>CWE!224:224-"$5F&amp;!:1"</f>
        <v>#VALUE!</v>
      </c>
      <c r="EO56" t="e">
        <f>CWE!225:225-"$5F&amp;!:2"</f>
        <v>#VALUE!</v>
      </c>
      <c r="EP56" t="e">
        <f>CWE!226:226-"$5F&amp;!:3"</f>
        <v>#VALUE!</v>
      </c>
      <c r="EQ56" t="e">
        <f>CWE!227:227-"$5F&amp;!:4"</f>
        <v>#VALUE!</v>
      </c>
      <c r="ER56" t="e">
        <f>CWE!228:228-"$5F&amp;!:5"</f>
        <v>#VALUE!</v>
      </c>
      <c r="ES56" t="e">
        <f>CWE!229:229-"$5F&amp;!:6"</f>
        <v>#VALUE!</v>
      </c>
      <c r="ET56" t="e">
        <f>CWE!230:230-"$5F&amp;!:7"</f>
        <v>#VALUE!</v>
      </c>
      <c r="EU56" t="e">
        <f>CWE!231:231-"$5F&amp;!:8"</f>
        <v>#VALUE!</v>
      </c>
      <c r="EV56" t="e">
        <f>CWE!232:232-"$5F&amp;!:9"</f>
        <v>#VALUE!</v>
      </c>
      <c r="EW56" t="e">
        <f>CWE!233:233-"$5F&amp;!::"</f>
        <v>#VALUE!</v>
      </c>
      <c r="EX56" t="e">
        <f>CWE!234:234-"$5F&amp;!:;"</f>
        <v>#VALUE!</v>
      </c>
      <c r="EY56" t="e">
        <f>CWE!235:235-"$5F&amp;!:&lt;"</f>
        <v>#VALUE!</v>
      </c>
      <c r="EZ56" t="e">
        <f>CWE!236:236-"$5F&amp;!:="</f>
        <v>#VALUE!</v>
      </c>
      <c r="FA56" t="e">
        <f>CWE!237:237-"$5F&amp;!:&gt;"</f>
        <v>#VALUE!</v>
      </c>
      <c r="FB56" t="e">
        <f>CWE!238:238-"$5F&amp;!:?"</f>
        <v>#VALUE!</v>
      </c>
      <c r="FC56" t="e">
        <f>CWE!239:239-"$5F&amp;!:@"</f>
        <v>#VALUE!</v>
      </c>
      <c r="FD56" t="e">
        <f>CWE!240:240-"$5F&amp;!:A"</f>
        <v>#VALUE!</v>
      </c>
      <c r="FE56" t="e">
        <f>CWE!241:241-"$5F&amp;!:B"</f>
        <v>#VALUE!</v>
      </c>
      <c r="FF56" t="e">
        <f>CWE!242:242-"$5F&amp;!:C"</f>
        <v>#VALUE!</v>
      </c>
      <c r="FG56" t="e">
        <f>CWE!243:243-"$5F&amp;!:D"</f>
        <v>#VALUE!</v>
      </c>
      <c r="FH56" t="e">
        <f>CWE!244:244-"$5F&amp;!:E"</f>
        <v>#VALUE!</v>
      </c>
      <c r="FI56" t="e">
        <f>CWE!245:245-"$5F&amp;!:F"</f>
        <v>#VALUE!</v>
      </c>
      <c r="FJ56" t="e">
        <f>CWE!246:246-"$5F&amp;!:G"</f>
        <v>#VALUE!</v>
      </c>
      <c r="FK56" t="e">
        <f>CWE!247:247-"$5F&amp;!:H"</f>
        <v>#VALUE!</v>
      </c>
      <c r="FL56" t="e">
        <f>CWE!248:248-"$5F&amp;!:I"</f>
        <v>#VALUE!</v>
      </c>
      <c r="FM56" t="e">
        <f>CWE!249:249-"$5F&amp;!:J"</f>
        <v>#VALUE!</v>
      </c>
      <c r="FN56" t="e">
        <f>CWE!250:250-"$5F&amp;!:K"</f>
        <v>#VALUE!</v>
      </c>
      <c r="FO56" t="e">
        <f>CWE!251:251-"$5F&amp;!:L"</f>
        <v>#VALUE!</v>
      </c>
      <c r="FP56" t="e">
        <f>CWE!252:252-"$5F&amp;!:M"</f>
        <v>#VALUE!</v>
      </c>
      <c r="FQ56" t="e">
        <f>CWE!253:253-"$5F&amp;!:N"</f>
        <v>#VALUE!</v>
      </c>
      <c r="FR56" t="e">
        <f>CWE!254:254-"$5F&amp;!:O"</f>
        <v>#VALUE!</v>
      </c>
      <c r="FS56" t="e">
        <f>CWE!255:255-"$5F&amp;!:P"</f>
        <v>#VALUE!</v>
      </c>
      <c r="FT56" t="e">
        <f>CWE!256:256-"$5F&amp;!:Q"</f>
        <v>#VALUE!</v>
      </c>
      <c r="FU56" t="e">
        <f>CWE!257:257-"$5F&amp;!:R"</f>
        <v>#VALUE!</v>
      </c>
      <c r="FV56" t="e">
        <f>CWE!258:258-"$5F&amp;!:S"</f>
        <v>#VALUE!</v>
      </c>
      <c r="FW56" t="e">
        <f>CWE!259:259-"$5F&amp;!:T"</f>
        <v>#VALUE!</v>
      </c>
      <c r="FX56" t="e">
        <f>CWE!260:260-"$5F&amp;!:U"</f>
        <v>#VALUE!</v>
      </c>
      <c r="FY56" t="e">
        <f>CWE!261:261-"$5F&amp;!:V"</f>
        <v>#VALUE!</v>
      </c>
      <c r="FZ56" t="e">
        <f>CWE!262:262-"$5F&amp;!:W"</f>
        <v>#VALUE!</v>
      </c>
      <c r="GA56" t="e">
        <f>CWE!263:263-"$5F&amp;!:X"</f>
        <v>#VALUE!</v>
      </c>
      <c r="GB56" t="e">
        <f>CWE!264:264-"$5F&amp;!:Y"</f>
        <v>#VALUE!</v>
      </c>
      <c r="GC56" t="e">
        <f>CWE!265:265-"$5F&amp;!:Z"</f>
        <v>#VALUE!</v>
      </c>
      <c r="GD56" t="e">
        <f>CWE!266:266-"$5F&amp;!:["</f>
        <v>#VALUE!</v>
      </c>
      <c r="GE56" t="e">
        <f>CWE!267:267-"$5F&amp;!:\"</f>
        <v>#VALUE!</v>
      </c>
      <c r="GF56" t="e">
        <f>CWE!268:268-"$5F&amp;!:]"</f>
        <v>#VALUE!</v>
      </c>
      <c r="GG56" t="e">
        <f>CWE!269:269-"$5F&amp;!:^"</f>
        <v>#VALUE!</v>
      </c>
      <c r="GH56" t="e">
        <f>CWE!270:270-"$5F&amp;!:_"</f>
        <v>#VALUE!</v>
      </c>
      <c r="GI56" t="e">
        <f>CWE!271:271-"$5F&amp;!:`"</f>
        <v>#VALUE!</v>
      </c>
      <c r="GJ56" t="e">
        <f>CWE!272:272-"$5F&amp;!:a"</f>
        <v>#VALUE!</v>
      </c>
      <c r="GK56" t="e">
        <f>CWE!273:273-"$5F&amp;!:b"</f>
        <v>#VALUE!</v>
      </c>
      <c r="GL56" t="e">
        <f>CWE!274:274-"$5F&amp;!:c"</f>
        <v>#VALUE!</v>
      </c>
      <c r="GM56" t="e">
        <f>CWE!275:275-"$5F&amp;!:d"</f>
        <v>#VALUE!</v>
      </c>
      <c r="GN56" t="e">
        <f>CWE!276:276-"$5F&amp;!:e"</f>
        <v>#VALUE!</v>
      </c>
      <c r="GO56" t="e">
        <f>CWE!277:277-"$5F&amp;!:f"</f>
        <v>#VALUE!</v>
      </c>
      <c r="GP56" t="e">
        <f>CWE!278:278-"$5F&amp;!:g"</f>
        <v>#VALUE!</v>
      </c>
      <c r="GQ56" t="e">
        <f>CWE!279:279-"$5F&amp;!:h"</f>
        <v>#VALUE!</v>
      </c>
      <c r="GR56" t="e">
        <f>CWE!280:280-"$5F&amp;!:i"</f>
        <v>#VALUE!</v>
      </c>
      <c r="GS56" t="e">
        <f>CWE!281:281-"$5F&amp;!:j"</f>
        <v>#VALUE!</v>
      </c>
      <c r="GT56" t="e">
        <f>CWE!282:282-"$5F&amp;!:k"</f>
        <v>#VALUE!</v>
      </c>
      <c r="GU56" t="e">
        <f>CWE!283:283-"$5F&amp;!:l"</f>
        <v>#VALUE!</v>
      </c>
      <c r="GV56" t="e">
        <f>CWE!284:284-"$5F&amp;!:m"</f>
        <v>#VALUE!</v>
      </c>
      <c r="GW56" t="e">
        <f>CWE!285:285-"$5F&amp;!:n"</f>
        <v>#VALUE!</v>
      </c>
      <c r="GX56" t="e">
        <f>CWE!286:286-"$5F&amp;!:o"</f>
        <v>#VALUE!</v>
      </c>
      <c r="GY56" t="e">
        <f>CWE!287:287-"$5F&amp;!:p"</f>
        <v>#VALUE!</v>
      </c>
      <c r="GZ56" t="e">
        <f>CWE!288:288-"$5F&amp;!:q"</f>
        <v>#VALUE!</v>
      </c>
      <c r="HA56" t="e">
        <f>CWE!289:289-"$5F&amp;!:r"</f>
        <v>#VALUE!</v>
      </c>
      <c r="HB56" t="e">
        <f>CWE!290:290-"$5F&amp;!:s"</f>
        <v>#VALUE!</v>
      </c>
      <c r="HC56" t="e">
        <f>CWE!291:291-"$5F&amp;!:t"</f>
        <v>#VALUE!</v>
      </c>
      <c r="HD56" t="e">
        <f>CWE!292:292-"$5F&amp;!:u"</f>
        <v>#VALUE!</v>
      </c>
      <c r="HE56" t="e">
        <f>CWE!293:293-"$5F&amp;!:v"</f>
        <v>#VALUE!</v>
      </c>
      <c r="HF56" t="e">
        <f>CWE!294:294-"$5F&amp;!:w"</f>
        <v>#VALUE!</v>
      </c>
      <c r="HG56" t="e">
        <f>CWE!295:295-"$5F&amp;!:x"</f>
        <v>#VALUE!</v>
      </c>
      <c r="HH56" t="e">
        <f>CWE!296:296-"$5F&amp;!:y"</f>
        <v>#VALUE!</v>
      </c>
      <c r="HI56" t="e">
        <f>CWE!297:297-"$5F&amp;!:z"</f>
        <v>#VALUE!</v>
      </c>
      <c r="HJ56" t="e">
        <f>CWE!298:298-"$5F&amp;!:{"</f>
        <v>#VALUE!</v>
      </c>
      <c r="HK56" t="e">
        <f>CWE!299:299-"$5F&amp;!:|"</f>
        <v>#VALUE!</v>
      </c>
      <c r="HL56" t="e">
        <f>CWE!300:300-"$5F&amp;!:}"</f>
        <v>#VALUE!</v>
      </c>
      <c r="HM56" t="e">
        <f>CWE!301:301-"$5F&amp;!:~"</f>
        <v>#VALUE!</v>
      </c>
      <c r="HN56" t="e">
        <f>CWE!302:302-"$5F&amp;!;#"</f>
        <v>#VALUE!</v>
      </c>
      <c r="HO56" t="e">
        <f>CWE!303:303-"$5F&amp;!;$"</f>
        <v>#VALUE!</v>
      </c>
      <c r="HP56" t="e">
        <f>CWE!304:304-"$5F&amp;!;%"</f>
        <v>#VALUE!</v>
      </c>
      <c r="HQ56" t="e">
        <f>CWE!305:305-"$5F&amp;!;&amp;"</f>
        <v>#VALUE!</v>
      </c>
      <c r="HR56" t="e">
        <f>CWE!306:306-"$5F&amp;!;'"</f>
        <v>#VALUE!</v>
      </c>
      <c r="HS56" t="e">
        <f>CWE!307:307-"$5F&amp;!;("</f>
        <v>#VALUE!</v>
      </c>
      <c r="HT56" t="e">
        <f>CWE!308:308-"$5F&amp;!;)"</f>
        <v>#VALUE!</v>
      </c>
      <c r="HU56" t="e">
        <f>CWE!309:309-"$5F&amp;!;."</f>
        <v>#VALUE!</v>
      </c>
      <c r="HV56" t="e">
        <f>CWE!310:310-"$5F&amp;!;/"</f>
        <v>#VALUE!</v>
      </c>
      <c r="HW56" t="e">
        <f>CWE!311:311-"$5F&amp;!;0"</f>
        <v>#VALUE!</v>
      </c>
      <c r="HX56" t="e">
        <f>CWE!312:312-"$5F&amp;!;1"</f>
        <v>#VALUE!</v>
      </c>
      <c r="HY56" t="e">
        <f>CWE!313:313-"$5F&amp;!;2"</f>
        <v>#VALUE!</v>
      </c>
      <c r="HZ56" t="e">
        <f>CWE!314:314-"$5F&amp;!;3"</f>
        <v>#VALUE!</v>
      </c>
      <c r="IA56" t="e">
        <f>CWE!315:315-"$5F&amp;!;4"</f>
        <v>#VALUE!</v>
      </c>
      <c r="IB56" t="e">
        <f>CWE!316:316-"$5F&amp;!;5"</f>
        <v>#VALUE!</v>
      </c>
      <c r="IC56" t="e">
        <f>CWE!317:317-"$5F&amp;!;6"</f>
        <v>#VALUE!</v>
      </c>
      <c r="ID56" t="e">
        <f>CWE!318:318-"$5F&amp;!;7"</f>
        <v>#VALUE!</v>
      </c>
      <c r="IE56" t="e">
        <f>CWE!319:319-"$5F&amp;!;8"</f>
        <v>#VALUE!</v>
      </c>
      <c r="IF56" t="e">
        <f>CWE!320:320-"$5F&amp;!;9"</f>
        <v>#VALUE!</v>
      </c>
      <c r="IG56" t="e">
        <f>CWE!321:321-"$5F&amp;!;:"</f>
        <v>#VALUE!</v>
      </c>
      <c r="IH56" t="e">
        <f>CWE!322:322-"$5F&amp;!;;"</f>
        <v>#VALUE!</v>
      </c>
      <c r="II56" t="e">
        <f>CWE!323:323-"$5F&amp;!;&lt;"</f>
        <v>#VALUE!</v>
      </c>
      <c r="IJ56" t="e">
        <f>CWE!324:324-"$5F&amp;!;="</f>
        <v>#VALUE!</v>
      </c>
      <c r="IK56" t="e">
        <f>CWE!325:325-"$5F&amp;!;&gt;"</f>
        <v>#VALUE!</v>
      </c>
      <c r="IL56" t="e">
        <f>CWE!326:326-"$5F&amp;!;?"</f>
        <v>#VALUE!</v>
      </c>
      <c r="IM56" t="e">
        <f>CWE!327:327-"$5F&amp;!;@"</f>
        <v>#VALUE!</v>
      </c>
      <c r="IN56" t="e">
        <f>CWE!328:328-"$5F&amp;!;A"</f>
        <v>#VALUE!</v>
      </c>
      <c r="IO56" t="e">
        <f>CWE!329:329-"$5F&amp;!;B"</f>
        <v>#VALUE!</v>
      </c>
      <c r="IP56" t="e">
        <f>CWE!330:330-"$5F&amp;!;C"</f>
        <v>#VALUE!</v>
      </c>
      <c r="IQ56" t="e">
        <f>CWE!331:331-"$5F&amp;!;D"</f>
        <v>#VALUE!</v>
      </c>
      <c r="IR56" t="e">
        <f>CWE!332:332-"$5F&amp;!;E"</f>
        <v>#VALUE!</v>
      </c>
      <c r="IS56" t="e">
        <f>CWE!333:333-"$5F&amp;!;F"</f>
        <v>#VALUE!</v>
      </c>
      <c r="IT56" t="e">
        <f>CWE!334:334-"$5F&amp;!;G"</f>
        <v>#VALUE!</v>
      </c>
      <c r="IU56" t="e">
        <f>CWE!335:335-"$5F&amp;!;H"</f>
        <v>#VALUE!</v>
      </c>
      <c r="IV56" t="e">
        <f>CWE!336:336-"$5F&amp;!;I"</f>
        <v>#VALUE!</v>
      </c>
    </row>
    <row r="57" spans="6:256" x14ac:dyDescent="0.25">
      <c r="F57" t="e">
        <f>CWE!337:337-"$5F&amp;!;J"</f>
        <v>#VALUE!</v>
      </c>
      <c r="G57" t="e">
        <f>CWE!338:338-"$5F&amp;!;K"</f>
        <v>#VALUE!</v>
      </c>
      <c r="H57" t="e">
        <f>CWE!339:339-"$5F&amp;!;L"</f>
        <v>#VALUE!</v>
      </c>
      <c r="I57" t="e">
        <f>CWE!340:340-"$5F&amp;!;M"</f>
        <v>#VALUE!</v>
      </c>
      <c r="J57" t="e">
        <f>CWE!341:341-"$5F&amp;!;N"</f>
        <v>#VALUE!</v>
      </c>
      <c r="K57" t="e">
        <f>CWE!342:342-"$5F&amp;!;O"</f>
        <v>#VALUE!</v>
      </c>
      <c r="L57" t="e">
        <f>CWE!343:343-"$5F&amp;!;P"</f>
        <v>#VALUE!</v>
      </c>
      <c r="M57" t="e">
        <f>CWE!344:344-"$5F&amp;!;Q"</f>
        <v>#VALUE!</v>
      </c>
      <c r="N57" t="e">
        <f>CWE!345:345-"$5F&amp;!;R"</f>
        <v>#VALUE!</v>
      </c>
      <c r="O57" t="e">
        <f>CWE!346:346-"$5F&amp;!;S"</f>
        <v>#VALUE!</v>
      </c>
      <c r="P57" t="e">
        <f>CWE!347:347-"$5F&amp;!;T"</f>
        <v>#VALUE!</v>
      </c>
      <c r="Q57" t="e">
        <f>CWE!348:348-"$5F&amp;!;U"</f>
        <v>#VALUE!</v>
      </c>
      <c r="R57" t="e">
        <f>CWE!349:349-"$5F&amp;!;V"</f>
        <v>#VALUE!</v>
      </c>
      <c r="S57" t="e">
        <f>CWE!350:350-"$5F&amp;!;W"</f>
        <v>#VALUE!</v>
      </c>
      <c r="T57" t="e">
        <f>CWE!351:351-"$5F&amp;!;X"</f>
        <v>#VALUE!</v>
      </c>
      <c r="U57" t="e">
        <f>CWE!352:352-"$5F&amp;!;Y"</f>
        <v>#VALUE!</v>
      </c>
      <c r="V57" t="e">
        <f>CWE!353:353-"$5F&amp;!;Z"</f>
        <v>#VALUE!</v>
      </c>
      <c r="W57" t="e">
        <f>CWE!354:354-"$5F&amp;!;["</f>
        <v>#VALUE!</v>
      </c>
      <c r="X57" t="e">
        <f>CWE!355:355-"$5F&amp;!;\"</f>
        <v>#VALUE!</v>
      </c>
      <c r="Y57" t="e">
        <f>CWE!356:356-"$5F&amp;!;]"</f>
        <v>#VALUE!</v>
      </c>
      <c r="Z57" t="e">
        <f>CWE!357:357-"$5F&amp;!;^"</f>
        <v>#VALUE!</v>
      </c>
      <c r="AA57" t="e">
        <f>CWE!358:358-"$5F&amp;!;_"</f>
        <v>#VALUE!</v>
      </c>
      <c r="AB57" t="e">
        <f>CWE!359:359-"$5F&amp;!;`"</f>
        <v>#VALUE!</v>
      </c>
      <c r="AC57" t="e">
        <f>CWE!360:360-"$5F&amp;!;a"</f>
        <v>#VALUE!</v>
      </c>
      <c r="AD57" t="e">
        <f>CWE!361:361-"$5F&amp;!;b"</f>
        <v>#VALUE!</v>
      </c>
      <c r="AE57" t="e">
        <f>CWE!362:362-"$5F&amp;!;c"</f>
        <v>#VALUE!</v>
      </c>
      <c r="AF57" t="e">
        <f>CWE!363:363-"$5F&amp;!;d"</f>
        <v>#VALUE!</v>
      </c>
      <c r="AG57" t="e">
        <f>CWE!364:364-"$5F&amp;!;e"</f>
        <v>#VALUE!</v>
      </c>
      <c r="AH57" t="e">
        <f>CWE!365:365-"$5F&amp;!;f"</f>
        <v>#VALUE!</v>
      </c>
      <c r="AI57" t="e">
        <f>CWE!366:366-"$5F&amp;!;g"</f>
        <v>#VALUE!</v>
      </c>
      <c r="AJ57" t="e">
        <f>CWE!367:367-"$5F&amp;!;h"</f>
        <v>#VALUE!</v>
      </c>
      <c r="AK57" t="e">
        <f>CWE!368:368-"$5F&amp;!;i"</f>
        <v>#VALUE!</v>
      </c>
      <c r="AL57" t="e">
        <f>CWE!369:369-"$5F&amp;!;j"</f>
        <v>#VALUE!</v>
      </c>
      <c r="AM57" t="e">
        <f>CWE!370:370-"$5F&amp;!;k"</f>
        <v>#VALUE!</v>
      </c>
      <c r="AN57" t="e">
        <f>CWE!371:371-"$5F&amp;!;l"</f>
        <v>#VALUE!</v>
      </c>
      <c r="AO57" t="e">
        <f>CWE!372:372-"$5F&amp;!;m"</f>
        <v>#VALUE!</v>
      </c>
      <c r="AP57" t="e">
        <f>CWE!373:373-"$5F&amp;!;n"</f>
        <v>#VALUE!</v>
      </c>
      <c r="AQ57" t="e">
        <f>CWE!374:374-"$5F&amp;!;o"</f>
        <v>#VALUE!</v>
      </c>
      <c r="AR57" t="e">
        <f>CWE!375:375-"$5F&amp;!;p"</f>
        <v>#VALUE!</v>
      </c>
      <c r="AS57" t="e">
        <f>CWE!376:376-"$5F&amp;!;q"</f>
        <v>#VALUE!</v>
      </c>
      <c r="AT57" t="e">
        <f>CWE!377:377-"$5F&amp;!;r"</f>
        <v>#VALUE!</v>
      </c>
      <c r="AU57" t="e">
        <f>CWE!378:378-"$5F&amp;!;s"</f>
        <v>#VALUE!</v>
      </c>
      <c r="AV57" t="e">
        <f>CWE!379:379-"$5F&amp;!;t"</f>
        <v>#VALUE!</v>
      </c>
      <c r="AW57" t="e">
        <f>CWE!380:380-"$5F&amp;!;u"</f>
        <v>#VALUE!</v>
      </c>
      <c r="AX57" t="e">
        <f>CWE!381:381-"$5F&amp;!;v"</f>
        <v>#VALUE!</v>
      </c>
      <c r="AY57" t="e">
        <f>CWE!382:382-"$5F&amp;!;w"</f>
        <v>#VALUE!</v>
      </c>
      <c r="AZ57" t="e">
        <f>CWE!383:383-"$5F&amp;!;x"</f>
        <v>#VALUE!</v>
      </c>
      <c r="BA57" t="e">
        <f>CWE!384:384-"$5F&amp;!;y"</f>
        <v>#VALUE!</v>
      </c>
      <c r="BB57" t="e">
        <f>CWE!385:385-"$5F&amp;!;z"</f>
        <v>#VALUE!</v>
      </c>
      <c r="BC57" t="e">
        <f>CWE!386:386-"$5F&amp;!;{"</f>
        <v>#VALUE!</v>
      </c>
      <c r="BD57" t="e">
        <f>CWE!387:387-"$5F&amp;!;|"</f>
        <v>#VALUE!</v>
      </c>
      <c r="BE57" t="e">
        <f>CWE!388:388-"$5F&amp;!;}"</f>
        <v>#VALUE!</v>
      </c>
      <c r="BF57" t="e">
        <f>CWE!389:389-"$5F&amp;!;~"</f>
        <v>#VALUE!</v>
      </c>
      <c r="BG57" t="e">
        <f>CWE!390:390-"$5F&amp;!&lt;#"</f>
        <v>#VALUE!</v>
      </c>
      <c r="BH57" t="e">
        <f>CWE!391:391-"$5F&amp;!&lt;$"</f>
        <v>#VALUE!</v>
      </c>
      <c r="BI57" t="e">
        <f>CWE!392:392-"$5F&amp;!&lt;%"</f>
        <v>#VALUE!</v>
      </c>
      <c r="BJ57" t="e">
        <f>CWE!393:393-"$5F&amp;!&lt;&amp;"</f>
        <v>#VALUE!</v>
      </c>
      <c r="BK57" t="e">
        <f>CWE!394:394-"$5F&amp;!&lt;'"</f>
        <v>#VALUE!</v>
      </c>
      <c r="BL57" t="e">
        <f>CWE!395:395-"$5F&amp;!&lt;("</f>
        <v>#VALUE!</v>
      </c>
      <c r="BM57" t="e">
        <f>CWE!396:396-"$5F&amp;!&lt;)"</f>
        <v>#VALUE!</v>
      </c>
      <c r="BN57" t="e">
        <f>CWE!397:397-"$5F&amp;!&lt;."</f>
        <v>#VALUE!</v>
      </c>
      <c r="BO57" t="e">
        <f>CWE!398:398-"$5F&amp;!&lt;/"</f>
        <v>#VALUE!</v>
      </c>
      <c r="BP57" t="e">
        <f>CWE!399:399-"$5F&amp;!&lt;0"</f>
        <v>#VALUE!</v>
      </c>
      <c r="BQ57" t="e">
        <f>CWE!400:400-"$5F&amp;!&lt;1"</f>
        <v>#VALUE!</v>
      </c>
      <c r="BR57" t="e">
        <f>CWE!401:401-"$5F&amp;!&lt;2"</f>
        <v>#VALUE!</v>
      </c>
      <c r="BS57" t="e">
        <f>CWE!402:402-"$5F&amp;!&lt;3"</f>
        <v>#VALUE!</v>
      </c>
      <c r="BT57" t="e">
        <f>CWE!403:403-"$5F&amp;!&lt;4"</f>
        <v>#VALUE!</v>
      </c>
      <c r="BU57" t="e">
        <f>CWE!404:404-"$5F&amp;!&lt;5"</f>
        <v>#VALUE!</v>
      </c>
      <c r="BV57" t="e">
        <f>CWE!405:405-"$5F&amp;!&lt;6"</f>
        <v>#VALUE!</v>
      </c>
      <c r="BW57" t="e">
        <f>CWE!406:406-"$5F&amp;!&lt;7"</f>
        <v>#VALUE!</v>
      </c>
      <c r="BX57" t="e">
        <f>CWE!407:407-"$5F&amp;!&lt;8"</f>
        <v>#VALUE!</v>
      </c>
      <c r="BY57" t="e">
        <f>CWE!408:408-"$5F&amp;!&lt;9"</f>
        <v>#VALUE!</v>
      </c>
      <c r="BZ57" t="e">
        <f>CWE!409:409-"$5F&amp;!&lt;:"</f>
        <v>#VALUE!</v>
      </c>
      <c r="CA57" t="e">
        <f>CWE!410:410-"$5F&amp;!&lt;;"</f>
        <v>#VALUE!</v>
      </c>
      <c r="CB57" t="e">
        <f>CWE!411:411-"$5F&amp;!&lt;&lt;"</f>
        <v>#VALUE!</v>
      </c>
      <c r="CC57" t="e">
        <f>CWE!412:412-"$5F&amp;!&lt;="</f>
        <v>#VALUE!</v>
      </c>
      <c r="CD57" t="e">
        <f>CWE!413:413-"$5F&amp;!&lt;&gt;"</f>
        <v>#VALUE!</v>
      </c>
      <c r="CE57" t="e">
        <f>CWE!414:414-"$5F&amp;!&lt;?"</f>
        <v>#VALUE!</v>
      </c>
      <c r="CF57" t="e">
        <f>CWE!415:415-"$5F&amp;!&lt;@"</f>
        <v>#VALUE!</v>
      </c>
      <c r="CG57" t="e">
        <f>CWE!416:416-"$5F&amp;!&lt;A"</f>
        <v>#VALUE!</v>
      </c>
      <c r="CH57" t="e">
        <f>CWE!417:417-"$5F&amp;!&lt;B"</f>
        <v>#VALUE!</v>
      </c>
      <c r="CI57" t="e">
        <f>CWE!418:418-"$5F&amp;!&lt;C"</f>
        <v>#VALUE!</v>
      </c>
      <c r="CJ57" t="e">
        <f>CWE!419:419-"$5F&amp;!&lt;D"</f>
        <v>#VALUE!</v>
      </c>
      <c r="CK57" t="e">
        <f>CWE!420:420-"$5F&amp;!&lt;E"</f>
        <v>#VALUE!</v>
      </c>
      <c r="CL57" t="e">
        <f>CWE!421:421-"$5F&amp;!&lt;F"</f>
        <v>#VALUE!</v>
      </c>
      <c r="CM57" t="e">
        <f>CWE!422:422-"$5F&amp;!&lt;G"</f>
        <v>#VALUE!</v>
      </c>
      <c r="CN57" t="e">
        <f>CWE!423:423-"$5F&amp;!&lt;H"</f>
        <v>#VALUE!</v>
      </c>
      <c r="CO57" t="e">
        <f>CWE!424:424-"$5F&amp;!&lt;I"</f>
        <v>#VALUE!</v>
      </c>
      <c r="CP57" t="e">
        <f>CWE!425:425-"$5F&amp;!&lt;J"</f>
        <v>#VALUE!</v>
      </c>
      <c r="CQ57" t="e">
        <f>CWE!426:426-"$5F&amp;!&lt;K"</f>
        <v>#VALUE!</v>
      </c>
      <c r="CR57" t="e">
        <f>CWE!427:427-"$5F&amp;!&lt;L"</f>
        <v>#VALUE!</v>
      </c>
      <c r="CS57" t="e">
        <f>CWE!428:428-"$5F&amp;!&lt;M"</f>
        <v>#VALUE!</v>
      </c>
      <c r="CT57" t="e">
        <f>CWE!429:429-"$5F&amp;!&lt;N"</f>
        <v>#VALUE!</v>
      </c>
      <c r="CU57" t="e">
        <f>CWE!430:430-"$5F&amp;!&lt;O"</f>
        <v>#VALUE!</v>
      </c>
      <c r="CV57" t="e">
        <f>CWE!431:431-"$5F&amp;!&lt;P"</f>
        <v>#VALUE!</v>
      </c>
      <c r="CW57" t="e">
        <f>CWE!432:432-"$5F&amp;!&lt;Q"</f>
        <v>#VALUE!</v>
      </c>
      <c r="CX57" t="e">
        <f>CWE!433:433-"$5F&amp;!&lt;R"</f>
        <v>#VALUE!</v>
      </c>
      <c r="CY57" t="e">
        <f>CWE!434:434-"$5F&amp;!&lt;S"</f>
        <v>#VALUE!</v>
      </c>
      <c r="CZ57" t="e">
        <f>CWE!435:435-"$5F&amp;!&lt;T"</f>
        <v>#VALUE!</v>
      </c>
      <c r="DA57" t="e">
        <f>CWE!436:436-"$5F&amp;!&lt;U"</f>
        <v>#VALUE!</v>
      </c>
      <c r="DB57" t="e">
        <f>CWE!437:437-"$5F&amp;!&lt;V"</f>
        <v>#VALUE!</v>
      </c>
      <c r="DC57" t="e">
        <f>CWE!438:438-"$5F&amp;!&lt;W"</f>
        <v>#VALUE!</v>
      </c>
      <c r="DD57" t="e">
        <f>CWE!439:439-"$5F&amp;!&lt;X"</f>
        <v>#VALUE!</v>
      </c>
      <c r="DE57" t="e">
        <f>CWE!440:440-"$5F&amp;!&lt;Y"</f>
        <v>#VALUE!</v>
      </c>
      <c r="DF57" t="e">
        <f>CWE!441:441-"$5F&amp;!&lt;Z"</f>
        <v>#VALUE!</v>
      </c>
      <c r="DG57" t="e">
        <f>CWE!442:442-"$5F&amp;!&lt;["</f>
        <v>#VALUE!</v>
      </c>
      <c r="DH57" t="e">
        <f>CWE!443:443-"$5F&amp;!&lt;\"</f>
        <v>#VALUE!</v>
      </c>
      <c r="DI57" t="e">
        <f>CWE!444:444-"$5F&amp;!&lt;]"</f>
        <v>#VALUE!</v>
      </c>
      <c r="DJ57" t="e">
        <f>CWE!445:445-"$5F&amp;!&lt;^"</f>
        <v>#VALUE!</v>
      </c>
      <c r="DK57" t="e">
        <f>CWE!446:446-"$5F&amp;!&lt;_"</f>
        <v>#VALUE!</v>
      </c>
      <c r="DL57" t="e">
        <f>CWE!447:447-"$5F&amp;!&lt;`"</f>
        <v>#VALUE!</v>
      </c>
      <c r="DM57" t="e">
        <f>CWE!448:448-"$5F&amp;!&lt;a"</f>
        <v>#VALUE!</v>
      </c>
      <c r="DN57" t="e">
        <f>CWE!449:449-"$5F&amp;!&lt;b"</f>
        <v>#VALUE!</v>
      </c>
      <c r="DO57" t="e">
        <f>CWE!450:450-"$5F&amp;!&lt;c"</f>
        <v>#VALUE!</v>
      </c>
      <c r="DP57" t="e">
        <f>CWE!451:451-"$5F&amp;!&lt;d"</f>
        <v>#VALUE!</v>
      </c>
      <c r="DQ57" t="e">
        <f>CWE!452:452-"$5F&amp;!&lt;e"</f>
        <v>#VALUE!</v>
      </c>
      <c r="DR57" t="e">
        <f>CWE!453:453-"$5F&amp;!&lt;f"</f>
        <v>#VALUE!</v>
      </c>
      <c r="DS57" t="e">
        <f>CWE!454:454-"$5F&amp;!&lt;g"</f>
        <v>#VALUE!</v>
      </c>
      <c r="DT57" t="e">
        <f>CWE!455:455-"$5F&amp;!&lt;h"</f>
        <v>#VALUE!</v>
      </c>
      <c r="DU57" t="e">
        <f>CWE!456:456-"$5F&amp;!&lt;i"</f>
        <v>#VALUE!</v>
      </c>
      <c r="DV57" t="e">
        <f>CWE!457:457-"$5F&amp;!&lt;j"</f>
        <v>#VALUE!</v>
      </c>
      <c r="DW57" t="e">
        <f>CWE!458:458-"$5F&amp;!&lt;k"</f>
        <v>#VALUE!</v>
      </c>
      <c r="DX57" t="e">
        <f>CWE!459:459-"$5F&amp;!&lt;l"</f>
        <v>#VALUE!</v>
      </c>
      <c r="DY57" t="e">
        <f>CWE!460:460-"$5F&amp;!&lt;m"</f>
        <v>#VALUE!</v>
      </c>
      <c r="DZ57" t="e">
        <f>CWE!461:461-"$5F&amp;!&lt;n"</f>
        <v>#VALUE!</v>
      </c>
      <c r="EA57" t="e">
        <f>CWE!462:462-"$5F&amp;!&lt;o"</f>
        <v>#VALUE!</v>
      </c>
      <c r="EB57" t="e">
        <f>CWE!463:463-"$5F&amp;!&lt;p"</f>
        <v>#VALUE!</v>
      </c>
      <c r="EC57" t="e">
        <f>CWE!464:464-"$5F&amp;!&lt;q"</f>
        <v>#VALUE!</v>
      </c>
      <c r="ED57" t="e">
        <f>CWE!465:465-"$5F&amp;!&lt;r"</f>
        <v>#VALUE!</v>
      </c>
      <c r="EE57" t="e">
        <f>CWE!466:466-"$5F&amp;!&lt;s"</f>
        <v>#VALUE!</v>
      </c>
      <c r="EF57" t="e">
        <f>CWE!467:467-"$5F&amp;!&lt;t"</f>
        <v>#VALUE!</v>
      </c>
      <c r="EG57" t="e">
        <f>CWE!468:468-"$5F&amp;!&lt;u"</f>
        <v>#VALUE!</v>
      </c>
      <c r="EH57" t="e">
        <f>CWE!469:469-"$5F&amp;!&lt;v"</f>
        <v>#VALUE!</v>
      </c>
      <c r="EI57" t="e">
        <f>CWE!470:470-"$5F&amp;!&lt;w"</f>
        <v>#VALUE!</v>
      </c>
      <c r="EJ57" t="e">
        <f>CWE!471:471-"$5F&amp;!&lt;x"</f>
        <v>#VALUE!</v>
      </c>
      <c r="EK57" t="e">
        <f>CWE!472:472-"$5F&amp;!&lt;y"</f>
        <v>#VALUE!</v>
      </c>
      <c r="EL57" t="e">
        <f>CWE!473:473-"$5F&amp;!&lt;z"</f>
        <v>#VALUE!</v>
      </c>
      <c r="EM57" t="e">
        <f>CWE!474:474-"$5F&amp;!&lt;{"</f>
        <v>#VALUE!</v>
      </c>
      <c r="EN57" t="e">
        <f>CWE!475:475-"$5F&amp;!&lt;|"</f>
        <v>#VALUE!</v>
      </c>
      <c r="EO57" t="e">
        <f>CWE!476:476-"$5F&amp;!&lt;}"</f>
        <v>#VALUE!</v>
      </c>
      <c r="EP57" t="e">
        <f>CWE!477:477-"$5F&amp;!&lt;~"</f>
        <v>#VALUE!</v>
      </c>
      <c r="EQ57" t="e">
        <f>CWE!478:478-"$5F&amp;!=#"</f>
        <v>#VALUE!</v>
      </c>
      <c r="ER57" t="e">
        <f>CWE!479:479-"$5F&amp;!=$"</f>
        <v>#VALUE!</v>
      </c>
      <c r="ES57" t="e">
        <f>CWE!480:480-"$5F&amp;!=%"</f>
        <v>#VALUE!</v>
      </c>
      <c r="ET57" t="e">
        <f>CWE!481:481-"$5F&amp;!=&amp;"</f>
        <v>#VALUE!</v>
      </c>
      <c r="EU57" t="e">
        <f>CWE!482:482-"$5F&amp;!='"</f>
        <v>#VALUE!</v>
      </c>
      <c r="EV57" t="e">
        <f>CWE!483:483-"$5F&amp;!=("</f>
        <v>#VALUE!</v>
      </c>
      <c r="EW57" t="e">
        <f>CWE!484:484-"$5F&amp;!=)"</f>
        <v>#VALUE!</v>
      </c>
      <c r="EX57" t="e">
        <f>CWE!485:485-"$5F&amp;!=."</f>
        <v>#VALUE!</v>
      </c>
      <c r="EY57" t="e">
        <f>CWE!486:486-"$5F&amp;!=/"</f>
        <v>#VALUE!</v>
      </c>
      <c r="EZ57" t="e">
        <f>CWE!487:487-"$5F&amp;!=0"</f>
        <v>#VALUE!</v>
      </c>
      <c r="FA57" t="e">
        <f>CWE!488:488-"$5F&amp;!=1"</f>
        <v>#VALUE!</v>
      </c>
      <c r="FB57" t="e">
        <f>CWE!489:489-"$5F&amp;!=2"</f>
        <v>#VALUE!</v>
      </c>
      <c r="FC57" t="e">
        <f>CWE!490:490-"$5F&amp;!=3"</f>
        <v>#VALUE!</v>
      </c>
      <c r="FD57" t="e">
        <f>CWE!491:491-"$5F&amp;!=4"</f>
        <v>#VALUE!</v>
      </c>
      <c r="FE57" t="e">
        <f>CWE!492:492-"$5F&amp;!=5"</f>
        <v>#VALUE!</v>
      </c>
      <c r="FF57" t="e">
        <f>CWE!493:493-"$5F&amp;!=6"</f>
        <v>#VALUE!</v>
      </c>
      <c r="FG57" t="e">
        <f>CWE!494:494-"$5F&amp;!=7"</f>
        <v>#VALUE!</v>
      </c>
      <c r="FH57" t="e">
        <f>CWE!495:495-"$5F&amp;!=8"</f>
        <v>#VALUE!</v>
      </c>
      <c r="FI57" t="e">
        <f>CWE!496:496-"$5F&amp;!=9"</f>
        <v>#VALUE!</v>
      </c>
      <c r="FJ57" t="e">
        <f>CWE!497:497-"$5F&amp;!=:"</f>
        <v>#VALUE!</v>
      </c>
      <c r="FK57" t="e">
        <f>CWE!498:498-"$5F&amp;!=;"</f>
        <v>#VALUE!</v>
      </c>
      <c r="FL57" t="e">
        <f>CWE!499:499-"$5F&amp;!=&lt;"</f>
        <v>#VALUE!</v>
      </c>
      <c r="FM57" t="e">
        <f>CWE!500:500-"$5F&amp;!=="</f>
        <v>#VALUE!</v>
      </c>
      <c r="FN57" t="e">
        <f>CWE!501:501-"$5F&amp;!=&gt;"</f>
        <v>#VALUE!</v>
      </c>
      <c r="FO57" t="e">
        <f>CWE!502:502-"$5F&amp;!=?"</f>
        <v>#VALUE!</v>
      </c>
      <c r="FP57" t="e">
        <f>CWE!503:503-"$5F&amp;!=@"</f>
        <v>#VALUE!</v>
      </c>
      <c r="FQ57" t="e">
        <f>CWE!504:504-"$5F&amp;!=A"</f>
        <v>#VALUE!</v>
      </c>
      <c r="FR57" t="e">
        <f>CWE!505:505-"$5F&amp;!=B"</f>
        <v>#VALUE!</v>
      </c>
      <c r="FS57" t="e">
        <f>CWE!506:506-"$5F&amp;!=C"</f>
        <v>#VALUE!</v>
      </c>
      <c r="FT57" t="e">
        <f>CWE!507:507-"$5F&amp;!=D"</f>
        <v>#VALUE!</v>
      </c>
      <c r="FU57" t="e">
        <f>CWE!508:508-"$5F&amp;!=E"</f>
        <v>#VALUE!</v>
      </c>
      <c r="FV57" t="e">
        <f>CWE!509:509-"$5F&amp;!=F"</f>
        <v>#VALUE!</v>
      </c>
      <c r="FW57" t="e">
        <f>CWE!510:510-"$5F&amp;!=G"</f>
        <v>#VALUE!</v>
      </c>
      <c r="FX57" t="e">
        <f>CWE!511:511-"$5F&amp;!=H"</f>
        <v>#VALUE!</v>
      </c>
      <c r="FY57" t="e">
        <f>CWE!512:512-"$5F&amp;!=I"</f>
        <v>#VALUE!</v>
      </c>
      <c r="FZ57" t="e">
        <f>CWE!513:513-"$5F&amp;!=J"</f>
        <v>#VALUE!</v>
      </c>
      <c r="GA57" t="e">
        <f>CWE!514:514-"$5F&amp;!=K"</f>
        <v>#VALUE!</v>
      </c>
      <c r="GB57" t="e">
        <f>CWE!515:515-"$5F&amp;!=L"</f>
        <v>#VALUE!</v>
      </c>
      <c r="GC57" t="e">
        <f>CWE!516:516-"$5F&amp;!=M"</f>
        <v>#VALUE!</v>
      </c>
      <c r="GD57" t="e">
        <f>CWE!517:517-"$5F&amp;!=N"</f>
        <v>#VALUE!</v>
      </c>
      <c r="GE57" t="e">
        <f>CWE!518:518-"$5F&amp;!=O"</f>
        <v>#VALUE!</v>
      </c>
      <c r="GF57" t="e">
        <f>CWE!519:519-"$5F&amp;!=P"</f>
        <v>#VALUE!</v>
      </c>
      <c r="GG57" t="e">
        <f>CWE!520:520-"$5F&amp;!=Q"</f>
        <v>#VALUE!</v>
      </c>
      <c r="GH57" t="e">
        <f>CWE!521:521-"$5F&amp;!=R"</f>
        <v>#VALUE!</v>
      </c>
      <c r="GI57" t="e">
        <f>CWE!522:522-"$5F&amp;!=S"</f>
        <v>#VALUE!</v>
      </c>
      <c r="GJ57" t="e">
        <f>CWE!523:523-"$5F&amp;!=T"</f>
        <v>#VALUE!</v>
      </c>
      <c r="GK57" t="e">
        <f>CWE!524:524-"$5F&amp;!=U"</f>
        <v>#VALUE!</v>
      </c>
      <c r="GL57" t="e">
        <f>CWE!525:525-"$5F&amp;!=V"</f>
        <v>#VALUE!</v>
      </c>
      <c r="GM57" t="e">
        <f>CWE!526:526-"$5F&amp;!=W"</f>
        <v>#VALUE!</v>
      </c>
      <c r="GN57" t="e">
        <f>CWE!527:527-"$5F&amp;!=X"</f>
        <v>#VALUE!</v>
      </c>
      <c r="GO57" t="e">
        <f>CWE!528:528-"$5F&amp;!=Y"</f>
        <v>#VALUE!</v>
      </c>
      <c r="GP57" t="e">
        <f>CWE!529:529-"$5F&amp;!=Z"</f>
        <v>#VALUE!</v>
      </c>
      <c r="GQ57" t="e">
        <f>CWE!530:530-"$5F&amp;!=["</f>
        <v>#VALUE!</v>
      </c>
      <c r="GR57" t="e">
        <f>CWE!531:531-"$5F&amp;!=\"</f>
        <v>#VALUE!</v>
      </c>
      <c r="GS57" t="e">
        <f>CWE!532:532-"$5F&amp;!=]"</f>
        <v>#VALUE!</v>
      </c>
      <c r="GT57" t="e">
        <f>CWE!533:533-"$5F&amp;!=^"</f>
        <v>#VALUE!</v>
      </c>
      <c r="GU57" t="e">
        <f>CWE!534:534-"$5F&amp;!=_"</f>
        <v>#VALUE!</v>
      </c>
      <c r="GV57" t="e">
        <f>CWE!535:535-"$5F&amp;!=`"</f>
        <v>#VALUE!</v>
      </c>
      <c r="GW57" t="e">
        <f>CWE!536:536-"$5F&amp;!=a"</f>
        <v>#VALUE!</v>
      </c>
      <c r="GX57" t="e">
        <f>CWE!537:537-"$5F&amp;!=b"</f>
        <v>#VALUE!</v>
      </c>
      <c r="GY57" t="e">
        <f>CWE!538:538-"$5F&amp;!=c"</f>
        <v>#VALUE!</v>
      </c>
      <c r="GZ57" t="e">
        <f>CWE!539:539-"$5F&amp;!=d"</f>
        <v>#VALUE!</v>
      </c>
      <c r="HA57" t="e">
        <f>CWE!540:540-"$5F&amp;!=e"</f>
        <v>#VALUE!</v>
      </c>
      <c r="HB57" t="e">
        <f>CWE!541:541-"$5F&amp;!=f"</f>
        <v>#VALUE!</v>
      </c>
      <c r="HC57" t="e">
        <f>CWE!542:542-"$5F&amp;!=g"</f>
        <v>#VALUE!</v>
      </c>
      <c r="HD57" t="e">
        <f>CWE!543:543-"$5F&amp;!=h"</f>
        <v>#VALUE!</v>
      </c>
      <c r="HE57" t="e">
        <f>CWE!544:544-"$5F&amp;!=i"</f>
        <v>#VALUE!</v>
      </c>
      <c r="HF57" t="e">
        <f>CWE!545:545-"$5F&amp;!=j"</f>
        <v>#VALUE!</v>
      </c>
      <c r="HG57" t="e">
        <f>CWE!546:546-"$5F&amp;!=k"</f>
        <v>#VALUE!</v>
      </c>
      <c r="HH57" t="e">
        <f>CWE!547:547-"$5F&amp;!=l"</f>
        <v>#VALUE!</v>
      </c>
      <c r="HI57" t="e">
        <f>CWE!548:548-"$5F&amp;!=m"</f>
        <v>#VALUE!</v>
      </c>
      <c r="HJ57" t="e">
        <f>CWE!549:549-"$5F&amp;!=n"</f>
        <v>#VALUE!</v>
      </c>
      <c r="HK57" t="e">
        <f>CWE!550:550-"$5F&amp;!=o"</f>
        <v>#VALUE!</v>
      </c>
      <c r="HL57" t="e">
        <f>CWE!551:551-"$5F&amp;!=p"</f>
        <v>#VALUE!</v>
      </c>
      <c r="HM57" t="e">
        <f>CWE!552:552-"$5F&amp;!=q"</f>
        <v>#VALUE!</v>
      </c>
      <c r="HN57" t="e">
        <f>CWE!553:553-"$5F&amp;!=r"</f>
        <v>#VALUE!</v>
      </c>
      <c r="HO57" t="e">
        <f>CWE!554:554-"$5F&amp;!=s"</f>
        <v>#VALUE!</v>
      </c>
      <c r="HP57" t="e">
        <f>CWE!555:555-"$5F&amp;!=t"</f>
        <v>#VALUE!</v>
      </c>
      <c r="HQ57" t="e">
        <f>CWE!556:556-"$5F&amp;!=u"</f>
        <v>#VALUE!</v>
      </c>
      <c r="HR57" t="e">
        <f>CWE!557:557-"$5F&amp;!=v"</f>
        <v>#VALUE!</v>
      </c>
      <c r="HS57" t="e">
        <f>CWE!558:558-"$5F&amp;!=w"</f>
        <v>#VALUE!</v>
      </c>
      <c r="HT57" t="e">
        <f>CWE!559:559-"$5F&amp;!=x"</f>
        <v>#VALUE!</v>
      </c>
      <c r="HU57" t="e">
        <f>CWE!560:560-"$5F&amp;!=y"</f>
        <v>#VALUE!</v>
      </c>
      <c r="HV57" t="e">
        <f>CWE!561:561-"$5F&amp;!=z"</f>
        <v>#VALUE!</v>
      </c>
      <c r="HW57" t="e">
        <f>CWE!562:562-"$5F&amp;!={"</f>
        <v>#VALUE!</v>
      </c>
      <c r="HX57" t="e">
        <f>CWE!563:563-"$5F&amp;!=|"</f>
        <v>#VALUE!</v>
      </c>
      <c r="HY57" t="e">
        <f>CWE!564:564-"$5F&amp;!=}"</f>
        <v>#VALUE!</v>
      </c>
      <c r="HZ57" t="e">
        <f>CWE!565:565-"$5F&amp;!=~"</f>
        <v>#VALUE!</v>
      </c>
      <c r="IA57" t="e">
        <f>CWE!566:566-"$5F&amp;!&gt;#"</f>
        <v>#VALUE!</v>
      </c>
      <c r="IB57" t="e">
        <f>CWE!567:567-"$5F&amp;!&gt;$"</f>
        <v>#VALUE!</v>
      </c>
      <c r="IC57" t="e">
        <f>CWE!568:568-"$5F&amp;!&gt;%"</f>
        <v>#VALUE!</v>
      </c>
      <c r="ID57" t="e">
        <f>CWE!569:569-"$5F&amp;!&gt;&amp;"</f>
        <v>#VALUE!</v>
      </c>
      <c r="IE57" t="e">
        <f>CWE!570:570-"$5F&amp;!&gt;'"</f>
        <v>#VALUE!</v>
      </c>
      <c r="IF57" t="e">
        <f>CWE!571:571-"$5F&amp;!&gt;("</f>
        <v>#VALUE!</v>
      </c>
      <c r="IG57" t="e">
        <f>CWE!572:572-"$5F&amp;!&gt;)"</f>
        <v>#VALUE!</v>
      </c>
      <c r="IH57" t="e">
        <f>CWE!573:573-"$5F&amp;!&gt;."</f>
        <v>#VALUE!</v>
      </c>
      <c r="II57" t="e">
        <f>CWE!574:574-"$5F&amp;!&gt;/"</f>
        <v>#VALUE!</v>
      </c>
      <c r="IJ57" t="e">
        <f>CWE!575:575-"$5F&amp;!&gt;0"</f>
        <v>#VALUE!</v>
      </c>
      <c r="IK57" t="e">
        <f>CWE!576:576-"$5F&amp;!&gt;1"</f>
        <v>#VALUE!</v>
      </c>
      <c r="IL57" t="e">
        <f>CWE!577:577-"$5F&amp;!&gt;2"</f>
        <v>#VALUE!</v>
      </c>
      <c r="IM57" t="e">
        <f>CWE!578:578-"$5F&amp;!&gt;3"</f>
        <v>#VALUE!</v>
      </c>
      <c r="IN57" t="e">
        <f>CWE!579:579-"$5F&amp;!&gt;4"</f>
        <v>#VALUE!</v>
      </c>
      <c r="IO57" t="e">
        <f>CWE!580:580-"$5F&amp;!&gt;5"</f>
        <v>#VALUE!</v>
      </c>
      <c r="IP57" t="e">
        <f>CWE!581:581-"$5F&amp;!&gt;6"</f>
        <v>#VALUE!</v>
      </c>
      <c r="IQ57" t="e">
        <f>CWE!582:582-"$5F&amp;!&gt;7"</f>
        <v>#VALUE!</v>
      </c>
      <c r="IR57" t="e">
        <f>CWE!583:583-"$5F&amp;!&gt;8"</f>
        <v>#VALUE!</v>
      </c>
      <c r="IS57" t="e">
        <f>CWE!584:584-"$5F&amp;!&gt;9"</f>
        <v>#VALUE!</v>
      </c>
      <c r="IT57" t="e">
        <f>CWE!585:585-"$5F&amp;!&gt;:"</f>
        <v>#VALUE!</v>
      </c>
      <c r="IU57" t="e">
        <f>CWE!586:586-"$5F&amp;!&gt;;"</f>
        <v>#VALUE!</v>
      </c>
      <c r="IV57" t="e">
        <f>CWE!587:587-"$5F&amp;!&gt;&lt;"</f>
        <v>#VALUE!</v>
      </c>
    </row>
    <row r="58" spans="6:256" x14ac:dyDescent="0.25">
      <c r="F58" t="e">
        <f>CWE!588:588-"$5F&amp;!&gt;="</f>
        <v>#VALUE!</v>
      </c>
      <c r="G58" t="e">
        <f>CWE!589:589-"$5F&amp;!&gt;&gt;"</f>
        <v>#VALUE!</v>
      </c>
      <c r="H58" t="e">
        <f>CWE!590:590-"$5F&amp;!&gt;?"</f>
        <v>#VALUE!</v>
      </c>
      <c r="I58" t="e">
        <f>CWE!591:591-"$5F&amp;!&gt;@"</f>
        <v>#VALUE!</v>
      </c>
      <c r="J58" t="e">
        <f>CWE!592:592-"$5F&amp;!&gt;A"</f>
        <v>#VALUE!</v>
      </c>
      <c r="K58" t="e">
        <f>CWE!593:593-"$5F&amp;!&gt;B"</f>
        <v>#VALUE!</v>
      </c>
      <c r="L58" t="e">
        <f>CWE!594:594-"$5F&amp;!&gt;C"</f>
        <v>#VALUE!</v>
      </c>
      <c r="M58" t="e">
        <f>CWE!595:595-"$5F&amp;!&gt;D"</f>
        <v>#VALUE!</v>
      </c>
      <c r="N58" t="e">
        <f>CWE!596:596-"$5F&amp;!&gt;E"</f>
        <v>#VALUE!</v>
      </c>
      <c r="O58" t="e">
        <f>CWE!597:597-"$5F&amp;!&gt;F"</f>
        <v>#VALUE!</v>
      </c>
      <c r="P58" t="e">
        <f>CWE!598:598-"$5F&amp;!&gt;G"</f>
        <v>#VALUE!</v>
      </c>
      <c r="Q58" t="e">
        <f>CWE!599:599-"$5F&amp;!&gt;H"</f>
        <v>#VALUE!</v>
      </c>
      <c r="R58" t="e">
        <f>CWE!600:600-"$5F&amp;!&gt;I"</f>
        <v>#VALUE!</v>
      </c>
      <c r="S58" t="e">
        <f>CWE!601:601-"$5F&amp;!&gt;J"</f>
        <v>#VALUE!</v>
      </c>
      <c r="T58" t="e">
        <f>CWE!602:602-"$5F&amp;!&gt;K"</f>
        <v>#VALUE!</v>
      </c>
      <c r="U58" t="e">
        <f>CWE!603:603-"$5F&amp;!&gt;L"</f>
        <v>#VALUE!</v>
      </c>
      <c r="V58" t="e">
        <f>CWE!604:604-"$5F&amp;!&gt;M"</f>
        <v>#VALUE!</v>
      </c>
      <c r="W58" t="e">
        <f>CWE!605:605-"$5F&amp;!&gt;N"</f>
        <v>#VALUE!</v>
      </c>
      <c r="X58" t="e">
        <f>CWE!606:606-"$5F&amp;!&gt;O"</f>
        <v>#VALUE!</v>
      </c>
      <c r="Y58" t="e">
        <f>CWE!607:607-"$5F&amp;!&gt;P"</f>
        <v>#VALUE!</v>
      </c>
      <c r="Z58" t="e">
        <f>CWE!608:608-"$5F&amp;!&gt;Q"</f>
        <v>#VALUE!</v>
      </c>
      <c r="AA58" t="e">
        <f>CWE!609:609-"$5F&amp;!&gt;R"</f>
        <v>#VALUE!</v>
      </c>
      <c r="AB58" t="e">
        <f>CWE!610:610-"$5F&amp;!&gt;S"</f>
        <v>#VALUE!</v>
      </c>
      <c r="AC58" t="e">
        <f>CWE!611:611-"$5F&amp;!&gt;T"</f>
        <v>#VALUE!</v>
      </c>
      <c r="AD58" t="e">
        <f>CWE!612:612-"$5F&amp;!&gt;U"</f>
        <v>#VALUE!</v>
      </c>
      <c r="AE58" t="e">
        <f>CWE!613:613-"$5F&amp;!&gt;V"</f>
        <v>#VALUE!</v>
      </c>
      <c r="AF58" t="e">
        <f>CWE!614:614-"$5F&amp;!&gt;W"</f>
        <v>#VALUE!</v>
      </c>
      <c r="AG58" t="e">
        <f>CWE!615:615-"$5F&amp;!&gt;X"</f>
        <v>#VALUE!</v>
      </c>
      <c r="AH58" t="e">
        <f>CWE!616:616-"$5F&amp;!&gt;Y"</f>
        <v>#VALUE!</v>
      </c>
      <c r="AI58" t="e">
        <f>CWE!617:617-"$5F&amp;!&gt;Z"</f>
        <v>#VALUE!</v>
      </c>
      <c r="AJ58" t="e">
        <f>CWE!618:618-"$5F&amp;!&gt;["</f>
        <v>#VALUE!</v>
      </c>
      <c r="AK58" t="e">
        <f>CWE!619:619-"$5F&amp;!&gt;\"</f>
        <v>#VALUE!</v>
      </c>
      <c r="AL58" t="e">
        <f>CWE!620:620-"$5F&amp;!&gt;]"</f>
        <v>#VALUE!</v>
      </c>
      <c r="AM58" t="e">
        <f>CWE!621:621-"$5F&amp;!&gt;^"</f>
        <v>#VALUE!</v>
      </c>
      <c r="AN58" t="e">
        <f>CWE!622:622-"$5F&amp;!&gt;_"</f>
        <v>#VALUE!</v>
      </c>
      <c r="AO58" t="e">
        <f>CWE!623:623-"$5F&amp;!&gt;`"</f>
        <v>#VALUE!</v>
      </c>
      <c r="AP58" t="e">
        <f>CWE!624:624-"$5F&amp;!&gt;a"</f>
        <v>#VALUE!</v>
      </c>
      <c r="AQ58" t="e">
        <f>CWE!625:625-"$5F&amp;!&gt;b"</f>
        <v>#VALUE!</v>
      </c>
      <c r="AR58" t="e">
        <f>CWE!626:626-"$5F&amp;!&gt;c"</f>
        <v>#VALUE!</v>
      </c>
      <c r="AS58" t="e">
        <f>CWE!627:627-"$5F&amp;!&gt;d"</f>
        <v>#VALUE!</v>
      </c>
      <c r="AT58" t="e">
        <f>CWE!628:628-"$5F&amp;!&gt;e"</f>
        <v>#VALUE!</v>
      </c>
      <c r="AU58" t="e">
        <f>CWE!629:629-"$5F&amp;!&gt;f"</f>
        <v>#VALUE!</v>
      </c>
      <c r="AV58" t="e">
        <f>CWE!630:630-"$5F&amp;!&gt;g"</f>
        <v>#VALUE!</v>
      </c>
      <c r="AW58" t="e">
        <f>CWE!631:631-"$5F&amp;!&gt;h"</f>
        <v>#VALUE!</v>
      </c>
      <c r="AX58" t="e">
        <f>CWE!632:632-"$5F&amp;!&gt;i"</f>
        <v>#VALUE!</v>
      </c>
      <c r="AY58" t="e">
        <f>CWE!633:633-"$5F&amp;!&gt;j"</f>
        <v>#VALUE!</v>
      </c>
      <c r="AZ58" t="e">
        <f>CWE!634:634-"$5F&amp;!&gt;k"</f>
        <v>#VALUE!</v>
      </c>
      <c r="BA58" t="e">
        <f>CWE!635:635-"$5F&amp;!&gt;l"</f>
        <v>#VALUE!</v>
      </c>
      <c r="BB58" t="e">
        <f>CWE!636:636-"$5F&amp;!&gt;m"</f>
        <v>#VALUE!</v>
      </c>
      <c r="BC58" t="e">
        <f>CWE!637:637-"$5F&amp;!&gt;n"</f>
        <v>#VALUE!</v>
      </c>
      <c r="BD58" t="e">
        <f>CWE!638:638-"$5F&amp;!&gt;o"</f>
        <v>#VALUE!</v>
      </c>
      <c r="BE58" t="e">
        <f>CWE!639:639-"$5F&amp;!&gt;p"</f>
        <v>#VALUE!</v>
      </c>
      <c r="BF58" t="e">
        <f>CWE!640:640-"$5F&amp;!&gt;q"</f>
        <v>#VALUE!</v>
      </c>
      <c r="BG58" t="e">
        <f>CWE!641:641-"$5F&amp;!&gt;r"</f>
        <v>#VALUE!</v>
      </c>
      <c r="BH58" t="e">
        <f>CWE!642:642-"$5F&amp;!&gt;s"</f>
        <v>#VALUE!</v>
      </c>
      <c r="BI58" t="e">
        <f>CWE!643:643-"$5F&amp;!&gt;t"</f>
        <v>#VALUE!</v>
      </c>
      <c r="BJ58" t="e">
        <f>CWE!644:644-"$5F&amp;!&gt;u"</f>
        <v>#VALUE!</v>
      </c>
      <c r="BK58" t="e">
        <f>CWE!645:645-"$5F&amp;!&gt;v"</f>
        <v>#VALUE!</v>
      </c>
      <c r="BL58" t="e">
        <f>CWE!646:646-"$5F&amp;!&gt;w"</f>
        <v>#VALUE!</v>
      </c>
      <c r="BM58" t="e">
        <f>CWE!647:647-"$5F&amp;!&gt;x"</f>
        <v>#VALUE!</v>
      </c>
      <c r="BN58" t="e">
        <f>CWE!648:648-"$5F&amp;!&gt;y"</f>
        <v>#VALUE!</v>
      </c>
      <c r="BO58" t="e">
        <f>CWE!649:649-"$5F&amp;!&gt;z"</f>
        <v>#VALUE!</v>
      </c>
      <c r="BP58" t="e">
        <f>CWE!650:650-"$5F&amp;!&gt;{"</f>
        <v>#VALUE!</v>
      </c>
      <c r="BQ58" t="e">
        <f>CWE!651:651-"$5F&amp;!&gt;|"</f>
        <v>#VALUE!</v>
      </c>
      <c r="BR58" t="e">
        <f>CWE!652:652-"$5F&amp;!&gt;}"</f>
        <v>#VALUE!</v>
      </c>
      <c r="BS58" t="e">
        <f>CWE!653:653-"$5F&amp;!&gt;~"</f>
        <v>#VALUE!</v>
      </c>
      <c r="BT58" t="e">
        <f>CWE!654:654-"$5F&amp;!?#"</f>
        <v>#VALUE!</v>
      </c>
      <c r="BU58" t="e">
        <f>CWE!655:655-"$5F&amp;!?$"</f>
        <v>#VALUE!</v>
      </c>
      <c r="BV58" t="e">
        <f>CWE!656:656-"$5F&amp;!?%"</f>
        <v>#VALUE!</v>
      </c>
      <c r="BW58" t="e">
        <f>CWE!657:657-"$5F&amp;!?&amp;"</f>
        <v>#VALUE!</v>
      </c>
      <c r="BX58" t="e">
        <f>CWE!658:658-"$5F&amp;!?'"</f>
        <v>#VALUE!</v>
      </c>
      <c r="BY58" t="e">
        <f>CWE!659:659-"$5F&amp;!?("</f>
        <v>#VALUE!</v>
      </c>
      <c r="BZ58" t="e">
        <f>CWE!660:660-"$5F&amp;!?)"</f>
        <v>#VALUE!</v>
      </c>
      <c r="CA58" t="e">
        <f>CWE!661:661-"$5F&amp;!?."</f>
        <v>#VALUE!</v>
      </c>
      <c r="CB58" t="e">
        <f>CWE!662:662-"$5F&amp;!?/"</f>
        <v>#VALUE!</v>
      </c>
      <c r="CC58" t="e">
        <f>CWE!663:663-"$5F&amp;!?0"</f>
        <v>#VALUE!</v>
      </c>
      <c r="CD58" t="e">
        <f>CWE!664:664-"$5F&amp;!?1"</f>
        <v>#VALUE!</v>
      </c>
      <c r="CE58" t="e">
        <f>CWE!665:665-"$5F&amp;!?2"</f>
        <v>#VALUE!</v>
      </c>
      <c r="CF58" t="e">
        <f>CWE!666:666-"$5F&amp;!?3"</f>
        <v>#VALUE!</v>
      </c>
      <c r="CG58" t="e">
        <f>CWE!667:667-"$5F&amp;!?4"</f>
        <v>#VALUE!</v>
      </c>
      <c r="CH58" t="e">
        <f>CWE!668:668-"$5F&amp;!?5"</f>
        <v>#VALUE!</v>
      </c>
      <c r="CI58" t="e">
        <f>CWE!669:669-"$5F&amp;!?6"</f>
        <v>#VALUE!</v>
      </c>
      <c r="CJ58" t="e">
        <f>CWE!670:670-"$5F&amp;!?7"</f>
        <v>#VALUE!</v>
      </c>
      <c r="CK58" t="e">
        <f>CWE!671:671-"$5F&amp;!?8"</f>
        <v>#VALUE!</v>
      </c>
      <c r="CL58" t="e">
        <f>CWE!672:672-"$5F&amp;!?9"</f>
        <v>#VALUE!</v>
      </c>
      <c r="CM58" t="e">
        <f>CWE!673:673-"$5F&amp;!?:"</f>
        <v>#VALUE!</v>
      </c>
      <c r="CN58" t="e">
        <f>CWE!674:674-"$5F&amp;!?;"</f>
        <v>#VALUE!</v>
      </c>
      <c r="CO58" t="e">
        <f>CWE!675:675-"$5F&amp;!?&lt;"</f>
        <v>#VALUE!</v>
      </c>
      <c r="CP58" t="e">
        <f>CWE!676:676-"$5F&amp;!?="</f>
        <v>#VALUE!</v>
      </c>
      <c r="CQ58" t="e">
        <f>CWE!677:677-"$5F&amp;!?&gt;"</f>
        <v>#VALUE!</v>
      </c>
      <c r="CR58" t="e">
        <f>CWE!678:678-"$5F&amp;!??"</f>
        <v>#VALUE!</v>
      </c>
      <c r="CS58" t="e">
        <f>CWE!679:679-"$5F&amp;!?@"</f>
        <v>#VALUE!</v>
      </c>
      <c r="CT58" t="e">
        <f>CWE!680:680-"$5F&amp;!?A"</f>
        <v>#VALUE!</v>
      </c>
      <c r="CU58" t="e">
        <f>CWE!681:681-"$5F&amp;!?B"</f>
        <v>#VALUE!</v>
      </c>
      <c r="CV58" t="e">
        <f>CWE!682:682-"$5F&amp;!?C"</f>
        <v>#VALUE!</v>
      </c>
      <c r="CW58" t="e">
        <f>CWE!683:683-"$5F&amp;!?D"</f>
        <v>#VALUE!</v>
      </c>
      <c r="CX58" t="e">
        <f>CWE!684:684-"$5F&amp;!?E"</f>
        <v>#VALUE!</v>
      </c>
      <c r="CY58" t="e">
        <f>CWE!685:685-"$5F&amp;!?F"</f>
        <v>#VALUE!</v>
      </c>
      <c r="CZ58" t="e">
        <f>CWE!686:686-"$5F&amp;!?G"</f>
        <v>#VALUE!</v>
      </c>
      <c r="DA58" t="e">
        <f>CWE!687:687-"$5F&amp;!?H"</f>
        <v>#VALUE!</v>
      </c>
      <c r="DB58" t="e">
        <f>CWE!688:688-"$5F&amp;!?I"</f>
        <v>#VALUE!</v>
      </c>
      <c r="DC58" t="e">
        <f>CWE!689:689-"$5F&amp;!?J"</f>
        <v>#VALUE!</v>
      </c>
      <c r="DD58" t="e">
        <f>CWE!690:690-"$5F&amp;!?K"</f>
        <v>#VALUE!</v>
      </c>
      <c r="DE58" t="e">
        <f>CWE!691:691-"$5F&amp;!?L"</f>
        <v>#VALUE!</v>
      </c>
      <c r="DF58" t="e">
        <f>CWE!692:692-"$5F&amp;!?M"</f>
        <v>#VALUE!</v>
      </c>
      <c r="DG58" t="e">
        <f>CWE!693:693-"$5F&amp;!?N"</f>
        <v>#VALUE!</v>
      </c>
      <c r="DH58" t="e">
        <f>CWE!694:694-"$5F&amp;!?O"</f>
        <v>#VALUE!</v>
      </c>
      <c r="DI58" t="e">
        <f>CWE!695:695-"$5F&amp;!?P"</f>
        <v>#VALUE!</v>
      </c>
      <c r="DJ58" t="e">
        <f>CWE!696:696-"$5F&amp;!?Q"</f>
        <v>#VALUE!</v>
      </c>
      <c r="DK58" t="e">
        <f>CWE!697:697-"$5F&amp;!?R"</f>
        <v>#VALUE!</v>
      </c>
      <c r="DL58" t="e">
        <f>CWE!698:698-"$5F&amp;!?S"</f>
        <v>#VALUE!</v>
      </c>
      <c r="DM58" t="e">
        <f>CWE!699:699-"$5F&amp;!?T"</f>
        <v>#VALUE!</v>
      </c>
      <c r="DN58" t="e">
        <f>CWE!700:700-"$5F&amp;!?U"</f>
        <v>#VALUE!</v>
      </c>
      <c r="DO58" t="e">
        <f>CWE!701:701-"$5F&amp;!?V"</f>
        <v>#VALUE!</v>
      </c>
      <c r="DP58" t="e">
        <f>CWE!702:702-"$5F&amp;!?W"</f>
        <v>#VALUE!</v>
      </c>
      <c r="DQ58" t="e">
        <f>CWE!703:703-"$5F&amp;!?X"</f>
        <v>#VALUE!</v>
      </c>
      <c r="DR58" t="e">
        <f>CWE!704:704-"$5F&amp;!?Y"</f>
        <v>#VALUE!</v>
      </c>
      <c r="DS58" t="e">
        <f>CWE!705:705-"$5F&amp;!?Z"</f>
        <v>#VALUE!</v>
      </c>
      <c r="DT58" t="e">
        <f>CWE!706:706-"$5F&amp;!?["</f>
        <v>#VALUE!</v>
      </c>
      <c r="DU58" t="e">
        <f>CWE!707:707-"$5F&amp;!?\"</f>
        <v>#VALUE!</v>
      </c>
      <c r="DV58" t="e">
        <f>CWE!708:708-"$5F&amp;!?]"</f>
        <v>#VALUE!</v>
      </c>
      <c r="DW58" t="e">
        <f>CWE!709:709-"$5F&amp;!?^"</f>
        <v>#VALUE!</v>
      </c>
      <c r="DX58" t="e">
        <f>CWE!710:710-"$5F&amp;!?_"</f>
        <v>#VALUE!</v>
      </c>
      <c r="DY58" t="e">
        <f>CWE!711:711-"$5F&amp;!?`"</f>
        <v>#VALUE!</v>
      </c>
      <c r="DZ58" t="e">
        <f>CWE!712:712-"$5F&amp;!?a"</f>
        <v>#VALUE!</v>
      </c>
      <c r="EA58" t="e">
        <f>CWE!713:713-"$5F&amp;!?b"</f>
        <v>#VALUE!</v>
      </c>
      <c r="EB58" t="e">
        <f>CWE!714:714-"$5F&amp;!?c"</f>
        <v>#VALUE!</v>
      </c>
      <c r="EC58" t="e">
        <f>CWE!715:715-"$5F&amp;!?d"</f>
        <v>#VALUE!</v>
      </c>
      <c r="ED58" t="e">
        <f>CWE!716:716-"$5F&amp;!?e"</f>
        <v>#VALUE!</v>
      </c>
      <c r="EE58" t="e">
        <f>CWE!717:717-"$5F&amp;!?f"</f>
        <v>#VALUE!</v>
      </c>
      <c r="EF58" t="e">
        <f>CWE!718:718-"$5F&amp;!?g"</f>
        <v>#VALUE!</v>
      </c>
      <c r="EG58" t="e">
        <f>CWE!719:719-"$5F&amp;!?h"</f>
        <v>#VALUE!</v>
      </c>
      <c r="EH58" t="e">
        <f>CWE!720:720-"$5F&amp;!?i"</f>
        <v>#VALUE!</v>
      </c>
      <c r="EI58" t="e">
        <f>CWE!721:721-"$5F&amp;!?j"</f>
        <v>#VALUE!</v>
      </c>
      <c r="EJ58" t="e">
        <f>CWE!722:722-"$5F&amp;!?k"</f>
        <v>#VALUE!</v>
      </c>
      <c r="EK58" t="e">
        <f>CWE!723:723-"$5F&amp;!?l"</f>
        <v>#VALUE!</v>
      </c>
      <c r="EL58" t="e">
        <f>CWE!724:724-"$5F&amp;!?m"</f>
        <v>#VALUE!</v>
      </c>
      <c r="EM58" t="e">
        <f>CWE!725:725-"$5F&amp;!?n"</f>
        <v>#VALUE!</v>
      </c>
      <c r="EN58" t="e">
        <f>CWE!726:726-"$5F&amp;!?o"</f>
        <v>#VALUE!</v>
      </c>
      <c r="EO58" t="e">
        <f>CWE!727:727-"$5F&amp;!?p"</f>
        <v>#VALUE!</v>
      </c>
      <c r="EP58" t="e">
        <f>CWE!728:728-"$5F&amp;!?q"</f>
        <v>#VALUE!</v>
      </c>
      <c r="EQ58" t="e">
        <f>CWE!729:729-"$5F&amp;!?r"</f>
        <v>#VALUE!</v>
      </c>
      <c r="ER58" t="e">
        <f>CWE!730:730-"$5F&amp;!?s"</f>
        <v>#VALUE!</v>
      </c>
      <c r="ES58" t="e">
        <f>CWE!731:731-"$5F&amp;!?t"</f>
        <v>#VALUE!</v>
      </c>
      <c r="ET58" t="e">
        <f>CWE!732:732-"$5F&amp;!?u"</f>
        <v>#VALUE!</v>
      </c>
      <c r="EU58" t="e">
        <f>CWE!733:733-"$5F&amp;!?v"</f>
        <v>#VALUE!</v>
      </c>
      <c r="EV58" t="e">
        <f>CWE!734:734-"$5F&amp;!?w"</f>
        <v>#VALUE!</v>
      </c>
      <c r="EW58" t="e">
        <f>CWE!735:735-"$5F&amp;!?x"</f>
        <v>#VALUE!</v>
      </c>
      <c r="EX58" t="e">
        <f>CWE!736:736-"$5F&amp;!?y"</f>
        <v>#VALUE!</v>
      </c>
      <c r="EY58" t="e">
        <f>CWE!737:737-"$5F&amp;!?z"</f>
        <v>#VALUE!</v>
      </c>
      <c r="EZ58" t="e">
        <f>CWE!738:738-"$5F&amp;!?{"</f>
        <v>#VALUE!</v>
      </c>
      <c r="FA58" t="e">
        <f>CWE!739:739-"$5F&amp;!?|"</f>
        <v>#VALUE!</v>
      </c>
      <c r="FB58" t="e">
        <f>CWE!740:740-"$5F&amp;!?}"</f>
        <v>#VALUE!</v>
      </c>
      <c r="FC58" t="e">
        <f>CWE!741:741-"$5F&amp;!?~"</f>
        <v>#VALUE!</v>
      </c>
      <c r="FD58" t="e">
        <f>CWE!742:742-"$5F&amp;!@#"</f>
        <v>#VALUE!</v>
      </c>
      <c r="FE58" t="e">
        <f>CWE!743:743-"$5F&amp;!@$"</f>
        <v>#VALUE!</v>
      </c>
      <c r="FF58" t="e">
        <f>CWE!744:744-"$5F&amp;!@%"</f>
        <v>#VALUE!</v>
      </c>
      <c r="FG58" t="e">
        <f>CWE!745:745-"$5F&amp;!@&amp;"</f>
        <v>#VALUE!</v>
      </c>
      <c r="FH58" t="e">
        <f>CWE!746:746-"$5F&amp;!@'"</f>
        <v>#VALUE!</v>
      </c>
      <c r="FI58" t="e">
        <f>CWE!747:747-"$5F&amp;!@("</f>
        <v>#VALUE!</v>
      </c>
      <c r="FJ58" t="e">
        <f>CWE!748:748-"$5F&amp;!@)"</f>
        <v>#VALUE!</v>
      </c>
      <c r="FK58" t="e">
        <f>CWE!749:749-"$5F&amp;!@."</f>
        <v>#VALUE!</v>
      </c>
      <c r="FL58" t="e">
        <f>CWE!750:750-"$5F&amp;!@/"</f>
        <v>#VALUE!</v>
      </c>
      <c r="FM58" t="e">
        <f>CWE!751:751-"$5F&amp;!@0"</f>
        <v>#VALUE!</v>
      </c>
      <c r="FN58" t="e">
        <f>CWE!752:752-"$5F&amp;!@1"</f>
        <v>#VALUE!</v>
      </c>
      <c r="FO58" t="e">
        <f>CWE!753:753-"$5F&amp;!@2"</f>
        <v>#VALUE!</v>
      </c>
      <c r="FP58" t="e">
        <f>CWE!754:754-"$5F&amp;!@3"</f>
        <v>#VALUE!</v>
      </c>
      <c r="FQ58" t="e">
        <f>CWE!755:755-"$5F&amp;!@4"</f>
        <v>#VALUE!</v>
      </c>
      <c r="FR58" t="e">
        <f>CWE!756:756-"$5F&amp;!@5"</f>
        <v>#VALUE!</v>
      </c>
      <c r="FS58" t="e">
        <f>CWE!757:757-"$5F&amp;!@6"</f>
        <v>#VALUE!</v>
      </c>
      <c r="FT58" t="e">
        <f>CWE!758:758-"$5F&amp;!@7"</f>
        <v>#VALUE!</v>
      </c>
      <c r="FU58" t="e">
        <f>CWE!759:759-"$5F&amp;!@8"</f>
        <v>#VALUE!</v>
      </c>
      <c r="FV58" t="e">
        <f>CWE!760:760-"$5F&amp;!@9"</f>
        <v>#VALUE!</v>
      </c>
      <c r="FW58" t="e">
        <f>CWE!761:761-"$5F&amp;!@:"</f>
        <v>#VALUE!</v>
      </c>
      <c r="FX58" t="e">
        <f>CWE!762:762-"$5F&amp;!@;"</f>
        <v>#VALUE!</v>
      </c>
      <c r="FY58" t="e">
        <f>CWE!763:763-"$5F&amp;!@&lt;"</f>
        <v>#VALUE!</v>
      </c>
      <c r="FZ58" t="e">
        <f>CWE!764:764-"$5F&amp;!@="</f>
        <v>#VALUE!</v>
      </c>
      <c r="GA58" t="e">
        <f>CWE!765:765-"$5F&amp;!@&gt;"</f>
        <v>#VALUE!</v>
      </c>
      <c r="GB58" t="e">
        <f>CWE!766:766-"$5F&amp;!@?"</f>
        <v>#VALUE!</v>
      </c>
      <c r="GC58" t="e">
        <f>CWE!767:767-"$5F&amp;!@@"</f>
        <v>#VALUE!</v>
      </c>
      <c r="GD58" t="e">
        <f>CWE!768:768-"$5F&amp;!@A"</f>
        <v>#VALUE!</v>
      </c>
      <c r="GE58" t="e">
        <f>CWE!769:769-"$5F&amp;!@B"</f>
        <v>#VALUE!</v>
      </c>
      <c r="GF58" t="e">
        <f>CWE!770:770-"$5F&amp;!@C"</f>
        <v>#VALUE!</v>
      </c>
      <c r="GG58" t="e">
        <f>CWE!771:771-"$5F&amp;!@D"</f>
        <v>#VALUE!</v>
      </c>
      <c r="GH58" t="e">
        <f>CWE!772:772-"$5F&amp;!@E"</f>
        <v>#VALUE!</v>
      </c>
      <c r="GI58" t="e">
        <f>CWE!773:773-"$5F&amp;!@F"</f>
        <v>#VALUE!</v>
      </c>
      <c r="GJ58" t="e">
        <f>CWE!774:774-"$5F&amp;!@G"</f>
        <v>#VALUE!</v>
      </c>
      <c r="GK58" t="e">
        <f>CWE!775:775-"$5F&amp;!@H"</f>
        <v>#VALUE!</v>
      </c>
      <c r="GL58" t="e">
        <f>CWE!776:776-"$5F&amp;!@I"</f>
        <v>#VALUE!</v>
      </c>
      <c r="GM58" t="e">
        <f>CWE!777:777-"$5F&amp;!@J"</f>
        <v>#VALUE!</v>
      </c>
      <c r="GN58" t="e">
        <f>CWE!778:778-"$5F&amp;!@K"</f>
        <v>#VALUE!</v>
      </c>
      <c r="GO58" t="e">
        <f>CWE!779:779-"$5F&amp;!@L"</f>
        <v>#VALUE!</v>
      </c>
      <c r="GP58" t="e">
        <f>CWE!780:780-"$5F&amp;!@M"</f>
        <v>#VALUE!</v>
      </c>
      <c r="GQ58" t="e">
        <f>CWE!781:781-"$5F&amp;!@N"</f>
        <v>#VALUE!</v>
      </c>
      <c r="GR58" t="e">
        <f>CWE!782:782-"$5F&amp;!@O"</f>
        <v>#VALUE!</v>
      </c>
      <c r="GS58" t="e">
        <f>CWE!783:783-"$5F&amp;!@P"</f>
        <v>#VALUE!</v>
      </c>
      <c r="GT58" t="e">
        <f>CWE!784:784-"$5F&amp;!@Q"</f>
        <v>#VALUE!</v>
      </c>
      <c r="GU58" t="e">
        <f>CWE!785:785-"$5F&amp;!@R"</f>
        <v>#VALUE!</v>
      </c>
      <c r="GV58" t="e">
        <f>CWE!786:786-"$5F&amp;!@S"</f>
        <v>#VALUE!</v>
      </c>
      <c r="GW58" t="e">
        <f>CWE!787:787-"$5F&amp;!@T"</f>
        <v>#VALUE!</v>
      </c>
      <c r="GX58" t="e">
        <f>CWE!788:788-"$5F&amp;!@U"</f>
        <v>#VALUE!</v>
      </c>
      <c r="GY58" t="e">
        <f>CWE!789:789-"$5F&amp;!@V"</f>
        <v>#VALUE!</v>
      </c>
      <c r="GZ58" t="e">
        <f>CWE!790:790-"$5F&amp;!@W"</f>
        <v>#VALUE!</v>
      </c>
      <c r="HA58" t="e">
        <f>CWE!791:791-"$5F&amp;!@X"</f>
        <v>#VALUE!</v>
      </c>
      <c r="HB58" t="e">
        <f>CWE!792:792-"$5F&amp;!@Y"</f>
        <v>#VALUE!</v>
      </c>
      <c r="HC58" t="e">
        <f>CWE!793:793-"$5F&amp;!@Z"</f>
        <v>#VALUE!</v>
      </c>
      <c r="HD58" t="e">
        <f>CWE!794:794-"$5F&amp;!@["</f>
        <v>#VALUE!</v>
      </c>
      <c r="HE58" t="e">
        <f>CWE!795:795-"$5F&amp;!@\"</f>
        <v>#VALUE!</v>
      </c>
      <c r="HF58" t="e">
        <f>CWE!796:796-"$5F&amp;!@]"</f>
        <v>#VALUE!</v>
      </c>
      <c r="HG58" t="e">
        <f>CWE!797:797-"$5F&amp;!@^"</f>
        <v>#VALUE!</v>
      </c>
      <c r="HH58" t="e">
        <f>CWE!798:798-"$5F&amp;!@_"</f>
        <v>#VALUE!</v>
      </c>
      <c r="HI58" t="e">
        <f>CWE!799:799-"$5F&amp;!@`"</f>
        <v>#VALUE!</v>
      </c>
      <c r="HJ58" t="e">
        <f>CWE!800:800-"$5F&amp;!@a"</f>
        <v>#VALUE!</v>
      </c>
      <c r="HK58" t="e">
        <f>CWE!801:801-"$5F&amp;!@b"</f>
        <v>#VALUE!</v>
      </c>
      <c r="HL58" t="e">
        <f>CWE!802:802-"$5F&amp;!@c"</f>
        <v>#VALUE!</v>
      </c>
      <c r="HM58" t="e">
        <f>CWE!803:803-"$5F&amp;!@d"</f>
        <v>#VALUE!</v>
      </c>
      <c r="HN58" t="e">
        <f>CWE!804:804-"$5F&amp;!@e"</f>
        <v>#VALUE!</v>
      </c>
      <c r="HO58" t="e">
        <f>CWE!805:805-"$5F&amp;!@f"</f>
        <v>#VALUE!</v>
      </c>
      <c r="HP58" t="e">
        <f>CWE!806:806-"$5F&amp;!@g"</f>
        <v>#VALUE!</v>
      </c>
      <c r="HQ58" t="e">
        <f>CWE!807:807-"$5F&amp;!@h"</f>
        <v>#VALUE!</v>
      </c>
      <c r="HR58" t="e">
        <f>CWE!808:808-"$5F&amp;!@i"</f>
        <v>#VALUE!</v>
      </c>
      <c r="HS58" t="e">
        <f>CWE!809:809-"$5F&amp;!@j"</f>
        <v>#VALUE!</v>
      </c>
      <c r="HT58" t="e">
        <f>CWE!810:810-"$5F&amp;!@k"</f>
        <v>#VALUE!</v>
      </c>
      <c r="HU58" t="e">
        <f>CWE!811:811-"$5F&amp;!@l"</f>
        <v>#VALUE!</v>
      </c>
      <c r="HV58" t="e">
        <f>CWE!812:812-"$5F&amp;!@m"</f>
        <v>#VALUE!</v>
      </c>
      <c r="HW58" t="e">
        <f>CWE!813:813-"$5F&amp;!@n"</f>
        <v>#VALUE!</v>
      </c>
      <c r="HX58" t="e">
        <f>CWE!814:814-"$5F&amp;!@o"</f>
        <v>#VALUE!</v>
      </c>
      <c r="HY58" t="e">
        <f>CWE!815:815-"$5F&amp;!@p"</f>
        <v>#VALUE!</v>
      </c>
      <c r="HZ58" t="e">
        <f>CWE!816:816-"$5F&amp;!@q"</f>
        <v>#VALUE!</v>
      </c>
      <c r="IA58" t="e">
        <f>CWE!817:817-"$5F&amp;!@r"</f>
        <v>#VALUE!</v>
      </c>
      <c r="IB58" t="e">
        <f>CWE!818:818-"$5F&amp;!@s"</f>
        <v>#VALUE!</v>
      </c>
      <c r="IC58" t="e">
        <f>CWE!819:819-"$5F&amp;!@t"</f>
        <v>#VALUE!</v>
      </c>
      <c r="ID58" t="e">
        <f>CWE!820:820-"$5F&amp;!@u"</f>
        <v>#VALUE!</v>
      </c>
      <c r="IE58" t="e">
        <f>CWE!821:821-"$5F&amp;!@v"</f>
        <v>#VALUE!</v>
      </c>
      <c r="IF58" t="e">
        <f>CWE!822:822-"$5F&amp;!@w"</f>
        <v>#VALUE!</v>
      </c>
      <c r="IG58" t="e">
        <f>CWE!823:823-"$5F&amp;!@x"</f>
        <v>#VALUE!</v>
      </c>
      <c r="IH58" t="e">
        <f>CWE!824:824-"$5F&amp;!@y"</f>
        <v>#VALUE!</v>
      </c>
      <c r="II58" t="e">
        <f>CWE!825:825-"$5F&amp;!@z"</f>
        <v>#VALUE!</v>
      </c>
      <c r="IJ58" t="e">
        <f>CWE!826:826-"$5F&amp;!@{"</f>
        <v>#VALUE!</v>
      </c>
      <c r="IK58" t="e">
        <f>CWE!827:827-"$5F&amp;!@|"</f>
        <v>#VALUE!</v>
      </c>
      <c r="IL58" t="e">
        <f>CWE!828:828-"$5F&amp;!@}"</f>
        <v>#VALUE!</v>
      </c>
      <c r="IM58" t="e">
        <f>CWE!829:829-"$5F&amp;!@~"</f>
        <v>#VALUE!</v>
      </c>
      <c r="IN58" t="e">
        <f>CWE!830:830-"$5F&amp;!A#"</f>
        <v>#VALUE!</v>
      </c>
      <c r="IO58" t="e">
        <f>CWE!831:831-"$5F&amp;!A$"</f>
        <v>#VALUE!</v>
      </c>
      <c r="IP58" t="e">
        <f>CWE!832:832-"$5F&amp;!A%"</f>
        <v>#VALUE!</v>
      </c>
      <c r="IQ58" t="e">
        <f>CWE!833:833-"$5F&amp;!A&amp;"</f>
        <v>#VALUE!</v>
      </c>
      <c r="IR58" t="e">
        <f>CWE!834:834-"$5F&amp;!A'"</f>
        <v>#VALUE!</v>
      </c>
      <c r="IS58" t="e">
        <f>CWE!835:835-"$5F&amp;!A("</f>
        <v>#VALUE!</v>
      </c>
      <c r="IT58" t="e">
        <f>CWE!836:836-"$5F&amp;!A)"</f>
        <v>#VALUE!</v>
      </c>
      <c r="IU58" t="e">
        <f>CWE!837:837-"$5F&amp;!A."</f>
        <v>#VALUE!</v>
      </c>
      <c r="IV58" t="e">
        <f>CWE!838:838-"$5F&amp;!A/"</f>
        <v>#VALUE!</v>
      </c>
    </row>
    <row r="59" spans="6:256" x14ac:dyDescent="0.25">
      <c r="F59" t="e">
        <f>CWE!839:839-"$5F&amp;!A0"</f>
        <v>#VALUE!</v>
      </c>
      <c r="G59" t="e">
        <f>CWE!840:840-"$5F&amp;!A1"</f>
        <v>#VALUE!</v>
      </c>
      <c r="H59" t="e">
        <f>CWE!841:841-"$5F&amp;!A2"</f>
        <v>#VALUE!</v>
      </c>
      <c r="I59" t="e">
        <f>CWE!842:842-"$5F&amp;!A3"</f>
        <v>#VALUE!</v>
      </c>
      <c r="J59" t="e">
        <f>CWE!843:843-"$5F&amp;!A4"</f>
        <v>#VALUE!</v>
      </c>
      <c r="K59" t="e">
        <f>CWE!844:844-"$5F&amp;!A5"</f>
        <v>#VALUE!</v>
      </c>
      <c r="L59" t="e">
        <f>CWE!845:845-"$5F&amp;!A6"</f>
        <v>#VALUE!</v>
      </c>
      <c r="M59" t="e">
        <f>CWE!846:846-"$5F&amp;!A7"</f>
        <v>#VALUE!</v>
      </c>
      <c r="N59" t="e">
        <f>CWE!847:847-"$5F&amp;!A8"</f>
        <v>#VALUE!</v>
      </c>
      <c r="O59" t="e">
        <f>CWE!848:848-"$5F&amp;!A9"</f>
        <v>#VALUE!</v>
      </c>
      <c r="P59" t="e">
        <f>CWE!849:849-"$5F&amp;!A:"</f>
        <v>#VALUE!</v>
      </c>
      <c r="Q59" t="e">
        <f>CWE!850:850-"$5F&amp;!A;"</f>
        <v>#VALUE!</v>
      </c>
      <c r="R59" t="e">
        <f>CWE!851:851-"$5F&amp;!A&lt;"</f>
        <v>#VALUE!</v>
      </c>
      <c r="S59" t="e">
        <f>CWE!852:852-"$5F&amp;!A="</f>
        <v>#VALUE!</v>
      </c>
      <c r="T59" t="e">
        <f>CWE!853:853-"$5F&amp;!A&gt;"</f>
        <v>#VALUE!</v>
      </c>
      <c r="U59" t="e">
        <f>CWE!854:854-"$5F&amp;!A?"</f>
        <v>#VALUE!</v>
      </c>
      <c r="V59" t="e">
        <f>CWE!855:855-"$5F&amp;!A@"</f>
        <v>#VALUE!</v>
      </c>
      <c r="W59" t="e">
        <f>CWE!856:856-"$5F&amp;!AA"</f>
        <v>#VALUE!</v>
      </c>
      <c r="X59" t="e">
        <f>CWE!857:857-"$5F&amp;!AB"</f>
        <v>#VALUE!</v>
      </c>
      <c r="Y59" t="e">
        <f>CWE!858:858-"$5F&amp;!AC"</f>
        <v>#VALUE!</v>
      </c>
      <c r="Z59" t="e">
        <f>CWE!859:859-"$5F&amp;!AD"</f>
        <v>#VALUE!</v>
      </c>
      <c r="AA59" t="e">
        <f>CWE!860:860-"$5F&amp;!AE"</f>
        <v>#VALUE!</v>
      </c>
      <c r="AB59" t="e">
        <f>CWE!861:861-"$5F&amp;!AF"</f>
        <v>#VALUE!</v>
      </c>
      <c r="AC59" t="e">
        <f>CWE!862:862-"$5F&amp;!AG"</f>
        <v>#VALUE!</v>
      </c>
      <c r="AD59" t="e">
        <f>CWE!863:863-"$5F&amp;!AH"</f>
        <v>#VALUE!</v>
      </c>
      <c r="AE59" t="e">
        <f>CWE!864:864-"$5F&amp;!AI"</f>
        <v>#VALUE!</v>
      </c>
      <c r="AF59" t="e">
        <f>CWE!865:865-"$5F&amp;!AJ"</f>
        <v>#VALUE!</v>
      </c>
      <c r="AG59" t="e">
        <f>CWE!866:866-"$5F&amp;!AK"</f>
        <v>#VALUE!</v>
      </c>
      <c r="AH59" t="e">
        <f>CWE!867:867-"$5F&amp;!AL"</f>
        <v>#VALUE!</v>
      </c>
      <c r="AI59" t="e">
        <f>CWE!868:868-"$5F&amp;!AM"</f>
        <v>#VALUE!</v>
      </c>
      <c r="AJ59" t="e">
        <f>CWE!869:869-"$5F&amp;!AN"</f>
        <v>#VALUE!</v>
      </c>
      <c r="AK59" t="e">
        <f>CWE!870:870-"$5F&amp;!AO"</f>
        <v>#VALUE!</v>
      </c>
      <c r="AL59" t="e">
        <f>CWE!871:871-"$5F&amp;!AP"</f>
        <v>#VALUE!</v>
      </c>
      <c r="AM59" t="e">
        <f>CWE!872:872-"$5F&amp;!AQ"</f>
        <v>#VALUE!</v>
      </c>
      <c r="AN59" t="e">
        <f>CWE!873:873-"$5F&amp;!AR"</f>
        <v>#VALUE!</v>
      </c>
      <c r="AO59" t="e">
        <f>CWE!874:874-"$5F&amp;!AS"</f>
        <v>#VALUE!</v>
      </c>
      <c r="AP59" t="e">
        <f>CWE!875:875-"$5F&amp;!AT"</f>
        <v>#VALUE!</v>
      </c>
      <c r="AQ59" t="e">
        <f>CWE!876:876-"$5F&amp;!AU"</f>
        <v>#VALUE!</v>
      </c>
      <c r="AR59" t="e">
        <f>CWE!877:877-"$5F&amp;!AV"</f>
        <v>#VALUE!</v>
      </c>
      <c r="AS59" t="e">
        <f>CWE!878:878-"$5F&amp;!AW"</f>
        <v>#VALUE!</v>
      </c>
      <c r="AT59" t="e">
        <f>CWE!879:879-"$5F&amp;!AX"</f>
        <v>#VALUE!</v>
      </c>
      <c r="AU59" t="e">
        <f>CWE!880:880-"$5F&amp;!AY"</f>
        <v>#VALUE!</v>
      </c>
      <c r="AV59" t="e">
        <f>CWE!881:881-"$5F&amp;!AZ"</f>
        <v>#VALUE!</v>
      </c>
      <c r="AW59" t="e">
        <f>CWE!882:882-"$5F&amp;!A["</f>
        <v>#VALUE!</v>
      </c>
      <c r="AX59" t="e">
        <f>CWE!883:883-"$5F&amp;!A\"</f>
        <v>#VALUE!</v>
      </c>
      <c r="AY59" t="e">
        <f>CWE!884:884-"$5F&amp;!A]"</f>
        <v>#VALUE!</v>
      </c>
      <c r="AZ59" t="e">
        <f>CWE!885:885-"$5F&amp;!A^"</f>
        <v>#VALUE!</v>
      </c>
      <c r="BA59" t="e">
        <f>CWE!886:886-"$5F&amp;!A_"</f>
        <v>#VALUE!</v>
      </c>
      <c r="BB59" t="e">
        <f>CWE!887:887-"$5F&amp;!A`"</f>
        <v>#VALUE!</v>
      </c>
      <c r="BC59" t="e">
        <f>CWE!888:888-"$5F&amp;!Aa"</f>
        <v>#VALUE!</v>
      </c>
      <c r="BD59" t="e">
        <f>CWE!889:889-"$5F&amp;!Ab"</f>
        <v>#VALUE!</v>
      </c>
      <c r="BE59" t="e">
        <f>CWE!890:890-"$5F&amp;!Ac"</f>
        <v>#VALUE!</v>
      </c>
      <c r="BF59" t="e">
        <f>CWE!891:891-"$5F&amp;!Ad"</f>
        <v>#VALUE!</v>
      </c>
      <c r="BG59" t="e">
        <f>CWE!892:892-"$5F&amp;!Ae"</f>
        <v>#VALUE!</v>
      </c>
      <c r="BH59" t="e">
        <f>CWE!893:893-"$5F&amp;!Af"</f>
        <v>#VALUE!</v>
      </c>
      <c r="BI59" t="e">
        <f>CWE!894:894-"$5F&amp;!Ag"</f>
        <v>#VALUE!</v>
      </c>
      <c r="BJ59" t="e">
        <f>CWE!895:895-"$5F&amp;!Ah"</f>
        <v>#VALUE!</v>
      </c>
      <c r="BK59" t="e">
        <f>CWE!896:896-"$5F&amp;!Ai"</f>
        <v>#VALUE!</v>
      </c>
      <c r="BL59" t="e">
        <f>CWE!897:897-"$5F&amp;!Aj"</f>
        <v>#VALUE!</v>
      </c>
      <c r="BM59" t="e">
        <f>CWE!898:898-"$5F&amp;!Ak"</f>
        <v>#VALUE!</v>
      </c>
      <c r="BN59" t="e">
        <f>CWE!899:899-"$5F&amp;!Al"</f>
        <v>#VALUE!</v>
      </c>
      <c r="BO59" t="e">
        <f>CWE!900:900-"$5F&amp;!Am"</f>
        <v>#VALUE!</v>
      </c>
      <c r="BP59" t="e">
        <f>CWE!901:901-"$5F&amp;!An"</f>
        <v>#VALUE!</v>
      </c>
      <c r="BQ59" t="e">
        <f>CWE!902:902-"$5F&amp;!Ao"</f>
        <v>#VALUE!</v>
      </c>
      <c r="BR59" t="e">
        <f>CWE!903:903-"$5F&amp;!Ap"</f>
        <v>#VALUE!</v>
      </c>
      <c r="BS59" t="e">
        <f>CWE!904:904-"$5F&amp;!Aq"</f>
        <v>#VALUE!</v>
      </c>
      <c r="BT59" t="e">
        <f>CWE!905:905-"$5F&amp;!Ar"</f>
        <v>#VALUE!</v>
      </c>
      <c r="BU59" t="e">
        <f>CWE!906:906-"$5F&amp;!As"</f>
        <v>#VALUE!</v>
      </c>
      <c r="BV59" t="e">
        <f>CWE!907:907-"$5F&amp;!At"</f>
        <v>#VALUE!</v>
      </c>
      <c r="BW59" t="e">
        <f>CWE!908:908-"$5F&amp;!Au"</f>
        <v>#VALUE!</v>
      </c>
      <c r="BX59" t="e">
        <f>CWE!909:909-"$5F&amp;!Av"</f>
        <v>#VALUE!</v>
      </c>
      <c r="BY59" t="e">
        <f>CWE!910:910-"$5F&amp;!Aw"</f>
        <v>#VALUE!</v>
      </c>
      <c r="BZ59" t="e">
        <f>CWE!911:911-"$5F&amp;!Ax"</f>
        <v>#VALUE!</v>
      </c>
      <c r="CA59" t="e">
        <f>CWE!912:912-"$5F&amp;!Ay"</f>
        <v>#VALUE!</v>
      </c>
      <c r="CB59" t="e">
        <f>CWE!913:913-"$5F&amp;!Az"</f>
        <v>#VALUE!</v>
      </c>
      <c r="CC59" t="e">
        <f>CWE!914:914-"$5F&amp;!A{"</f>
        <v>#VALUE!</v>
      </c>
      <c r="CD59" t="e">
        <f>CWE!915:915-"$5F&amp;!A|"</f>
        <v>#VALUE!</v>
      </c>
      <c r="CE59" t="e">
        <f>CWE!916:916-"$5F&amp;!A}"</f>
        <v>#VALUE!</v>
      </c>
      <c r="CF59" t="e">
        <f>CWE!917:917-"$5F&amp;!A~"</f>
        <v>#VALUE!</v>
      </c>
      <c r="CG59" t="e">
        <f>CWE!918:918-"$5F&amp;!B#"</f>
        <v>#VALUE!</v>
      </c>
      <c r="CH59" t="e">
        <f>CWE!919:919-"$5F&amp;!B$"</f>
        <v>#VALUE!</v>
      </c>
      <c r="CI59" t="e">
        <f>CWE!920:920-"$5F&amp;!B%"</f>
        <v>#VALUE!</v>
      </c>
      <c r="CJ59" t="e">
        <f>CWE!921:921-"$5F&amp;!B&amp;"</f>
        <v>#VALUE!</v>
      </c>
      <c r="CK59" t="e">
        <f>CWE!922:922-"$5F&amp;!B'"</f>
        <v>#VALUE!</v>
      </c>
      <c r="CL59" t="e">
        <f>CWE!923:923-"$5F&amp;!B("</f>
        <v>#VALUE!</v>
      </c>
      <c r="CM59" t="e">
        <f>CWE!924:924-"$5F&amp;!B)"</f>
        <v>#VALUE!</v>
      </c>
      <c r="CN59" t="e">
        <f>CWE!925:925-"$5F&amp;!B."</f>
        <v>#VALUE!</v>
      </c>
      <c r="CO59" t="e">
        <f>CWE!926:926-"$5F&amp;!B/"</f>
        <v>#VALUE!</v>
      </c>
      <c r="CP59" t="e">
        <f>CWE!927:927-"$5F&amp;!B0"</f>
        <v>#VALUE!</v>
      </c>
      <c r="CQ59" t="e">
        <f>CWE!928:928-"$5F&amp;!B1"</f>
        <v>#VALUE!</v>
      </c>
      <c r="CR59" t="e">
        <f>CWE!929:929-"$5F&amp;!B2"</f>
        <v>#VALUE!</v>
      </c>
      <c r="CS59" t="e">
        <f>CWE!930:930-"$5F&amp;!B3"</f>
        <v>#VALUE!</v>
      </c>
      <c r="CT59" t="e">
        <f>CWE!931:931-"$5F&amp;!B4"</f>
        <v>#VALUE!</v>
      </c>
      <c r="CU59" t="e">
        <f>CWE!932:932-"$5F&amp;!B5"</f>
        <v>#VALUE!</v>
      </c>
      <c r="CV59" t="e">
        <f>CWE!933:933-"$5F&amp;!B6"</f>
        <v>#VALUE!</v>
      </c>
      <c r="CW59" t="e">
        <f>CWE!934:934-"$5F&amp;!B7"</f>
        <v>#VALUE!</v>
      </c>
      <c r="CX59" t="e">
        <f>CWE!935:935-"$5F&amp;!B8"</f>
        <v>#VALUE!</v>
      </c>
      <c r="CY59" t="e">
        <f>CWE!936:936-"$5F&amp;!B9"</f>
        <v>#VALUE!</v>
      </c>
      <c r="CZ59" t="e">
        <f>CWE!937:937-"$5F&amp;!B:"</f>
        <v>#VALUE!</v>
      </c>
      <c r="DA59" t="e">
        <f>CWE!938:938-"$5F&amp;!B;"</f>
        <v>#VALUE!</v>
      </c>
      <c r="DB59" t="e">
        <f>CWE!939:939-"$5F&amp;!B&lt;"</f>
        <v>#VALUE!</v>
      </c>
      <c r="DC59" t="e">
        <f>CWE!940:940-"$5F&amp;!B="</f>
        <v>#VALUE!</v>
      </c>
      <c r="DD59" t="e">
        <f>CWE!941:941-"$5F&amp;!B&gt;"</f>
        <v>#VALUE!</v>
      </c>
      <c r="DE59" t="e">
        <f>CWE!942:942-"$5F&amp;!B?"</f>
        <v>#VALUE!</v>
      </c>
      <c r="DF59" t="e">
        <f>CWE!943:943-"$5F&amp;!B@"</f>
        <v>#VALUE!</v>
      </c>
      <c r="DG59" t="e">
        <f>CWE!944:944-"$5F&amp;!BA"</f>
        <v>#VALUE!</v>
      </c>
      <c r="DH59" t="e">
        <f>CWE!945:945-"$5F&amp;!BB"</f>
        <v>#VALUE!</v>
      </c>
      <c r="DI59" t="e">
        <f>CWE!946:946-"$5F&amp;!BC"</f>
        <v>#VALUE!</v>
      </c>
      <c r="DJ59" t="e">
        <f>CWE!947:947-"$5F&amp;!BD"</f>
        <v>#VALUE!</v>
      </c>
      <c r="DK59" t="e">
        <f>CWE!948:948-"$5F&amp;!BE"</f>
        <v>#VALUE!</v>
      </c>
      <c r="DL59" t="e">
        <f>CWE!949:949-"$5F&amp;!BF"</f>
        <v>#VALUE!</v>
      </c>
      <c r="DM59" t="e">
        <f>CWE!950:950-"$5F&amp;!BG"</f>
        <v>#VALUE!</v>
      </c>
      <c r="DN59" t="e">
        <f>CWE!951:951-"$5F&amp;!BH"</f>
        <v>#VALUE!</v>
      </c>
      <c r="DO59" t="e">
        <f>CWE!952:952-"$5F&amp;!BI"</f>
        <v>#VALUE!</v>
      </c>
      <c r="DP59" t="e">
        <f>CWE!953:953-"$5F&amp;!BJ"</f>
        <v>#VALUE!</v>
      </c>
      <c r="DQ59" t="e">
        <f>CWE!954:954-"$5F&amp;!BK"</f>
        <v>#VALUE!</v>
      </c>
      <c r="DR59" t="e">
        <f>CWE!955:955-"$5F&amp;!BL"</f>
        <v>#VALUE!</v>
      </c>
      <c r="DS59" t="e">
        <f>CWE!956:956-"$5F&amp;!BM"</f>
        <v>#VALUE!</v>
      </c>
      <c r="DT59" t="e">
        <f>CWE!957:957-"$5F&amp;!BN"</f>
        <v>#VALUE!</v>
      </c>
      <c r="DU59" t="e">
        <f>CWE!958:958-"$5F&amp;!BO"</f>
        <v>#VALUE!</v>
      </c>
      <c r="DV59" t="e">
        <f>CWE!959:959-"$5F&amp;!BP"</f>
        <v>#VALUE!</v>
      </c>
      <c r="DW59" t="e">
        <f>CWE!960:960-"$5F&amp;!BQ"</f>
        <v>#VALUE!</v>
      </c>
      <c r="DX59" t="e">
        <f>CWE!961:961-"$5F&amp;!BR"</f>
        <v>#VALUE!</v>
      </c>
      <c r="DY59" t="e">
        <f>CWE!962:962-"$5F&amp;!BS"</f>
        <v>#VALUE!</v>
      </c>
      <c r="DZ59" t="e">
        <f>CWE!963:963-"$5F&amp;!BT"</f>
        <v>#VALUE!</v>
      </c>
      <c r="EA59" t="e">
        <f>CWE!964:964-"$5F&amp;!BU"</f>
        <v>#VALUE!</v>
      </c>
      <c r="EB59" t="e">
        <f>CWE!965:965-"$5F&amp;!BV"</f>
        <v>#VALUE!</v>
      </c>
      <c r="EC59" t="e">
        <f>CWE!966:966-"$5F&amp;!BW"</f>
        <v>#VALUE!</v>
      </c>
      <c r="ED59" t="e">
        <f>CWE!967:967-"$5F&amp;!BX"</f>
        <v>#VALUE!</v>
      </c>
      <c r="EE59" t="e">
        <f>CWE!968:968-"$5F&amp;!BY"</f>
        <v>#VALUE!</v>
      </c>
      <c r="EF59" t="e">
        <f>CWE!969:969-"$5F&amp;!BZ"</f>
        <v>#VALUE!</v>
      </c>
      <c r="EG59" t="e">
        <f>CWE!970:970-"$5F&amp;!B["</f>
        <v>#VALUE!</v>
      </c>
      <c r="EH59" t="e">
        <f>CWE!971:971-"$5F&amp;!B\"</f>
        <v>#VALUE!</v>
      </c>
      <c r="EI59" t="e">
        <f>CWE!972:972-"$5F&amp;!B]"</f>
        <v>#VALUE!</v>
      </c>
      <c r="EJ59" t="e">
        <f>CWE!973:973-"$5F&amp;!B^"</f>
        <v>#VALUE!</v>
      </c>
      <c r="EK59" t="e">
        <f>CWE!974:974-"$5F&amp;!B_"</f>
        <v>#VALUE!</v>
      </c>
      <c r="EL59" t="e">
        <f>CWE!975:975-"$5F&amp;!B`"</f>
        <v>#VALUE!</v>
      </c>
      <c r="EM59" t="e">
        <f>CWE!976:976-"$5F&amp;!Ba"</f>
        <v>#VALUE!</v>
      </c>
      <c r="EN59" t="e">
        <f>CWE!977:977-"$5F&amp;!Bb"</f>
        <v>#VALUE!</v>
      </c>
      <c r="EO59" t="e">
        <f>CWE!978:978-"$5F&amp;!Bc"</f>
        <v>#VALUE!</v>
      </c>
      <c r="EP59" t="e">
        <f>CWE!979:979-"$5F&amp;!Bd"</f>
        <v>#VALUE!</v>
      </c>
      <c r="EQ59" t="e">
        <f>CWE!980:980-"$5F&amp;!Be"</f>
        <v>#VALUE!</v>
      </c>
      <c r="ER59" t="e">
        <f>CWE!981:981-"$5F&amp;!Bf"</f>
        <v>#VALUE!</v>
      </c>
      <c r="ES59" t="e">
        <f>CWE!982:982-"$5F&amp;!Bg"</f>
        <v>#VALUE!</v>
      </c>
      <c r="ET59" t="e">
        <f>CWE!983:983-"$5F&amp;!Bh"</f>
        <v>#VALUE!</v>
      </c>
      <c r="EU59" t="e">
        <f>CWE!984:984-"$5F&amp;!Bi"</f>
        <v>#VALUE!</v>
      </c>
      <c r="EV59" t="e">
        <f>CWE!985:985-"$5F&amp;!Bj"</f>
        <v>#VALUE!</v>
      </c>
      <c r="EW59" t="e">
        <f>CWE!986:986-"$5F&amp;!Bk"</f>
        <v>#VALUE!</v>
      </c>
      <c r="EX59" t="e">
        <f>CWE!987:987-"$5F&amp;!Bl"</f>
        <v>#VALUE!</v>
      </c>
      <c r="EY59" t="e">
        <f>CWE!988:988-"$5F&amp;!Bm"</f>
        <v>#VALUE!</v>
      </c>
      <c r="EZ59" t="e">
        <f>CWE!989:989-"$5F&amp;!Bn"</f>
        <v>#VALUE!</v>
      </c>
      <c r="FA59" t="e">
        <f>CWE!990:990-"$5F&amp;!Bo"</f>
        <v>#VALUE!</v>
      </c>
      <c r="FB59" t="e">
        <f>CWE!991:991-"$5F&amp;!Bp"</f>
        <v>#VALUE!</v>
      </c>
      <c r="FC59" t="e">
        <f>CWE!992:992-"$5F&amp;!Bq"</f>
        <v>#VALUE!</v>
      </c>
      <c r="FD59" t="e">
        <f>CWE!993:993-"$5F&amp;!Br"</f>
        <v>#VALUE!</v>
      </c>
      <c r="FE59" t="e">
        <f>CWE!994:994-"$5F&amp;!Bs"</f>
        <v>#VALUE!</v>
      </c>
      <c r="FF59" t="e">
        <f>CWE!995:995-"$5F&amp;!Bt"</f>
        <v>#VALUE!</v>
      </c>
      <c r="FG59" t="e">
        <f>CWE!996:996-"$5F&amp;!Bu"</f>
        <v>#VALUE!</v>
      </c>
      <c r="FH59" t="e">
        <f>CWE!997:997-"$5F&amp;!Bv"</f>
        <v>#VALUE!</v>
      </c>
      <c r="FI59" t="e">
        <f>CWE!998:998-"$5F&amp;!Bw"</f>
        <v>#VALUE!</v>
      </c>
      <c r="FJ59" t="e">
        <f>CWE!999:999-"$5F&amp;!Bx"</f>
        <v>#VALUE!</v>
      </c>
      <c r="FK59" t="e">
        <f>CWE!1000:1000-"$5F&amp;!By"</f>
        <v>#VALUE!</v>
      </c>
      <c r="FL59" t="e">
        <f>CWE!1001:1001-"$5F&amp;!Bz"</f>
        <v>#VALUE!</v>
      </c>
      <c r="FM59" t="e">
        <f>CWE!1002:1002-"$5F&amp;!B{"</f>
        <v>#VALUE!</v>
      </c>
      <c r="FN59" t="e">
        <f>CWE!1003:1003-"$5F&amp;!B|"</f>
        <v>#VALUE!</v>
      </c>
      <c r="FO59" t="e">
        <f>CWE!1004:1004-"$5F&amp;!B}"</f>
        <v>#VALUE!</v>
      </c>
      <c r="FP59" t="e">
        <f>CWE!1005:1005-"$5F&amp;!B~"</f>
        <v>#VALUE!</v>
      </c>
      <c r="FQ59" t="e">
        <f>CWE!1006:1006-"$5F&amp;!C#"</f>
        <v>#VALUE!</v>
      </c>
      <c r="FR59" t="e">
        <f>CWE!1007:1007-"$5F&amp;!C$"</f>
        <v>#VALUE!</v>
      </c>
      <c r="FS59" t="e">
        <f>CWE!1008:1008-"$5F&amp;!C%"</f>
        <v>#VALUE!</v>
      </c>
      <c r="FT59" t="e">
        <f>CWE!1009:1009-"$5F&amp;!C&amp;"</f>
        <v>#VALUE!</v>
      </c>
      <c r="FU59" t="e">
        <f>CWE!1010:1010-"$5F&amp;!C'"</f>
        <v>#VALUE!</v>
      </c>
      <c r="FV59" t="e">
        <f>CWE!1011:1011-"$5F&amp;!C("</f>
        <v>#VALUE!</v>
      </c>
      <c r="FW59" t="e">
        <f>CWE!1012:1012-"$5F&amp;!C)"</f>
        <v>#VALUE!</v>
      </c>
      <c r="FX59" t="e">
        <f>CWE!1013:1013-"$5F&amp;!C."</f>
        <v>#VALUE!</v>
      </c>
      <c r="FY59" t="e">
        <f>CWE!1014:1014-"$5F&amp;!C/"</f>
        <v>#VALUE!</v>
      </c>
      <c r="FZ59" t="e">
        <f>CWE!1015:1015-"$5F&amp;!C0"</f>
        <v>#VALUE!</v>
      </c>
      <c r="GA59" t="e">
        <f>CWE!1016:1016-"$5F&amp;!C1"</f>
        <v>#VALUE!</v>
      </c>
      <c r="GB59" t="e">
        <f>CWE!1017:1017-"$5F&amp;!C2"</f>
        <v>#VALUE!</v>
      </c>
      <c r="GC59" t="e">
        <f>CWE!1018:1018-"$5F&amp;!C3"</f>
        <v>#VALUE!</v>
      </c>
      <c r="GD59" t="e">
        <f>CWE!1019:1019-"$5F&amp;!C4"</f>
        <v>#VALUE!</v>
      </c>
      <c r="GE59" t="e">
        <f>CWE!1020:1020-"$5F&amp;!C5"</f>
        <v>#VALUE!</v>
      </c>
      <c r="GF59" t="e">
        <f>CWE!1021:1021-"$5F&amp;!C6"</f>
        <v>#VALUE!</v>
      </c>
      <c r="GG59" t="e">
        <f>CWE!1022:1022-"$5F&amp;!C7"</f>
        <v>#VALUE!</v>
      </c>
      <c r="GH59" t="e">
        <f>CWE!1023:1023-"$5F&amp;!C8"</f>
        <v>#VALUE!</v>
      </c>
      <c r="GI59" t="e">
        <f>CWE!1024:1024-"$5F&amp;!C9"</f>
        <v>#VALUE!</v>
      </c>
      <c r="GJ59" t="e">
        <f>CWE!1025:1025-"$5F&amp;!C:"</f>
        <v>#VALUE!</v>
      </c>
      <c r="GK59" t="e">
        <f>CWE!1026:1026-"$5F&amp;!C;"</f>
        <v>#VALUE!</v>
      </c>
      <c r="GL59" t="e">
        <f>CWE!1027:1027-"$5F&amp;!C&lt;"</f>
        <v>#VALUE!</v>
      </c>
      <c r="GM59" t="e">
        <f>CWE!1028:1028-"$5F&amp;!C="</f>
        <v>#VALUE!</v>
      </c>
      <c r="GN59" t="e">
        <f>CWE!1029:1029-"$5F&amp;!C&gt;"</f>
        <v>#VALUE!</v>
      </c>
      <c r="GO59" t="e">
        <f>CWE!1030:1030-"$5F&amp;!C?"</f>
        <v>#VALUE!</v>
      </c>
      <c r="GP59" t="e">
        <f>CWE!1031:1031-"$5F&amp;!C@"</f>
        <v>#VALUE!</v>
      </c>
      <c r="GQ59" t="e">
        <f>CWE!1032:1032-"$5F&amp;!CA"</f>
        <v>#VALUE!</v>
      </c>
      <c r="GR59" t="e">
        <f>CWE!1033:1033-"$5F&amp;!CB"</f>
        <v>#VALUE!</v>
      </c>
      <c r="GS59" t="e">
        <f>CWE!1034:1034-"$5F&amp;!CC"</f>
        <v>#VALUE!</v>
      </c>
      <c r="GT59" t="e">
        <f>CWE!1035:1035-"$5F&amp;!CD"</f>
        <v>#VALUE!</v>
      </c>
      <c r="GU59" t="e">
        <f>CWE!1036:1036-"$5F&amp;!CE"</f>
        <v>#VALUE!</v>
      </c>
      <c r="GV59" t="e">
        <f>CWE!1037:1037-"$5F&amp;!CF"</f>
        <v>#VALUE!</v>
      </c>
      <c r="GW59" t="e">
        <f>CWE!1038:1038-"$5F&amp;!CG"</f>
        <v>#VALUE!</v>
      </c>
      <c r="GX59" t="e">
        <f>CWE!1039:1039-"$5F&amp;!CH"</f>
        <v>#VALUE!</v>
      </c>
      <c r="GY59" t="e">
        <f>CWE!1040:1040-"$5F&amp;!CI"</f>
        <v>#VALUE!</v>
      </c>
      <c r="GZ59" t="e">
        <f>CWE!1041:1041-"$5F&amp;!CJ"</f>
        <v>#VALUE!</v>
      </c>
      <c r="HA59" t="e">
        <f>CWE!1042:1042-"$5F&amp;!CK"</f>
        <v>#VALUE!</v>
      </c>
      <c r="HB59" t="e">
        <f>CWE!1043:1043-"$5F&amp;!CL"</f>
        <v>#VALUE!</v>
      </c>
      <c r="HC59" t="e">
        <f>CWE!1044:1044-"$5F&amp;!CM"</f>
        <v>#VALUE!</v>
      </c>
      <c r="HD59" t="e">
        <f>CWE!1045:1045-"$5F&amp;!CN"</f>
        <v>#VALUE!</v>
      </c>
      <c r="HE59" t="e">
        <f>CWE!1046:1046-"$5F&amp;!CO"</f>
        <v>#VALUE!</v>
      </c>
      <c r="HF59" t="e">
        <f>CWE!1047:1047-"$5F&amp;!CP"</f>
        <v>#VALUE!</v>
      </c>
      <c r="HG59" t="e">
        <f>CWE!1048:1048-"$5F&amp;!CQ"</f>
        <v>#VALUE!</v>
      </c>
      <c r="HH59" t="e">
        <f>CWE!1049:1049-"$5F&amp;!CR"</f>
        <v>#VALUE!</v>
      </c>
      <c r="HI59" t="e">
        <f>CWE!1050:1050-"$5F&amp;!CS"</f>
        <v>#VALUE!</v>
      </c>
      <c r="HJ59" t="e">
        <f>CWE!1051:1051-"$5F&amp;!CT"</f>
        <v>#VALUE!</v>
      </c>
      <c r="HK59" t="e">
        <f>CWE!1052:1052-"$5F&amp;!CU"</f>
        <v>#VALUE!</v>
      </c>
      <c r="HL59" t="e">
        <f>CWE!1053:1053-"$5F&amp;!CV"</f>
        <v>#VALUE!</v>
      </c>
      <c r="HM59" t="e">
        <f>CWE!1054:1054-"$5F&amp;!CW"</f>
        <v>#VALUE!</v>
      </c>
      <c r="HN59" t="e">
        <f>CWE!1055:1055-"$5F&amp;!CX"</f>
        <v>#VALUE!</v>
      </c>
      <c r="HO59" t="e">
        <f>CWE!1056:1056-"$5F&amp;!CY"</f>
        <v>#VALUE!</v>
      </c>
      <c r="HP59" t="e">
        <f>CWE!1057:1057-"$5F&amp;!CZ"</f>
        <v>#VALUE!</v>
      </c>
      <c r="HQ59" t="e">
        <f>CWE!1058:1058-"$5F&amp;!C["</f>
        <v>#VALUE!</v>
      </c>
      <c r="HR59" t="e">
        <f>CWE!1059:1059-"$5F&amp;!C\"</f>
        <v>#VALUE!</v>
      </c>
      <c r="HS59" t="e">
        <f>CWE!1060:1060-"$5F&amp;!C]"</f>
        <v>#VALUE!</v>
      </c>
      <c r="HT59" t="e">
        <f>CWE!1061:1061-"$5F&amp;!C^"</f>
        <v>#VALUE!</v>
      </c>
      <c r="HU59" t="e">
        <f>CWE!1062:1062-"$5F&amp;!C_"</f>
        <v>#VALUE!</v>
      </c>
      <c r="HV59" t="e">
        <f>CWE!1063:1063-"$5F&amp;!C`"</f>
        <v>#VALUE!</v>
      </c>
      <c r="HW59" t="e">
        <f>CWE!1064:1064-"$5F&amp;!Ca"</f>
        <v>#VALUE!</v>
      </c>
      <c r="HX59" t="e">
        <f>CWE!1065:1065-"$5F&amp;!Cb"</f>
        <v>#VALUE!</v>
      </c>
      <c r="HY59" t="e">
        <f>CWE!1066:1066-"$5F&amp;!Cc"</f>
        <v>#VALUE!</v>
      </c>
      <c r="HZ59" t="e">
        <f>CWE!1067:1067-"$5F&amp;!Cd"</f>
        <v>#VALUE!</v>
      </c>
      <c r="IA59" t="e">
        <f>CWE!1068:1068-"$5F&amp;!Ce"</f>
        <v>#VALUE!</v>
      </c>
      <c r="IB59" t="e">
        <f>CWE!1069:1069-"$5F&amp;!Cf"</f>
        <v>#VALUE!</v>
      </c>
      <c r="IC59" t="e">
        <f>CWE!1070:1070-"$5F&amp;!Cg"</f>
        <v>#VALUE!</v>
      </c>
      <c r="ID59" t="e">
        <f>CWE!1071:1071-"$5F&amp;!Ch"</f>
        <v>#VALUE!</v>
      </c>
      <c r="IE59" t="e">
        <f>CWE!1072:1072-"$5F&amp;!Ci"</f>
        <v>#VALUE!</v>
      </c>
      <c r="IF59" t="e">
        <f>CWE!1073:1073-"$5F&amp;!Cj"</f>
        <v>#VALUE!</v>
      </c>
      <c r="IG59" t="e">
        <f>CWE!1074:1074-"$5F&amp;!Ck"</f>
        <v>#VALUE!</v>
      </c>
      <c r="IH59" t="e">
        <f>CWE!1075:1075-"$5F&amp;!Cl"</f>
        <v>#VALUE!</v>
      </c>
      <c r="II59" t="e">
        <f>CWE!1076:1076-"$5F&amp;!Cm"</f>
        <v>#VALUE!</v>
      </c>
      <c r="IJ59" t="e">
        <f>CWE!1077:1077-"$5F&amp;!Cn"</f>
        <v>#VALUE!</v>
      </c>
      <c r="IK59" t="e">
        <f>CWE!1078:1078-"$5F&amp;!Co"</f>
        <v>#VALUE!</v>
      </c>
      <c r="IL59" t="e">
        <f>CWE!1079:1079-"$5F&amp;!Cp"</f>
        <v>#VALUE!</v>
      </c>
      <c r="IM59" t="e">
        <f>CWE!1080:1080-"$5F&amp;!Cq"</f>
        <v>#VALUE!</v>
      </c>
      <c r="IN59" t="e">
        <f>CWE!1081:1081-"$5F&amp;!Cr"</f>
        <v>#VALUE!</v>
      </c>
      <c r="IO59" t="e">
        <f>CWE!1082:1082-"$5F&amp;!Cs"</f>
        <v>#VALUE!</v>
      </c>
      <c r="IP59" t="e">
        <f>CWE!1083:1083-"$5F&amp;!Ct"</f>
        <v>#VALUE!</v>
      </c>
      <c r="IQ59" t="e">
        <f>CWE!1084:1084-"$5F&amp;!Cu"</f>
        <v>#VALUE!</v>
      </c>
      <c r="IR59" t="e">
        <f>CWE!1085:1085-"$5F&amp;!Cv"</f>
        <v>#VALUE!</v>
      </c>
      <c r="IS59" t="e">
        <f>CWE!1086:1086-"$5F&amp;!Cw"</f>
        <v>#VALUE!</v>
      </c>
      <c r="IT59" t="e">
        <f>CWE!1087:1087-"$5F&amp;!Cx"</f>
        <v>#VALUE!</v>
      </c>
      <c r="IU59" t="e">
        <f>CWE!1088:1088-"$5F&amp;!Cy"</f>
        <v>#VALUE!</v>
      </c>
      <c r="IV59" t="e">
        <f>CWE!1089:1089-"$5F&amp;!Cz"</f>
        <v>#VALUE!</v>
      </c>
    </row>
    <row r="60" spans="6:256" x14ac:dyDescent="0.25">
      <c r="F60" t="e">
        <f>CWE!1090:1090-"$5F&amp;!C{"</f>
        <v>#VALUE!</v>
      </c>
      <c r="G60" t="e">
        <f>CWE!1091:1091-"$5F&amp;!C|"</f>
        <v>#VALUE!</v>
      </c>
      <c r="H60" t="e">
        <f>CWE!1092:1092-"$5F&amp;!C}"</f>
        <v>#VALUE!</v>
      </c>
      <c r="I60" t="e">
        <f>CWE!1093:1093-"$5F&amp;!C~"</f>
        <v>#VALUE!</v>
      </c>
      <c r="J60" t="e">
        <f>CWE!1094:1094-"$5F&amp;!D#"</f>
        <v>#VALUE!</v>
      </c>
      <c r="K60" t="e">
        <f>CWE!1095:1095-"$5F&amp;!D$"</f>
        <v>#VALUE!</v>
      </c>
      <c r="L60" t="e">
        <f>CWE!1096:1096-"$5F&amp;!D%"</f>
        <v>#VALUE!</v>
      </c>
      <c r="M60" t="e">
        <f>CWE!1097:1097-"$5F&amp;!D&amp;"</f>
        <v>#VALUE!</v>
      </c>
      <c r="N60" t="e">
        <f>CWE!1098:1098-"$5F&amp;!D'"</f>
        <v>#VALUE!</v>
      </c>
      <c r="O60" t="e">
        <f>CWE!1099:1099-"$5F&amp;!D("</f>
        <v>#VALUE!</v>
      </c>
      <c r="P60" t="e">
        <f>CWE!1100:1100-"$5F&amp;!D)"</f>
        <v>#VALUE!</v>
      </c>
      <c r="Q60" t="e">
        <f>CWE!1101:1101-"$5F&amp;!D."</f>
        <v>#VALUE!</v>
      </c>
      <c r="R60" t="e">
        <f>CWE!1102:1102-"$5F&amp;!D/"</f>
        <v>#VALUE!</v>
      </c>
      <c r="S60" t="e">
        <f>CWE!1103:1103-"$5F&amp;!D0"</f>
        <v>#VALUE!</v>
      </c>
      <c r="T60" t="e">
        <f>CWE!1104:1104-"$5F&amp;!D1"</f>
        <v>#VALUE!</v>
      </c>
      <c r="U60" t="e">
        <f>CWE!1105:1105-"$5F&amp;!D2"</f>
        <v>#VALUE!</v>
      </c>
      <c r="V60" t="e">
        <f>CWE!1106:1106-"$5F&amp;!D3"</f>
        <v>#VALUE!</v>
      </c>
      <c r="W60" t="e">
        <f>CWE!1107:1107-"$5F&amp;!D4"</f>
        <v>#VALUE!</v>
      </c>
      <c r="X60" t="e">
        <f>CWE!1108:1108-"$5F&amp;!D5"</f>
        <v>#VALUE!</v>
      </c>
      <c r="Y60" t="e">
        <f>CWE!1109:1109-"$5F&amp;!D6"</f>
        <v>#VALUE!</v>
      </c>
      <c r="Z60" t="e">
        <f>CWE!1110:1110-"$5F&amp;!D7"</f>
        <v>#VALUE!</v>
      </c>
      <c r="AA60" t="e">
        <f>CWE!1111:1111-"$5F&amp;!D8"</f>
        <v>#VALUE!</v>
      </c>
      <c r="AB60" t="e">
        <f>CWE!1112:1112-"$5F&amp;!D9"</f>
        <v>#VALUE!</v>
      </c>
      <c r="AC60" t="e">
        <f>CWE!1113:1113-"$5F&amp;!D:"</f>
        <v>#VALUE!</v>
      </c>
      <c r="AD60" t="e">
        <f>CWE!1114:1114-"$5F&amp;!D;"</f>
        <v>#VALUE!</v>
      </c>
      <c r="AE60" t="e">
        <f>CWE!1115:1115-"$5F&amp;!D&lt;"</f>
        <v>#VALUE!</v>
      </c>
      <c r="AF60" t="e">
        <f>CWE!1116:1116-"$5F&amp;!D="</f>
        <v>#VALUE!</v>
      </c>
      <c r="AG60" t="e">
        <f>CWE!1117:1117-"$5F&amp;!D&gt;"</f>
        <v>#VALUE!</v>
      </c>
      <c r="AH60" t="e">
        <f>CWE!1118:1118-"$5F&amp;!D?"</f>
        <v>#VALUE!</v>
      </c>
      <c r="AI60" t="e">
        <f>CWE!1119:1119-"$5F&amp;!D@"</f>
        <v>#VALUE!</v>
      </c>
      <c r="AJ60" t="e">
        <f>CWE!1120:1120-"$5F&amp;!DA"</f>
        <v>#VALUE!</v>
      </c>
      <c r="AK60" t="e">
        <f>CWE!1121:1121-"$5F&amp;!DB"</f>
        <v>#VALUE!</v>
      </c>
      <c r="AL60" t="e">
        <f>CWE!1122:1122-"$5F&amp;!DC"</f>
        <v>#VALUE!</v>
      </c>
      <c r="AM60" t="e">
        <f>CWE!1123:1123-"$5F&amp;!DD"</f>
        <v>#VALUE!</v>
      </c>
      <c r="AN60" t="e">
        <f>CWE!1124:1124-"$5F&amp;!DE"</f>
        <v>#VALUE!</v>
      </c>
      <c r="AO60" t="e">
        <f>CWE!1125:1125-"$5F&amp;!DF"</f>
        <v>#VALUE!</v>
      </c>
      <c r="AP60" t="e">
        <f>CWE!1126:1126-"$5F&amp;!DG"</f>
        <v>#VALUE!</v>
      </c>
      <c r="AQ60" t="e">
        <f>CWE!1127:1127-"$5F&amp;!DH"</f>
        <v>#VALUE!</v>
      </c>
      <c r="AR60" t="e">
        <f>CWE!1128:1128-"$5F&amp;!DI"</f>
        <v>#VALUE!</v>
      </c>
      <c r="AS60" t="e">
        <f>CWE!1129:1129-"$5F&amp;!DJ"</f>
        <v>#VALUE!</v>
      </c>
      <c r="AT60" t="e">
        <f>CWE!1130:1130-"$5F&amp;!DK"</f>
        <v>#VALUE!</v>
      </c>
      <c r="AU60" t="e">
        <f>CWE!1131:1131-"$5F&amp;!DL"</f>
        <v>#VALUE!</v>
      </c>
      <c r="AV60" t="e">
        <f>CWE!1132:1132-"$5F&amp;!DM"</f>
        <v>#VALUE!</v>
      </c>
      <c r="AW60" t="e">
        <f>CWE!1133:1133-"$5F&amp;!DN"</f>
        <v>#VALUE!</v>
      </c>
      <c r="AX60" t="e">
        <f>CWE!1134:1134-"$5F&amp;!DO"</f>
        <v>#VALUE!</v>
      </c>
      <c r="AY60" t="e">
        <f>CWE!1135:1135-"$5F&amp;!DP"</f>
        <v>#VALUE!</v>
      </c>
      <c r="AZ60" t="e">
        <f>CWE!1136:1136-"$5F&amp;!DQ"</f>
        <v>#VALUE!</v>
      </c>
      <c r="BA60" t="e">
        <f>CWE!1137:1137-"$5F&amp;!DR"</f>
        <v>#VALUE!</v>
      </c>
      <c r="BB60" t="e">
        <f>CWE!1138:1138-"$5F&amp;!DS"</f>
        <v>#VALUE!</v>
      </c>
      <c r="BC60" t="e">
        <f>CWE!1139:1139-"$5F&amp;!DT"</f>
        <v>#VALUE!</v>
      </c>
      <c r="BD60" t="e">
        <f>CWE!1140:1140-"$5F&amp;!DU"</f>
        <v>#VALUE!</v>
      </c>
      <c r="BE60" t="e">
        <f>CWE!1141:1141-"$5F&amp;!DV"</f>
        <v>#VALUE!</v>
      </c>
      <c r="BF60" t="e">
        <f>CWE!1142:1142-"$5F&amp;!DW"</f>
        <v>#VALUE!</v>
      </c>
      <c r="BG60" t="e">
        <f>CWE!1143:1143-"$5F&amp;!DX"</f>
        <v>#VALUE!</v>
      </c>
      <c r="BH60" t="e">
        <f>CWE!1144:1144-"$5F&amp;!DY"</f>
        <v>#VALUE!</v>
      </c>
      <c r="BI60" t="e">
        <f>CWE!1145:1145-"$5F&amp;!DZ"</f>
        <v>#VALUE!</v>
      </c>
      <c r="BJ60" t="e">
        <f>CWE!1146:1146-"$5F&amp;!D["</f>
        <v>#VALUE!</v>
      </c>
      <c r="BK60" t="e">
        <f>CWE!1147:1147-"$5F&amp;!D\"</f>
        <v>#VALUE!</v>
      </c>
      <c r="BL60" t="e">
        <f>CWE!1148:1148-"$5F&amp;!D]"</f>
        <v>#VALUE!</v>
      </c>
      <c r="BM60" t="e">
        <f>CWE!1149:1149-"$5F&amp;!D^"</f>
        <v>#VALUE!</v>
      </c>
      <c r="BN60" t="e">
        <f>CWE!1150:1150-"$5F&amp;!D_"</f>
        <v>#VALUE!</v>
      </c>
      <c r="BO60" t="e">
        <f>CWE!1151:1151-"$5F&amp;!D`"</f>
        <v>#VALUE!</v>
      </c>
      <c r="BP60" t="e">
        <f>CWE!1152:1152-"$5F&amp;!Da"</f>
        <v>#VALUE!</v>
      </c>
      <c r="BQ60" t="e">
        <f>CWE!1153:1153-"$5F&amp;!Db"</f>
        <v>#VALUE!</v>
      </c>
      <c r="BR60" t="e">
        <f>CWE!1154:1154-"$5F&amp;!Dc"</f>
        <v>#VALUE!</v>
      </c>
      <c r="BS60" t="e">
        <f>CWE!1155:1155-"$5F&amp;!Dd"</f>
        <v>#VALUE!</v>
      </c>
      <c r="BT60" t="e">
        <f>CWE!1156:1156-"$5F&amp;!De"</f>
        <v>#VALUE!</v>
      </c>
      <c r="BU60" t="e">
        <f>CWE!1157:1157-"$5F&amp;!Df"</f>
        <v>#VALUE!</v>
      </c>
      <c r="BV60" t="e">
        <f>CWE!1158:1158-"$5F&amp;!Dg"</f>
        <v>#VALUE!</v>
      </c>
      <c r="BW60" t="e">
        <f>CWE!1159:1159-"$5F&amp;!Dh"</f>
        <v>#VALUE!</v>
      </c>
      <c r="BX60" t="e">
        <f>CWE!1160:1160-"$5F&amp;!Di"</f>
        <v>#VALUE!</v>
      </c>
      <c r="BY60" t="e">
        <f>CWE!1161:1161-"$5F&amp;!Dj"</f>
        <v>#VALUE!</v>
      </c>
      <c r="BZ60" t="e">
        <f>CWE!1162:1162-"$5F&amp;!Dk"</f>
        <v>#VALUE!</v>
      </c>
      <c r="CA60" t="e">
        <f>CWE!1163:1163-"$5F&amp;!Dl"</f>
        <v>#VALUE!</v>
      </c>
      <c r="CB60" t="e">
        <f>CWE!1164:1164-"$5F&amp;!Dm"</f>
        <v>#VALUE!</v>
      </c>
      <c r="CC60" t="e">
        <f>CWE!1165:1165-"$5F&amp;!Dn"</f>
        <v>#VALUE!</v>
      </c>
      <c r="CD60" t="e">
        <f>CWE!1166:1166-"$5F&amp;!Do"</f>
        <v>#VALUE!</v>
      </c>
      <c r="CE60" t="e">
        <f>CWE!1167:1167-"$5F&amp;!Dp"</f>
        <v>#VALUE!</v>
      </c>
      <c r="CF60" t="e">
        <f>CWE!1168:1168-"$5F&amp;!Dq"</f>
        <v>#VALUE!</v>
      </c>
      <c r="CG60" t="e">
        <f>CWE!1169:1169-"$5F&amp;!Dr"</f>
        <v>#VALUE!</v>
      </c>
      <c r="CH60" t="e">
        <f>CWE!1170:1170-"$5F&amp;!Ds"</f>
        <v>#VALUE!</v>
      </c>
      <c r="CI60" t="e">
        <f>CWE!1171:1171-"$5F&amp;!Dt"</f>
        <v>#VALUE!</v>
      </c>
      <c r="CJ60" t="e">
        <f>CWE!1172:1172-"$5F&amp;!Du"</f>
        <v>#VALUE!</v>
      </c>
      <c r="CK60" t="e">
        <f>CWE!1173:1173-"$5F&amp;!Dv"</f>
        <v>#VALUE!</v>
      </c>
      <c r="CL60" t="e">
        <f>CWE!1174:1174-"$5F&amp;!Dw"</f>
        <v>#VALUE!</v>
      </c>
      <c r="CM60" t="e">
        <f>CWE!1175:1175-"$5F&amp;!Dx"</f>
        <v>#VALUE!</v>
      </c>
      <c r="CN60" t="e">
        <f>CWE!1176:1176-"$5F&amp;!Dy"</f>
        <v>#VALUE!</v>
      </c>
      <c r="CO60" t="e">
        <f>CWE!1177:1177-"$5F&amp;!Dz"</f>
        <v>#VALUE!</v>
      </c>
      <c r="CP60" t="e">
        <f>CWE!1178:1178-"$5F&amp;!D{"</f>
        <v>#VALUE!</v>
      </c>
      <c r="CQ60" t="e">
        <f>CWE!1179:1179-"$5F&amp;!D|"</f>
        <v>#VALUE!</v>
      </c>
      <c r="CR60" t="e">
        <f>CWE!1180:1180-"$5F&amp;!D}"</f>
        <v>#VALUE!</v>
      </c>
      <c r="CS60" t="e">
        <f>CWE!1181:1181-"$5F&amp;!D~"</f>
        <v>#VALUE!</v>
      </c>
      <c r="CT60" t="e">
        <f>CWE!1182:1182-"$5F&amp;!E#"</f>
        <v>#VALUE!</v>
      </c>
      <c r="CU60" t="e">
        <f>CWE!1183:1183-"$5F&amp;!E$"</f>
        <v>#VALUE!</v>
      </c>
      <c r="CV60" t="e">
        <f>CWE!1184:1184-"$5F&amp;!E%"</f>
        <v>#VALUE!</v>
      </c>
      <c r="CW60" t="e">
        <f>CWE!1185:1185-"$5F&amp;!E&amp;"</f>
        <v>#VALUE!</v>
      </c>
      <c r="CX60" t="e">
        <f>CWE!1186:1186-"$5F&amp;!E'"</f>
        <v>#VALUE!</v>
      </c>
      <c r="CY60" t="e">
        <f>CWE!1187:1187-"$5F&amp;!E("</f>
        <v>#VALUE!</v>
      </c>
      <c r="CZ60" t="e">
        <f>CWE!1188:1188-"$5F&amp;!E)"</f>
        <v>#VALUE!</v>
      </c>
      <c r="DA60" t="e">
        <f>CWE!1189:1189-"$5F&amp;!E."</f>
        <v>#VALUE!</v>
      </c>
      <c r="DB60" t="e">
        <f>CWE!1190:1190-"$5F&amp;!E/"</f>
        <v>#VALUE!</v>
      </c>
      <c r="DC60" t="e">
        <f>CWE!1191:1191-"$5F&amp;!E0"</f>
        <v>#VALUE!</v>
      </c>
      <c r="DD60" t="e">
        <f>CWE!1192:1192-"$5F&amp;!E1"</f>
        <v>#VALUE!</v>
      </c>
      <c r="DE60" t="e">
        <f>CWE!1193:1193-"$5F&amp;!E2"</f>
        <v>#VALUE!</v>
      </c>
      <c r="DF60" t="e">
        <f>CWE!1194:1194-"$5F&amp;!E3"</f>
        <v>#VALUE!</v>
      </c>
      <c r="DG60" t="e">
        <f>CWE!1195:1195-"$5F&amp;!E4"</f>
        <v>#VALUE!</v>
      </c>
      <c r="DH60" t="e">
        <f>CWE!1196:1196-"$5F&amp;!E5"</f>
        <v>#VALUE!</v>
      </c>
      <c r="DI60" t="e">
        <f>CWE!1197:1197-"$5F&amp;!E6"</f>
        <v>#VALUE!</v>
      </c>
      <c r="DJ60" t="e">
        <f>CWE!1198:1198-"$5F&amp;!E7"</f>
        <v>#VALUE!</v>
      </c>
      <c r="DK60" t="e">
        <f>CWE!1199:1199-"$5F&amp;!E8"</f>
        <v>#VALUE!</v>
      </c>
      <c r="DL60" t="e">
        <f>CWE!1200:1200-"$5F&amp;!E9"</f>
        <v>#VALUE!</v>
      </c>
      <c r="DM60" t="e">
        <f>CWE!1201:1201-"$5F&amp;!E:"</f>
        <v>#VALUE!</v>
      </c>
      <c r="DN60" t="e">
        <f>CWE!1202:1202-"$5F&amp;!E;"</f>
        <v>#VALUE!</v>
      </c>
      <c r="DO60" t="e">
        <f>CWE!1203:1203-"$5F&amp;!E&lt;"</f>
        <v>#VALUE!</v>
      </c>
      <c r="DP60" t="e">
        <f>CWE!1204:1204-"$5F&amp;!E="</f>
        <v>#VALUE!</v>
      </c>
      <c r="DQ60" t="e">
        <f>CWE!1205:1205-"$5F&amp;!E&gt;"</f>
        <v>#VALUE!</v>
      </c>
      <c r="DR60" t="e">
        <f>CWE!1206:1206-"$5F&amp;!E?"</f>
        <v>#VALUE!</v>
      </c>
      <c r="DS60" t="e">
        <f>CWE!1207:1207-"$5F&amp;!E@"</f>
        <v>#VALUE!</v>
      </c>
      <c r="DT60" t="e">
        <f>CWE!1208:1208-"$5F&amp;!EA"</f>
        <v>#VALUE!</v>
      </c>
      <c r="DU60" t="e">
        <f>CWE!1209:1209-"$5F&amp;!EB"</f>
        <v>#VALUE!</v>
      </c>
      <c r="DV60" t="e">
        <f>CWE!1210:1210-"$5F&amp;!EC"</f>
        <v>#VALUE!</v>
      </c>
      <c r="DW60" t="e">
        <f>CWE!1211:1211-"$5F&amp;!ED"</f>
        <v>#VALUE!</v>
      </c>
      <c r="DX60" t="e">
        <f>CWE!1212:1212-"$5F&amp;!EE"</f>
        <v>#VALUE!</v>
      </c>
      <c r="DY60" t="e">
        <f>CWE!1213:1213-"$5F&amp;!EF"</f>
        <v>#VALUE!</v>
      </c>
      <c r="DZ60" t="e">
        <f>CWE!1214:1214-"$5F&amp;!EG"</f>
        <v>#VALUE!</v>
      </c>
      <c r="EA60" t="e">
        <f>CWE!1215:1215-"$5F&amp;!EH"</f>
        <v>#VALUE!</v>
      </c>
      <c r="EB60" t="e">
        <f>CWE!1216:1216-"$5F&amp;!EI"</f>
        <v>#VALUE!</v>
      </c>
      <c r="EC60" t="e">
        <f>CWE!1217:1217-"$5F&amp;!EJ"</f>
        <v>#VALUE!</v>
      </c>
      <c r="ED60" t="e">
        <f>CWE!1218:1218-"$5F&amp;!EK"</f>
        <v>#VALUE!</v>
      </c>
      <c r="EE60" t="e">
        <f>CWE!1219:1219-"$5F&amp;!EL"</f>
        <v>#VALUE!</v>
      </c>
      <c r="EF60" t="e">
        <f>CWE!1220:1220-"$5F&amp;!EM"</f>
        <v>#VALUE!</v>
      </c>
      <c r="EG60" t="e">
        <f>CWE!1221:1221-"$5F&amp;!EN"</f>
        <v>#VALUE!</v>
      </c>
      <c r="EH60" t="e">
        <f>CWE!1222:1222-"$5F&amp;!EO"</f>
        <v>#VALUE!</v>
      </c>
      <c r="EI60" t="e">
        <f>CWE!1223:1223-"$5F&amp;!EP"</f>
        <v>#VALUE!</v>
      </c>
      <c r="EJ60" t="e">
        <f>CWE!1224:1224-"$5F&amp;!EQ"</f>
        <v>#VALUE!</v>
      </c>
      <c r="EK60" t="e">
        <f>CWE!1225:1225-"$5F&amp;!ER"</f>
        <v>#VALUE!</v>
      </c>
      <c r="EL60" t="e">
        <f>CWE!1226:1226-"$5F&amp;!ES"</f>
        <v>#VALUE!</v>
      </c>
      <c r="EM60" t="e">
        <f>CWE!1227:1227-"$5F&amp;!ET"</f>
        <v>#VALUE!</v>
      </c>
      <c r="EN60" t="e">
        <f>CWE!1228:1228-"$5F&amp;!EU"</f>
        <v>#VALUE!</v>
      </c>
      <c r="EO60" t="e">
        <f>CWE!1229:1229-"$5F&amp;!EV"</f>
        <v>#VALUE!</v>
      </c>
      <c r="EP60" t="e">
        <f>CWE!1230:1230-"$5F&amp;!EW"</f>
        <v>#VALUE!</v>
      </c>
      <c r="EQ60" t="e">
        <f>CWE!1231:1231-"$5F&amp;!EX"</f>
        <v>#VALUE!</v>
      </c>
      <c r="ER60" t="e">
        <f>CWE!1232:1232-"$5F&amp;!EY"</f>
        <v>#VALUE!</v>
      </c>
      <c r="ES60" t="e">
        <f>CWE!1233:1233-"$5F&amp;!EZ"</f>
        <v>#VALUE!</v>
      </c>
      <c r="ET60" t="e">
        <f>CWE!1234:1234-"$5F&amp;!E["</f>
        <v>#VALUE!</v>
      </c>
      <c r="EU60" t="e">
        <f>CWE!1235:1235-"$5F&amp;!E\"</f>
        <v>#VALUE!</v>
      </c>
      <c r="EV60" t="e">
        <f>CWE!1236:1236-"$5F&amp;!E]"</f>
        <v>#VALUE!</v>
      </c>
      <c r="EW60" t="e">
        <f>CWE!1237:1237-"$5F&amp;!E^"</f>
        <v>#VALUE!</v>
      </c>
      <c r="EX60" t="e">
        <f>CWE!1238:1238-"$5F&amp;!E_"</f>
        <v>#VALUE!</v>
      </c>
      <c r="EY60" t="e">
        <f>CWE!1239:1239-"$5F&amp;!E`"</f>
        <v>#VALUE!</v>
      </c>
      <c r="EZ60" t="e">
        <f>CWE!B1+"$5F&amp;!Ea"</f>
        <v>#VALUE!</v>
      </c>
      <c r="FA60" t="e">
        <f>CWE!B2+"$5F&amp;!Eb"</f>
        <v>#VALUE!</v>
      </c>
      <c r="FB60" t="e">
        <f>CWE!B3+"$5F&amp;!Ec"</f>
        <v>#VALUE!</v>
      </c>
      <c r="FC60" t="e">
        <f>CWE!B5+"$5F&amp;!Ed"</f>
        <v>#VALUE!</v>
      </c>
      <c r="FD60" t="e">
        <f>CWE!C5+"$5F&amp;!Ee"</f>
        <v>#VALUE!</v>
      </c>
      <c r="FE60" t="e">
        <f>CWE!E5+"$5F&amp;!Ef"</f>
        <v>#VALUE!</v>
      </c>
      <c r="FF60" t="e">
        <f>CWE!F5+"$5F&amp;!Eg"</f>
        <v>#VALUE!</v>
      </c>
      <c r="FG60" t="e">
        <f>CWE!B6+"$5F&amp;!Eh"</f>
        <v>#VALUE!</v>
      </c>
      <c r="FH60" t="e">
        <f>CWE!C6+"$5F&amp;!Ei"</f>
        <v>#VALUE!</v>
      </c>
      <c r="FI60" t="e">
        <f>CWE!D6+"$5F&amp;!Ej"</f>
        <v>#VALUE!</v>
      </c>
      <c r="FJ60" t="e">
        <f>CWE!E6+"$5F&amp;!Ek"</f>
        <v>#VALUE!</v>
      </c>
      <c r="FK60" t="e">
        <f>CWE!F6+"$5F&amp;!El"</f>
        <v>#VALUE!</v>
      </c>
      <c r="FL60" t="e">
        <f>CWE!B7+"$5F&amp;!Em"</f>
        <v>#VALUE!</v>
      </c>
      <c r="FM60" t="e">
        <f>CWE!C7+"$5F&amp;!En"</f>
        <v>#VALUE!</v>
      </c>
      <c r="FN60" t="e">
        <f>CWE!D7+"$5F&amp;!Eo"</f>
        <v>#VALUE!</v>
      </c>
      <c r="FO60" t="e">
        <f>CWE!E7+"$5F&amp;!Ep"</f>
        <v>#VALUE!</v>
      </c>
      <c r="FP60" t="e">
        <f>CWE!F7+"$5F&amp;!Eq"</f>
        <v>#VALUE!</v>
      </c>
      <c r="FQ60" t="e">
        <f>CWE!B8+"$5F&amp;!Er"</f>
        <v>#VALUE!</v>
      </c>
      <c r="FR60" t="e">
        <f>CWE!C8+"$5F&amp;!Es"</f>
        <v>#VALUE!</v>
      </c>
      <c r="FS60" t="e">
        <f>CWE!D8+"$5F&amp;!Et"</f>
        <v>#VALUE!</v>
      </c>
      <c r="FT60" t="e">
        <f>CWE!E8+"$5F&amp;!Eu"</f>
        <v>#VALUE!</v>
      </c>
      <c r="FU60" t="e">
        <f>CWE!F8+"$5F&amp;!Ev"</f>
        <v>#VALUE!</v>
      </c>
      <c r="FV60" t="e">
        <f>CWE!B9+"$5F&amp;!Ew"</f>
        <v>#VALUE!</v>
      </c>
      <c r="FW60" t="e">
        <f>CWE!C9+"$5F&amp;!Ex"</f>
        <v>#VALUE!</v>
      </c>
      <c r="FX60" t="e">
        <f>CWE!D9+"$5F&amp;!Ey"</f>
        <v>#VALUE!</v>
      </c>
      <c r="FY60" t="e">
        <f>CWE!E9+"$5F&amp;!Ez"</f>
        <v>#VALUE!</v>
      </c>
      <c r="FZ60" t="e">
        <f>CWE!F9+"$5F&amp;!E{"</f>
        <v>#VALUE!</v>
      </c>
      <c r="GA60" t="e">
        <f>CWE!B10+"$5F&amp;!E|"</f>
        <v>#VALUE!</v>
      </c>
      <c r="GB60" t="e">
        <f>CWE!C10+"$5F&amp;!E}"</f>
        <v>#VALUE!</v>
      </c>
      <c r="GC60" t="e">
        <f>CWE!D10+"$5F&amp;!E~"</f>
        <v>#VALUE!</v>
      </c>
      <c r="GD60" t="e">
        <f>CWE!E10+"$5F&amp;!F#"</f>
        <v>#VALUE!</v>
      </c>
      <c r="GE60" t="e">
        <f>CWE!F10+"$5F&amp;!F$"</f>
        <v>#VALUE!</v>
      </c>
      <c r="GF60" t="e">
        <f>CWE!B11+"$5F&amp;!F%"</f>
        <v>#VALUE!</v>
      </c>
      <c r="GG60" t="e">
        <f>CWE!C11+"$5F&amp;!F&amp;"</f>
        <v>#VALUE!</v>
      </c>
      <c r="GH60" t="e">
        <f>CWE!D11+"$5F&amp;!F'"</f>
        <v>#VALUE!</v>
      </c>
      <c r="GI60" t="e">
        <f>CWE!E11+"$5F&amp;!F("</f>
        <v>#VALUE!</v>
      </c>
      <c r="GJ60" t="e">
        <f>CWE!F11+"$5F&amp;!F)"</f>
        <v>#VALUE!</v>
      </c>
      <c r="GK60" t="e">
        <f>CWE!B12+"$5F&amp;!F."</f>
        <v>#VALUE!</v>
      </c>
      <c r="GL60" t="e">
        <f>CWE!C12+"$5F&amp;!F/"</f>
        <v>#VALUE!</v>
      </c>
      <c r="GM60" t="e">
        <f>CWE!D12+"$5F&amp;!F0"</f>
        <v>#VALUE!</v>
      </c>
      <c r="GN60" t="e">
        <f>CWE!E12+"$5F&amp;!F1"</f>
        <v>#VALUE!</v>
      </c>
      <c r="GO60" t="e">
        <f>CWE!F12+"$5F&amp;!F2"</f>
        <v>#VALUE!</v>
      </c>
      <c r="GP60" t="e">
        <f>CWE!B13+"$5F&amp;!F3"</f>
        <v>#VALUE!</v>
      </c>
      <c r="GQ60" t="e">
        <f>CWE!C13+"$5F&amp;!F4"</f>
        <v>#VALUE!</v>
      </c>
      <c r="GR60" t="e">
        <f>CWE!D13+"$5F&amp;!F5"</f>
        <v>#VALUE!</v>
      </c>
      <c r="GS60" t="e">
        <f>CWE!E13+"$5F&amp;!F6"</f>
        <v>#VALUE!</v>
      </c>
      <c r="GT60" t="e">
        <f>CWE!F13+"$5F&amp;!F7"</f>
        <v>#VALUE!</v>
      </c>
      <c r="GU60" t="e">
        <f>CWE!B14+"$5F&amp;!F8"</f>
        <v>#VALUE!</v>
      </c>
      <c r="GV60" t="e">
        <f>CWE!C14+"$5F&amp;!F9"</f>
        <v>#VALUE!</v>
      </c>
      <c r="GW60" t="e">
        <f>CWE!D14+"$5F&amp;!F:"</f>
        <v>#VALUE!</v>
      </c>
      <c r="GX60" t="e">
        <f>CWE!B15+"$5F&amp;!F;"</f>
        <v>#VALUE!</v>
      </c>
      <c r="GY60" t="e">
        <f>CWE!C15+"$5F&amp;!F&lt;"</f>
        <v>#VALUE!</v>
      </c>
      <c r="GZ60" t="e">
        <f>CWE!D15+"$5F&amp;!F="</f>
        <v>#VALUE!</v>
      </c>
      <c r="HA60" t="e">
        <f>CWE!B16+"$5F&amp;!F&gt;"</f>
        <v>#VALUE!</v>
      </c>
      <c r="HB60" t="e">
        <f>CWE!C16+"$5F&amp;!F?"</f>
        <v>#VALUE!</v>
      </c>
      <c r="HC60" t="e">
        <f>CWE!D16+"$5F&amp;!F@"</f>
        <v>#VALUE!</v>
      </c>
      <c r="HD60" t="e">
        <f>CWE!B17+"$5F&amp;!FA"</f>
        <v>#VALUE!</v>
      </c>
      <c r="HE60" t="e">
        <f>CWE!C17+"$5F&amp;!FB"</f>
        <v>#VALUE!</v>
      </c>
      <c r="HF60" t="e">
        <f>CWE!D17+"$5F&amp;!FC"</f>
        <v>#VALUE!</v>
      </c>
      <c r="HG60" t="e">
        <f>CWE!B18+"$5F&amp;!FD"</f>
        <v>#VALUE!</v>
      </c>
      <c r="HH60" t="e">
        <f>CWE!C18+"$5F&amp;!FE"</f>
        <v>#VALUE!</v>
      </c>
      <c r="HI60" t="e">
        <f>CWE!D18+"$5F&amp;!FF"</f>
        <v>#VALUE!</v>
      </c>
      <c r="HJ60" t="e">
        <f>CWE!B19+"$5F&amp;!FG"</f>
        <v>#VALUE!</v>
      </c>
      <c r="HK60" t="e">
        <f>CWE!C19+"$5F&amp;!FH"</f>
        <v>#VALUE!</v>
      </c>
      <c r="HL60" t="e">
        <f>CWE!D19+"$5F&amp;!FI"</f>
        <v>#VALUE!</v>
      </c>
      <c r="HM60" t="e">
        <f>CWE!B20+"$5F&amp;!FJ"</f>
        <v>#VALUE!</v>
      </c>
      <c r="HN60" t="e">
        <f>CWE!C20+"$5F&amp;!FK"</f>
        <v>#VALUE!</v>
      </c>
      <c r="HO60" t="e">
        <f>CWE!D20+"$5F&amp;!FL"</f>
        <v>#VALUE!</v>
      </c>
      <c r="HP60" t="e">
        <f>CWE!B21+"$5F&amp;!FM"</f>
        <v>#VALUE!</v>
      </c>
      <c r="HQ60" t="e">
        <f>CWE!C21+"$5F&amp;!FN"</f>
        <v>#VALUE!</v>
      </c>
      <c r="HR60" t="e">
        <f>CWE!D21+"$5F&amp;!FO"</f>
        <v>#VALUE!</v>
      </c>
      <c r="HS60" t="e">
        <f>CWE!B22+"$5F&amp;!FP"</f>
        <v>#VALUE!</v>
      </c>
      <c r="HT60" t="e">
        <f>CWE!C22+"$5F&amp;!FQ"</f>
        <v>#VALUE!</v>
      </c>
      <c r="HU60" t="e">
        <f>CWE!D22+"$5F&amp;!FR"</f>
        <v>#VALUE!</v>
      </c>
      <c r="HV60" t="e">
        <f>CWE!B23+"$5F&amp;!FS"</f>
        <v>#VALUE!</v>
      </c>
      <c r="HW60" t="e">
        <f>CWE!C23+"$5F&amp;!FT"</f>
        <v>#VALUE!</v>
      </c>
      <c r="HX60" t="e">
        <f>CWE!D23+"$5F&amp;!FU"</f>
        <v>#VALUE!</v>
      </c>
      <c r="HY60" t="e">
        <f>CWE!B24+"$5F&amp;!FV"</f>
        <v>#VALUE!</v>
      </c>
      <c r="HZ60" t="e">
        <f>CWE!C24+"$5F&amp;!FW"</f>
        <v>#VALUE!</v>
      </c>
      <c r="IA60" t="e">
        <f>CWE!D24+"$5F&amp;!FX"</f>
        <v>#VALUE!</v>
      </c>
      <c r="IB60" t="e">
        <f>CWE!B25+"$5F&amp;!FY"</f>
        <v>#VALUE!</v>
      </c>
      <c r="IC60" t="e">
        <f>CWE!C25+"$5F&amp;!FZ"</f>
        <v>#VALUE!</v>
      </c>
      <c r="ID60" t="e">
        <f>CWE!D25+"$5F&amp;!F["</f>
        <v>#VALUE!</v>
      </c>
      <c r="IE60" t="e">
        <f>CWE!B26+"$5F&amp;!F\"</f>
        <v>#VALUE!</v>
      </c>
      <c r="IF60" t="e">
        <f>CWE!C26+"$5F&amp;!F]"</f>
        <v>#VALUE!</v>
      </c>
      <c r="IG60" t="e">
        <f>CWE!D26+"$5F&amp;!F^"</f>
        <v>#VALUE!</v>
      </c>
      <c r="IH60" t="e">
        <f>CWE!B27+"$5F&amp;!F_"</f>
        <v>#VALUE!</v>
      </c>
      <c r="II60" t="e">
        <f>CWE!C27+"$5F&amp;!F`"</f>
        <v>#VALUE!</v>
      </c>
      <c r="IJ60" t="e">
        <f>CWE!D27+"$5F&amp;!Fa"</f>
        <v>#VALUE!</v>
      </c>
      <c r="IK60" t="e">
        <f>CWE!B28+"$5F&amp;!Fb"</f>
        <v>#VALUE!</v>
      </c>
      <c r="IL60" t="e">
        <f>CWE!C28+"$5F&amp;!Fc"</f>
        <v>#VALUE!</v>
      </c>
      <c r="IM60" t="e">
        <f>CWE!D28+"$5F&amp;!Fd"</f>
        <v>#VALUE!</v>
      </c>
      <c r="IN60" t="e">
        <f>CWE!B29+"$5F&amp;!Fe"</f>
        <v>#VALUE!</v>
      </c>
      <c r="IO60" t="e">
        <f>CWE!C29+"$5F&amp;!Ff"</f>
        <v>#VALUE!</v>
      </c>
      <c r="IP60" t="e">
        <f>CWE!D29+"$5F&amp;!Fg"</f>
        <v>#VALUE!</v>
      </c>
      <c r="IQ60" t="e">
        <f>CWE!B30+"$5F&amp;!Fh"</f>
        <v>#VALUE!</v>
      </c>
      <c r="IR60" t="e">
        <f>CWE!C30+"$5F&amp;!Fi"</f>
        <v>#VALUE!</v>
      </c>
      <c r="IS60" t="e">
        <f>CWE!D30+"$5F&amp;!Fj"</f>
        <v>#VALUE!</v>
      </c>
      <c r="IT60" t="e">
        <f>CWE!B31+"$5F&amp;!Fk"</f>
        <v>#VALUE!</v>
      </c>
      <c r="IU60" t="e">
        <f>CWE!C31+"$5F&amp;!Fl"</f>
        <v>#VALUE!</v>
      </c>
      <c r="IV60" t="e">
        <f>CWE!D31+"$5F&amp;!Fm"</f>
        <v>#VALUE!</v>
      </c>
    </row>
    <row r="61" spans="6:256" x14ac:dyDescent="0.25">
      <c r="F61" t="e">
        <f>CWE!B32+"$5F&amp;!Fn"</f>
        <v>#VALUE!</v>
      </c>
      <c r="G61" t="e">
        <f>CWE!C32+"$5F&amp;!Fo"</f>
        <v>#VALUE!</v>
      </c>
      <c r="H61" t="e">
        <f>CWE!D32+"$5F&amp;!Fp"</f>
        <v>#VALUE!</v>
      </c>
      <c r="I61" t="e">
        <f>CWE!B33+"$5F&amp;!Fq"</f>
        <v>#VALUE!</v>
      </c>
      <c r="J61" t="e">
        <f>CWE!C33+"$5F&amp;!Fr"</f>
        <v>#VALUE!</v>
      </c>
      <c r="K61" t="e">
        <f>CWE!D33+"$5F&amp;!Fs"</f>
        <v>#VALUE!</v>
      </c>
      <c r="L61" t="e">
        <f>CWE!B34+"$5F&amp;!Ft"</f>
        <v>#VALUE!</v>
      </c>
      <c r="M61" t="e">
        <f>CWE!C34+"$5F&amp;!Fu"</f>
        <v>#VALUE!</v>
      </c>
      <c r="N61" t="e">
        <f>CWE!D34+"$5F&amp;!Fv"</f>
        <v>#VALUE!</v>
      </c>
      <c r="O61" t="e">
        <f>CWE!B35+"$5F&amp;!Fw"</f>
        <v>#VALUE!</v>
      </c>
      <c r="P61" t="e">
        <f>CWE!C35+"$5F&amp;!Fx"</f>
        <v>#VALUE!</v>
      </c>
      <c r="Q61" t="e">
        <f>CWE!D35+"$5F&amp;!Fy"</f>
        <v>#VALUE!</v>
      </c>
      <c r="R61" t="e">
        <f>CWE!B36+"$5F&amp;!Fz"</f>
        <v>#VALUE!</v>
      </c>
      <c r="S61" t="e">
        <f>CWE!C36+"$5F&amp;!F{"</f>
        <v>#VALUE!</v>
      </c>
      <c r="T61" t="e">
        <f>CWE!D36+"$5F&amp;!F|"</f>
        <v>#VALUE!</v>
      </c>
      <c r="U61" t="e">
        <f>CWE!B37+"$5F&amp;!F}"</f>
        <v>#VALUE!</v>
      </c>
      <c r="V61" t="e">
        <f>CWE!C37+"$5F&amp;!F~"</f>
        <v>#VALUE!</v>
      </c>
      <c r="W61" t="e">
        <f>CWE!D37+"$5F&amp;!G#"</f>
        <v>#VALUE!</v>
      </c>
      <c r="X61" t="e">
        <f>CWE!B38+"$5F&amp;!G$"</f>
        <v>#VALUE!</v>
      </c>
      <c r="Y61" t="e">
        <f>CWE!C38+"$5F&amp;!G%"</f>
        <v>#VALUE!</v>
      </c>
      <c r="Z61" t="e">
        <f>CWE!D38+"$5F&amp;!G&amp;"</f>
        <v>#VALUE!</v>
      </c>
      <c r="AA61" t="e">
        <f>CWE!B39+"$5F&amp;!G'"</f>
        <v>#VALUE!</v>
      </c>
      <c r="AB61" t="e">
        <f>CWE!C39+"$5F&amp;!G("</f>
        <v>#VALUE!</v>
      </c>
      <c r="AC61" t="e">
        <f>CWE!D39+"$5F&amp;!G)"</f>
        <v>#VALUE!</v>
      </c>
      <c r="AD61" t="e">
        <f>CWE!B40+"$5F&amp;!G."</f>
        <v>#VALUE!</v>
      </c>
      <c r="AE61" t="e">
        <f>CWE!C40+"$5F&amp;!G/"</f>
        <v>#VALUE!</v>
      </c>
      <c r="AF61" t="e">
        <f>CWE!D40+"$5F&amp;!G0"</f>
        <v>#VALUE!</v>
      </c>
      <c r="AG61" t="e">
        <f>CWE!B41+"$5F&amp;!G1"</f>
        <v>#VALUE!</v>
      </c>
      <c r="AH61" t="e">
        <f>CWE!C41+"$5F&amp;!G2"</f>
        <v>#VALUE!</v>
      </c>
      <c r="AI61" t="e">
        <f>CWE!D41+"$5F&amp;!G3"</f>
        <v>#VALUE!</v>
      </c>
      <c r="AJ61" t="e">
        <f>CWE!B42+"$5F&amp;!G4"</f>
        <v>#VALUE!</v>
      </c>
      <c r="AK61" t="e">
        <f>CWE!C42+"$5F&amp;!G5"</f>
        <v>#VALUE!</v>
      </c>
      <c r="AL61" t="e">
        <f>CWE!D42+"$5F&amp;!G6"</f>
        <v>#VALUE!</v>
      </c>
      <c r="AM61" t="e">
        <f>CWE!B43+"$5F&amp;!G7"</f>
        <v>#VALUE!</v>
      </c>
      <c r="AN61" t="e">
        <f>CWE!C43+"$5F&amp;!G8"</f>
        <v>#VALUE!</v>
      </c>
      <c r="AO61" t="e">
        <f>CWE!D43+"$5F&amp;!G9"</f>
        <v>#VALUE!</v>
      </c>
      <c r="AP61" t="e">
        <f>CWE!B44+"$5F&amp;!G:"</f>
        <v>#VALUE!</v>
      </c>
      <c r="AQ61" t="e">
        <f>CWE!C44+"$5F&amp;!G;"</f>
        <v>#VALUE!</v>
      </c>
      <c r="AR61" t="e">
        <f>CWE!D44+"$5F&amp;!G&lt;"</f>
        <v>#VALUE!</v>
      </c>
      <c r="AS61" t="e">
        <f>CWE!B45+"$5F&amp;!G="</f>
        <v>#VALUE!</v>
      </c>
      <c r="AT61" t="e">
        <f>CWE!C45+"$5F&amp;!G&gt;"</f>
        <v>#VALUE!</v>
      </c>
      <c r="AU61" t="e">
        <f>CWE!D45+"$5F&amp;!G?"</f>
        <v>#VALUE!</v>
      </c>
      <c r="AV61" t="e">
        <f>CWE!B46+"$5F&amp;!G@"</f>
        <v>#VALUE!</v>
      </c>
      <c r="AW61" t="e">
        <f>CWE!C46+"$5F&amp;!GA"</f>
        <v>#VALUE!</v>
      </c>
      <c r="AX61" t="e">
        <f>CWE!D46+"$5F&amp;!GB"</f>
        <v>#VALUE!</v>
      </c>
      <c r="AY61" t="e">
        <f>CWE!B47+"$5F&amp;!GC"</f>
        <v>#VALUE!</v>
      </c>
      <c r="AZ61" t="e">
        <f>CWE!C47+"$5F&amp;!GD"</f>
        <v>#VALUE!</v>
      </c>
      <c r="BA61" t="e">
        <f>CWE!D47+"$5F&amp;!GE"</f>
        <v>#VALUE!</v>
      </c>
      <c r="BB61" t="e">
        <f>CWE!B48+"$5F&amp;!GF"</f>
        <v>#VALUE!</v>
      </c>
      <c r="BC61" t="e">
        <f>CWE!C48+"$5F&amp;!GG"</f>
        <v>#VALUE!</v>
      </c>
      <c r="BD61" t="e">
        <f>CWE!D48+"$5F&amp;!GH"</f>
        <v>#VALUE!</v>
      </c>
      <c r="BE61" t="e">
        <f>CWE!B49+"$5F&amp;!GI"</f>
        <v>#VALUE!</v>
      </c>
      <c r="BF61" t="e">
        <f>CWE!C49+"$5F&amp;!GJ"</f>
        <v>#VALUE!</v>
      </c>
      <c r="BG61" t="e">
        <f>CWE!D49+"$5F&amp;!GK"</f>
        <v>#VALUE!</v>
      </c>
      <c r="BH61" t="e">
        <f>CWE!B50+"$5F&amp;!GL"</f>
        <v>#VALUE!</v>
      </c>
      <c r="BI61" t="e">
        <f>CWE!C50+"$5F&amp;!GM"</f>
        <v>#VALUE!</v>
      </c>
      <c r="BJ61" t="e">
        <f>CWE!D50+"$5F&amp;!GN"</f>
        <v>#VALUE!</v>
      </c>
      <c r="BK61" t="e">
        <f>CWE!B51+"$5F&amp;!GO"</f>
        <v>#VALUE!</v>
      </c>
      <c r="BL61" t="e">
        <f>CWE!C51+"$5F&amp;!GP"</f>
        <v>#VALUE!</v>
      </c>
      <c r="BM61" t="e">
        <f>CWE!D51+"$5F&amp;!GQ"</f>
        <v>#VALUE!</v>
      </c>
      <c r="BN61" t="e">
        <f>CWE!B52+"$5F&amp;!GR"</f>
        <v>#VALUE!</v>
      </c>
      <c r="BO61" t="e">
        <f>CWE!C52+"$5F&amp;!GS"</f>
        <v>#VALUE!</v>
      </c>
      <c r="BP61" t="e">
        <f>CWE!D52+"$5F&amp;!GT"</f>
        <v>#VALUE!</v>
      </c>
      <c r="BQ61" t="e">
        <f>CWE!B53+"$5F&amp;!GU"</f>
        <v>#VALUE!</v>
      </c>
      <c r="BR61" t="e">
        <f>CWE!C53+"$5F&amp;!GV"</f>
        <v>#VALUE!</v>
      </c>
      <c r="BS61" t="e">
        <f>CWE!D53+"$5F&amp;!GW"</f>
        <v>#VALUE!</v>
      </c>
      <c r="BT61" t="e">
        <f>CWE!B54+"$5F&amp;!GX"</f>
        <v>#VALUE!</v>
      </c>
      <c r="BU61" t="e">
        <f>CWE!C54+"$5F&amp;!GY"</f>
        <v>#VALUE!</v>
      </c>
      <c r="BV61" t="e">
        <f>CWE!D54+"$5F&amp;!GZ"</f>
        <v>#VALUE!</v>
      </c>
      <c r="BW61" t="e">
        <f>CWE!B55+"$5F&amp;!G["</f>
        <v>#VALUE!</v>
      </c>
      <c r="BX61" t="e">
        <f>CWE!C55+"$5F&amp;!G\"</f>
        <v>#VALUE!</v>
      </c>
      <c r="BY61" t="e">
        <f>CWE!D55+"$5F&amp;!G]"</f>
        <v>#VALUE!</v>
      </c>
      <c r="BZ61" t="e">
        <f>CWE!B56+"$5F&amp;!G^"</f>
        <v>#VALUE!</v>
      </c>
      <c r="CA61" t="e">
        <f>CWE!C56+"$5F&amp;!G_"</f>
        <v>#VALUE!</v>
      </c>
      <c r="CB61" t="e">
        <f>CWE!D56+"$5F&amp;!G`"</f>
        <v>#VALUE!</v>
      </c>
      <c r="CC61" t="e">
        <f>CWE!B57+"$5F&amp;!Ga"</f>
        <v>#VALUE!</v>
      </c>
      <c r="CD61" t="e">
        <f>CWE!C57+"$5F&amp;!Gb"</f>
        <v>#VALUE!</v>
      </c>
      <c r="CE61" t="e">
        <f>CWE!D57+"$5F&amp;!Gc"</f>
        <v>#VALUE!</v>
      </c>
      <c r="CF61" t="e">
        <f>CWE!B58+"$5F&amp;!Gd"</f>
        <v>#VALUE!</v>
      </c>
      <c r="CG61" t="e">
        <f>CWE!C58+"$5F&amp;!Ge"</f>
        <v>#VALUE!</v>
      </c>
      <c r="CH61" t="e">
        <f>CWE!D58+"$5F&amp;!Gf"</f>
        <v>#VALUE!</v>
      </c>
      <c r="CI61" t="e">
        <f>CWE!B59+"$5F&amp;!Gg"</f>
        <v>#VALUE!</v>
      </c>
      <c r="CJ61" t="e">
        <f>CWE!C59+"$5F&amp;!Gh"</f>
        <v>#VALUE!</v>
      </c>
      <c r="CK61" t="e">
        <f>CWE!D59+"$5F&amp;!Gi"</f>
        <v>#VALUE!</v>
      </c>
      <c r="CL61" t="e">
        <f>CWE!B60+"$5F&amp;!Gj"</f>
        <v>#VALUE!</v>
      </c>
      <c r="CM61" t="e">
        <f>CWE!C60+"$5F&amp;!Gk"</f>
        <v>#VALUE!</v>
      </c>
      <c r="CN61" t="e">
        <f>CWE!D60+"$5F&amp;!Gl"</f>
        <v>#VALUE!</v>
      </c>
      <c r="CO61" t="e">
        <f>CWE!B61+"$5F&amp;!Gm"</f>
        <v>#VALUE!</v>
      </c>
      <c r="CP61" t="e">
        <f>CWE!C61+"$5F&amp;!Gn"</f>
        <v>#VALUE!</v>
      </c>
      <c r="CQ61" t="e">
        <f>CWE!D61+"$5F&amp;!Go"</f>
        <v>#VALUE!</v>
      </c>
      <c r="CR61" t="e">
        <f>CWE!B62+"$5F&amp;!Gp"</f>
        <v>#VALUE!</v>
      </c>
      <c r="CS61" t="e">
        <f>CWE!C62+"$5F&amp;!Gq"</f>
        <v>#VALUE!</v>
      </c>
      <c r="CT61" t="e">
        <f>CWE!D62+"$5F&amp;!Gr"</f>
        <v>#VALUE!</v>
      </c>
      <c r="CU61" t="e">
        <f>CWE!B63+"$5F&amp;!Gs"</f>
        <v>#VALUE!</v>
      </c>
      <c r="CV61" t="e">
        <f>CWE!C63+"$5F&amp;!Gt"</f>
        <v>#VALUE!</v>
      </c>
      <c r="CW61" t="e">
        <f>CWE!D63+"$5F&amp;!Gu"</f>
        <v>#VALUE!</v>
      </c>
      <c r="CX61" t="e">
        <f>CWE!B64+"$5F&amp;!Gv"</f>
        <v>#VALUE!</v>
      </c>
      <c r="CY61" t="e">
        <f>CWE!C64+"$5F&amp;!Gw"</f>
        <v>#VALUE!</v>
      </c>
      <c r="CZ61" t="e">
        <f>CWE!D64+"$5F&amp;!Gx"</f>
        <v>#VALUE!</v>
      </c>
      <c r="DA61" t="e">
        <f>CWE!B65+"$5F&amp;!Gy"</f>
        <v>#VALUE!</v>
      </c>
      <c r="DB61" t="e">
        <f>CWE!C65+"$5F&amp;!Gz"</f>
        <v>#VALUE!</v>
      </c>
      <c r="DC61" t="e">
        <f>CWE!D65+"$5F&amp;!G{"</f>
        <v>#VALUE!</v>
      </c>
      <c r="DD61" t="e">
        <f>CWE!B66+"$5F&amp;!G|"</f>
        <v>#VALUE!</v>
      </c>
      <c r="DE61" t="e">
        <f>CWE!C66+"$5F&amp;!G}"</f>
        <v>#VALUE!</v>
      </c>
      <c r="DF61" t="e">
        <f>CWE!D66+"$5F&amp;!G~"</f>
        <v>#VALUE!</v>
      </c>
      <c r="DG61" t="e">
        <f>CWE!B67+"$5F&amp;!H#"</f>
        <v>#VALUE!</v>
      </c>
      <c r="DH61" t="e">
        <f>CWE!C67+"$5F&amp;!H$"</f>
        <v>#VALUE!</v>
      </c>
      <c r="DI61" t="e">
        <f>CWE!D67+"$5F&amp;!H%"</f>
        <v>#VALUE!</v>
      </c>
      <c r="DJ61" t="e">
        <f>CWE!B68+"$5F&amp;!H&amp;"</f>
        <v>#VALUE!</v>
      </c>
      <c r="DK61" t="e">
        <f>CWE!C68+"$5F&amp;!H'"</f>
        <v>#VALUE!</v>
      </c>
      <c r="DL61" t="e">
        <f>CWE!D68+"$5F&amp;!H("</f>
        <v>#VALUE!</v>
      </c>
      <c r="DM61" t="e">
        <f>CWE!B69+"$5F&amp;!H)"</f>
        <v>#VALUE!</v>
      </c>
      <c r="DN61" t="e">
        <f>CWE!C69+"$5F&amp;!H."</f>
        <v>#VALUE!</v>
      </c>
      <c r="DO61" t="e">
        <f>CWE!D69+"$5F&amp;!H/"</f>
        <v>#VALUE!</v>
      </c>
      <c r="DP61" t="e">
        <f>CWE!B70+"$5F&amp;!H0"</f>
        <v>#VALUE!</v>
      </c>
      <c r="DQ61" t="e">
        <f>CWE!C70+"$5F&amp;!H1"</f>
        <v>#VALUE!</v>
      </c>
      <c r="DR61" t="e">
        <f>CWE!D70+"$5F&amp;!H2"</f>
        <v>#VALUE!</v>
      </c>
      <c r="DS61" t="e">
        <f>CWE!B71+"$5F&amp;!H3"</f>
        <v>#VALUE!</v>
      </c>
      <c r="DT61" t="e">
        <f>CWE!C71+"$5F&amp;!H4"</f>
        <v>#VALUE!</v>
      </c>
      <c r="DU61" t="e">
        <f>CWE!D71+"$5F&amp;!H5"</f>
        <v>#VALUE!</v>
      </c>
      <c r="DV61" t="e">
        <f>CWE!B72+"$5F&amp;!H6"</f>
        <v>#VALUE!</v>
      </c>
      <c r="DW61" t="e">
        <f>CWE!C72+"$5F&amp;!H7"</f>
        <v>#VALUE!</v>
      </c>
      <c r="DX61" t="e">
        <f>CWE!D72+"$5F&amp;!H8"</f>
        <v>#VALUE!</v>
      </c>
      <c r="DY61" t="e">
        <f>CWE!B73+"$5F&amp;!H9"</f>
        <v>#VALUE!</v>
      </c>
      <c r="DZ61" t="e">
        <f>CWE!C73+"$5F&amp;!H:"</f>
        <v>#VALUE!</v>
      </c>
      <c r="EA61" t="e">
        <f>CWE!D73+"$5F&amp;!H;"</f>
        <v>#VALUE!</v>
      </c>
      <c r="EB61" t="e">
        <f>CWE!B74+"$5F&amp;!H&lt;"</f>
        <v>#VALUE!</v>
      </c>
      <c r="EC61" t="e">
        <f>CWE!C74+"$5F&amp;!H="</f>
        <v>#VALUE!</v>
      </c>
      <c r="ED61" t="e">
        <f>CWE!D74+"$5F&amp;!H&gt;"</f>
        <v>#VALUE!</v>
      </c>
      <c r="EE61" t="e">
        <f>CWE!B75+"$5F&amp;!H?"</f>
        <v>#VALUE!</v>
      </c>
      <c r="EF61" t="e">
        <f>CWE!C75+"$5F&amp;!H@"</f>
        <v>#VALUE!</v>
      </c>
      <c r="EG61" t="e">
        <f>CWE!D75+"$5F&amp;!HA"</f>
        <v>#VALUE!</v>
      </c>
      <c r="EH61" t="e">
        <f>CWE!B76+"$5F&amp;!HB"</f>
        <v>#VALUE!</v>
      </c>
      <c r="EI61" t="e">
        <f>CWE!C76+"$5F&amp;!HC"</f>
        <v>#VALUE!</v>
      </c>
      <c r="EJ61" t="e">
        <f>CWE!D76+"$5F&amp;!HD"</f>
        <v>#VALUE!</v>
      </c>
      <c r="EK61" t="e">
        <f>CWE!B77+"$5F&amp;!HE"</f>
        <v>#VALUE!</v>
      </c>
      <c r="EL61" t="e">
        <f>CWE!C77+"$5F&amp;!HF"</f>
        <v>#VALUE!</v>
      </c>
      <c r="EM61" t="e">
        <f>CWE!D77+"$5F&amp;!HG"</f>
        <v>#VALUE!</v>
      </c>
      <c r="EN61" t="e">
        <f>CWE!B78+"$5F&amp;!HH"</f>
        <v>#VALUE!</v>
      </c>
      <c r="EO61" t="e">
        <f>CWE!C78+"$5F&amp;!HI"</f>
        <v>#VALUE!</v>
      </c>
      <c r="EP61" t="e">
        <f>CWE!D78+"$5F&amp;!HJ"</f>
        <v>#VALUE!</v>
      </c>
      <c r="EQ61" t="e">
        <f>CWE!B79+"$5F&amp;!HK"</f>
        <v>#VALUE!</v>
      </c>
      <c r="ER61" t="e">
        <f>CWE!C79+"$5F&amp;!HL"</f>
        <v>#VALUE!</v>
      </c>
      <c r="ES61" t="e">
        <f>CWE!D79+"$5F&amp;!HM"</f>
        <v>#VALUE!</v>
      </c>
      <c r="ET61" t="e">
        <f>CWE!B80+"$5F&amp;!HN"</f>
        <v>#VALUE!</v>
      </c>
      <c r="EU61" t="e">
        <f>CWE!C80+"$5F&amp;!HO"</f>
        <v>#VALUE!</v>
      </c>
      <c r="EV61" t="e">
        <f>CWE!D80+"$5F&amp;!HP"</f>
        <v>#VALUE!</v>
      </c>
      <c r="EW61" t="e">
        <f>CWE!B81+"$5F&amp;!HQ"</f>
        <v>#VALUE!</v>
      </c>
      <c r="EX61" t="e">
        <f>CWE!C81+"$5F&amp;!HR"</f>
        <v>#VALUE!</v>
      </c>
      <c r="EY61" t="e">
        <f>CWE!D81+"$5F&amp;!HS"</f>
        <v>#VALUE!</v>
      </c>
      <c r="EZ61" t="e">
        <f>CWE!B82+"$5F&amp;!HT"</f>
        <v>#VALUE!</v>
      </c>
      <c r="FA61" t="e">
        <f>CWE!C82+"$5F&amp;!HU"</f>
        <v>#VALUE!</v>
      </c>
      <c r="FB61" t="e">
        <f>CWE!D82+"$5F&amp;!HV"</f>
        <v>#VALUE!</v>
      </c>
      <c r="FC61" t="e">
        <f>CWE!B83+"$5F&amp;!HW"</f>
        <v>#VALUE!</v>
      </c>
      <c r="FD61" t="e">
        <f>CWE!C83+"$5F&amp;!HX"</f>
        <v>#VALUE!</v>
      </c>
      <c r="FE61" t="e">
        <f>CWE!D83+"$5F&amp;!HY"</f>
        <v>#VALUE!</v>
      </c>
      <c r="FF61" t="e">
        <f>CWE!B84+"$5F&amp;!HZ"</f>
        <v>#VALUE!</v>
      </c>
      <c r="FG61" t="e">
        <f>CWE!C84+"$5F&amp;!H["</f>
        <v>#VALUE!</v>
      </c>
      <c r="FH61" t="e">
        <f>CWE!D84+"$5F&amp;!H\"</f>
        <v>#VALUE!</v>
      </c>
      <c r="FI61" t="e">
        <f>CWE!B85+"$5F&amp;!H]"</f>
        <v>#VALUE!</v>
      </c>
      <c r="FJ61" t="e">
        <f>CWE!C85+"$5F&amp;!H^"</f>
        <v>#VALUE!</v>
      </c>
      <c r="FK61" t="e">
        <f>CWE!D85+"$5F&amp;!H_"</f>
        <v>#VALUE!</v>
      </c>
      <c r="FL61" t="e">
        <f>CWE!B86+"$5F&amp;!H`"</f>
        <v>#VALUE!</v>
      </c>
      <c r="FM61" t="e">
        <f>CWE!C86+"$5F&amp;!Ha"</f>
        <v>#VALUE!</v>
      </c>
      <c r="FN61" t="e">
        <f>CWE!D86+"$5F&amp;!Hb"</f>
        <v>#VALUE!</v>
      </c>
      <c r="FO61" t="e">
        <f>CWE!B87+"$5F&amp;!Hc"</f>
        <v>#VALUE!</v>
      </c>
      <c r="FP61" t="e">
        <f>CWE!C87+"$5F&amp;!Hd"</f>
        <v>#VALUE!</v>
      </c>
      <c r="FQ61" t="e">
        <f>CWE!D87+"$5F&amp;!He"</f>
        <v>#VALUE!</v>
      </c>
      <c r="FR61" t="e">
        <f>CWE!B88+"$5F&amp;!Hf"</f>
        <v>#VALUE!</v>
      </c>
      <c r="FS61" t="e">
        <f>CWE!C88+"$5F&amp;!Hg"</f>
        <v>#VALUE!</v>
      </c>
      <c r="FT61" t="e">
        <f>CWE!D88+"$5F&amp;!Hh"</f>
        <v>#VALUE!</v>
      </c>
      <c r="FU61" t="e">
        <f>CWE!B89+"$5F&amp;!Hi"</f>
        <v>#VALUE!</v>
      </c>
      <c r="FV61" t="e">
        <f>CWE!C89+"$5F&amp;!Hj"</f>
        <v>#VALUE!</v>
      </c>
      <c r="FW61" t="e">
        <f>CWE!D89+"$5F&amp;!Hk"</f>
        <v>#VALUE!</v>
      </c>
      <c r="FX61" t="e">
        <f>CWE!B90+"$5F&amp;!Hl"</f>
        <v>#VALUE!</v>
      </c>
      <c r="FY61" t="e">
        <f>CWE!C90+"$5F&amp;!Hm"</f>
        <v>#VALUE!</v>
      </c>
      <c r="FZ61" t="e">
        <f>CWE!D90+"$5F&amp;!Hn"</f>
        <v>#VALUE!</v>
      </c>
      <c r="GA61" t="e">
        <f>CWE!B91+"$5F&amp;!Ho"</f>
        <v>#VALUE!</v>
      </c>
      <c r="GB61" t="e">
        <f>CWE!C91+"$5F&amp;!Hp"</f>
        <v>#VALUE!</v>
      </c>
      <c r="GC61" t="e">
        <f>CWE!D91+"$5F&amp;!Hq"</f>
        <v>#VALUE!</v>
      </c>
      <c r="GD61" t="e">
        <f>CWE!B92+"$5F&amp;!Hr"</f>
        <v>#VALUE!</v>
      </c>
      <c r="GE61" t="e">
        <f>CWE!C92+"$5F&amp;!Hs"</f>
        <v>#VALUE!</v>
      </c>
      <c r="GF61" t="e">
        <f>CWE!D92+"$5F&amp;!Ht"</f>
        <v>#VALUE!</v>
      </c>
      <c r="GG61" t="e">
        <f>CWE!B93+"$5F&amp;!Hu"</f>
        <v>#VALUE!</v>
      </c>
      <c r="GH61" t="e">
        <f>CWE!C93+"$5F&amp;!Hv"</f>
        <v>#VALUE!</v>
      </c>
      <c r="GI61" t="e">
        <f>CWE!D93+"$5F&amp;!Hw"</f>
        <v>#VALUE!</v>
      </c>
      <c r="GJ61" t="e">
        <f>CWE!B94+"$5F&amp;!Hx"</f>
        <v>#VALUE!</v>
      </c>
      <c r="GK61" t="e">
        <f>CWE!C94+"$5F&amp;!Hy"</f>
        <v>#VALUE!</v>
      </c>
      <c r="GL61" t="e">
        <f>CWE!D94+"$5F&amp;!Hz"</f>
        <v>#VALUE!</v>
      </c>
      <c r="GM61" t="e">
        <f>CWE!B95+"$5F&amp;!H{"</f>
        <v>#VALUE!</v>
      </c>
      <c r="GN61" t="e">
        <f>CWE!C95+"$5F&amp;!H|"</f>
        <v>#VALUE!</v>
      </c>
      <c r="GO61" t="e">
        <f>CWE!D95+"$5F&amp;!H}"</f>
        <v>#VALUE!</v>
      </c>
      <c r="GP61" t="e">
        <f>CWE!B96+"$5F&amp;!H~"</f>
        <v>#VALUE!</v>
      </c>
      <c r="GQ61" t="e">
        <f>CWE!C96+"$5F&amp;!I#"</f>
        <v>#VALUE!</v>
      </c>
      <c r="GR61" t="e">
        <f>CWE!D96+"$5F&amp;!I$"</f>
        <v>#VALUE!</v>
      </c>
      <c r="GS61" t="e">
        <f>CWE!B97+"$5F&amp;!I%"</f>
        <v>#VALUE!</v>
      </c>
      <c r="GT61" t="e">
        <f>CWE!C97+"$5F&amp;!I&amp;"</f>
        <v>#VALUE!</v>
      </c>
      <c r="GU61" t="e">
        <f>CWE!D97+"$5F&amp;!I'"</f>
        <v>#VALUE!</v>
      </c>
      <c r="GV61" t="e">
        <f>CWE!B98+"$5F&amp;!I("</f>
        <v>#VALUE!</v>
      </c>
      <c r="GW61" t="e">
        <f>CWE!C98+"$5F&amp;!I)"</f>
        <v>#VALUE!</v>
      </c>
      <c r="GX61" t="e">
        <f>CWE!D98+"$5F&amp;!I."</f>
        <v>#VALUE!</v>
      </c>
      <c r="GY61" t="e">
        <f>CWE!B99+"$5F&amp;!I/"</f>
        <v>#VALUE!</v>
      </c>
      <c r="GZ61" t="e">
        <f>CWE!C99+"$5F&amp;!I0"</f>
        <v>#VALUE!</v>
      </c>
      <c r="HA61" t="e">
        <f>CWE!D99+"$5F&amp;!I1"</f>
        <v>#VALUE!</v>
      </c>
      <c r="HB61" t="e">
        <f>CWE!B100+"$5F&amp;!I2"</f>
        <v>#VALUE!</v>
      </c>
      <c r="HC61" t="e">
        <f>CWE!C100+"$5F&amp;!I3"</f>
        <v>#VALUE!</v>
      </c>
      <c r="HD61" t="e">
        <f>CWE!D100+"$5F&amp;!I4"</f>
        <v>#VALUE!</v>
      </c>
      <c r="HE61" t="e">
        <f>CWE!B101+"$5F&amp;!I5"</f>
        <v>#VALUE!</v>
      </c>
      <c r="HF61" t="e">
        <f>CWE!C101+"$5F&amp;!I6"</f>
        <v>#VALUE!</v>
      </c>
      <c r="HG61" t="e">
        <f>CWE!D101+"$5F&amp;!I7"</f>
        <v>#VALUE!</v>
      </c>
      <c r="HH61" t="e">
        <f>CWE!B102+"$5F&amp;!I8"</f>
        <v>#VALUE!</v>
      </c>
      <c r="HI61" t="e">
        <f>CWE!C102+"$5F&amp;!I9"</f>
        <v>#VALUE!</v>
      </c>
      <c r="HJ61" t="e">
        <f>CWE!D102+"$5F&amp;!I:"</f>
        <v>#VALUE!</v>
      </c>
      <c r="HK61" t="e">
        <f>CWE!B103+"$5F&amp;!I;"</f>
        <v>#VALUE!</v>
      </c>
      <c r="HL61" t="e">
        <f>CWE!C103+"$5F&amp;!I&lt;"</f>
        <v>#VALUE!</v>
      </c>
      <c r="HM61" t="e">
        <f>CWE!D103+"$5F&amp;!I="</f>
        <v>#VALUE!</v>
      </c>
      <c r="HN61" t="e">
        <f>CWE!B104+"$5F&amp;!I&gt;"</f>
        <v>#VALUE!</v>
      </c>
      <c r="HO61" t="e">
        <f>CWE!C104+"$5F&amp;!I?"</f>
        <v>#VALUE!</v>
      </c>
      <c r="HP61" t="e">
        <f>CWE!D104+"$5F&amp;!I@"</f>
        <v>#VALUE!</v>
      </c>
      <c r="HQ61" t="e">
        <f>CWE!B105+"$5F&amp;!IA"</f>
        <v>#VALUE!</v>
      </c>
      <c r="HR61" t="e">
        <f>CWE!C105+"$5F&amp;!IB"</f>
        <v>#VALUE!</v>
      </c>
      <c r="HS61" t="e">
        <f>CWE!D105+"$5F&amp;!IC"</f>
        <v>#VALUE!</v>
      </c>
      <c r="HT61" t="e">
        <f>CWE!B106+"$5F&amp;!ID"</f>
        <v>#VALUE!</v>
      </c>
      <c r="HU61" t="e">
        <f>CWE!C106+"$5F&amp;!IE"</f>
        <v>#VALUE!</v>
      </c>
      <c r="HV61" t="e">
        <f>CWE!D106+"$5F&amp;!IF"</f>
        <v>#VALUE!</v>
      </c>
      <c r="HW61" t="e">
        <f>CWE!B107+"$5F&amp;!IG"</f>
        <v>#VALUE!</v>
      </c>
      <c r="HX61" t="e">
        <f>CWE!C107+"$5F&amp;!IH"</f>
        <v>#VALUE!</v>
      </c>
      <c r="HY61" t="e">
        <f>CWE!D107+"$5F&amp;!II"</f>
        <v>#VALUE!</v>
      </c>
      <c r="HZ61" t="e">
        <f>CWE!B108+"$5F&amp;!IJ"</f>
        <v>#VALUE!</v>
      </c>
      <c r="IA61" t="e">
        <f>CWE!C108+"$5F&amp;!IK"</f>
        <v>#VALUE!</v>
      </c>
      <c r="IB61" t="e">
        <f>CWE!D108+"$5F&amp;!IL"</f>
        <v>#VALUE!</v>
      </c>
      <c r="IC61" t="e">
        <f>CWE!B109+"$5F&amp;!IM"</f>
        <v>#VALUE!</v>
      </c>
      <c r="ID61" t="e">
        <f>CWE!C109+"$5F&amp;!IN"</f>
        <v>#VALUE!</v>
      </c>
      <c r="IE61" t="e">
        <f>CWE!D109+"$5F&amp;!IO"</f>
        <v>#VALUE!</v>
      </c>
      <c r="IF61" t="e">
        <f>CWE!B110+"$5F&amp;!IP"</f>
        <v>#VALUE!</v>
      </c>
      <c r="IG61" t="e">
        <f>CWE!C110+"$5F&amp;!IQ"</f>
        <v>#VALUE!</v>
      </c>
      <c r="IH61" t="e">
        <f>CWE!D110+"$5F&amp;!IR"</f>
        <v>#VALUE!</v>
      </c>
      <c r="II61" t="e">
        <f>CWE!B111+"$5F&amp;!IS"</f>
        <v>#VALUE!</v>
      </c>
      <c r="IJ61" t="e">
        <f>CWE!C111+"$5F&amp;!IT"</f>
        <v>#VALUE!</v>
      </c>
      <c r="IK61" t="e">
        <f>CWE!D111+"$5F&amp;!IU"</f>
        <v>#VALUE!</v>
      </c>
      <c r="IL61" t="e">
        <f>CWE!B112+"$5F&amp;!IV"</f>
        <v>#VALUE!</v>
      </c>
      <c r="IM61" t="e">
        <f>CWE!C112+"$5F&amp;!IW"</f>
        <v>#VALUE!</v>
      </c>
      <c r="IN61" t="e">
        <f>CWE!D112+"$5F&amp;!IX"</f>
        <v>#VALUE!</v>
      </c>
      <c r="IO61" t="e">
        <f>CWE!B113+"$5F&amp;!IY"</f>
        <v>#VALUE!</v>
      </c>
      <c r="IP61" t="e">
        <f>CWE!C113+"$5F&amp;!IZ"</f>
        <v>#VALUE!</v>
      </c>
      <c r="IQ61" t="e">
        <f>CWE!D113+"$5F&amp;!I["</f>
        <v>#VALUE!</v>
      </c>
      <c r="IR61" t="e">
        <f>CWE!B114+"$5F&amp;!I\"</f>
        <v>#VALUE!</v>
      </c>
      <c r="IS61" t="e">
        <f>CWE!C114+"$5F&amp;!I]"</f>
        <v>#VALUE!</v>
      </c>
      <c r="IT61" t="e">
        <f>CWE!D114+"$5F&amp;!I^"</f>
        <v>#VALUE!</v>
      </c>
      <c r="IU61" t="e">
        <f>CWE!B115+"$5F&amp;!I_"</f>
        <v>#VALUE!</v>
      </c>
      <c r="IV61" t="e">
        <f>CWE!C115+"$5F&amp;!I`"</f>
        <v>#VALUE!</v>
      </c>
    </row>
    <row r="62" spans="6:256" x14ac:dyDescent="0.25">
      <c r="F62" t="e">
        <f>CWE!D115+"$5F&amp;!Ia"</f>
        <v>#VALUE!</v>
      </c>
      <c r="G62" t="e">
        <f>CWE!B116+"$5F&amp;!Ib"</f>
        <v>#VALUE!</v>
      </c>
      <c r="H62" t="e">
        <f>CWE!C116+"$5F&amp;!Ic"</f>
        <v>#VALUE!</v>
      </c>
      <c r="I62" t="e">
        <f>CWE!D116+"$5F&amp;!Id"</f>
        <v>#VALUE!</v>
      </c>
      <c r="J62" t="e">
        <f>CWE!B117+"$5F&amp;!Ie"</f>
        <v>#VALUE!</v>
      </c>
      <c r="K62" t="e">
        <f>CWE!C117+"$5F&amp;!If"</f>
        <v>#VALUE!</v>
      </c>
      <c r="L62" t="e">
        <f>CWE!D117+"$5F&amp;!Ig"</f>
        <v>#VALUE!</v>
      </c>
      <c r="M62" t="e">
        <f>CWE!B118+"$5F&amp;!Ih"</f>
        <v>#VALUE!</v>
      </c>
      <c r="N62" t="e">
        <f>CWE!C118+"$5F&amp;!Ii"</f>
        <v>#VALUE!</v>
      </c>
      <c r="O62" t="e">
        <f>CWE!D118+"$5F&amp;!Ij"</f>
        <v>#VALUE!</v>
      </c>
      <c r="P62" t="e">
        <f>CWE!B119+"$5F&amp;!Ik"</f>
        <v>#VALUE!</v>
      </c>
      <c r="Q62" t="e">
        <f>CWE!C119+"$5F&amp;!Il"</f>
        <v>#VALUE!</v>
      </c>
      <c r="R62" t="e">
        <f>CWE!D119+"$5F&amp;!Im"</f>
        <v>#VALUE!</v>
      </c>
      <c r="S62" t="e">
        <f>CWE!B120+"$5F&amp;!In"</f>
        <v>#VALUE!</v>
      </c>
      <c r="T62" t="e">
        <f>CWE!C120+"$5F&amp;!Io"</f>
        <v>#VALUE!</v>
      </c>
      <c r="U62" t="e">
        <f>CWE!D120+"$5F&amp;!Ip"</f>
        <v>#VALUE!</v>
      </c>
      <c r="V62" t="e">
        <f>CWE!B121+"$5F&amp;!Iq"</f>
        <v>#VALUE!</v>
      </c>
      <c r="W62" t="e">
        <f>CWE!C121+"$5F&amp;!Ir"</f>
        <v>#VALUE!</v>
      </c>
      <c r="X62" t="e">
        <f>CWE!D121+"$5F&amp;!Is"</f>
        <v>#VALUE!</v>
      </c>
      <c r="Y62" t="e">
        <f>CWE!B122+"$5F&amp;!It"</f>
        <v>#VALUE!</v>
      </c>
      <c r="Z62" t="e">
        <f>CWE!C122+"$5F&amp;!Iu"</f>
        <v>#VALUE!</v>
      </c>
      <c r="AA62" t="e">
        <f>CWE!D122+"$5F&amp;!Iv"</f>
        <v>#VALUE!</v>
      </c>
      <c r="AB62" t="e">
        <f>CWE!B123+"$5F&amp;!Iw"</f>
        <v>#VALUE!</v>
      </c>
      <c r="AC62" t="e">
        <f>CWE!C123+"$5F&amp;!Ix"</f>
        <v>#VALUE!</v>
      </c>
      <c r="AD62" t="e">
        <f>CWE!D123+"$5F&amp;!Iy"</f>
        <v>#VALUE!</v>
      </c>
      <c r="AE62" t="e">
        <f>CWE!B124+"$5F&amp;!Iz"</f>
        <v>#VALUE!</v>
      </c>
      <c r="AF62" t="e">
        <f>CWE!C124+"$5F&amp;!I{"</f>
        <v>#VALUE!</v>
      </c>
      <c r="AG62" t="e">
        <f>CWE!D124+"$5F&amp;!I|"</f>
        <v>#VALUE!</v>
      </c>
      <c r="AH62" t="e">
        <f>CWE!B125+"$5F&amp;!I}"</f>
        <v>#VALUE!</v>
      </c>
      <c r="AI62" t="e">
        <f>CWE!C125+"$5F&amp;!I~"</f>
        <v>#VALUE!</v>
      </c>
      <c r="AJ62" t="e">
        <f>CWE!D125+"$5F&amp;!J#"</f>
        <v>#VALUE!</v>
      </c>
      <c r="AK62" t="e">
        <f>CWE!B126+"$5F&amp;!J$"</f>
        <v>#VALUE!</v>
      </c>
      <c r="AL62" t="e">
        <f>CWE!C126+"$5F&amp;!J%"</f>
        <v>#VALUE!</v>
      </c>
      <c r="AM62" t="e">
        <f>CWE!D126+"$5F&amp;!J&amp;"</f>
        <v>#VALUE!</v>
      </c>
      <c r="AN62" t="e">
        <f>CWE!B127+"$5F&amp;!J'"</f>
        <v>#VALUE!</v>
      </c>
      <c r="AO62" t="e">
        <f>CWE!C127+"$5F&amp;!J("</f>
        <v>#VALUE!</v>
      </c>
      <c r="AP62" t="e">
        <f>CWE!D127+"$5F&amp;!J)"</f>
        <v>#VALUE!</v>
      </c>
      <c r="AQ62" t="e">
        <f>CWE!B128+"$5F&amp;!J."</f>
        <v>#VALUE!</v>
      </c>
      <c r="AR62" t="e">
        <f>CWE!C128+"$5F&amp;!J/"</f>
        <v>#VALUE!</v>
      </c>
      <c r="AS62" t="e">
        <f>CWE!D128+"$5F&amp;!J0"</f>
        <v>#VALUE!</v>
      </c>
      <c r="AT62" t="e">
        <f>CWE!B129+"$5F&amp;!J1"</f>
        <v>#VALUE!</v>
      </c>
      <c r="AU62" t="e">
        <f>CWE!C129+"$5F&amp;!J2"</f>
        <v>#VALUE!</v>
      </c>
      <c r="AV62" t="e">
        <f>CWE!D129+"$5F&amp;!J3"</f>
        <v>#VALUE!</v>
      </c>
      <c r="AW62" t="e">
        <f>CWE!B130+"$5F&amp;!J4"</f>
        <v>#VALUE!</v>
      </c>
      <c r="AX62" t="e">
        <f>CWE!C130+"$5F&amp;!J5"</f>
        <v>#VALUE!</v>
      </c>
      <c r="AY62" t="e">
        <f>CWE!D130+"$5F&amp;!J6"</f>
        <v>#VALUE!</v>
      </c>
      <c r="AZ62" t="e">
        <f>CWE!B131+"$5F&amp;!J7"</f>
        <v>#VALUE!</v>
      </c>
      <c r="BA62" t="e">
        <f>CWE!C131+"$5F&amp;!J8"</f>
        <v>#VALUE!</v>
      </c>
      <c r="BB62" t="e">
        <f>CWE!D131+"$5F&amp;!J9"</f>
        <v>#VALUE!</v>
      </c>
      <c r="BC62" t="e">
        <f>CWE!B132+"$5F&amp;!J:"</f>
        <v>#VALUE!</v>
      </c>
      <c r="BD62" t="e">
        <f>CWE!C132+"$5F&amp;!J;"</f>
        <v>#VALUE!</v>
      </c>
      <c r="BE62" t="e">
        <f>CWE!D132+"$5F&amp;!J&lt;"</f>
        <v>#VALUE!</v>
      </c>
      <c r="BF62" t="e">
        <f>CWE!B133+"$5F&amp;!J="</f>
        <v>#VALUE!</v>
      </c>
      <c r="BG62" t="e">
        <f>CWE!C133+"$5F&amp;!J&gt;"</f>
        <v>#VALUE!</v>
      </c>
      <c r="BH62" t="e">
        <f>CWE!D133+"$5F&amp;!J?"</f>
        <v>#VALUE!</v>
      </c>
      <c r="BI62" t="e">
        <f>CWE!B134+"$5F&amp;!J@"</f>
        <v>#VALUE!</v>
      </c>
      <c r="BJ62" t="e">
        <f>CWE!C134+"$5F&amp;!JA"</f>
        <v>#VALUE!</v>
      </c>
      <c r="BK62" t="e">
        <f>CWE!D134+"$5F&amp;!JB"</f>
        <v>#VALUE!</v>
      </c>
      <c r="BL62" t="e">
        <f>CWE!B135+"$5F&amp;!JC"</f>
        <v>#VALUE!</v>
      </c>
      <c r="BM62" t="e">
        <f>CWE!C135+"$5F&amp;!JD"</f>
        <v>#VALUE!</v>
      </c>
      <c r="BN62" t="e">
        <f>CWE!D135+"$5F&amp;!JE"</f>
        <v>#VALUE!</v>
      </c>
      <c r="BO62" t="e">
        <f>CWE!B136+"$5F&amp;!JF"</f>
        <v>#VALUE!</v>
      </c>
      <c r="BP62" t="e">
        <f>CWE!C136+"$5F&amp;!JG"</f>
        <v>#VALUE!</v>
      </c>
      <c r="BQ62" t="e">
        <f>CWE!D136+"$5F&amp;!JH"</f>
        <v>#VALUE!</v>
      </c>
      <c r="BR62" t="e">
        <f>CWE!B137+"$5F&amp;!JI"</f>
        <v>#VALUE!</v>
      </c>
      <c r="BS62" t="e">
        <f>CWE!C137+"$5F&amp;!JJ"</f>
        <v>#VALUE!</v>
      </c>
      <c r="BT62" t="e">
        <f>CWE!D137+"$5F&amp;!JK"</f>
        <v>#VALUE!</v>
      </c>
      <c r="BU62" t="e">
        <f>CWE!B138+"$5F&amp;!JL"</f>
        <v>#VALUE!</v>
      </c>
      <c r="BV62" t="e">
        <f>CWE!C138+"$5F&amp;!JM"</f>
        <v>#VALUE!</v>
      </c>
      <c r="BW62" t="e">
        <f>CWE!D138+"$5F&amp;!JN"</f>
        <v>#VALUE!</v>
      </c>
      <c r="BX62" t="e">
        <f>CWE!B139+"$5F&amp;!JO"</f>
        <v>#VALUE!</v>
      </c>
      <c r="BY62" t="e">
        <f>CWE!C139+"$5F&amp;!JP"</f>
        <v>#VALUE!</v>
      </c>
      <c r="BZ62" t="e">
        <f>CWE!D139+"$5F&amp;!JQ"</f>
        <v>#VALUE!</v>
      </c>
      <c r="CA62" t="e">
        <f>CWE!B140+"$5F&amp;!JR"</f>
        <v>#VALUE!</v>
      </c>
      <c r="CB62" t="e">
        <f>CWE!C140+"$5F&amp;!JS"</f>
        <v>#VALUE!</v>
      </c>
      <c r="CC62" t="e">
        <f>CWE!D140+"$5F&amp;!JT"</f>
        <v>#VALUE!</v>
      </c>
      <c r="CD62" t="e">
        <f>CWE!B141+"$5F&amp;!JU"</f>
        <v>#VALUE!</v>
      </c>
      <c r="CE62" t="e">
        <f>CWE!C141+"$5F&amp;!JV"</f>
        <v>#VALUE!</v>
      </c>
      <c r="CF62" t="e">
        <f>CWE!D141+"$5F&amp;!JW"</f>
        <v>#VALUE!</v>
      </c>
      <c r="CG62" t="e">
        <f>CWE!B142+"$5F&amp;!JX"</f>
        <v>#VALUE!</v>
      </c>
      <c r="CH62" t="e">
        <f>CWE!C142+"$5F&amp;!JY"</f>
        <v>#VALUE!</v>
      </c>
      <c r="CI62" t="e">
        <f>CWE!D142+"$5F&amp;!JZ"</f>
        <v>#VALUE!</v>
      </c>
      <c r="CJ62" t="e">
        <f>CWE!B143+"$5F&amp;!J["</f>
        <v>#VALUE!</v>
      </c>
      <c r="CK62" t="e">
        <f>CWE!C143+"$5F&amp;!J\"</f>
        <v>#VALUE!</v>
      </c>
      <c r="CL62" t="e">
        <f>CWE!D143+"$5F&amp;!J]"</f>
        <v>#VALUE!</v>
      </c>
      <c r="CM62" t="e">
        <f>CWE!B144+"$5F&amp;!J^"</f>
        <v>#VALUE!</v>
      </c>
      <c r="CN62" t="e">
        <f>CWE!C144+"$5F&amp;!J_"</f>
        <v>#VALUE!</v>
      </c>
      <c r="CO62" t="e">
        <f>CWE!D144+"$5F&amp;!J`"</f>
        <v>#VALUE!</v>
      </c>
      <c r="CP62" t="e">
        <f>CWE!B145+"$5F&amp;!Ja"</f>
        <v>#VALUE!</v>
      </c>
      <c r="CQ62" t="e">
        <f>CWE!C145+"$5F&amp;!Jb"</f>
        <v>#VALUE!</v>
      </c>
      <c r="CR62" t="e">
        <f>CWE!D145+"$5F&amp;!Jc"</f>
        <v>#VALUE!</v>
      </c>
      <c r="CS62" t="e">
        <f>CWE!B146+"$5F&amp;!Jd"</f>
        <v>#VALUE!</v>
      </c>
      <c r="CT62" t="e">
        <f>CWE!C146+"$5F&amp;!Je"</f>
        <v>#VALUE!</v>
      </c>
      <c r="CU62" t="e">
        <f>CWE!D146+"$5F&amp;!Jf"</f>
        <v>#VALUE!</v>
      </c>
      <c r="CV62" t="e">
        <f>CWE!B147+"$5F&amp;!Jg"</f>
        <v>#VALUE!</v>
      </c>
      <c r="CW62" t="e">
        <f>CWE!C147+"$5F&amp;!Jh"</f>
        <v>#VALUE!</v>
      </c>
      <c r="CX62" t="e">
        <f>CWE!D147+"$5F&amp;!Ji"</f>
        <v>#VALUE!</v>
      </c>
      <c r="CY62" t="e">
        <f>CWE!B148+"$5F&amp;!Jj"</f>
        <v>#VALUE!</v>
      </c>
      <c r="CZ62" t="e">
        <f>CWE!C148+"$5F&amp;!Jk"</f>
        <v>#VALUE!</v>
      </c>
      <c r="DA62" t="e">
        <f>CWE!D148+"$5F&amp;!Jl"</f>
        <v>#VALUE!</v>
      </c>
      <c r="DB62" t="e">
        <f>CWE!B149+"$5F&amp;!Jm"</f>
        <v>#VALUE!</v>
      </c>
      <c r="DC62" t="e">
        <f>CWE!C149+"$5F&amp;!Jn"</f>
        <v>#VALUE!</v>
      </c>
      <c r="DD62" t="e">
        <f>CWE!D149+"$5F&amp;!Jo"</f>
        <v>#VALUE!</v>
      </c>
      <c r="DE62" t="e">
        <f>CWE!B150+"$5F&amp;!Jp"</f>
        <v>#VALUE!</v>
      </c>
      <c r="DF62" t="e">
        <f>CWE!C150+"$5F&amp;!Jq"</f>
        <v>#VALUE!</v>
      </c>
      <c r="DG62" t="e">
        <f>CWE!D150+"$5F&amp;!Jr"</f>
        <v>#VALUE!</v>
      </c>
      <c r="DH62" t="e">
        <f>CWE!B151+"$5F&amp;!Js"</f>
        <v>#VALUE!</v>
      </c>
      <c r="DI62" t="e">
        <f>CWE!C151+"$5F&amp;!Jt"</f>
        <v>#VALUE!</v>
      </c>
      <c r="DJ62" t="e">
        <f>CWE!D151+"$5F&amp;!Ju"</f>
        <v>#VALUE!</v>
      </c>
      <c r="DK62" t="e">
        <f>CWE!B152+"$5F&amp;!Jv"</f>
        <v>#VALUE!</v>
      </c>
      <c r="DL62" t="e">
        <f>CWE!C152+"$5F&amp;!Jw"</f>
        <v>#VALUE!</v>
      </c>
      <c r="DM62" t="e">
        <f>CWE!D152+"$5F&amp;!Jx"</f>
        <v>#VALUE!</v>
      </c>
      <c r="DN62" t="e">
        <f>CWE!B153+"$5F&amp;!Jy"</f>
        <v>#VALUE!</v>
      </c>
      <c r="DO62" t="e">
        <f>CWE!C153+"$5F&amp;!Jz"</f>
        <v>#VALUE!</v>
      </c>
      <c r="DP62" t="e">
        <f>CWE!D153+"$5F&amp;!J{"</f>
        <v>#VALUE!</v>
      </c>
      <c r="DQ62" t="e">
        <f>CWE!B154+"$5F&amp;!J|"</f>
        <v>#VALUE!</v>
      </c>
      <c r="DR62" t="e">
        <f>CWE!C154+"$5F&amp;!J}"</f>
        <v>#VALUE!</v>
      </c>
      <c r="DS62" t="e">
        <f>CWE!D154+"$5F&amp;!J~"</f>
        <v>#VALUE!</v>
      </c>
      <c r="DT62" t="e">
        <f>CWE!B155+"$5F&amp;!K#"</f>
        <v>#VALUE!</v>
      </c>
      <c r="DU62" t="e">
        <f>CWE!C155+"$5F&amp;!K$"</f>
        <v>#VALUE!</v>
      </c>
      <c r="DV62" t="e">
        <f>CWE!D155+"$5F&amp;!K%"</f>
        <v>#VALUE!</v>
      </c>
      <c r="DW62" t="e">
        <f>CWE!B156+"$5F&amp;!K&amp;"</f>
        <v>#VALUE!</v>
      </c>
      <c r="DX62" t="e">
        <f>CWE!C156+"$5F&amp;!K'"</f>
        <v>#VALUE!</v>
      </c>
      <c r="DY62" t="e">
        <f>CWE!D156+"$5F&amp;!K("</f>
        <v>#VALUE!</v>
      </c>
      <c r="DZ62" t="e">
        <f>CWE!B157+"$5F&amp;!K)"</f>
        <v>#VALUE!</v>
      </c>
      <c r="EA62" t="e">
        <f>CWE!C157+"$5F&amp;!K."</f>
        <v>#VALUE!</v>
      </c>
      <c r="EB62" t="e">
        <f>CWE!D157+"$5F&amp;!K/"</f>
        <v>#VALUE!</v>
      </c>
      <c r="EC62" t="e">
        <f>CWE!B158+"$5F&amp;!K0"</f>
        <v>#VALUE!</v>
      </c>
      <c r="ED62" t="e">
        <f>CWE!C158+"$5F&amp;!K1"</f>
        <v>#VALUE!</v>
      </c>
      <c r="EE62" t="e">
        <f>CWE!D158+"$5F&amp;!K2"</f>
        <v>#VALUE!</v>
      </c>
      <c r="EF62" t="e">
        <f>CWE!B159+"$5F&amp;!K3"</f>
        <v>#VALUE!</v>
      </c>
      <c r="EG62" t="e">
        <f>CWE!C159+"$5F&amp;!K4"</f>
        <v>#VALUE!</v>
      </c>
      <c r="EH62" t="e">
        <f>CWE!D159+"$5F&amp;!K5"</f>
        <v>#VALUE!</v>
      </c>
      <c r="EI62" t="e">
        <f>CWE!B160+"$5F&amp;!K6"</f>
        <v>#VALUE!</v>
      </c>
      <c r="EJ62" t="e">
        <f>CWE!C160+"$5F&amp;!K7"</f>
        <v>#VALUE!</v>
      </c>
      <c r="EK62" t="e">
        <f>CWE!D160+"$5F&amp;!K8"</f>
        <v>#VALUE!</v>
      </c>
      <c r="EL62" t="e">
        <f>CWE!B161+"$5F&amp;!K9"</f>
        <v>#VALUE!</v>
      </c>
      <c r="EM62" t="e">
        <f>CWE!C161+"$5F&amp;!K:"</f>
        <v>#VALUE!</v>
      </c>
      <c r="EN62" t="e">
        <f>CWE!D161+"$5F&amp;!K;"</f>
        <v>#VALUE!</v>
      </c>
      <c r="EO62" t="e">
        <f>CWE!B162+"$5F&amp;!K&lt;"</f>
        <v>#VALUE!</v>
      </c>
      <c r="EP62" t="e">
        <f>CWE!C162+"$5F&amp;!K="</f>
        <v>#VALUE!</v>
      </c>
      <c r="EQ62" t="e">
        <f>CWE!D162+"$5F&amp;!K&gt;"</f>
        <v>#VALUE!</v>
      </c>
      <c r="ER62" t="e">
        <f>CWE!B163+"$5F&amp;!K?"</f>
        <v>#VALUE!</v>
      </c>
      <c r="ES62" t="e">
        <f>CWE!C163+"$5F&amp;!K@"</f>
        <v>#VALUE!</v>
      </c>
      <c r="ET62" t="e">
        <f>CWE!D163+"$5F&amp;!KA"</f>
        <v>#VALUE!</v>
      </c>
      <c r="EU62" t="e">
        <f>CWE!B164+"$5F&amp;!KB"</f>
        <v>#VALUE!</v>
      </c>
      <c r="EV62" t="e">
        <f>CWE!C164+"$5F&amp;!KC"</f>
        <v>#VALUE!</v>
      </c>
      <c r="EW62" t="e">
        <f>CWE!D164+"$5F&amp;!KD"</f>
        <v>#VALUE!</v>
      </c>
      <c r="EX62" t="e">
        <f>CWE!B165+"$5F&amp;!KE"</f>
        <v>#VALUE!</v>
      </c>
      <c r="EY62" t="e">
        <f>CWE!C165+"$5F&amp;!KF"</f>
        <v>#VALUE!</v>
      </c>
      <c r="EZ62" t="e">
        <f>CWE!D165+"$5F&amp;!KG"</f>
        <v>#VALUE!</v>
      </c>
      <c r="FA62" t="e">
        <f>CWE!B166+"$5F&amp;!KH"</f>
        <v>#VALUE!</v>
      </c>
      <c r="FB62" t="e">
        <f>CWE!C166+"$5F&amp;!KI"</f>
        <v>#VALUE!</v>
      </c>
      <c r="FC62" t="e">
        <f>CWE!D166+"$5F&amp;!KJ"</f>
        <v>#VALUE!</v>
      </c>
      <c r="FD62" t="e">
        <f>CWE!B167+"$5F&amp;!KK"</f>
        <v>#VALUE!</v>
      </c>
      <c r="FE62" t="e">
        <f>CWE!C167+"$5F&amp;!KL"</f>
        <v>#VALUE!</v>
      </c>
      <c r="FF62" t="e">
        <f>CWE!D167+"$5F&amp;!KM"</f>
        <v>#VALUE!</v>
      </c>
      <c r="FG62" t="e">
        <f>CWE!B168+"$5F&amp;!KN"</f>
        <v>#VALUE!</v>
      </c>
      <c r="FH62" t="e">
        <f>CWE!C168+"$5F&amp;!KO"</f>
        <v>#VALUE!</v>
      </c>
      <c r="FI62" t="e">
        <f>CWE!D168+"$5F&amp;!KP"</f>
        <v>#VALUE!</v>
      </c>
      <c r="FJ62" t="e">
        <f>CWE!B169+"$5F&amp;!KQ"</f>
        <v>#VALUE!</v>
      </c>
      <c r="FK62" t="e">
        <f>CWE!C169+"$5F&amp;!KR"</f>
        <v>#VALUE!</v>
      </c>
      <c r="FL62" t="e">
        <f>CWE!D169+"$5F&amp;!KS"</f>
        <v>#VALUE!</v>
      </c>
      <c r="FM62" t="e">
        <f>CWE!B170+"$5F&amp;!KT"</f>
        <v>#VALUE!</v>
      </c>
      <c r="FN62" t="e">
        <f>CWE!C170+"$5F&amp;!KU"</f>
        <v>#VALUE!</v>
      </c>
      <c r="FO62" t="e">
        <f>CWE!D170+"$5F&amp;!KV"</f>
        <v>#VALUE!</v>
      </c>
      <c r="FP62" t="e">
        <f>CWE!B171+"$5F&amp;!KW"</f>
        <v>#VALUE!</v>
      </c>
      <c r="FQ62" t="e">
        <f>CWE!C171+"$5F&amp;!KX"</f>
        <v>#VALUE!</v>
      </c>
      <c r="FR62" t="e">
        <f>CWE!D171+"$5F&amp;!KY"</f>
        <v>#VALUE!</v>
      </c>
      <c r="FS62" t="e">
        <f>CWE!B172+"$5F&amp;!KZ"</f>
        <v>#VALUE!</v>
      </c>
      <c r="FT62" t="e">
        <f>CWE!C172+"$5F&amp;!K["</f>
        <v>#VALUE!</v>
      </c>
      <c r="FU62" t="e">
        <f>CWE!D172+"$5F&amp;!K\"</f>
        <v>#VALUE!</v>
      </c>
      <c r="FV62" t="e">
        <f>CWE!B173+"$5F&amp;!K]"</f>
        <v>#VALUE!</v>
      </c>
      <c r="FW62" t="e">
        <f>CWE!C173+"$5F&amp;!K^"</f>
        <v>#VALUE!</v>
      </c>
      <c r="FX62" t="e">
        <f>CWE!D173+"$5F&amp;!K_"</f>
        <v>#VALUE!</v>
      </c>
      <c r="FY62" t="e">
        <f>CWE!B174+"$5F&amp;!K`"</f>
        <v>#VALUE!</v>
      </c>
      <c r="FZ62" t="e">
        <f>CWE!C174+"$5F&amp;!Ka"</f>
        <v>#VALUE!</v>
      </c>
      <c r="GA62" t="e">
        <f>CWE!D174+"$5F&amp;!Kb"</f>
        <v>#VALUE!</v>
      </c>
      <c r="GB62" t="e">
        <f>CWE!B175+"$5F&amp;!Kc"</f>
        <v>#VALUE!</v>
      </c>
      <c r="GC62" t="e">
        <f>CWE!C175+"$5F&amp;!Kd"</f>
        <v>#VALUE!</v>
      </c>
      <c r="GD62" t="e">
        <f>CWE!D175+"$5F&amp;!Ke"</f>
        <v>#VALUE!</v>
      </c>
      <c r="GE62" t="e">
        <f>CWE!B176+"$5F&amp;!Kf"</f>
        <v>#VALUE!</v>
      </c>
      <c r="GF62" t="e">
        <f>CWE!C176+"$5F&amp;!Kg"</f>
        <v>#VALUE!</v>
      </c>
      <c r="GG62" t="e">
        <f>CWE!D176+"$5F&amp;!Kh"</f>
        <v>#VALUE!</v>
      </c>
      <c r="GH62" t="e">
        <f>CWE!B177+"$5F&amp;!Ki"</f>
        <v>#VALUE!</v>
      </c>
      <c r="GI62" t="e">
        <f>CWE!C177+"$5F&amp;!Kj"</f>
        <v>#VALUE!</v>
      </c>
      <c r="GJ62" t="e">
        <f>CWE!D177+"$5F&amp;!Kk"</f>
        <v>#VALUE!</v>
      </c>
      <c r="GK62" t="e">
        <f>CWE!B178+"$5F&amp;!Kl"</f>
        <v>#VALUE!</v>
      </c>
      <c r="GL62" t="e">
        <f>CWE!C178+"$5F&amp;!Km"</f>
        <v>#VALUE!</v>
      </c>
      <c r="GM62" t="e">
        <f>CWE!D178+"$5F&amp;!Kn"</f>
        <v>#VALUE!</v>
      </c>
      <c r="GN62" t="e">
        <f>CWE!B179+"$5F&amp;!Ko"</f>
        <v>#VALUE!</v>
      </c>
      <c r="GO62" t="e">
        <f>CWE!C179+"$5F&amp;!Kp"</f>
        <v>#VALUE!</v>
      </c>
      <c r="GP62" t="e">
        <f>CWE!D179+"$5F&amp;!Kq"</f>
        <v>#VALUE!</v>
      </c>
      <c r="GQ62" t="e">
        <f>CWE!B180+"$5F&amp;!Kr"</f>
        <v>#VALUE!</v>
      </c>
      <c r="GR62" t="e">
        <f>CWE!C180+"$5F&amp;!Ks"</f>
        <v>#VALUE!</v>
      </c>
      <c r="GS62" t="e">
        <f>CWE!D180+"$5F&amp;!Kt"</f>
        <v>#VALUE!</v>
      </c>
      <c r="GT62" t="e">
        <f>CWE!B181+"$5F&amp;!Ku"</f>
        <v>#VALUE!</v>
      </c>
      <c r="GU62" t="e">
        <f>CWE!C181+"$5F&amp;!Kv"</f>
        <v>#VALUE!</v>
      </c>
      <c r="GV62" t="e">
        <f>CWE!D181+"$5F&amp;!Kw"</f>
        <v>#VALUE!</v>
      </c>
      <c r="GW62" t="e">
        <f>CWE!B182+"$5F&amp;!Kx"</f>
        <v>#VALUE!</v>
      </c>
      <c r="GX62" t="e">
        <f>CWE!C182+"$5F&amp;!Ky"</f>
        <v>#VALUE!</v>
      </c>
      <c r="GY62" t="e">
        <f>CWE!D182+"$5F&amp;!Kz"</f>
        <v>#VALUE!</v>
      </c>
      <c r="GZ62" t="e">
        <f>CWE!B183+"$5F&amp;!K{"</f>
        <v>#VALUE!</v>
      </c>
      <c r="HA62" t="e">
        <f>CWE!C183+"$5F&amp;!K|"</f>
        <v>#VALUE!</v>
      </c>
      <c r="HB62" t="e">
        <f>CWE!D183+"$5F&amp;!K}"</f>
        <v>#VALUE!</v>
      </c>
      <c r="HC62" t="e">
        <f>CWE!B184+"$5F&amp;!K~"</f>
        <v>#VALUE!</v>
      </c>
      <c r="HD62" t="e">
        <f>CWE!C184+"$5F&amp;!L#"</f>
        <v>#VALUE!</v>
      </c>
      <c r="HE62" t="e">
        <f>CWE!D184+"$5F&amp;!L$"</f>
        <v>#VALUE!</v>
      </c>
      <c r="HF62" t="e">
        <f>CWE!B185+"$5F&amp;!L%"</f>
        <v>#VALUE!</v>
      </c>
      <c r="HG62" t="e">
        <f>CWE!C185+"$5F&amp;!L&amp;"</f>
        <v>#VALUE!</v>
      </c>
      <c r="HH62" t="e">
        <f>CWE!D185+"$5F&amp;!L'"</f>
        <v>#VALUE!</v>
      </c>
      <c r="HI62" t="e">
        <f>CWE!B186+"$5F&amp;!L("</f>
        <v>#VALUE!</v>
      </c>
      <c r="HJ62" t="e">
        <f>CWE!C186+"$5F&amp;!L)"</f>
        <v>#VALUE!</v>
      </c>
      <c r="HK62" t="e">
        <f>CWE!D186+"$5F&amp;!L."</f>
        <v>#VALUE!</v>
      </c>
      <c r="HL62" t="e">
        <f>CWE!B187+"$5F&amp;!L/"</f>
        <v>#VALUE!</v>
      </c>
      <c r="HM62" t="e">
        <f>CWE!C187+"$5F&amp;!L0"</f>
        <v>#VALUE!</v>
      </c>
      <c r="HN62" t="e">
        <f>CWE!D187+"$5F&amp;!L1"</f>
        <v>#VALUE!</v>
      </c>
      <c r="HO62" t="e">
        <f>CWE!B188+"$5F&amp;!L2"</f>
        <v>#VALUE!</v>
      </c>
      <c r="HP62" t="e">
        <f>CWE!C188+"$5F&amp;!L3"</f>
        <v>#VALUE!</v>
      </c>
      <c r="HQ62" t="e">
        <f>CWE!D188+"$5F&amp;!L4"</f>
        <v>#VALUE!</v>
      </c>
      <c r="HR62" t="e">
        <f>CWE!B189+"$5F&amp;!L5"</f>
        <v>#VALUE!</v>
      </c>
      <c r="HS62" t="e">
        <f>CWE!C189+"$5F&amp;!L6"</f>
        <v>#VALUE!</v>
      </c>
      <c r="HT62" t="e">
        <f>CWE!D189+"$5F&amp;!L7"</f>
        <v>#VALUE!</v>
      </c>
      <c r="HU62" t="e">
        <f>CWE!B190+"$5F&amp;!L8"</f>
        <v>#VALUE!</v>
      </c>
      <c r="HV62" t="e">
        <f>CWE!C190+"$5F&amp;!L9"</f>
        <v>#VALUE!</v>
      </c>
      <c r="HW62" t="e">
        <f>CWE!D190+"$5F&amp;!L:"</f>
        <v>#VALUE!</v>
      </c>
      <c r="HX62" t="e">
        <f>CWE!B191+"$5F&amp;!L;"</f>
        <v>#VALUE!</v>
      </c>
      <c r="HY62" t="e">
        <f>CWE!C191+"$5F&amp;!L&lt;"</f>
        <v>#VALUE!</v>
      </c>
      <c r="HZ62" t="e">
        <f>CWE!D191+"$5F&amp;!L="</f>
        <v>#VALUE!</v>
      </c>
      <c r="IA62" t="e">
        <f>CWE!B192+"$5F&amp;!L&gt;"</f>
        <v>#VALUE!</v>
      </c>
      <c r="IB62" t="e">
        <f>CWE!C192+"$5F&amp;!L?"</f>
        <v>#VALUE!</v>
      </c>
      <c r="IC62" t="e">
        <f>CWE!D192+"$5F&amp;!L@"</f>
        <v>#VALUE!</v>
      </c>
      <c r="ID62" t="e">
        <f>CWE!B193+"$5F&amp;!LA"</f>
        <v>#VALUE!</v>
      </c>
      <c r="IE62" t="e">
        <f>CWE!C193+"$5F&amp;!LB"</f>
        <v>#VALUE!</v>
      </c>
      <c r="IF62" t="e">
        <f>CWE!D193+"$5F&amp;!LC"</f>
        <v>#VALUE!</v>
      </c>
      <c r="IG62" t="e">
        <f>CWE!B194+"$5F&amp;!LD"</f>
        <v>#VALUE!</v>
      </c>
      <c r="IH62" t="e">
        <f>CWE!C194+"$5F&amp;!LE"</f>
        <v>#VALUE!</v>
      </c>
      <c r="II62" t="e">
        <f>CWE!D194+"$5F&amp;!LF"</f>
        <v>#VALUE!</v>
      </c>
      <c r="IJ62" t="e">
        <f>CWE!B195+"$5F&amp;!LG"</f>
        <v>#VALUE!</v>
      </c>
      <c r="IK62" t="e">
        <f>CWE!C195+"$5F&amp;!LH"</f>
        <v>#VALUE!</v>
      </c>
      <c r="IL62" t="e">
        <f>CWE!D195+"$5F&amp;!LI"</f>
        <v>#VALUE!</v>
      </c>
      <c r="IM62" t="e">
        <f>CWE!B196+"$5F&amp;!LJ"</f>
        <v>#VALUE!</v>
      </c>
      <c r="IN62" t="e">
        <f>CWE!C196+"$5F&amp;!LK"</f>
        <v>#VALUE!</v>
      </c>
      <c r="IO62" t="e">
        <f>CWE!D196+"$5F&amp;!LL"</f>
        <v>#VALUE!</v>
      </c>
      <c r="IP62" t="e">
        <f>CWE!B197+"$5F&amp;!LM"</f>
        <v>#VALUE!</v>
      </c>
      <c r="IQ62" t="e">
        <f>CWE!C197+"$5F&amp;!LN"</f>
        <v>#VALUE!</v>
      </c>
      <c r="IR62" t="e">
        <f>CWE!D197+"$5F&amp;!LO"</f>
        <v>#VALUE!</v>
      </c>
      <c r="IS62" t="e">
        <f>CWE!B198+"$5F&amp;!LP"</f>
        <v>#VALUE!</v>
      </c>
      <c r="IT62" t="e">
        <f>CWE!C198+"$5F&amp;!LQ"</f>
        <v>#VALUE!</v>
      </c>
      <c r="IU62" t="e">
        <f>CWE!D198+"$5F&amp;!LR"</f>
        <v>#VALUE!</v>
      </c>
      <c r="IV62" t="e">
        <f>CWE!B199+"$5F&amp;!LS"</f>
        <v>#VALUE!</v>
      </c>
    </row>
    <row r="63" spans="6:256" x14ac:dyDescent="0.25">
      <c r="F63" t="e">
        <f>CWE!C199+"$5F&amp;!LT"</f>
        <v>#VALUE!</v>
      </c>
      <c r="G63" t="e">
        <f>CWE!D199+"$5F&amp;!LU"</f>
        <v>#VALUE!</v>
      </c>
      <c r="H63" t="e">
        <f>CWE!B200+"$5F&amp;!LV"</f>
        <v>#VALUE!</v>
      </c>
      <c r="I63" t="e">
        <f>CWE!C200+"$5F&amp;!LW"</f>
        <v>#VALUE!</v>
      </c>
      <c r="J63" t="e">
        <f>CWE!D200+"$5F&amp;!LX"</f>
        <v>#VALUE!</v>
      </c>
      <c r="K63" t="e">
        <f>CWE!B201+"$5F&amp;!LY"</f>
        <v>#VALUE!</v>
      </c>
      <c r="L63" t="e">
        <f>CWE!C201+"$5F&amp;!LZ"</f>
        <v>#VALUE!</v>
      </c>
      <c r="M63" t="e">
        <f>CWE!D201+"$5F&amp;!L["</f>
        <v>#VALUE!</v>
      </c>
      <c r="N63" t="e">
        <f>CWE!B202+"$5F&amp;!L\"</f>
        <v>#VALUE!</v>
      </c>
      <c r="O63" t="e">
        <f>CWE!C202+"$5F&amp;!L]"</f>
        <v>#VALUE!</v>
      </c>
      <c r="P63" t="e">
        <f>CWE!D202+"$5F&amp;!L^"</f>
        <v>#VALUE!</v>
      </c>
      <c r="Q63" t="e">
        <f>CWE!B203+"$5F&amp;!L_"</f>
        <v>#VALUE!</v>
      </c>
      <c r="R63" t="e">
        <f>CWE!C203+"$5F&amp;!L`"</f>
        <v>#VALUE!</v>
      </c>
      <c r="S63" t="e">
        <f>CWE!D203+"$5F&amp;!La"</f>
        <v>#VALUE!</v>
      </c>
      <c r="T63" t="e">
        <f>CWE!B204+"$5F&amp;!Lb"</f>
        <v>#VALUE!</v>
      </c>
      <c r="U63" t="e">
        <f>CWE!C204+"$5F&amp;!Lc"</f>
        <v>#VALUE!</v>
      </c>
      <c r="V63" t="e">
        <f>CWE!D204+"$5F&amp;!Ld"</f>
        <v>#VALUE!</v>
      </c>
      <c r="W63" t="e">
        <f>CWE!B205+"$5F&amp;!Le"</f>
        <v>#VALUE!</v>
      </c>
      <c r="X63" t="e">
        <f>CWE!C205+"$5F&amp;!Lf"</f>
        <v>#VALUE!</v>
      </c>
      <c r="Y63" t="e">
        <f>CWE!D205+"$5F&amp;!Lg"</f>
        <v>#VALUE!</v>
      </c>
      <c r="Z63" t="e">
        <f>CWE!B206+"$5F&amp;!Lh"</f>
        <v>#VALUE!</v>
      </c>
      <c r="AA63" t="e">
        <f>CWE!C206+"$5F&amp;!Li"</f>
        <v>#VALUE!</v>
      </c>
      <c r="AB63" t="e">
        <f>CWE!D206+"$5F&amp;!Lj"</f>
        <v>#VALUE!</v>
      </c>
      <c r="AC63" t="e">
        <f>CWE!B207+"$5F&amp;!Lk"</f>
        <v>#VALUE!</v>
      </c>
      <c r="AD63" t="e">
        <f>CWE!C207+"$5F&amp;!Ll"</f>
        <v>#VALUE!</v>
      </c>
      <c r="AE63" t="e">
        <f>CWE!D207+"$5F&amp;!Lm"</f>
        <v>#VALUE!</v>
      </c>
      <c r="AF63" t="e">
        <f>CWE!B208+"$5F&amp;!Ln"</f>
        <v>#VALUE!</v>
      </c>
      <c r="AG63" t="e">
        <f>CWE!C208+"$5F&amp;!Lo"</f>
        <v>#VALUE!</v>
      </c>
      <c r="AH63" t="e">
        <f>CWE!D208+"$5F&amp;!Lp"</f>
        <v>#VALUE!</v>
      </c>
      <c r="AI63" t="e">
        <f>CWE!B209+"$5F&amp;!Lq"</f>
        <v>#VALUE!</v>
      </c>
      <c r="AJ63" t="e">
        <f>CWE!C209+"$5F&amp;!Lr"</f>
        <v>#VALUE!</v>
      </c>
      <c r="AK63" t="e">
        <f>CWE!D209+"$5F&amp;!Ls"</f>
        <v>#VALUE!</v>
      </c>
      <c r="AL63" t="e">
        <f>CWE!B210+"$5F&amp;!Lt"</f>
        <v>#VALUE!</v>
      </c>
      <c r="AM63" t="e">
        <f>CWE!C210+"$5F&amp;!Lu"</f>
        <v>#VALUE!</v>
      </c>
      <c r="AN63" t="e">
        <f>CWE!D210+"$5F&amp;!Lv"</f>
        <v>#VALUE!</v>
      </c>
      <c r="AO63" t="e">
        <f>CWE!B211+"$5F&amp;!Lw"</f>
        <v>#VALUE!</v>
      </c>
      <c r="AP63" t="e">
        <f>CWE!C211+"$5F&amp;!Lx"</f>
        <v>#VALUE!</v>
      </c>
      <c r="AQ63" t="e">
        <f>CWE!D211+"$5F&amp;!Ly"</f>
        <v>#VALUE!</v>
      </c>
      <c r="AR63" t="e">
        <f>CWE!B212+"$5F&amp;!Lz"</f>
        <v>#VALUE!</v>
      </c>
      <c r="AS63" t="e">
        <f>CWE!C212+"$5F&amp;!L{"</f>
        <v>#VALUE!</v>
      </c>
      <c r="AT63" t="e">
        <f>CWE!D212+"$5F&amp;!L|"</f>
        <v>#VALUE!</v>
      </c>
      <c r="AU63" t="e">
        <f>CWE!B213+"$5F&amp;!L}"</f>
        <v>#VALUE!</v>
      </c>
      <c r="AV63" t="e">
        <f>CWE!C213+"$5F&amp;!L~"</f>
        <v>#VALUE!</v>
      </c>
      <c r="AW63" t="e">
        <f>CWE!D213+"$5F&amp;!M#"</f>
        <v>#VALUE!</v>
      </c>
      <c r="AX63" t="e">
        <f>CWE!B214+"$5F&amp;!M$"</f>
        <v>#VALUE!</v>
      </c>
      <c r="AY63" t="e">
        <f>CWE!C214+"$5F&amp;!M%"</f>
        <v>#VALUE!</v>
      </c>
      <c r="AZ63" t="e">
        <f>CWE!D214+"$5F&amp;!M&amp;"</f>
        <v>#VALUE!</v>
      </c>
      <c r="BA63" t="e">
        <f>CWE!B215+"$5F&amp;!M'"</f>
        <v>#VALUE!</v>
      </c>
      <c r="BB63" t="e">
        <f>CWE!C215+"$5F&amp;!M("</f>
        <v>#VALUE!</v>
      </c>
      <c r="BC63" t="e">
        <f>CWE!D215+"$5F&amp;!M)"</f>
        <v>#VALUE!</v>
      </c>
      <c r="BD63" t="e">
        <f>CWE!B216+"$5F&amp;!M."</f>
        <v>#VALUE!</v>
      </c>
      <c r="BE63" t="e">
        <f>CWE!C216+"$5F&amp;!M/"</f>
        <v>#VALUE!</v>
      </c>
      <c r="BF63" t="e">
        <f>CWE!D216+"$5F&amp;!M0"</f>
        <v>#VALUE!</v>
      </c>
      <c r="BG63" t="e">
        <f>CWE!B217+"$5F&amp;!M1"</f>
        <v>#VALUE!</v>
      </c>
      <c r="BH63" t="e">
        <f>CWE!C217+"$5F&amp;!M2"</f>
        <v>#VALUE!</v>
      </c>
      <c r="BI63" t="e">
        <f>CWE!D217+"$5F&amp;!M3"</f>
        <v>#VALUE!</v>
      </c>
      <c r="BJ63" t="e">
        <f>CWE!B218+"$5F&amp;!M4"</f>
        <v>#VALUE!</v>
      </c>
      <c r="BK63" t="e">
        <f>CWE!C218+"$5F&amp;!M5"</f>
        <v>#VALUE!</v>
      </c>
      <c r="BL63" t="e">
        <f>CWE!D218+"$5F&amp;!M6"</f>
        <v>#VALUE!</v>
      </c>
      <c r="BM63" t="e">
        <f>CWE!B219+"$5F&amp;!M7"</f>
        <v>#VALUE!</v>
      </c>
      <c r="BN63" t="e">
        <f>CWE!C219+"$5F&amp;!M8"</f>
        <v>#VALUE!</v>
      </c>
      <c r="BO63" t="e">
        <f>CWE!D219+"$5F&amp;!M9"</f>
        <v>#VALUE!</v>
      </c>
      <c r="BP63" t="e">
        <f>CWE!B220+"$5F&amp;!M:"</f>
        <v>#VALUE!</v>
      </c>
      <c r="BQ63" t="e">
        <f>CWE!C220+"$5F&amp;!M;"</f>
        <v>#VALUE!</v>
      </c>
      <c r="BR63" t="e">
        <f>CWE!D220+"$5F&amp;!M&lt;"</f>
        <v>#VALUE!</v>
      </c>
      <c r="BS63" t="e">
        <f>CWE!B221+"$5F&amp;!M="</f>
        <v>#VALUE!</v>
      </c>
      <c r="BT63" t="e">
        <f>CWE!C221+"$5F&amp;!M&gt;"</f>
        <v>#VALUE!</v>
      </c>
      <c r="BU63" t="e">
        <f>CWE!D221+"$5F&amp;!M?"</f>
        <v>#VALUE!</v>
      </c>
      <c r="BV63" t="e">
        <f>CWE!B222+"$5F&amp;!M@"</f>
        <v>#VALUE!</v>
      </c>
      <c r="BW63" t="e">
        <f>CWE!C222+"$5F&amp;!MA"</f>
        <v>#VALUE!</v>
      </c>
      <c r="BX63" t="e">
        <f>CWE!D222+"$5F&amp;!MB"</f>
        <v>#VALUE!</v>
      </c>
      <c r="BY63" t="e">
        <f>CWE!B223+"$5F&amp;!MC"</f>
        <v>#VALUE!</v>
      </c>
      <c r="BZ63" t="e">
        <f>CWE!C223+"$5F&amp;!MD"</f>
        <v>#VALUE!</v>
      </c>
      <c r="CA63" t="e">
        <f>CWE!D223+"$5F&amp;!ME"</f>
        <v>#VALUE!</v>
      </c>
      <c r="CB63" t="e">
        <f>CWE!B224+"$5F&amp;!MF"</f>
        <v>#VALUE!</v>
      </c>
      <c r="CC63" t="e">
        <f>CWE!C224+"$5F&amp;!MG"</f>
        <v>#VALUE!</v>
      </c>
      <c r="CD63" t="e">
        <f>CWE!D224+"$5F&amp;!MH"</f>
        <v>#VALUE!</v>
      </c>
      <c r="CE63" t="e">
        <f>CWE!B225+"$5F&amp;!MI"</f>
        <v>#VALUE!</v>
      </c>
      <c r="CF63" t="e">
        <f>CWE!C225+"$5F&amp;!MJ"</f>
        <v>#VALUE!</v>
      </c>
      <c r="CG63" t="e">
        <f>CWE!D225+"$5F&amp;!MK"</f>
        <v>#VALUE!</v>
      </c>
      <c r="CH63" t="e">
        <f>CWE!B226+"$5F&amp;!ML"</f>
        <v>#VALUE!</v>
      </c>
      <c r="CI63" t="e">
        <f>CWE!C226+"$5F&amp;!MM"</f>
        <v>#VALUE!</v>
      </c>
      <c r="CJ63" t="e">
        <f>CWE!D226+"$5F&amp;!MN"</f>
        <v>#VALUE!</v>
      </c>
      <c r="CK63" t="e">
        <f>CWE!B227+"$5F&amp;!MO"</f>
        <v>#VALUE!</v>
      </c>
      <c r="CL63" t="e">
        <f>CWE!C227+"$5F&amp;!MP"</f>
        <v>#VALUE!</v>
      </c>
      <c r="CM63" t="e">
        <f>CWE!D227+"$5F&amp;!MQ"</f>
        <v>#VALUE!</v>
      </c>
      <c r="CN63" t="e">
        <f>CWE!B228+"$5F&amp;!MR"</f>
        <v>#VALUE!</v>
      </c>
      <c r="CO63" t="e">
        <f>CWE!C228+"$5F&amp;!MS"</f>
        <v>#VALUE!</v>
      </c>
      <c r="CP63" t="e">
        <f>CWE!D228+"$5F&amp;!MT"</f>
        <v>#VALUE!</v>
      </c>
      <c r="CQ63" t="e">
        <f>CWE!B229+"$5F&amp;!MU"</f>
        <v>#VALUE!</v>
      </c>
      <c r="CR63" t="e">
        <f>CWE!C229+"$5F&amp;!MV"</f>
        <v>#VALUE!</v>
      </c>
      <c r="CS63" t="e">
        <f>CWE!D229+"$5F&amp;!MW"</f>
        <v>#VALUE!</v>
      </c>
      <c r="CT63" t="e">
        <f>CWE!B230+"$5F&amp;!MX"</f>
        <v>#VALUE!</v>
      </c>
      <c r="CU63" t="e">
        <f>CWE!C230+"$5F&amp;!MY"</f>
        <v>#VALUE!</v>
      </c>
      <c r="CV63" t="e">
        <f>CWE!D230+"$5F&amp;!MZ"</f>
        <v>#VALUE!</v>
      </c>
      <c r="CW63" t="e">
        <f>CWE!B231+"$5F&amp;!M["</f>
        <v>#VALUE!</v>
      </c>
      <c r="CX63" t="e">
        <f>CWE!C231+"$5F&amp;!M\"</f>
        <v>#VALUE!</v>
      </c>
      <c r="CY63" t="e">
        <f>CWE!D231+"$5F&amp;!M]"</f>
        <v>#VALUE!</v>
      </c>
      <c r="CZ63" t="e">
        <f>CWE!B232+"$5F&amp;!M^"</f>
        <v>#VALUE!</v>
      </c>
      <c r="DA63" t="e">
        <f>CWE!C232+"$5F&amp;!M_"</f>
        <v>#VALUE!</v>
      </c>
      <c r="DB63" t="e">
        <f>CWE!D232+"$5F&amp;!M`"</f>
        <v>#VALUE!</v>
      </c>
      <c r="DC63" t="e">
        <f>CWE!B233+"$5F&amp;!Ma"</f>
        <v>#VALUE!</v>
      </c>
      <c r="DD63" t="e">
        <f>CWE!C233+"$5F&amp;!Mb"</f>
        <v>#VALUE!</v>
      </c>
      <c r="DE63" t="e">
        <f>CWE!D233+"$5F&amp;!Mc"</f>
        <v>#VALUE!</v>
      </c>
      <c r="DF63" t="e">
        <f>CWE!B234+"$5F&amp;!Md"</f>
        <v>#VALUE!</v>
      </c>
      <c r="DG63" t="e">
        <f>CWE!C234+"$5F&amp;!Me"</f>
        <v>#VALUE!</v>
      </c>
      <c r="DH63" t="e">
        <f>CWE!D234+"$5F&amp;!Mf"</f>
        <v>#VALUE!</v>
      </c>
      <c r="DI63" t="e">
        <f>CWE!B235+"$5F&amp;!Mg"</f>
        <v>#VALUE!</v>
      </c>
      <c r="DJ63" t="e">
        <f>CWE!C235+"$5F&amp;!Mh"</f>
        <v>#VALUE!</v>
      </c>
      <c r="DK63" t="e">
        <f>CWE!D235+"$5F&amp;!Mi"</f>
        <v>#VALUE!</v>
      </c>
      <c r="DL63" t="e">
        <f>CWE!B236+"$5F&amp;!Mj"</f>
        <v>#VALUE!</v>
      </c>
      <c r="DM63" t="e">
        <f>CWE!C236+"$5F&amp;!Mk"</f>
        <v>#VALUE!</v>
      </c>
      <c r="DN63" t="e">
        <f>CWE!D236+"$5F&amp;!Ml"</f>
        <v>#VALUE!</v>
      </c>
      <c r="DO63" t="e">
        <f>CWE!B237+"$5F&amp;!Mm"</f>
        <v>#VALUE!</v>
      </c>
      <c r="DP63" t="e">
        <f>CWE!C237+"$5F&amp;!Mn"</f>
        <v>#VALUE!</v>
      </c>
      <c r="DQ63" t="e">
        <f>CWE!D237+"$5F&amp;!Mo"</f>
        <v>#VALUE!</v>
      </c>
      <c r="DR63" t="e">
        <f>CWE!B238+"$5F&amp;!Mp"</f>
        <v>#VALUE!</v>
      </c>
      <c r="DS63" t="e">
        <f>CWE!C238+"$5F&amp;!Mq"</f>
        <v>#VALUE!</v>
      </c>
      <c r="DT63" t="e">
        <f>CWE!D238+"$5F&amp;!Mr"</f>
        <v>#VALUE!</v>
      </c>
      <c r="DU63" t="e">
        <f>CWE!B239+"$5F&amp;!Ms"</f>
        <v>#VALUE!</v>
      </c>
      <c r="DV63" t="e">
        <f>CWE!C239+"$5F&amp;!Mt"</f>
        <v>#VALUE!</v>
      </c>
      <c r="DW63" t="e">
        <f>CWE!D239+"$5F&amp;!Mu"</f>
        <v>#VALUE!</v>
      </c>
      <c r="DX63" t="e">
        <f>CWE!B240+"$5F&amp;!Mv"</f>
        <v>#VALUE!</v>
      </c>
      <c r="DY63" t="e">
        <f>CWE!C240+"$5F&amp;!Mw"</f>
        <v>#VALUE!</v>
      </c>
      <c r="DZ63" t="e">
        <f>CWE!D240+"$5F&amp;!Mx"</f>
        <v>#VALUE!</v>
      </c>
      <c r="EA63" t="e">
        <f>CWE!B241+"$5F&amp;!My"</f>
        <v>#VALUE!</v>
      </c>
      <c r="EB63" t="e">
        <f>CWE!C241+"$5F&amp;!Mz"</f>
        <v>#VALUE!</v>
      </c>
      <c r="EC63" t="e">
        <f>CWE!D241+"$5F&amp;!M{"</f>
        <v>#VALUE!</v>
      </c>
      <c r="ED63" t="e">
        <f>CWE!B242+"$5F&amp;!M|"</f>
        <v>#VALUE!</v>
      </c>
      <c r="EE63" t="e">
        <f>CWE!C242+"$5F&amp;!M}"</f>
        <v>#VALUE!</v>
      </c>
      <c r="EF63" t="e">
        <f>CWE!D242+"$5F&amp;!M~"</f>
        <v>#VALUE!</v>
      </c>
      <c r="EG63" t="e">
        <f>CWE!B243+"$5F&amp;!N#"</f>
        <v>#VALUE!</v>
      </c>
      <c r="EH63" t="e">
        <f>CWE!C243+"$5F&amp;!N$"</f>
        <v>#VALUE!</v>
      </c>
      <c r="EI63" t="e">
        <f>CWE!D243+"$5F&amp;!N%"</f>
        <v>#VALUE!</v>
      </c>
      <c r="EJ63" t="e">
        <f>CWE!B244+"$5F&amp;!N&amp;"</f>
        <v>#VALUE!</v>
      </c>
      <c r="EK63" t="e">
        <f>CWE!C244+"$5F&amp;!N'"</f>
        <v>#VALUE!</v>
      </c>
      <c r="EL63" t="e">
        <f>CWE!D244+"$5F&amp;!N("</f>
        <v>#VALUE!</v>
      </c>
      <c r="EM63" t="e">
        <f>CWE!B245+"$5F&amp;!N)"</f>
        <v>#VALUE!</v>
      </c>
      <c r="EN63" t="e">
        <f>CWE!C245+"$5F&amp;!N."</f>
        <v>#VALUE!</v>
      </c>
      <c r="EO63" t="e">
        <f>CWE!D245+"$5F&amp;!N/"</f>
        <v>#VALUE!</v>
      </c>
      <c r="EP63" t="e">
        <f>CWE!B246+"$5F&amp;!N0"</f>
        <v>#VALUE!</v>
      </c>
      <c r="EQ63" t="e">
        <f>CWE!C246+"$5F&amp;!N1"</f>
        <v>#VALUE!</v>
      </c>
      <c r="ER63" t="e">
        <f>CWE!D246+"$5F&amp;!N2"</f>
        <v>#VALUE!</v>
      </c>
      <c r="ES63" t="e">
        <f>CWE!B247+"$5F&amp;!N3"</f>
        <v>#VALUE!</v>
      </c>
      <c r="ET63" t="e">
        <f>CWE!C247+"$5F&amp;!N4"</f>
        <v>#VALUE!</v>
      </c>
      <c r="EU63" t="e">
        <f>CWE!D247+"$5F&amp;!N5"</f>
        <v>#VALUE!</v>
      </c>
      <c r="EV63" t="e">
        <f>CWE!B248+"$5F&amp;!N6"</f>
        <v>#VALUE!</v>
      </c>
      <c r="EW63" t="e">
        <f>CWE!C248+"$5F&amp;!N7"</f>
        <v>#VALUE!</v>
      </c>
      <c r="EX63" t="e">
        <f>CWE!D248+"$5F&amp;!N8"</f>
        <v>#VALUE!</v>
      </c>
      <c r="EY63" t="e">
        <f>CWE!B249+"$5F&amp;!N9"</f>
        <v>#VALUE!</v>
      </c>
      <c r="EZ63" t="e">
        <f>CWE!C249+"$5F&amp;!N:"</f>
        <v>#VALUE!</v>
      </c>
      <c r="FA63" t="e">
        <f>CWE!D249+"$5F&amp;!N;"</f>
        <v>#VALUE!</v>
      </c>
      <c r="FB63" t="e">
        <f>CWE!B250+"$5F&amp;!N&lt;"</f>
        <v>#VALUE!</v>
      </c>
      <c r="FC63" t="e">
        <f>CWE!C250+"$5F&amp;!N="</f>
        <v>#VALUE!</v>
      </c>
      <c r="FD63" t="e">
        <f>CWE!D250+"$5F&amp;!N&gt;"</f>
        <v>#VALUE!</v>
      </c>
      <c r="FE63" t="e">
        <f>CWE!B251+"$5F&amp;!N?"</f>
        <v>#VALUE!</v>
      </c>
      <c r="FF63" t="e">
        <f>CWE!C251+"$5F&amp;!N@"</f>
        <v>#VALUE!</v>
      </c>
      <c r="FG63" t="e">
        <f>CWE!D251+"$5F&amp;!NA"</f>
        <v>#VALUE!</v>
      </c>
      <c r="FH63" t="e">
        <f>CWE!B252+"$5F&amp;!NB"</f>
        <v>#VALUE!</v>
      </c>
      <c r="FI63" t="e">
        <f>CWE!C252+"$5F&amp;!NC"</f>
        <v>#VALUE!</v>
      </c>
      <c r="FJ63" t="e">
        <f>CWE!D252+"$5F&amp;!ND"</f>
        <v>#VALUE!</v>
      </c>
      <c r="FK63" t="e">
        <f>CWE!B253+"$5F&amp;!NE"</f>
        <v>#VALUE!</v>
      </c>
      <c r="FL63" t="e">
        <f>CWE!C253+"$5F&amp;!NF"</f>
        <v>#VALUE!</v>
      </c>
      <c r="FM63" t="e">
        <f>CWE!D253+"$5F&amp;!NG"</f>
        <v>#VALUE!</v>
      </c>
      <c r="FN63" t="e">
        <f>CWE!B254+"$5F&amp;!NH"</f>
        <v>#VALUE!</v>
      </c>
      <c r="FO63" t="e">
        <f>CWE!C254+"$5F&amp;!NI"</f>
        <v>#VALUE!</v>
      </c>
      <c r="FP63" t="e">
        <f>CWE!D254+"$5F&amp;!NJ"</f>
        <v>#VALUE!</v>
      </c>
      <c r="FQ63" t="e">
        <f>CWE!B255+"$5F&amp;!NK"</f>
        <v>#VALUE!</v>
      </c>
      <c r="FR63" t="e">
        <f>CWE!C255+"$5F&amp;!NL"</f>
        <v>#VALUE!</v>
      </c>
      <c r="FS63" t="e">
        <f>CWE!D255+"$5F&amp;!NM"</f>
        <v>#VALUE!</v>
      </c>
      <c r="FT63" t="e">
        <f>CWE!B256+"$5F&amp;!NN"</f>
        <v>#VALUE!</v>
      </c>
      <c r="FU63" t="e">
        <f>CWE!C256+"$5F&amp;!NO"</f>
        <v>#VALUE!</v>
      </c>
      <c r="FV63" t="e">
        <f>CWE!D256+"$5F&amp;!NP"</f>
        <v>#VALUE!</v>
      </c>
      <c r="FW63" t="e">
        <f>CWE!B257+"$5F&amp;!NQ"</f>
        <v>#VALUE!</v>
      </c>
      <c r="FX63" t="e">
        <f>CWE!C257+"$5F&amp;!NR"</f>
        <v>#VALUE!</v>
      </c>
      <c r="FY63" t="e">
        <f>CWE!D257+"$5F&amp;!NS"</f>
        <v>#VALUE!</v>
      </c>
      <c r="FZ63" t="e">
        <f>CWE!B258+"$5F&amp;!NT"</f>
        <v>#VALUE!</v>
      </c>
      <c r="GA63" t="e">
        <f>CWE!C258+"$5F&amp;!NU"</f>
        <v>#VALUE!</v>
      </c>
      <c r="GB63" t="e">
        <f>CWE!D258+"$5F&amp;!NV"</f>
        <v>#VALUE!</v>
      </c>
      <c r="GC63" t="e">
        <f>CWE!B259+"$5F&amp;!NW"</f>
        <v>#VALUE!</v>
      </c>
      <c r="GD63" t="e">
        <f>CWE!C259+"$5F&amp;!NX"</f>
        <v>#VALUE!</v>
      </c>
      <c r="GE63" t="e">
        <f>CWE!D259+"$5F&amp;!NY"</f>
        <v>#VALUE!</v>
      </c>
      <c r="GF63" t="e">
        <f>CWE!B260+"$5F&amp;!NZ"</f>
        <v>#VALUE!</v>
      </c>
      <c r="GG63" t="e">
        <f>CWE!C260+"$5F&amp;!N["</f>
        <v>#VALUE!</v>
      </c>
      <c r="GH63" t="e">
        <f>CWE!D260+"$5F&amp;!N\"</f>
        <v>#VALUE!</v>
      </c>
      <c r="GI63" t="e">
        <f>CWE!B261+"$5F&amp;!N]"</f>
        <v>#VALUE!</v>
      </c>
      <c r="GJ63" t="e">
        <f>CWE!C261+"$5F&amp;!N^"</f>
        <v>#VALUE!</v>
      </c>
      <c r="GK63" t="e">
        <f>CWE!D261+"$5F&amp;!N_"</f>
        <v>#VALUE!</v>
      </c>
      <c r="GL63" t="e">
        <f>CWE!B262+"$5F&amp;!N`"</f>
        <v>#VALUE!</v>
      </c>
      <c r="GM63" t="e">
        <f>CWE!C262+"$5F&amp;!Na"</f>
        <v>#VALUE!</v>
      </c>
      <c r="GN63" t="e">
        <f>CWE!D262+"$5F&amp;!Nb"</f>
        <v>#VALUE!</v>
      </c>
      <c r="GO63" t="e">
        <f>CWE!B263+"$5F&amp;!Nc"</f>
        <v>#VALUE!</v>
      </c>
      <c r="GP63" t="e">
        <f>CWE!C263+"$5F&amp;!Nd"</f>
        <v>#VALUE!</v>
      </c>
      <c r="GQ63" t="e">
        <f>CWE!D263+"$5F&amp;!Ne"</f>
        <v>#VALUE!</v>
      </c>
      <c r="GR63" t="e">
        <f>CWE!B264+"$5F&amp;!Nf"</f>
        <v>#VALUE!</v>
      </c>
      <c r="GS63" t="e">
        <f>CWE!C264+"$5F&amp;!Ng"</f>
        <v>#VALUE!</v>
      </c>
      <c r="GT63" t="e">
        <f>CWE!D264+"$5F&amp;!Nh"</f>
        <v>#VALUE!</v>
      </c>
      <c r="GU63" t="e">
        <f>CWE!B265+"$5F&amp;!Ni"</f>
        <v>#VALUE!</v>
      </c>
      <c r="GV63" t="e">
        <f>CWE!C265+"$5F&amp;!Nj"</f>
        <v>#VALUE!</v>
      </c>
      <c r="GW63" t="e">
        <f>CWE!D265+"$5F&amp;!Nk"</f>
        <v>#VALUE!</v>
      </c>
      <c r="GX63" t="e">
        <f>CWE!B266+"$5F&amp;!Nl"</f>
        <v>#VALUE!</v>
      </c>
      <c r="GY63" t="e">
        <f>CWE!C266+"$5F&amp;!Nm"</f>
        <v>#VALUE!</v>
      </c>
      <c r="GZ63" t="e">
        <f>CWE!D266+"$5F&amp;!Nn"</f>
        <v>#VALUE!</v>
      </c>
      <c r="HA63" t="e">
        <f>CWE!B267+"$5F&amp;!No"</f>
        <v>#VALUE!</v>
      </c>
      <c r="HB63" t="e">
        <f>CWE!C267+"$5F&amp;!Np"</f>
        <v>#VALUE!</v>
      </c>
      <c r="HC63" t="e">
        <f>CWE!D267+"$5F&amp;!Nq"</f>
        <v>#VALUE!</v>
      </c>
      <c r="HD63" t="e">
        <f>CWE!B268+"$5F&amp;!Nr"</f>
        <v>#VALUE!</v>
      </c>
      <c r="HE63" t="e">
        <f>CWE!C268+"$5F&amp;!Ns"</f>
        <v>#VALUE!</v>
      </c>
      <c r="HF63" t="e">
        <f>CWE!D268+"$5F&amp;!Nt"</f>
        <v>#VALUE!</v>
      </c>
      <c r="HG63" t="e">
        <f>CWE!B269+"$5F&amp;!Nu"</f>
        <v>#VALUE!</v>
      </c>
      <c r="HH63" t="e">
        <f>CWE!C269+"$5F&amp;!Nv"</f>
        <v>#VALUE!</v>
      </c>
      <c r="HI63" t="e">
        <f>CWE!D269+"$5F&amp;!Nw"</f>
        <v>#VALUE!</v>
      </c>
      <c r="HJ63" t="e">
        <f>CWE!B270+"$5F&amp;!Nx"</f>
        <v>#VALUE!</v>
      </c>
      <c r="HK63" t="e">
        <f>CWE!C270+"$5F&amp;!Ny"</f>
        <v>#VALUE!</v>
      </c>
      <c r="HL63" t="e">
        <f>CWE!D270+"$5F&amp;!Nz"</f>
        <v>#VALUE!</v>
      </c>
      <c r="HM63" t="e">
        <f>CWE!B271+"$5F&amp;!N{"</f>
        <v>#VALUE!</v>
      </c>
      <c r="HN63" t="e">
        <f>CWE!C271+"$5F&amp;!N|"</f>
        <v>#VALUE!</v>
      </c>
      <c r="HO63" t="e">
        <f>CWE!D271+"$5F&amp;!N}"</f>
        <v>#VALUE!</v>
      </c>
      <c r="HP63" t="e">
        <f>CWE!B272+"$5F&amp;!N~"</f>
        <v>#VALUE!</v>
      </c>
      <c r="HQ63" t="e">
        <f>CWE!C272+"$5F&amp;!O#"</f>
        <v>#VALUE!</v>
      </c>
      <c r="HR63" t="e">
        <f>CWE!D272+"$5F&amp;!O$"</f>
        <v>#VALUE!</v>
      </c>
      <c r="HS63" t="e">
        <f>CWE!B273+"$5F&amp;!O%"</f>
        <v>#VALUE!</v>
      </c>
      <c r="HT63" t="e">
        <f>CWE!C273+"$5F&amp;!O&amp;"</f>
        <v>#VALUE!</v>
      </c>
      <c r="HU63" t="e">
        <f>CWE!D273+"$5F&amp;!O'"</f>
        <v>#VALUE!</v>
      </c>
      <c r="HV63" t="e">
        <f>CWE!B274+"$5F&amp;!O("</f>
        <v>#VALUE!</v>
      </c>
      <c r="HW63" t="e">
        <f>CWE!C274+"$5F&amp;!O)"</f>
        <v>#VALUE!</v>
      </c>
      <c r="HX63" t="e">
        <f>CWE!D274+"$5F&amp;!O."</f>
        <v>#VALUE!</v>
      </c>
      <c r="HY63" t="e">
        <f>CWE!B275+"$5F&amp;!O/"</f>
        <v>#VALUE!</v>
      </c>
      <c r="HZ63" t="e">
        <f>CWE!C275+"$5F&amp;!O0"</f>
        <v>#VALUE!</v>
      </c>
      <c r="IA63" t="e">
        <f>CWE!D275+"$5F&amp;!O1"</f>
        <v>#VALUE!</v>
      </c>
      <c r="IB63" t="e">
        <f>CWE!B276+"$5F&amp;!O2"</f>
        <v>#VALUE!</v>
      </c>
      <c r="IC63" t="e">
        <f>CWE!C276+"$5F&amp;!O3"</f>
        <v>#VALUE!</v>
      </c>
      <c r="ID63" t="e">
        <f>CWE!D276+"$5F&amp;!O4"</f>
        <v>#VALUE!</v>
      </c>
      <c r="IE63" t="e">
        <f>CWE!B277+"$5F&amp;!O5"</f>
        <v>#VALUE!</v>
      </c>
      <c r="IF63" t="e">
        <f>CWE!C277+"$5F&amp;!O6"</f>
        <v>#VALUE!</v>
      </c>
      <c r="IG63" t="e">
        <f>CWE!D277+"$5F&amp;!O7"</f>
        <v>#VALUE!</v>
      </c>
      <c r="IH63" t="e">
        <f>CWE!B278+"$5F&amp;!O8"</f>
        <v>#VALUE!</v>
      </c>
      <c r="II63" t="e">
        <f>CWE!C278+"$5F&amp;!O9"</f>
        <v>#VALUE!</v>
      </c>
      <c r="IJ63" t="e">
        <f>CWE!D278+"$5F&amp;!O:"</f>
        <v>#VALUE!</v>
      </c>
      <c r="IK63" t="e">
        <f>CWE!B279+"$5F&amp;!O;"</f>
        <v>#VALUE!</v>
      </c>
      <c r="IL63" t="e">
        <f>CWE!C279+"$5F&amp;!O&lt;"</f>
        <v>#VALUE!</v>
      </c>
      <c r="IM63" t="e">
        <f>CWE!D279+"$5F&amp;!O="</f>
        <v>#VALUE!</v>
      </c>
      <c r="IN63" t="e">
        <f>CWE!B280+"$5F&amp;!O&gt;"</f>
        <v>#VALUE!</v>
      </c>
      <c r="IO63" t="e">
        <f>CWE!C280+"$5F&amp;!O?"</f>
        <v>#VALUE!</v>
      </c>
      <c r="IP63" t="e">
        <f>CWE!D280+"$5F&amp;!O@"</f>
        <v>#VALUE!</v>
      </c>
      <c r="IQ63" t="e">
        <f>CWE!B281+"$5F&amp;!OA"</f>
        <v>#VALUE!</v>
      </c>
      <c r="IR63" t="e">
        <f>CWE!C281+"$5F&amp;!OB"</f>
        <v>#VALUE!</v>
      </c>
      <c r="IS63" t="e">
        <f>CWE!D281+"$5F&amp;!OC"</f>
        <v>#VALUE!</v>
      </c>
      <c r="IT63" t="e">
        <f>CWE!B282+"$5F&amp;!OD"</f>
        <v>#VALUE!</v>
      </c>
      <c r="IU63" t="e">
        <f>CWE!C282+"$5F&amp;!OE"</f>
        <v>#VALUE!</v>
      </c>
      <c r="IV63" t="e">
        <f>CWE!D282+"$5F&amp;!OF"</f>
        <v>#VALUE!</v>
      </c>
    </row>
    <row r="64" spans="6:256" x14ac:dyDescent="0.25">
      <c r="F64" t="e">
        <f>CWE!B283+"$5F&amp;!OG"</f>
        <v>#VALUE!</v>
      </c>
      <c r="G64" t="e">
        <f>CWE!C283+"$5F&amp;!OH"</f>
        <v>#VALUE!</v>
      </c>
      <c r="H64" t="e">
        <f>CWE!D283+"$5F&amp;!OI"</f>
        <v>#VALUE!</v>
      </c>
      <c r="I64" t="e">
        <f>CWE!B284+"$5F&amp;!OJ"</f>
        <v>#VALUE!</v>
      </c>
      <c r="J64" t="e">
        <f>CWE!C284+"$5F&amp;!OK"</f>
        <v>#VALUE!</v>
      </c>
      <c r="K64" t="e">
        <f>CWE!D284+"$5F&amp;!OL"</f>
        <v>#VALUE!</v>
      </c>
      <c r="L64" t="e">
        <f>CWE!B285+"$5F&amp;!OM"</f>
        <v>#VALUE!</v>
      </c>
      <c r="M64" t="e">
        <f>CWE!C285+"$5F&amp;!ON"</f>
        <v>#VALUE!</v>
      </c>
      <c r="N64" t="e">
        <f>CWE!D285+"$5F&amp;!OO"</f>
        <v>#VALUE!</v>
      </c>
      <c r="O64" t="e">
        <f>CWE!B286+"$5F&amp;!OP"</f>
        <v>#VALUE!</v>
      </c>
      <c r="P64" t="e">
        <f>CWE!C286+"$5F&amp;!OQ"</f>
        <v>#VALUE!</v>
      </c>
      <c r="Q64" t="e">
        <f>CWE!D286+"$5F&amp;!OR"</f>
        <v>#VALUE!</v>
      </c>
      <c r="R64" t="e">
        <f>CWE!B287+"$5F&amp;!OS"</f>
        <v>#VALUE!</v>
      </c>
      <c r="S64" t="e">
        <f>CWE!C287+"$5F&amp;!OT"</f>
        <v>#VALUE!</v>
      </c>
      <c r="T64" t="e">
        <f>CWE!D287+"$5F&amp;!OU"</f>
        <v>#VALUE!</v>
      </c>
      <c r="U64" t="e">
        <f>CWE!B288+"$5F&amp;!OV"</f>
        <v>#VALUE!</v>
      </c>
      <c r="V64" t="e">
        <f>CWE!C288+"$5F&amp;!OW"</f>
        <v>#VALUE!</v>
      </c>
      <c r="W64" t="e">
        <f>CWE!D288+"$5F&amp;!OX"</f>
        <v>#VALUE!</v>
      </c>
      <c r="X64" t="e">
        <f>CWE!B289+"$5F&amp;!OY"</f>
        <v>#VALUE!</v>
      </c>
      <c r="Y64" t="e">
        <f>CWE!C289+"$5F&amp;!OZ"</f>
        <v>#VALUE!</v>
      </c>
      <c r="Z64" t="e">
        <f>CWE!D289+"$5F&amp;!O["</f>
        <v>#VALUE!</v>
      </c>
      <c r="AA64" t="e">
        <f>CWE!B290+"$5F&amp;!O\"</f>
        <v>#VALUE!</v>
      </c>
      <c r="AB64" t="e">
        <f>CWE!C290+"$5F&amp;!O]"</f>
        <v>#VALUE!</v>
      </c>
      <c r="AC64" t="e">
        <f>CWE!D290+"$5F&amp;!O^"</f>
        <v>#VALUE!</v>
      </c>
      <c r="AD64" t="e">
        <f>CWE!B291+"$5F&amp;!O_"</f>
        <v>#VALUE!</v>
      </c>
      <c r="AE64" t="e">
        <f>CWE!C291+"$5F&amp;!O`"</f>
        <v>#VALUE!</v>
      </c>
      <c r="AF64" t="e">
        <f>CWE!D291+"$5F&amp;!Oa"</f>
        <v>#VALUE!</v>
      </c>
      <c r="AG64" t="e">
        <f>CWE!B292+"$5F&amp;!Ob"</f>
        <v>#VALUE!</v>
      </c>
      <c r="AH64" t="e">
        <f>CWE!C292+"$5F&amp;!Oc"</f>
        <v>#VALUE!</v>
      </c>
      <c r="AI64" t="e">
        <f>CWE!D292+"$5F&amp;!Od"</f>
        <v>#VALUE!</v>
      </c>
      <c r="AJ64" t="e">
        <f>CWE!B293+"$5F&amp;!Oe"</f>
        <v>#VALUE!</v>
      </c>
      <c r="AK64" t="e">
        <f>CWE!C293+"$5F&amp;!Of"</f>
        <v>#VALUE!</v>
      </c>
      <c r="AL64" t="e">
        <f>CWE!D293+"$5F&amp;!Og"</f>
        <v>#VALUE!</v>
      </c>
      <c r="AM64" t="e">
        <f>CWE!B294+"$5F&amp;!Oh"</f>
        <v>#VALUE!</v>
      </c>
      <c r="AN64" t="e">
        <f>CWE!C294+"$5F&amp;!Oi"</f>
        <v>#VALUE!</v>
      </c>
      <c r="AO64" t="e">
        <f>CWE!D294+"$5F&amp;!Oj"</f>
        <v>#VALUE!</v>
      </c>
      <c r="AP64" t="e">
        <f>CWE!B295+"$5F&amp;!Ok"</f>
        <v>#VALUE!</v>
      </c>
      <c r="AQ64" t="e">
        <f>CWE!C295+"$5F&amp;!Ol"</f>
        <v>#VALUE!</v>
      </c>
      <c r="AR64" t="e">
        <f>CWE!D295+"$5F&amp;!Om"</f>
        <v>#VALUE!</v>
      </c>
      <c r="AS64" t="e">
        <f>CWE!B296+"$5F&amp;!On"</f>
        <v>#VALUE!</v>
      </c>
      <c r="AT64" t="e">
        <f>CWE!C296+"$5F&amp;!Oo"</f>
        <v>#VALUE!</v>
      </c>
      <c r="AU64" t="e">
        <f>CWE!D296+"$5F&amp;!Op"</f>
        <v>#VALUE!</v>
      </c>
      <c r="AV64" t="e">
        <f>CWE!B297+"$5F&amp;!Oq"</f>
        <v>#VALUE!</v>
      </c>
      <c r="AW64" t="e">
        <f>CWE!C297+"$5F&amp;!Or"</f>
        <v>#VALUE!</v>
      </c>
      <c r="AX64" t="e">
        <f>CWE!D297+"$5F&amp;!Os"</f>
        <v>#VALUE!</v>
      </c>
      <c r="AY64" t="e">
        <f>CWE!B298+"$5F&amp;!Ot"</f>
        <v>#VALUE!</v>
      </c>
      <c r="AZ64" t="e">
        <f>CWE!C298+"$5F&amp;!Ou"</f>
        <v>#VALUE!</v>
      </c>
      <c r="BA64" t="e">
        <f>CWE!D298+"$5F&amp;!Ov"</f>
        <v>#VALUE!</v>
      </c>
      <c r="BB64" t="e">
        <f>CWE!B299+"$5F&amp;!Ow"</f>
        <v>#VALUE!</v>
      </c>
      <c r="BC64" t="e">
        <f>CWE!C299+"$5F&amp;!Ox"</f>
        <v>#VALUE!</v>
      </c>
      <c r="BD64" t="e">
        <f>CWE!D299+"$5F&amp;!Oy"</f>
        <v>#VALUE!</v>
      </c>
      <c r="BE64" t="e">
        <f>CWE!B300+"$5F&amp;!Oz"</f>
        <v>#VALUE!</v>
      </c>
      <c r="BF64" t="e">
        <f>CWE!C300+"$5F&amp;!O{"</f>
        <v>#VALUE!</v>
      </c>
      <c r="BG64" t="e">
        <f>CWE!D300+"$5F&amp;!O|"</f>
        <v>#VALUE!</v>
      </c>
      <c r="BH64" t="e">
        <f>CWE!B301+"$5F&amp;!O}"</f>
        <v>#VALUE!</v>
      </c>
      <c r="BI64" t="e">
        <f>CWE!C301+"$5F&amp;!O~"</f>
        <v>#VALUE!</v>
      </c>
      <c r="BJ64" t="e">
        <f>CWE!D301+"$5F&amp;!P#"</f>
        <v>#VALUE!</v>
      </c>
      <c r="BK64" t="e">
        <f>CWE!B302+"$5F&amp;!P$"</f>
        <v>#VALUE!</v>
      </c>
      <c r="BL64" t="e">
        <f>CWE!C302+"$5F&amp;!P%"</f>
        <v>#VALUE!</v>
      </c>
      <c r="BM64" t="e">
        <f>CWE!D302+"$5F&amp;!P&amp;"</f>
        <v>#VALUE!</v>
      </c>
      <c r="BN64" t="e">
        <f>CWE!B303+"$5F&amp;!P'"</f>
        <v>#VALUE!</v>
      </c>
      <c r="BO64" t="e">
        <f>CWE!C303+"$5F&amp;!P("</f>
        <v>#VALUE!</v>
      </c>
      <c r="BP64" t="e">
        <f>CWE!D303+"$5F&amp;!P)"</f>
        <v>#VALUE!</v>
      </c>
      <c r="BQ64" t="e">
        <f>CWE!B304+"$5F&amp;!P."</f>
        <v>#VALUE!</v>
      </c>
      <c r="BR64" t="e">
        <f>CWE!C304+"$5F&amp;!P/"</f>
        <v>#VALUE!</v>
      </c>
      <c r="BS64" t="e">
        <f>CWE!D304+"$5F&amp;!P0"</f>
        <v>#VALUE!</v>
      </c>
      <c r="BT64" t="e">
        <f>CWE!B305+"$5F&amp;!P1"</f>
        <v>#VALUE!</v>
      </c>
      <c r="BU64" t="e">
        <f>CWE!C305+"$5F&amp;!P2"</f>
        <v>#VALUE!</v>
      </c>
      <c r="BV64" t="e">
        <f>CWE!D305+"$5F&amp;!P3"</f>
        <v>#VALUE!</v>
      </c>
      <c r="BW64" t="e">
        <f>CWE!B306+"$5F&amp;!P4"</f>
        <v>#VALUE!</v>
      </c>
      <c r="BX64" t="e">
        <f>CWE!C306+"$5F&amp;!P5"</f>
        <v>#VALUE!</v>
      </c>
      <c r="BY64" t="e">
        <f>CWE!D306+"$5F&amp;!P6"</f>
        <v>#VALUE!</v>
      </c>
      <c r="BZ64" t="e">
        <f>CWE!B307+"$5F&amp;!P7"</f>
        <v>#VALUE!</v>
      </c>
      <c r="CA64" t="e">
        <f>CWE!C307+"$5F&amp;!P8"</f>
        <v>#VALUE!</v>
      </c>
      <c r="CB64" t="e">
        <f>CWE!D307+"$5F&amp;!P9"</f>
        <v>#VALUE!</v>
      </c>
      <c r="CC64" t="e">
        <f>CWE!B308+"$5F&amp;!P:"</f>
        <v>#VALUE!</v>
      </c>
      <c r="CD64" t="e">
        <f>CWE!C308+"$5F&amp;!P;"</f>
        <v>#VALUE!</v>
      </c>
      <c r="CE64" t="e">
        <f>CWE!D308+"$5F&amp;!P&lt;"</f>
        <v>#VALUE!</v>
      </c>
      <c r="CF64" t="e">
        <f>CWE!B309+"$5F&amp;!P="</f>
        <v>#VALUE!</v>
      </c>
      <c r="CG64" t="e">
        <f>CWE!C309+"$5F&amp;!P&gt;"</f>
        <v>#VALUE!</v>
      </c>
      <c r="CH64" t="e">
        <f>CWE!D309+"$5F&amp;!P?"</f>
        <v>#VALUE!</v>
      </c>
      <c r="CI64" t="e">
        <f>CWE!B310+"$5F&amp;!P@"</f>
        <v>#VALUE!</v>
      </c>
      <c r="CJ64" t="e">
        <f>CWE!C310+"$5F&amp;!PA"</f>
        <v>#VALUE!</v>
      </c>
      <c r="CK64" t="e">
        <f>CWE!D310+"$5F&amp;!PB"</f>
        <v>#VALUE!</v>
      </c>
      <c r="CL64" t="e">
        <f>CWE!B311+"$5F&amp;!PC"</f>
        <v>#VALUE!</v>
      </c>
      <c r="CM64" t="e">
        <f>CWE!C311+"$5F&amp;!PD"</f>
        <v>#VALUE!</v>
      </c>
      <c r="CN64" t="e">
        <f>CWE!D311+"$5F&amp;!PE"</f>
        <v>#VALUE!</v>
      </c>
      <c r="CO64" t="e">
        <f>CWE!B312+"$5F&amp;!PF"</f>
        <v>#VALUE!</v>
      </c>
      <c r="CP64" t="e">
        <f>CWE!C312+"$5F&amp;!PG"</f>
        <v>#VALUE!</v>
      </c>
      <c r="CQ64" t="e">
        <f>CWE!D312+"$5F&amp;!PH"</f>
        <v>#VALUE!</v>
      </c>
      <c r="CR64" t="e">
        <f>CWE!B313+"$5F&amp;!PI"</f>
        <v>#VALUE!</v>
      </c>
      <c r="CS64" t="e">
        <f>CWE!C313+"$5F&amp;!PJ"</f>
        <v>#VALUE!</v>
      </c>
      <c r="CT64" t="e">
        <f>CWE!D313+"$5F&amp;!PK"</f>
        <v>#VALUE!</v>
      </c>
      <c r="CU64" t="e">
        <f>CWE!B314+"$5F&amp;!PL"</f>
        <v>#VALUE!</v>
      </c>
      <c r="CV64" t="e">
        <f>CWE!C314+"$5F&amp;!PM"</f>
        <v>#VALUE!</v>
      </c>
      <c r="CW64" t="e">
        <f>CWE!D314+"$5F&amp;!PN"</f>
        <v>#VALUE!</v>
      </c>
      <c r="CX64" t="e">
        <f>CWE!B315+"$5F&amp;!PO"</f>
        <v>#VALUE!</v>
      </c>
      <c r="CY64" t="e">
        <f>CWE!C315+"$5F&amp;!PP"</f>
        <v>#VALUE!</v>
      </c>
      <c r="CZ64" t="e">
        <f>CWE!D315+"$5F&amp;!PQ"</f>
        <v>#VALUE!</v>
      </c>
      <c r="DA64" t="e">
        <f>CWE!B316+"$5F&amp;!PR"</f>
        <v>#VALUE!</v>
      </c>
      <c r="DB64" t="e">
        <f>CWE!C316+"$5F&amp;!PS"</f>
        <v>#VALUE!</v>
      </c>
      <c r="DC64" t="e">
        <f>CWE!D316+"$5F&amp;!PT"</f>
        <v>#VALUE!</v>
      </c>
      <c r="DD64" t="e">
        <f>CWE!B317+"$5F&amp;!PU"</f>
        <v>#VALUE!</v>
      </c>
      <c r="DE64" t="e">
        <f>CWE!C317+"$5F&amp;!PV"</f>
        <v>#VALUE!</v>
      </c>
      <c r="DF64" t="e">
        <f>CWE!D317+"$5F&amp;!PW"</f>
        <v>#VALUE!</v>
      </c>
      <c r="DG64" t="e">
        <f>CWE!B318+"$5F&amp;!PX"</f>
        <v>#VALUE!</v>
      </c>
      <c r="DH64" t="e">
        <f>CWE!C318+"$5F&amp;!PY"</f>
        <v>#VALUE!</v>
      </c>
      <c r="DI64" t="e">
        <f>CWE!D318+"$5F&amp;!PZ"</f>
        <v>#VALUE!</v>
      </c>
      <c r="DJ64" t="e">
        <f>CWE!B319+"$5F&amp;!P["</f>
        <v>#VALUE!</v>
      </c>
      <c r="DK64" t="e">
        <f>CWE!C319+"$5F&amp;!P\"</f>
        <v>#VALUE!</v>
      </c>
      <c r="DL64" t="e">
        <f>CWE!D319+"$5F&amp;!P]"</f>
        <v>#VALUE!</v>
      </c>
      <c r="DM64" t="e">
        <f>CWE!B320+"$5F&amp;!P^"</f>
        <v>#VALUE!</v>
      </c>
      <c r="DN64" t="e">
        <f>CWE!C320+"$5F&amp;!P_"</f>
        <v>#VALUE!</v>
      </c>
      <c r="DO64" t="e">
        <f>CWE!D320+"$5F&amp;!P`"</f>
        <v>#VALUE!</v>
      </c>
      <c r="DP64" t="e">
        <f>CWE!B321+"$5F&amp;!Pa"</f>
        <v>#VALUE!</v>
      </c>
      <c r="DQ64" t="e">
        <f>CWE!C321+"$5F&amp;!Pb"</f>
        <v>#VALUE!</v>
      </c>
      <c r="DR64" t="e">
        <f>CWE!D321+"$5F&amp;!Pc"</f>
        <v>#VALUE!</v>
      </c>
      <c r="DS64" t="e">
        <f>CWE!B322+"$5F&amp;!Pd"</f>
        <v>#VALUE!</v>
      </c>
      <c r="DT64" t="e">
        <f>CWE!C322+"$5F&amp;!Pe"</f>
        <v>#VALUE!</v>
      </c>
      <c r="DU64" t="e">
        <f>CWE!D322+"$5F&amp;!Pf"</f>
        <v>#VALUE!</v>
      </c>
      <c r="DV64" t="e">
        <f>CWE!B323+"$5F&amp;!Pg"</f>
        <v>#VALUE!</v>
      </c>
      <c r="DW64" t="e">
        <f>CWE!C323+"$5F&amp;!Ph"</f>
        <v>#VALUE!</v>
      </c>
      <c r="DX64" t="e">
        <f>CWE!D323+"$5F&amp;!Pi"</f>
        <v>#VALUE!</v>
      </c>
      <c r="DY64" t="e">
        <f>CWE!B324+"$5F&amp;!Pj"</f>
        <v>#VALUE!</v>
      </c>
      <c r="DZ64" t="e">
        <f>CWE!C324+"$5F&amp;!Pk"</f>
        <v>#VALUE!</v>
      </c>
      <c r="EA64" t="e">
        <f>CWE!D324+"$5F&amp;!Pl"</f>
        <v>#VALUE!</v>
      </c>
      <c r="EB64" t="e">
        <f>CWE!B325+"$5F&amp;!Pm"</f>
        <v>#VALUE!</v>
      </c>
      <c r="EC64" t="e">
        <f>CWE!C325+"$5F&amp;!Pn"</f>
        <v>#VALUE!</v>
      </c>
      <c r="ED64" t="e">
        <f>CWE!D325+"$5F&amp;!Po"</f>
        <v>#VALUE!</v>
      </c>
      <c r="EE64" t="e">
        <f>CWE!B326+"$5F&amp;!Pp"</f>
        <v>#VALUE!</v>
      </c>
      <c r="EF64" t="e">
        <f>CWE!C326+"$5F&amp;!Pq"</f>
        <v>#VALUE!</v>
      </c>
      <c r="EG64" t="e">
        <f>CWE!D326+"$5F&amp;!Pr"</f>
        <v>#VALUE!</v>
      </c>
      <c r="EH64" t="e">
        <f>CWE!B327+"$5F&amp;!Ps"</f>
        <v>#VALUE!</v>
      </c>
      <c r="EI64" t="e">
        <f>CWE!C327+"$5F&amp;!Pt"</f>
        <v>#VALUE!</v>
      </c>
      <c r="EJ64" t="e">
        <f>CWE!D327+"$5F&amp;!Pu"</f>
        <v>#VALUE!</v>
      </c>
      <c r="EK64" t="e">
        <f>CWE!B328+"$5F&amp;!Pv"</f>
        <v>#VALUE!</v>
      </c>
      <c r="EL64" t="e">
        <f>CWE!C328+"$5F&amp;!Pw"</f>
        <v>#VALUE!</v>
      </c>
      <c r="EM64" t="e">
        <f>CWE!D328+"$5F&amp;!Px"</f>
        <v>#VALUE!</v>
      </c>
      <c r="EN64" t="e">
        <f>CWE!B329+"$5F&amp;!Py"</f>
        <v>#VALUE!</v>
      </c>
      <c r="EO64" t="e">
        <f>CWE!C329+"$5F&amp;!Pz"</f>
        <v>#VALUE!</v>
      </c>
      <c r="EP64" t="e">
        <f>CWE!D329+"$5F&amp;!P{"</f>
        <v>#VALUE!</v>
      </c>
      <c r="EQ64" t="e">
        <f>CWE!B330+"$5F&amp;!P|"</f>
        <v>#VALUE!</v>
      </c>
      <c r="ER64" t="e">
        <f>CWE!C330+"$5F&amp;!P}"</f>
        <v>#VALUE!</v>
      </c>
      <c r="ES64" t="e">
        <f>CWE!D330+"$5F&amp;!P~"</f>
        <v>#VALUE!</v>
      </c>
      <c r="ET64" t="e">
        <f>CWE!B331+"$5F&amp;!Q#"</f>
        <v>#VALUE!</v>
      </c>
      <c r="EU64" t="e">
        <f>CWE!C331+"$5F&amp;!Q$"</f>
        <v>#VALUE!</v>
      </c>
      <c r="EV64" t="e">
        <f>CWE!D331+"$5F&amp;!Q%"</f>
        <v>#VALUE!</v>
      </c>
      <c r="EW64" t="e">
        <f>CWE!B332+"$5F&amp;!Q&amp;"</f>
        <v>#VALUE!</v>
      </c>
      <c r="EX64" t="e">
        <f>CWE!C332+"$5F&amp;!Q'"</f>
        <v>#VALUE!</v>
      </c>
      <c r="EY64" t="e">
        <f>CWE!D332+"$5F&amp;!Q("</f>
        <v>#VALUE!</v>
      </c>
      <c r="EZ64" t="e">
        <f>CWE!B333+"$5F&amp;!Q)"</f>
        <v>#VALUE!</v>
      </c>
      <c r="FA64" t="e">
        <f>CWE!C333+"$5F&amp;!Q."</f>
        <v>#VALUE!</v>
      </c>
      <c r="FB64" t="e">
        <f>CWE!D333+"$5F&amp;!Q/"</f>
        <v>#VALUE!</v>
      </c>
      <c r="FC64" t="e">
        <f>CWE!B334+"$5F&amp;!Q0"</f>
        <v>#VALUE!</v>
      </c>
      <c r="FD64" t="e">
        <f>CWE!C334+"$5F&amp;!Q1"</f>
        <v>#VALUE!</v>
      </c>
      <c r="FE64" t="e">
        <f>CWE!D334+"$5F&amp;!Q2"</f>
        <v>#VALUE!</v>
      </c>
      <c r="FF64" t="e">
        <f>CWE!B335+"$5F&amp;!Q3"</f>
        <v>#VALUE!</v>
      </c>
      <c r="FG64" t="e">
        <f>CWE!C335+"$5F&amp;!Q4"</f>
        <v>#VALUE!</v>
      </c>
      <c r="FH64" t="e">
        <f>CWE!D335+"$5F&amp;!Q5"</f>
        <v>#VALUE!</v>
      </c>
      <c r="FI64" t="e">
        <f>CWE!B336+"$5F&amp;!Q6"</f>
        <v>#VALUE!</v>
      </c>
      <c r="FJ64" t="e">
        <f>CWE!C336+"$5F&amp;!Q7"</f>
        <v>#VALUE!</v>
      </c>
      <c r="FK64" t="e">
        <f>CWE!D336+"$5F&amp;!Q8"</f>
        <v>#VALUE!</v>
      </c>
      <c r="FL64" t="e">
        <f>CWE!B337+"$5F&amp;!Q9"</f>
        <v>#VALUE!</v>
      </c>
      <c r="FM64" t="e">
        <f>CWE!C337+"$5F&amp;!Q:"</f>
        <v>#VALUE!</v>
      </c>
      <c r="FN64" t="e">
        <f>CWE!D337+"$5F&amp;!Q;"</f>
        <v>#VALUE!</v>
      </c>
      <c r="FO64" t="e">
        <f>CWE!B338+"$5F&amp;!Q&lt;"</f>
        <v>#VALUE!</v>
      </c>
      <c r="FP64" t="e">
        <f>CWE!C338+"$5F&amp;!Q="</f>
        <v>#VALUE!</v>
      </c>
      <c r="FQ64" t="e">
        <f>CWE!D338+"$5F&amp;!Q&gt;"</f>
        <v>#VALUE!</v>
      </c>
      <c r="FR64" t="e">
        <f>CWE!B339+"$5F&amp;!Q?"</f>
        <v>#VALUE!</v>
      </c>
      <c r="FS64" t="e">
        <f>CWE!C339+"$5F&amp;!Q@"</f>
        <v>#VALUE!</v>
      </c>
      <c r="FT64" t="e">
        <f>CWE!D339+"$5F&amp;!QA"</f>
        <v>#VALUE!</v>
      </c>
      <c r="FU64" t="e">
        <f>CWE!B340+"$5F&amp;!QB"</f>
        <v>#VALUE!</v>
      </c>
      <c r="FV64" t="e">
        <f>CWE!C340+"$5F&amp;!QC"</f>
        <v>#VALUE!</v>
      </c>
      <c r="FW64" t="e">
        <f>CWE!D340+"$5F&amp;!QD"</f>
        <v>#VALUE!</v>
      </c>
      <c r="FX64" t="e">
        <f>CWE!B341+"$5F&amp;!QE"</f>
        <v>#VALUE!</v>
      </c>
      <c r="FY64" t="e">
        <f>CWE!C341+"$5F&amp;!QF"</f>
        <v>#VALUE!</v>
      </c>
      <c r="FZ64" t="e">
        <f>CWE!D341+"$5F&amp;!QG"</f>
        <v>#VALUE!</v>
      </c>
      <c r="GA64" t="e">
        <f>CWE!B342+"$5F&amp;!QH"</f>
        <v>#VALUE!</v>
      </c>
      <c r="GB64" t="e">
        <f>CWE!C342+"$5F&amp;!QI"</f>
        <v>#VALUE!</v>
      </c>
      <c r="GC64" t="e">
        <f>CWE!D342+"$5F&amp;!QJ"</f>
        <v>#VALUE!</v>
      </c>
      <c r="GD64" t="e">
        <f>CWE!B343+"$5F&amp;!QK"</f>
        <v>#VALUE!</v>
      </c>
      <c r="GE64" t="e">
        <f>CWE!C343+"$5F&amp;!QL"</f>
        <v>#VALUE!</v>
      </c>
      <c r="GF64" t="e">
        <f>CWE!D343+"$5F&amp;!QM"</f>
        <v>#VALUE!</v>
      </c>
      <c r="GG64" t="e">
        <f>CWE!B344+"$5F&amp;!QN"</f>
        <v>#VALUE!</v>
      </c>
      <c r="GH64" t="e">
        <f>CWE!C344+"$5F&amp;!QO"</f>
        <v>#VALUE!</v>
      </c>
      <c r="GI64" t="e">
        <f>CWE!D344+"$5F&amp;!QP"</f>
        <v>#VALUE!</v>
      </c>
      <c r="GJ64" t="e">
        <f>CWE!B345+"$5F&amp;!QQ"</f>
        <v>#VALUE!</v>
      </c>
      <c r="GK64" t="e">
        <f>CWE!C345+"$5F&amp;!QR"</f>
        <v>#VALUE!</v>
      </c>
      <c r="GL64" t="e">
        <f>CWE!D345+"$5F&amp;!QS"</f>
        <v>#VALUE!</v>
      </c>
      <c r="GM64" t="e">
        <f>CWE!B346+"$5F&amp;!QT"</f>
        <v>#VALUE!</v>
      </c>
      <c r="GN64" t="e">
        <f>CWE!C346+"$5F&amp;!QU"</f>
        <v>#VALUE!</v>
      </c>
      <c r="GO64" t="e">
        <f>CWE!D346+"$5F&amp;!QV"</f>
        <v>#VALUE!</v>
      </c>
      <c r="GP64" t="e">
        <f>CWE!B347+"$5F&amp;!QW"</f>
        <v>#VALUE!</v>
      </c>
      <c r="GQ64" t="e">
        <f>CWE!C347+"$5F&amp;!QX"</f>
        <v>#VALUE!</v>
      </c>
      <c r="GR64" t="e">
        <f>CWE!D347+"$5F&amp;!QY"</f>
        <v>#VALUE!</v>
      </c>
      <c r="GS64" t="e">
        <f>CWE!B348+"$5F&amp;!QZ"</f>
        <v>#VALUE!</v>
      </c>
      <c r="GT64" t="e">
        <f>CWE!C348+"$5F&amp;!Q["</f>
        <v>#VALUE!</v>
      </c>
      <c r="GU64" t="e">
        <f>CWE!D348+"$5F&amp;!Q\"</f>
        <v>#VALUE!</v>
      </c>
      <c r="GV64" t="e">
        <f>CWE!B349+"$5F&amp;!Q]"</f>
        <v>#VALUE!</v>
      </c>
      <c r="GW64" t="e">
        <f>CWE!C349+"$5F&amp;!Q^"</f>
        <v>#VALUE!</v>
      </c>
      <c r="GX64" t="e">
        <f>CWE!D349+"$5F&amp;!Q_"</f>
        <v>#VALUE!</v>
      </c>
      <c r="GY64" t="e">
        <f>CWE!B350+"$5F&amp;!Q`"</f>
        <v>#VALUE!</v>
      </c>
      <c r="GZ64" t="e">
        <f>CWE!C350+"$5F&amp;!Qa"</f>
        <v>#VALUE!</v>
      </c>
      <c r="HA64" t="e">
        <f>CWE!D350+"$5F&amp;!Qb"</f>
        <v>#VALUE!</v>
      </c>
      <c r="HB64" t="e">
        <f>CWE!B351+"$5F&amp;!Qc"</f>
        <v>#VALUE!</v>
      </c>
      <c r="HC64" t="e">
        <f>CWE!C351+"$5F&amp;!Qd"</f>
        <v>#VALUE!</v>
      </c>
      <c r="HD64" t="e">
        <f>CWE!D351+"$5F&amp;!Qe"</f>
        <v>#VALUE!</v>
      </c>
      <c r="HE64" t="e">
        <f>CWE!B352+"$5F&amp;!Qf"</f>
        <v>#VALUE!</v>
      </c>
      <c r="HF64" t="e">
        <f>CWE!C352+"$5F&amp;!Qg"</f>
        <v>#VALUE!</v>
      </c>
      <c r="HG64" t="e">
        <f>CWE!D352+"$5F&amp;!Qh"</f>
        <v>#VALUE!</v>
      </c>
      <c r="HH64" t="e">
        <f>CWE!B353+"$5F&amp;!Qi"</f>
        <v>#VALUE!</v>
      </c>
      <c r="HI64" t="e">
        <f>CWE!C353+"$5F&amp;!Qj"</f>
        <v>#VALUE!</v>
      </c>
      <c r="HJ64" t="e">
        <f>CWE!D353+"$5F&amp;!Qk"</f>
        <v>#VALUE!</v>
      </c>
      <c r="HK64" t="e">
        <f>CWE!B354+"$5F&amp;!Ql"</f>
        <v>#VALUE!</v>
      </c>
      <c r="HL64" t="e">
        <f>CWE!C354+"$5F&amp;!Qm"</f>
        <v>#VALUE!</v>
      </c>
      <c r="HM64" t="e">
        <f>CWE!D354+"$5F&amp;!Qn"</f>
        <v>#VALUE!</v>
      </c>
      <c r="HN64" t="e">
        <f>CWE!B355+"$5F&amp;!Qo"</f>
        <v>#VALUE!</v>
      </c>
      <c r="HO64" t="e">
        <f>CWE!C355+"$5F&amp;!Qp"</f>
        <v>#VALUE!</v>
      </c>
      <c r="HP64" t="e">
        <f>CWE!D355+"$5F&amp;!Qq"</f>
        <v>#VALUE!</v>
      </c>
      <c r="HQ64" t="e">
        <f>CWE!B356+"$5F&amp;!Qr"</f>
        <v>#VALUE!</v>
      </c>
      <c r="HR64" t="e">
        <f>CWE!C356+"$5F&amp;!Qs"</f>
        <v>#VALUE!</v>
      </c>
      <c r="HS64" t="e">
        <f>CWE!D356+"$5F&amp;!Qt"</f>
        <v>#VALUE!</v>
      </c>
      <c r="HT64" t="e">
        <f>CWE!B357+"$5F&amp;!Qu"</f>
        <v>#VALUE!</v>
      </c>
      <c r="HU64" t="e">
        <f>CWE!C357+"$5F&amp;!Qv"</f>
        <v>#VALUE!</v>
      </c>
      <c r="HV64" t="e">
        <f>CWE!D357+"$5F&amp;!Qw"</f>
        <v>#VALUE!</v>
      </c>
      <c r="HW64" t="e">
        <f>CWE!B358+"$5F&amp;!Qx"</f>
        <v>#VALUE!</v>
      </c>
      <c r="HX64" t="e">
        <f>CWE!C358+"$5F&amp;!Qy"</f>
        <v>#VALUE!</v>
      </c>
      <c r="HY64" t="e">
        <f>CWE!D358+"$5F&amp;!Qz"</f>
        <v>#VALUE!</v>
      </c>
      <c r="HZ64" t="e">
        <f>CWE!B359+"$5F&amp;!Q{"</f>
        <v>#VALUE!</v>
      </c>
      <c r="IA64" t="e">
        <f>CWE!C359+"$5F&amp;!Q|"</f>
        <v>#VALUE!</v>
      </c>
      <c r="IB64" t="e">
        <f>CWE!D359+"$5F&amp;!Q}"</f>
        <v>#VALUE!</v>
      </c>
      <c r="IC64" t="e">
        <f>CWE!B360+"$5F&amp;!Q~"</f>
        <v>#VALUE!</v>
      </c>
      <c r="ID64" t="e">
        <f>CWE!C360+"$5F&amp;!R#"</f>
        <v>#VALUE!</v>
      </c>
      <c r="IE64" t="e">
        <f>CWE!D360+"$5F&amp;!R$"</f>
        <v>#VALUE!</v>
      </c>
      <c r="IF64" t="e">
        <f>CWE!B361+"$5F&amp;!R%"</f>
        <v>#VALUE!</v>
      </c>
      <c r="IG64" t="e">
        <f>CWE!C361+"$5F&amp;!R&amp;"</f>
        <v>#VALUE!</v>
      </c>
      <c r="IH64" t="e">
        <f>CWE!D361+"$5F&amp;!R'"</f>
        <v>#VALUE!</v>
      </c>
      <c r="II64" t="e">
        <f>CWE!B362+"$5F&amp;!R("</f>
        <v>#VALUE!</v>
      </c>
      <c r="IJ64" t="e">
        <f>CWE!C362+"$5F&amp;!R)"</f>
        <v>#VALUE!</v>
      </c>
      <c r="IK64" t="e">
        <f>CWE!D362+"$5F&amp;!R."</f>
        <v>#VALUE!</v>
      </c>
      <c r="IL64" t="e">
        <f>CWE!B363+"$5F&amp;!R/"</f>
        <v>#VALUE!</v>
      </c>
      <c r="IM64" t="e">
        <f>CWE!C363+"$5F&amp;!R0"</f>
        <v>#VALUE!</v>
      </c>
      <c r="IN64" t="e">
        <f>CWE!D363+"$5F&amp;!R1"</f>
        <v>#VALUE!</v>
      </c>
      <c r="IO64" t="e">
        <f>CWE!B364+"$5F&amp;!R2"</f>
        <v>#VALUE!</v>
      </c>
      <c r="IP64" t="e">
        <f>CWE!C364+"$5F&amp;!R3"</f>
        <v>#VALUE!</v>
      </c>
      <c r="IQ64" t="e">
        <f>CWE!D364+"$5F&amp;!R4"</f>
        <v>#VALUE!</v>
      </c>
      <c r="IR64" t="e">
        <f>CWE!B365+"$5F&amp;!R5"</f>
        <v>#VALUE!</v>
      </c>
      <c r="IS64" t="e">
        <f>CWE!C365+"$5F&amp;!R6"</f>
        <v>#VALUE!</v>
      </c>
      <c r="IT64" t="e">
        <f>CWE!D365+"$5F&amp;!R7"</f>
        <v>#VALUE!</v>
      </c>
      <c r="IU64" t="e">
        <f>CWE!B366+"$5F&amp;!R8"</f>
        <v>#VALUE!</v>
      </c>
      <c r="IV64" t="e">
        <f>CWE!C366+"$5F&amp;!R9"</f>
        <v>#VALUE!</v>
      </c>
    </row>
    <row r="65" spans="6:256" x14ac:dyDescent="0.25">
      <c r="F65" t="e">
        <f>CWE!D366+"$5F&amp;!R:"</f>
        <v>#VALUE!</v>
      </c>
      <c r="G65" t="e">
        <f>CWE!B367+"$5F&amp;!R;"</f>
        <v>#VALUE!</v>
      </c>
      <c r="H65" t="e">
        <f>CWE!C367+"$5F&amp;!R&lt;"</f>
        <v>#VALUE!</v>
      </c>
      <c r="I65" t="e">
        <f>CWE!D367+"$5F&amp;!R="</f>
        <v>#VALUE!</v>
      </c>
      <c r="J65" t="e">
        <f>CWE!B368+"$5F&amp;!R&gt;"</f>
        <v>#VALUE!</v>
      </c>
      <c r="K65" t="e">
        <f>CWE!C368+"$5F&amp;!R?"</f>
        <v>#VALUE!</v>
      </c>
      <c r="L65" t="e">
        <f>CWE!D368+"$5F&amp;!R@"</f>
        <v>#VALUE!</v>
      </c>
      <c r="M65" t="e">
        <f>CWE!B369+"$5F&amp;!RA"</f>
        <v>#VALUE!</v>
      </c>
      <c r="N65" t="e">
        <f>CWE!C369+"$5F&amp;!RB"</f>
        <v>#VALUE!</v>
      </c>
      <c r="O65" t="e">
        <f>CWE!D369+"$5F&amp;!RC"</f>
        <v>#VALUE!</v>
      </c>
      <c r="P65" t="e">
        <f>CWE!B370+"$5F&amp;!RD"</f>
        <v>#VALUE!</v>
      </c>
      <c r="Q65" t="e">
        <f>CWE!C370+"$5F&amp;!RE"</f>
        <v>#VALUE!</v>
      </c>
      <c r="R65" t="e">
        <f>CWE!D370+"$5F&amp;!RF"</f>
        <v>#VALUE!</v>
      </c>
      <c r="S65" t="e">
        <f>CWE!B371+"$5F&amp;!RG"</f>
        <v>#VALUE!</v>
      </c>
      <c r="T65" t="e">
        <f>CWE!C371+"$5F&amp;!RH"</f>
        <v>#VALUE!</v>
      </c>
      <c r="U65" t="e">
        <f>CWE!D371+"$5F&amp;!RI"</f>
        <v>#VALUE!</v>
      </c>
      <c r="V65" t="e">
        <f>CWE!B372+"$5F&amp;!RJ"</f>
        <v>#VALUE!</v>
      </c>
      <c r="W65" t="e">
        <f>CWE!C372+"$5F&amp;!RK"</f>
        <v>#VALUE!</v>
      </c>
      <c r="X65" t="e">
        <f>CWE!D372+"$5F&amp;!RL"</f>
        <v>#VALUE!</v>
      </c>
      <c r="Y65" t="e">
        <f>CWE!B373+"$5F&amp;!RM"</f>
        <v>#VALUE!</v>
      </c>
      <c r="Z65" t="e">
        <f>CWE!C373+"$5F&amp;!RN"</f>
        <v>#VALUE!</v>
      </c>
      <c r="AA65" t="e">
        <f>CWE!D373+"$5F&amp;!RO"</f>
        <v>#VALUE!</v>
      </c>
      <c r="AB65" t="e">
        <f>CWE!B374+"$5F&amp;!RP"</f>
        <v>#VALUE!</v>
      </c>
      <c r="AC65" t="e">
        <f>CWE!C374+"$5F&amp;!RQ"</f>
        <v>#VALUE!</v>
      </c>
      <c r="AD65" t="e">
        <f>CWE!D374+"$5F&amp;!RR"</f>
        <v>#VALUE!</v>
      </c>
      <c r="AE65" t="e">
        <f>CWE!B375+"$5F&amp;!RS"</f>
        <v>#VALUE!</v>
      </c>
      <c r="AF65" t="e">
        <f>CWE!C375+"$5F&amp;!RT"</f>
        <v>#VALUE!</v>
      </c>
      <c r="AG65" t="e">
        <f>CWE!D375+"$5F&amp;!RU"</f>
        <v>#VALUE!</v>
      </c>
      <c r="AH65" t="e">
        <f>CWE!B376+"$5F&amp;!RV"</f>
        <v>#VALUE!</v>
      </c>
      <c r="AI65" t="e">
        <f>CWE!C376+"$5F&amp;!RW"</f>
        <v>#VALUE!</v>
      </c>
      <c r="AJ65" t="e">
        <f>CWE!D376+"$5F&amp;!RX"</f>
        <v>#VALUE!</v>
      </c>
      <c r="AK65" t="e">
        <f>CWE!B377+"$5F&amp;!RY"</f>
        <v>#VALUE!</v>
      </c>
      <c r="AL65" t="e">
        <f>CWE!C377+"$5F&amp;!RZ"</f>
        <v>#VALUE!</v>
      </c>
      <c r="AM65" t="e">
        <f>CWE!D377+"$5F&amp;!R["</f>
        <v>#VALUE!</v>
      </c>
      <c r="AN65" t="e">
        <f>CWE!B378+"$5F&amp;!R\"</f>
        <v>#VALUE!</v>
      </c>
      <c r="AO65" t="e">
        <f>CWE!C378+"$5F&amp;!R]"</f>
        <v>#VALUE!</v>
      </c>
      <c r="AP65" t="e">
        <f>CWE!D378+"$5F&amp;!R^"</f>
        <v>#VALUE!</v>
      </c>
      <c r="AQ65" t="e">
        <f>CWE!B379+"$5F&amp;!R_"</f>
        <v>#VALUE!</v>
      </c>
      <c r="AR65" t="e">
        <f>CWE!C379+"$5F&amp;!R`"</f>
        <v>#VALUE!</v>
      </c>
      <c r="AS65" t="e">
        <f>CWE!D379+"$5F&amp;!Ra"</f>
        <v>#VALUE!</v>
      </c>
      <c r="AT65" t="e">
        <f>CWE!B380+"$5F&amp;!Rb"</f>
        <v>#VALUE!</v>
      </c>
      <c r="AU65" t="e">
        <f>CWE!C380+"$5F&amp;!Rc"</f>
        <v>#VALUE!</v>
      </c>
      <c r="AV65" t="e">
        <f>CWE!D380+"$5F&amp;!Rd"</f>
        <v>#VALUE!</v>
      </c>
      <c r="AW65" t="e">
        <f>CWE!B381+"$5F&amp;!Re"</f>
        <v>#VALUE!</v>
      </c>
      <c r="AX65" t="e">
        <f>CWE!C381+"$5F&amp;!Rf"</f>
        <v>#VALUE!</v>
      </c>
      <c r="AY65" t="e">
        <f>CWE!D381+"$5F&amp;!Rg"</f>
        <v>#VALUE!</v>
      </c>
      <c r="AZ65" t="e">
        <f>CWE!B382+"$5F&amp;!Rh"</f>
        <v>#VALUE!</v>
      </c>
      <c r="BA65" t="e">
        <f>CWE!C382+"$5F&amp;!Ri"</f>
        <v>#VALUE!</v>
      </c>
      <c r="BB65" t="e">
        <f>CWE!D382+"$5F&amp;!Rj"</f>
        <v>#VALUE!</v>
      </c>
      <c r="BC65" t="e">
        <f>CWE!B383+"$5F&amp;!Rk"</f>
        <v>#VALUE!</v>
      </c>
      <c r="BD65" t="e">
        <f>CWE!C383+"$5F&amp;!Rl"</f>
        <v>#VALUE!</v>
      </c>
      <c r="BE65" t="e">
        <f>CWE!D383+"$5F&amp;!Rm"</f>
        <v>#VALUE!</v>
      </c>
      <c r="BF65" t="e">
        <f>CWE!B384+"$5F&amp;!Rn"</f>
        <v>#VALUE!</v>
      </c>
      <c r="BG65" t="e">
        <f>CWE!C384+"$5F&amp;!Ro"</f>
        <v>#VALUE!</v>
      </c>
      <c r="BH65" t="e">
        <f>CWE!D384+"$5F&amp;!Rp"</f>
        <v>#VALUE!</v>
      </c>
      <c r="BI65" t="e">
        <f>CWE!B385+"$5F&amp;!Rq"</f>
        <v>#VALUE!</v>
      </c>
      <c r="BJ65" t="e">
        <f>CWE!C385+"$5F&amp;!Rr"</f>
        <v>#VALUE!</v>
      </c>
      <c r="BK65" t="e">
        <f>CWE!D385+"$5F&amp;!Rs"</f>
        <v>#VALUE!</v>
      </c>
      <c r="BL65" t="e">
        <f>CWE!B386+"$5F&amp;!Rt"</f>
        <v>#VALUE!</v>
      </c>
      <c r="BM65" t="e">
        <f>CWE!C386+"$5F&amp;!Ru"</f>
        <v>#VALUE!</v>
      </c>
      <c r="BN65" t="e">
        <f>CWE!D386+"$5F&amp;!Rv"</f>
        <v>#VALUE!</v>
      </c>
      <c r="BO65" t="e">
        <f>CWE!B387+"$5F&amp;!Rw"</f>
        <v>#VALUE!</v>
      </c>
      <c r="BP65" t="e">
        <f>CWE!C387+"$5F&amp;!Rx"</f>
        <v>#VALUE!</v>
      </c>
      <c r="BQ65" t="e">
        <f>CWE!D387+"$5F&amp;!Ry"</f>
        <v>#VALUE!</v>
      </c>
      <c r="BR65" t="e">
        <f>CWE!B388+"$5F&amp;!Rz"</f>
        <v>#VALUE!</v>
      </c>
      <c r="BS65" t="e">
        <f>CWE!C388+"$5F&amp;!R{"</f>
        <v>#VALUE!</v>
      </c>
      <c r="BT65" t="e">
        <f>CWE!D388+"$5F&amp;!R|"</f>
        <v>#VALUE!</v>
      </c>
      <c r="BU65" t="e">
        <f>CWE!B389+"$5F&amp;!R}"</f>
        <v>#VALUE!</v>
      </c>
      <c r="BV65" t="e">
        <f>CWE!C389+"$5F&amp;!R~"</f>
        <v>#VALUE!</v>
      </c>
      <c r="BW65" t="e">
        <f>CWE!D389+"$5F&amp;!S#"</f>
        <v>#VALUE!</v>
      </c>
      <c r="BX65" t="e">
        <f>CWE!B390+"$5F&amp;!S$"</f>
        <v>#VALUE!</v>
      </c>
      <c r="BY65" t="e">
        <f>CWE!C390+"$5F&amp;!S%"</f>
        <v>#VALUE!</v>
      </c>
      <c r="BZ65" t="e">
        <f>CWE!D390+"$5F&amp;!S&amp;"</f>
        <v>#VALUE!</v>
      </c>
      <c r="CA65" t="e">
        <f>CWE!B391+"$5F&amp;!S'"</f>
        <v>#VALUE!</v>
      </c>
      <c r="CB65" t="e">
        <f>CWE!C391+"$5F&amp;!S("</f>
        <v>#VALUE!</v>
      </c>
      <c r="CC65" t="e">
        <f>CWE!D391+"$5F&amp;!S)"</f>
        <v>#VALUE!</v>
      </c>
      <c r="CD65" t="e">
        <f>CWE!B392+"$5F&amp;!S."</f>
        <v>#VALUE!</v>
      </c>
      <c r="CE65" t="e">
        <f>CWE!C392+"$5F&amp;!S/"</f>
        <v>#VALUE!</v>
      </c>
      <c r="CF65" t="e">
        <f>CWE!D392+"$5F&amp;!S0"</f>
        <v>#VALUE!</v>
      </c>
      <c r="CG65" t="e">
        <f>CWE!B393+"$5F&amp;!S1"</f>
        <v>#VALUE!</v>
      </c>
      <c r="CH65" t="e">
        <f>CWE!C393+"$5F&amp;!S2"</f>
        <v>#VALUE!</v>
      </c>
      <c r="CI65" t="e">
        <f>CWE!D393+"$5F&amp;!S3"</f>
        <v>#VALUE!</v>
      </c>
      <c r="CJ65" t="e">
        <f>CWE!B394+"$5F&amp;!S4"</f>
        <v>#VALUE!</v>
      </c>
      <c r="CK65" t="e">
        <f>CWE!C394+"$5F&amp;!S5"</f>
        <v>#VALUE!</v>
      </c>
      <c r="CL65" t="e">
        <f>CWE!D394+"$5F&amp;!S6"</f>
        <v>#VALUE!</v>
      </c>
      <c r="CM65" t="e">
        <f>CWE!B395+"$5F&amp;!S7"</f>
        <v>#VALUE!</v>
      </c>
      <c r="CN65" t="e">
        <f>CWE!C395+"$5F&amp;!S8"</f>
        <v>#VALUE!</v>
      </c>
      <c r="CO65" t="e">
        <f>CWE!D395+"$5F&amp;!S9"</f>
        <v>#VALUE!</v>
      </c>
      <c r="CP65" t="e">
        <f>CWE!B396+"$5F&amp;!S:"</f>
        <v>#VALUE!</v>
      </c>
      <c r="CQ65" t="e">
        <f>CWE!C396+"$5F&amp;!S;"</f>
        <v>#VALUE!</v>
      </c>
      <c r="CR65" t="e">
        <f>CWE!D396+"$5F&amp;!S&lt;"</f>
        <v>#VALUE!</v>
      </c>
      <c r="CS65" t="e">
        <f>CWE!B397+"$5F&amp;!S="</f>
        <v>#VALUE!</v>
      </c>
      <c r="CT65" t="e">
        <f>CWE!C397+"$5F&amp;!S&gt;"</f>
        <v>#VALUE!</v>
      </c>
      <c r="CU65" t="e">
        <f>CWE!D397+"$5F&amp;!S?"</f>
        <v>#VALUE!</v>
      </c>
      <c r="CV65" t="e">
        <f>CWE!B398+"$5F&amp;!S@"</f>
        <v>#VALUE!</v>
      </c>
      <c r="CW65" t="e">
        <f>CWE!C398+"$5F&amp;!SA"</f>
        <v>#VALUE!</v>
      </c>
      <c r="CX65" t="e">
        <f>CWE!D398+"$5F&amp;!SB"</f>
        <v>#VALUE!</v>
      </c>
      <c r="CY65" t="e">
        <f>CWE!B399+"$5F&amp;!SC"</f>
        <v>#VALUE!</v>
      </c>
      <c r="CZ65" t="e">
        <f>CWE!C399+"$5F&amp;!SD"</f>
        <v>#VALUE!</v>
      </c>
      <c r="DA65" t="e">
        <f>CWE!D399+"$5F&amp;!SE"</f>
        <v>#VALUE!</v>
      </c>
      <c r="DB65" t="e">
        <f>CWE!B400+"$5F&amp;!SF"</f>
        <v>#VALUE!</v>
      </c>
      <c r="DC65" t="e">
        <f>CWE!C400+"$5F&amp;!SG"</f>
        <v>#VALUE!</v>
      </c>
      <c r="DD65" t="e">
        <f>CWE!D400+"$5F&amp;!SH"</f>
        <v>#VALUE!</v>
      </c>
      <c r="DE65" t="e">
        <f>CWE!B401+"$5F&amp;!SI"</f>
        <v>#VALUE!</v>
      </c>
      <c r="DF65" t="e">
        <f>CWE!C401+"$5F&amp;!SJ"</f>
        <v>#VALUE!</v>
      </c>
      <c r="DG65" t="e">
        <f>CWE!D401+"$5F&amp;!SK"</f>
        <v>#VALUE!</v>
      </c>
      <c r="DH65" t="e">
        <f>CWE!B402+"$5F&amp;!SL"</f>
        <v>#VALUE!</v>
      </c>
      <c r="DI65" t="e">
        <f>CWE!C402+"$5F&amp;!SM"</f>
        <v>#VALUE!</v>
      </c>
      <c r="DJ65" t="e">
        <f>CWE!D402+"$5F&amp;!SN"</f>
        <v>#VALUE!</v>
      </c>
      <c r="DK65" t="e">
        <f>CWE!B403+"$5F&amp;!SO"</f>
        <v>#VALUE!</v>
      </c>
      <c r="DL65" t="e">
        <f>CWE!C403+"$5F&amp;!SP"</f>
        <v>#VALUE!</v>
      </c>
      <c r="DM65" t="e">
        <f>CWE!D403+"$5F&amp;!SQ"</f>
        <v>#VALUE!</v>
      </c>
      <c r="DN65" t="e">
        <f>CWE!B404+"$5F&amp;!SR"</f>
        <v>#VALUE!</v>
      </c>
      <c r="DO65" t="e">
        <f>CWE!C404+"$5F&amp;!SS"</f>
        <v>#VALUE!</v>
      </c>
      <c r="DP65" t="e">
        <f>CWE!D404+"$5F&amp;!ST"</f>
        <v>#VALUE!</v>
      </c>
      <c r="DQ65" t="e">
        <f>CWE!B405+"$5F&amp;!SU"</f>
        <v>#VALUE!</v>
      </c>
      <c r="DR65" t="e">
        <f>CWE!C405+"$5F&amp;!SV"</f>
        <v>#VALUE!</v>
      </c>
      <c r="DS65" t="e">
        <f>CWE!D405+"$5F&amp;!SW"</f>
        <v>#VALUE!</v>
      </c>
      <c r="DT65" t="e">
        <f>CWE!B406+"$5F&amp;!SX"</f>
        <v>#VALUE!</v>
      </c>
      <c r="DU65" t="e">
        <f>CWE!C406+"$5F&amp;!SY"</f>
        <v>#VALUE!</v>
      </c>
      <c r="DV65" t="e">
        <f>CWE!D406+"$5F&amp;!SZ"</f>
        <v>#VALUE!</v>
      </c>
      <c r="DW65" t="e">
        <f>CWE!B407+"$5F&amp;!S["</f>
        <v>#VALUE!</v>
      </c>
      <c r="DX65" t="e">
        <f>CWE!C407+"$5F&amp;!S\"</f>
        <v>#VALUE!</v>
      </c>
      <c r="DY65" t="e">
        <f>CWE!D407+"$5F&amp;!S]"</f>
        <v>#VALUE!</v>
      </c>
      <c r="DZ65" t="e">
        <f>CWE!B408+"$5F&amp;!S^"</f>
        <v>#VALUE!</v>
      </c>
      <c r="EA65" t="e">
        <f>CWE!C408+"$5F&amp;!S_"</f>
        <v>#VALUE!</v>
      </c>
      <c r="EB65" t="e">
        <f>CWE!D408+"$5F&amp;!S`"</f>
        <v>#VALUE!</v>
      </c>
      <c r="EC65" t="e">
        <f>CWE!B409+"$5F&amp;!Sa"</f>
        <v>#VALUE!</v>
      </c>
      <c r="ED65" t="e">
        <f>CWE!C409+"$5F&amp;!Sb"</f>
        <v>#VALUE!</v>
      </c>
      <c r="EE65" t="e">
        <f>CWE!D409+"$5F&amp;!Sc"</f>
        <v>#VALUE!</v>
      </c>
      <c r="EF65" t="e">
        <f>CWE!B410+"$5F&amp;!Sd"</f>
        <v>#VALUE!</v>
      </c>
      <c r="EG65" t="e">
        <f>CWE!C410+"$5F&amp;!Se"</f>
        <v>#VALUE!</v>
      </c>
      <c r="EH65" t="e">
        <f>CWE!D410+"$5F&amp;!Sf"</f>
        <v>#VALUE!</v>
      </c>
      <c r="EI65" t="e">
        <f>CWE!B411+"$5F&amp;!Sg"</f>
        <v>#VALUE!</v>
      </c>
      <c r="EJ65" t="e">
        <f>CWE!C411+"$5F&amp;!Sh"</f>
        <v>#VALUE!</v>
      </c>
      <c r="EK65" t="e">
        <f>CWE!D411+"$5F&amp;!Si"</f>
        <v>#VALUE!</v>
      </c>
      <c r="EL65" t="e">
        <f>CWE!B412+"$5F&amp;!Sj"</f>
        <v>#VALUE!</v>
      </c>
      <c r="EM65" t="e">
        <f>CWE!C412+"$5F&amp;!Sk"</f>
        <v>#VALUE!</v>
      </c>
      <c r="EN65" t="e">
        <f>CWE!D412+"$5F&amp;!Sl"</f>
        <v>#VALUE!</v>
      </c>
      <c r="EO65" t="e">
        <f>CWE!B413+"$5F&amp;!Sm"</f>
        <v>#VALUE!</v>
      </c>
      <c r="EP65" t="e">
        <f>CWE!C413+"$5F&amp;!Sn"</f>
        <v>#VALUE!</v>
      </c>
      <c r="EQ65" t="e">
        <f>CWE!D413+"$5F&amp;!So"</f>
        <v>#VALUE!</v>
      </c>
      <c r="ER65" t="e">
        <f>CWE!B414+"$5F&amp;!Sp"</f>
        <v>#VALUE!</v>
      </c>
      <c r="ES65" t="e">
        <f>CWE!C414+"$5F&amp;!Sq"</f>
        <v>#VALUE!</v>
      </c>
      <c r="ET65" t="e">
        <f>CWE!D414+"$5F&amp;!Sr"</f>
        <v>#VALUE!</v>
      </c>
      <c r="EU65" t="e">
        <f>CWE!B415+"$5F&amp;!Ss"</f>
        <v>#VALUE!</v>
      </c>
      <c r="EV65" t="e">
        <f>CWE!C415+"$5F&amp;!St"</f>
        <v>#VALUE!</v>
      </c>
      <c r="EW65" t="e">
        <f>CWE!D415+"$5F&amp;!Su"</f>
        <v>#VALUE!</v>
      </c>
      <c r="EX65" t="e">
        <f>CWE!B416+"$5F&amp;!Sv"</f>
        <v>#VALUE!</v>
      </c>
      <c r="EY65" t="e">
        <f>CWE!C416+"$5F&amp;!Sw"</f>
        <v>#VALUE!</v>
      </c>
      <c r="EZ65" t="e">
        <f>CWE!D416+"$5F&amp;!Sx"</f>
        <v>#VALUE!</v>
      </c>
      <c r="FA65" t="e">
        <f>CWE!B417+"$5F&amp;!Sy"</f>
        <v>#VALUE!</v>
      </c>
      <c r="FB65" t="e">
        <f>CWE!C417+"$5F&amp;!Sz"</f>
        <v>#VALUE!</v>
      </c>
      <c r="FC65" t="e">
        <f>CWE!D417+"$5F&amp;!S{"</f>
        <v>#VALUE!</v>
      </c>
      <c r="FD65" t="e">
        <f>CWE!B418+"$5F&amp;!S|"</f>
        <v>#VALUE!</v>
      </c>
      <c r="FE65" t="e">
        <f>CWE!C418+"$5F&amp;!S}"</f>
        <v>#VALUE!</v>
      </c>
      <c r="FF65" t="e">
        <f>CWE!D418+"$5F&amp;!S~"</f>
        <v>#VALUE!</v>
      </c>
      <c r="FG65" t="e">
        <f>CWE!B419+"$5F&amp;!T#"</f>
        <v>#VALUE!</v>
      </c>
      <c r="FH65" t="e">
        <f>CWE!C419+"$5F&amp;!T$"</f>
        <v>#VALUE!</v>
      </c>
      <c r="FI65" t="e">
        <f>CWE!D419+"$5F&amp;!T%"</f>
        <v>#VALUE!</v>
      </c>
      <c r="FJ65" t="e">
        <f>CWE!B420+"$5F&amp;!T&amp;"</f>
        <v>#VALUE!</v>
      </c>
      <c r="FK65" t="e">
        <f>CWE!C420+"$5F&amp;!T'"</f>
        <v>#VALUE!</v>
      </c>
      <c r="FL65" t="e">
        <f>CWE!D420+"$5F&amp;!T("</f>
        <v>#VALUE!</v>
      </c>
      <c r="FM65" t="e">
        <f>CWE!B421+"$5F&amp;!T)"</f>
        <v>#VALUE!</v>
      </c>
      <c r="FN65" t="e">
        <f>CWE!C421+"$5F&amp;!T."</f>
        <v>#VALUE!</v>
      </c>
      <c r="FO65" t="e">
        <f>CWE!D421+"$5F&amp;!T/"</f>
        <v>#VALUE!</v>
      </c>
      <c r="FP65" t="e">
        <f>CWE!B422+"$5F&amp;!T0"</f>
        <v>#VALUE!</v>
      </c>
      <c r="FQ65" t="e">
        <f>CWE!C422+"$5F&amp;!T1"</f>
        <v>#VALUE!</v>
      </c>
      <c r="FR65" t="e">
        <f>CWE!D422+"$5F&amp;!T2"</f>
        <v>#VALUE!</v>
      </c>
      <c r="FS65" t="e">
        <f>CWE!B423+"$5F&amp;!T3"</f>
        <v>#VALUE!</v>
      </c>
      <c r="FT65" t="e">
        <f>CWE!C423+"$5F&amp;!T4"</f>
        <v>#VALUE!</v>
      </c>
      <c r="FU65" t="e">
        <f>CWE!D423+"$5F&amp;!T5"</f>
        <v>#VALUE!</v>
      </c>
      <c r="FV65" t="e">
        <f>CWE!B424+"$5F&amp;!T6"</f>
        <v>#VALUE!</v>
      </c>
      <c r="FW65" t="e">
        <f>CWE!C424+"$5F&amp;!T7"</f>
        <v>#VALUE!</v>
      </c>
      <c r="FX65" t="e">
        <f>CWE!D424+"$5F&amp;!T8"</f>
        <v>#VALUE!</v>
      </c>
      <c r="FY65" t="e">
        <f>CWE!B425+"$5F&amp;!T9"</f>
        <v>#VALUE!</v>
      </c>
      <c r="FZ65" t="e">
        <f>CWE!C425+"$5F&amp;!T:"</f>
        <v>#VALUE!</v>
      </c>
      <c r="GA65" t="e">
        <f>CWE!D425+"$5F&amp;!T;"</f>
        <v>#VALUE!</v>
      </c>
      <c r="GB65" t="e">
        <f>CWE!B426+"$5F&amp;!T&lt;"</f>
        <v>#VALUE!</v>
      </c>
      <c r="GC65" t="e">
        <f>CWE!C426+"$5F&amp;!T="</f>
        <v>#VALUE!</v>
      </c>
      <c r="GD65" t="e">
        <f>CWE!D426+"$5F&amp;!T&gt;"</f>
        <v>#VALUE!</v>
      </c>
      <c r="GE65" t="e">
        <f>CWE!B427+"$5F&amp;!T?"</f>
        <v>#VALUE!</v>
      </c>
      <c r="GF65" t="e">
        <f>CWE!C427+"$5F&amp;!T@"</f>
        <v>#VALUE!</v>
      </c>
      <c r="GG65" t="e">
        <f>CWE!D427+"$5F&amp;!TA"</f>
        <v>#VALUE!</v>
      </c>
      <c r="GH65" t="e">
        <f>CWE!B428+"$5F&amp;!TB"</f>
        <v>#VALUE!</v>
      </c>
      <c r="GI65" t="e">
        <f>CWE!C428+"$5F&amp;!TC"</f>
        <v>#VALUE!</v>
      </c>
      <c r="GJ65" t="e">
        <f>CWE!D428+"$5F&amp;!TD"</f>
        <v>#VALUE!</v>
      </c>
      <c r="GK65" t="e">
        <f>CWE!B429+"$5F&amp;!TE"</f>
        <v>#VALUE!</v>
      </c>
      <c r="GL65" t="e">
        <f>CWE!C429+"$5F&amp;!TF"</f>
        <v>#VALUE!</v>
      </c>
      <c r="GM65" t="e">
        <f>CWE!D429+"$5F&amp;!TG"</f>
        <v>#VALUE!</v>
      </c>
      <c r="GN65" t="e">
        <f>CWE!B430+"$5F&amp;!TH"</f>
        <v>#VALUE!</v>
      </c>
      <c r="GO65" t="e">
        <f>CWE!C430+"$5F&amp;!TI"</f>
        <v>#VALUE!</v>
      </c>
      <c r="GP65" t="e">
        <f>CWE!D430+"$5F&amp;!TJ"</f>
        <v>#VALUE!</v>
      </c>
      <c r="GQ65" t="e">
        <f>CWE!B431+"$5F&amp;!TK"</f>
        <v>#VALUE!</v>
      </c>
      <c r="GR65" t="e">
        <f>CWE!C431+"$5F&amp;!TL"</f>
        <v>#VALUE!</v>
      </c>
      <c r="GS65" t="e">
        <f>CWE!D431+"$5F&amp;!TM"</f>
        <v>#VALUE!</v>
      </c>
      <c r="GT65" t="e">
        <f>CWE!B432+"$5F&amp;!TN"</f>
        <v>#VALUE!</v>
      </c>
      <c r="GU65" t="e">
        <f>CWE!C432+"$5F&amp;!TO"</f>
        <v>#VALUE!</v>
      </c>
      <c r="GV65" t="e">
        <f>CWE!D432+"$5F&amp;!TP"</f>
        <v>#VALUE!</v>
      </c>
      <c r="GW65" t="e">
        <f>CWE!B433+"$5F&amp;!TQ"</f>
        <v>#VALUE!</v>
      </c>
      <c r="GX65" t="e">
        <f>CWE!C433+"$5F&amp;!TR"</f>
        <v>#VALUE!</v>
      </c>
      <c r="GY65" t="e">
        <f>CWE!D433+"$5F&amp;!TS"</f>
        <v>#VALUE!</v>
      </c>
      <c r="GZ65" t="e">
        <f>CWE!B434+"$5F&amp;!TT"</f>
        <v>#VALUE!</v>
      </c>
      <c r="HA65" t="e">
        <f>CWE!C434+"$5F&amp;!TU"</f>
        <v>#VALUE!</v>
      </c>
      <c r="HB65" t="e">
        <f>CWE!D434+"$5F&amp;!TV"</f>
        <v>#VALUE!</v>
      </c>
      <c r="HC65" t="e">
        <f>CWE!B435+"$5F&amp;!TW"</f>
        <v>#VALUE!</v>
      </c>
      <c r="HD65" t="e">
        <f>CWE!C435+"$5F&amp;!TX"</f>
        <v>#VALUE!</v>
      </c>
      <c r="HE65" t="e">
        <f>CWE!D435+"$5F&amp;!TY"</f>
        <v>#VALUE!</v>
      </c>
      <c r="HF65" t="e">
        <f>CWE!B436+"$5F&amp;!TZ"</f>
        <v>#VALUE!</v>
      </c>
      <c r="HG65" t="e">
        <f>CWE!C436+"$5F&amp;!T["</f>
        <v>#VALUE!</v>
      </c>
      <c r="HH65" t="e">
        <f>CWE!D436+"$5F&amp;!T\"</f>
        <v>#VALUE!</v>
      </c>
      <c r="HI65" t="e">
        <f>CWE!B437+"$5F&amp;!T]"</f>
        <v>#VALUE!</v>
      </c>
      <c r="HJ65" t="e">
        <f>CWE!C437+"$5F&amp;!T^"</f>
        <v>#VALUE!</v>
      </c>
      <c r="HK65" t="e">
        <f>CWE!D437+"$5F&amp;!T_"</f>
        <v>#VALUE!</v>
      </c>
      <c r="HL65" t="e">
        <f>CWE!B438+"$5F&amp;!T`"</f>
        <v>#VALUE!</v>
      </c>
      <c r="HM65" t="e">
        <f>CWE!C438+"$5F&amp;!Ta"</f>
        <v>#VALUE!</v>
      </c>
      <c r="HN65" t="e">
        <f>CWE!D438+"$5F&amp;!Tb"</f>
        <v>#VALUE!</v>
      </c>
      <c r="HO65" t="e">
        <f>CWE!B439+"$5F&amp;!Tc"</f>
        <v>#VALUE!</v>
      </c>
      <c r="HP65" t="e">
        <f>CWE!C439+"$5F&amp;!Td"</f>
        <v>#VALUE!</v>
      </c>
      <c r="HQ65" t="e">
        <f>CWE!D439+"$5F&amp;!Te"</f>
        <v>#VALUE!</v>
      </c>
      <c r="HR65" t="e">
        <f>CWE!B440+"$5F&amp;!Tf"</f>
        <v>#VALUE!</v>
      </c>
      <c r="HS65" t="e">
        <f>CWE!C440+"$5F&amp;!Tg"</f>
        <v>#VALUE!</v>
      </c>
      <c r="HT65" t="e">
        <f>CWE!D440+"$5F&amp;!Th"</f>
        <v>#VALUE!</v>
      </c>
      <c r="HU65" t="e">
        <f>CWE!B441+"$5F&amp;!Ti"</f>
        <v>#VALUE!</v>
      </c>
      <c r="HV65" t="e">
        <f>CWE!C441+"$5F&amp;!Tj"</f>
        <v>#VALUE!</v>
      </c>
      <c r="HW65" t="e">
        <f>CWE!D441+"$5F&amp;!Tk"</f>
        <v>#VALUE!</v>
      </c>
      <c r="HX65" t="e">
        <f>CWE!B442+"$5F&amp;!Tl"</f>
        <v>#VALUE!</v>
      </c>
      <c r="HY65" t="e">
        <f>CWE!C442+"$5F&amp;!Tm"</f>
        <v>#VALUE!</v>
      </c>
      <c r="HZ65" t="e">
        <f>CWE!D442+"$5F&amp;!Tn"</f>
        <v>#VALUE!</v>
      </c>
      <c r="IA65" t="e">
        <f>CWE!B443+"$5F&amp;!To"</f>
        <v>#VALUE!</v>
      </c>
      <c r="IB65" t="e">
        <f>CWE!C443+"$5F&amp;!Tp"</f>
        <v>#VALUE!</v>
      </c>
      <c r="IC65" t="e">
        <f>CWE!D443+"$5F&amp;!Tq"</f>
        <v>#VALUE!</v>
      </c>
      <c r="ID65" t="e">
        <f>CWE!B444+"$5F&amp;!Tr"</f>
        <v>#VALUE!</v>
      </c>
      <c r="IE65" t="e">
        <f>CWE!C444+"$5F&amp;!Ts"</f>
        <v>#VALUE!</v>
      </c>
      <c r="IF65" t="e">
        <f>CWE!D444+"$5F&amp;!Tt"</f>
        <v>#VALUE!</v>
      </c>
      <c r="IG65" t="e">
        <f>CWE!B445+"$5F&amp;!Tu"</f>
        <v>#VALUE!</v>
      </c>
      <c r="IH65" t="e">
        <f>CWE!C445+"$5F&amp;!Tv"</f>
        <v>#VALUE!</v>
      </c>
      <c r="II65" t="e">
        <f>CWE!D445+"$5F&amp;!Tw"</f>
        <v>#VALUE!</v>
      </c>
      <c r="IJ65" t="e">
        <f>CWE!B446+"$5F&amp;!Tx"</f>
        <v>#VALUE!</v>
      </c>
      <c r="IK65" t="e">
        <f>CWE!C446+"$5F&amp;!Ty"</f>
        <v>#VALUE!</v>
      </c>
      <c r="IL65" t="e">
        <f>CWE!D446+"$5F&amp;!Tz"</f>
        <v>#VALUE!</v>
      </c>
      <c r="IM65" t="e">
        <f>CWE!B447+"$5F&amp;!T{"</f>
        <v>#VALUE!</v>
      </c>
      <c r="IN65" t="e">
        <f>CWE!C447+"$5F&amp;!T|"</f>
        <v>#VALUE!</v>
      </c>
      <c r="IO65" t="e">
        <f>CWE!D447+"$5F&amp;!T}"</f>
        <v>#VALUE!</v>
      </c>
      <c r="IP65" t="e">
        <f>CWE!B448+"$5F&amp;!T~"</f>
        <v>#VALUE!</v>
      </c>
      <c r="IQ65" t="e">
        <f>CWE!C448+"$5F&amp;!U#"</f>
        <v>#VALUE!</v>
      </c>
      <c r="IR65" t="e">
        <f>CWE!D448+"$5F&amp;!U$"</f>
        <v>#VALUE!</v>
      </c>
      <c r="IS65" t="e">
        <f>CWE!B449+"$5F&amp;!U%"</f>
        <v>#VALUE!</v>
      </c>
      <c r="IT65" t="e">
        <f>CWE!C449+"$5F&amp;!U&amp;"</f>
        <v>#VALUE!</v>
      </c>
      <c r="IU65" t="e">
        <f>CWE!D449+"$5F&amp;!U'"</f>
        <v>#VALUE!</v>
      </c>
      <c r="IV65" t="e">
        <f>CWE!B450+"$5F&amp;!U("</f>
        <v>#VALUE!</v>
      </c>
    </row>
    <row r="66" spans="6:256" x14ac:dyDescent="0.25">
      <c r="F66" t="e">
        <f>CWE!C450+"$5F&amp;!U)"</f>
        <v>#VALUE!</v>
      </c>
      <c r="G66" t="e">
        <f>CWE!D450+"$5F&amp;!U."</f>
        <v>#VALUE!</v>
      </c>
      <c r="H66" t="e">
        <f>CWE!B451+"$5F&amp;!U/"</f>
        <v>#VALUE!</v>
      </c>
      <c r="I66" t="e">
        <f>CWE!C451+"$5F&amp;!U0"</f>
        <v>#VALUE!</v>
      </c>
      <c r="J66" t="e">
        <f>CWE!D451+"$5F&amp;!U1"</f>
        <v>#VALUE!</v>
      </c>
      <c r="K66" t="e">
        <f>CWE!B452+"$5F&amp;!U2"</f>
        <v>#VALUE!</v>
      </c>
      <c r="L66" t="e">
        <f>CWE!C452+"$5F&amp;!U3"</f>
        <v>#VALUE!</v>
      </c>
      <c r="M66" t="e">
        <f>CWE!D452+"$5F&amp;!U4"</f>
        <v>#VALUE!</v>
      </c>
      <c r="N66" t="e">
        <f>CWE!B453+"$5F&amp;!U5"</f>
        <v>#VALUE!</v>
      </c>
      <c r="O66" t="e">
        <f>CWE!C453+"$5F&amp;!U6"</f>
        <v>#VALUE!</v>
      </c>
      <c r="P66" t="e">
        <f>CWE!D453+"$5F&amp;!U7"</f>
        <v>#VALUE!</v>
      </c>
      <c r="Q66" t="e">
        <f>CWE!B454+"$5F&amp;!U8"</f>
        <v>#VALUE!</v>
      </c>
      <c r="R66" t="e">
        <f>CWE!C454+"$5F&amp;!U9"</f>
        <v>#VALUE!</v>
      </c>
      <c r="S66" t="e">
        <f>CWE!D454+"$5F&amp;!U:"</f>
        <v>#VALUE!</v>
      </c>
      <c r="T66" t="e">
        <f>CWE!B455+"$5F&amp;!U;"</f>
        <v>#VALUE!</v>
      </c>
      <c r="U66" t="e">
        <f>CWE!C455+"$5F&amp;!U&lt;"</f>
        <v>#VALUE!</v>
      </c>
      <c r="V66" t="e">
        <f>CWE!D455+"$5F&amp;!U="</f>
        <v>#VALUE!</v>
      </c>
      <c r="W66" t="e">
        <f>CWE!B456+"$5F&amp;!U&gt;"</f>
        <v>#VALUE!</v>
      </c>
      <c r="X66" t="e">
        <f>CWE!C456+"$5F&amp;!U?"</f>
        <v>#VALUE!</v>
      </c>
      <c r="Y66" t="e">
        <f>CWE!D456+"$5F&amp;!U@"</f>
        <v>#VALUE!</v>
      </c>
      <c r="Z66" t="e">
        <f>CWE!B457+"$5F&amp;!UA"</f>
        <v>#VALUE!</v>
      </c>
      <c r="AA66" t="e">
        <f>CWE!C457+"$5F&amp;!UB"</f>
        <v>#VALUE!</v>
      </c>
      <c r="AB66" t="e">
        <f>CWE!D457+"$5F&amp;!UC"</f>
        <v>#VALUE!</v>
      </c>
      <c r="AC66" t="e">
        <f>CWE!B458+"$5F&amp;!UD"</f>
        <v>#VALUE!</v>
      </c>
      <c r="AD66" t="e">
        <f>CWE!C458+"$5F&amp;!UE"</f>
        <v>#VALUE!</v>
      </c>
      <c r="AE66" t="e">
        <f>CWE!D458+"$5F&amp;!UF"</f>
        <v>#VALUE!</v>
      </c>
      <c r="AF66" t="e">
        <f>CWE!B459+"$5F&amp;!UG"</f>
        <v>#VALUE!</v>
      </c>
      <c r="AG66" t="e">
        <f>CWE!C459+"$5F&amp;!UH"</f>
        <v>#VALUE!</v>
      </c>
      <c r="AH66" t="e">
        <f>CWE!D459+"$5F&amp;!UI"</f>
        <v>#VALUE!</v>
      </c>
      <c r="AI66" t="e">
        <f>CWE!B460+"$5F&amp;!UJ"</f>
        <v>#VALUE!</v>
      </c>
      <c r="AJ66" t="e">
        <f>CWE!C460+"$5F&amp;!UK"</f>
        <v>#VALUE!</v>
      </c>
      <c r="AK66" t="e">
        <f>CWE!D460+"$5F&amp;!UL"</f>
        <v>#VALUE!</v>
      </c>
      <c r="AL66" t="e">
        <f>CWE!B461+"$5F&amp;!UM"</f>
        <v>#VALUE!</v>
      </c>
      <c r="AM66" t="e">
        <f>CWE!C461+"$5F&amp;!UN"</f>
        <v>#VALUE!</v>
      </c>
      <c r="AN66" t="e">
        <f>CWE!D461+"$5F&amp;!UO"</f>
        <v>#VALUE!</v>
      </c>
      <c r="AO66" t="e">
        <f>CWE!B462+"$5F&amp;!UP"</f>
        <v>#VALUE!</v>
      </c>
      <c r="AP66" t="e">
        <f>CWE!C462+"$5F&amp;!UQ"</f>
        <v>#VALUE!</v>
      </c>
      <c r="AQ66" t="e">
        <f>CWE!D462+"$5F&amp;!UR"</f>
        <v>#VALUE!</v>
      </c>
      <c r="AR66" t="e">
        <f>CWE!B463+"$5F&amp;!US"</f>
        <v>#VALUE!</v>
      </c>
      <c r="AS66" t="e">
        <f>CWE!C463+"$5F&amp;!UT"</f>
        <v>#VALUE!</v>
      </c>
      <c r="AT66" t="e">
        <f>CWE!D463+"$5F&amp;!UU"</f>
        <v>#VALUE!</v>
      </c>
      <c r="AU66" t="e">
        <f>CWE!B464+"$5F&amp;!UV"</f>
        <v>#VALUE!</v>
      </c>
      <c r="AV66" t="e">
        <f>CWE!C464+"$5F&amp;!UW"</f>
        <v>#VALUE!</v>
      </c>
      <c r="AW66" t="e">
        <f>CWE!D464+"$5F&amp;!UX"</f>
        <v>#VALUE!</v>
      </c>
      <c r="AX66" t="e">
        <f>CWE!B465+"$5F&amp;!UY"</f>
        <v>#VALUE!</v>
      </c>
      <c r="AY66" t="e">
        <f>CWE!C465+"$5F&amp;!UZ"</f>
        <v>#VALUE!</v>
      </c>
      <c r="AZ66" t="e">
        <f>CWE!D465+"$5F&amp;!U["</f>
        <v>#VALUE!</v>
      </c>
      <c r="BA66" t="e">
        <f>CWE!B466+"$5F&amp;!U\"</f>
        <v>#VALUE!</v>
      </c>
      <c r="BB66" t="e">
        <f>CWE!C466+"$5F&amp;!U]"</f>
        <v>#VALUE!</v>
      </c>
      <c r="BC66" t="e">
        <f>CWE!D466+"$5F&amp;!U^"</f>
        <v>#VALUE!</v>
      </c>
      <c r="BD66" t="e">
        <f>CWE!B467+"$5F&amp;!U_"</f>
        <v>#VALUE!</v>
      </c>
      <c r="BE66" t="e">
        <f>CWE!C467+"$5F&amp;!U`"</f>
        <v>#VALUE!</v>
      </c>
      <c r="BF66" t="e">
        <f>CWE!D467+"$5F&amp;!Ua"</f>
        <v>#VALUE!</v>
      </c>
      <c r="BG66" t="e">
        <f>CWE!B468+"$5F&amp;!Ub"</f>
        <v>#VALUE!</v>
      </c>
      <c r="BH66" t="e">
        <f>CWE!C468+"$5F&amp;!Uc"</f>
        <v>#VALUE!</v>
      </c>
      <c r="BI66" t="e">
        <f>CWE!D468+"$5F&amp;!Ud"</f>
        <v>#VALUE!</v>
      </c>
      <c r="BJ66" t="e">
        <f>CWE!B469+"$5F&amp;!Ue"</f>
        <v>#VALUE!</v>
      </c>
      <c r="BK66" t="e">
        <f>CWE!C469+"$5F&amp;!Uf"</f>
        <v>#VALUE!</v>
      </c>
      <c r="BL66" t="e">
        <f>CWE!D469+"$5F&amp;!Ug"</f>
        <v>#VALUE!</v>
      </c>
      <c r="BM66" t="e">
        <f>CWE!B470+"$5F&amp;!Uh"</f>
        <v>#VALUE!</v>
      </c>
      <c r="BN66" t="e">
        <f>CWE!C470+"$5F&amp;!Ui"</f>
        <v>#VALUE!</v>
      </c>
      <c r="BO66" t="e">
        <f>CWE!D470+"$5F&amp;!Uj"</f>
        <v>#VALUE!</v>
      </c>
      <c r="BP66" t="e">
        <f>CWE!B471+"$5F&amp;!Uk"</f>
        <v>#VALUE!</v>
      </c>
      <c r="BQ66" t="e">
        <f>CWE!C471+"$5F&amp;!Ul"</f>
        <v>#VALUE!</v>
      </c>
      <c r="BR66" t="e">
        <f>CWE!D471+"$5F&amp;!Um"</f>
        <v>#VALUE!</v>
      </c>
      <c r="BS66" t="e">
        <f>CWE!B472+"$5F&amp;!Un"</f>
        <v>#VALUE!</v>
      </c>
      <c r="BT66" t="e">
        <f>CWE!C472+"$5F&amp;!Uo"</f>
        <v>#VALUE!</v>
      </c>
      <c r="BU66" t="e">
        <f>CWE!D472+"$5F&amp;!Up"</f>
        <v>#VALUE!</v>
      </c>
      <c r="BV66" t="e">
        <f>CWE!B473+"$5F&amp;!Uq"</f>
        <v>#VALUE!</v>
      </c>
      <c r="BW66" t="e">
        <f>CWE!C473+"$5F&amp;!Ur"</f>
        <v>#VALUE!</v>
      </c>
      <c r="BX66" t="e">
        <f>CWE!D473+"$5F&amp;!Us"</f>
        <v>#VALUE!</v>
      </c>
      <c r="BY66" t="e">
        <f>CWE!B474+"$5F&amp;!Ut"</f>
        <v>#VALUE!</v>
      </c>
      <c r="BZ66" t="e">
        <f>CWE!C474+"$5F&amp;!Uu"</f>
        <v>#VALUE!</v>
      </c>
      <c r="CA66" t="e">
        <f>CWE!D474+"$5F&amp;!Uv"</f>
        <v>#VALUE!</v>
      </c>
      <c r="CB66" t="e">
        <f>CWE!B475+"$5F&amp;!Uw"</f>
        <v>#VALUE!</v>
      </c>
      <c r="CC66" t="e">
        <f>CWE!C475+"$5F&amp;!Ux"</f>
        <v>#VALUE!</v>
      </c>
      <c r="CD66" t="e">
        <f>CWE!D475+"$5F&amp;!Uy"</f>
        <v>#VALUE!</v>
      </c>
      <c r="CE66" t="e">
        <f>CWE!B476+"$5F&amp;!Uz"</f>
        <v>#VALUE!</v>
      </c>
      <c r="CF66" t="e">
        <f>CWE!C476+"$5F&amp;!U{"</f>
        <v>#VALUE!</v>
      </c>
      <c r="CG66" t="e">
        <f>CWE!D476+"$5F&amp;!U|"</f>
        <v>#VALUE!</v>
      </c>
      <c r="CH66" t="e">
        <f>CWE!B477+"$5F&amp;!U}"</f>
        <v>#VALUE!</v>
      </c>
      <c r="CI66" t="e">
        <f>CWE!C477+"$5F&amp;!U~"</f>
        <v>#VALUE!</v>
      </c>
      <c r="CJ66" t="e">
        <f>CWE!D477+"$5F&amp;!V#"</f>
        <v>#VALUE!</v>
      </c>
      <c r="CK66" t="e">
        <f>CWE!B478+"$5F&amp;!V$"</f>
        <v>#VALUE!</v>
      </c>
      <c r="CL66" t="e">
        <f>CWE!C478+"$5F&amp;!V%"</f>
        <v>#VALUE!</v>
      </c>
      <c r="CM66" t="e">
        <f>CWE!D478+"$5F&amp;!V&amp;"</f>
        <v>#VALUE!</v>
      </c>
      <c r="CN66" t="e">
        <f>CWE!B479+"$5F&amp;!V'"</f>
        <v>#VALUE!</v>
      </c>
      <c r="CO66" t="e">
        <f>CWE!C479+"$5F&amp;!V("</f>
        <v>#VALUE!</v>
      </c>
      <c r="CP66" t="e">
        <f>CWE!D479+"$5F&amp;!V)"</f>
        <v>#VALUE!</v>
      </c>
      <c r="CQ66" t="e">
        <f>CWE!B480+"$5F&amp;!V."</f>
        <v>#VALUE!</v>
      </c>
      <c r="CR66" t="e">
        <f>CWE!C480+"$5F&amp;!V/"</f>
        <v>#VALUE!</v>
      </c>
      <c r="CS66" t="e">
        <f>CWE!D480+"$5F&amp;!V0"</f>
        <v>#VALUE!</v>
      </c>
      <c r="CT66" t="e">
        <f>CWE!B481+"$5F&amp;!V1"</f>
        <v>#VALUE!</v>
      </c>
      <c r="CU66" t="e">
        <f>CWE!C481+"$5F&amp;!V2"</f>
        <v>#VALUE!</v>
      </c>
      <c r="CV66" t="e">
        <f>CWE!D481+"$5F&amp;!V3"</f>
        <v>#VALUE!</v>
      </c>
      <c r="CW66" t="e">
        <f>CWE!B482+"$5F&amp;!V4"</f>
        <v>#VALUE!</v>
      </c>
      <c r="CX66" t="e">
        <f>CWE!C482+"$5F&amp;!V5"</f>
        <v>#VALUE!</v>
      </c>
      <c r="CY66" t="e">
        <f>CWE!D482+"$5F&amp;!V6"</f>
        <v>#VALUE!</v>
      </c>
      <c r="CZ66" t="e">
        <f>CWE!B483+"$5F&amp;!V7"</f>
        <v>#VALUE!</v>
      </c>
      <c r="DA66" t="e">
        <f>CWE!C483+"$5F&amp;!V8"</f>
        <v>#VALUE!</v>
      </c>
      <c r="DB66" t="e">
        <f>CWE!D483+"$5F&amp;!V9"</f>
        <v>#VALUE!</v>
      </c>
      <c r="DC66" t="e">
        <f>CWE!B484+"$5F&amp;!V:"</f>
        <v>#VALUE!</v>
      </c>
      <c r="DD66" t="e">
        <f>CWE!C484+"$5F&amp;!V;"</f>
        <v>#VALUE!</v>
      </c>
      <c r="DE66" t="e">
        <f>CWE!D484+"$5F&amp;!V&lt;"</f>
        <v>#VALUE!</v>
      </c>
      <c r="DF66" t="e">
        <f>CWE!B485+"$5F&amp;!V="</f>
        <v>#VALUE!</v>
      </c>
      <c r="DG66" t="e">
        <f>CWE!C485+"$5F&amp;!V&gt;"</f>
        <v>#VALUE!</v>
      </c>
      <c r="DH66" t="e">
        <f>CWE!D485+"$5F&amp;!V?"</f>
        <v>#VALUE!</v>
      </c>
      <c r="DI66" t="e">
        <f>CWE!B486+"$5F&amp;!V@"</f>
        <v>#VALUE!</v>
      </c>
      <c r="DJ66" t="e">
        <f>CWE!C486+"$5F&amp;!VA"</f>
        <v>#VALUE!</v>
      </c>
      <c r="DK66" t="e">
        <f>CWE!D486+"$5F&amp;!VB"</f>
        <v>#VALUE!</v>
      </c>
      <c r="DL66" t="e">
        <f>CWE!B487+"$5F&amp;!VC"</f>
        <v>#VALUE!</v>
      </c>
      <c r="DM66" t="e">
        <f>CWE!C487+"$5F&amp;!VD"</f>
        <v>#VALUE!</v>
      </c>
      <c r="DN66" t="e">
        <f>CWE!D487+"$5F&amp;!VE"</f>
        <v>#VALUE!</v>
      </c>
      <c r="DO66" t="e">
        <f>CWE!B488+"$5F&amp;!VF"</f>
        <v>#VALUE!</v>
      </c>
      <c r="DP66" t="e">
        <f>CWE!C488+"$5F&amp;!VG"</f>
        <v>#VALUE!</v>
      </c>
      <c r="DQ66" t="e">
        <f>CWE!D488+"$5F&amp;!VH"</f>
        <v>#VALUE!</v>
      </c>
      <c r="DR66" t="e">
        <f>CWE!B489+"$5F&amp;!VI"</f>
        <v>#VALUE!</v>
      </c>
      <c r="DS66" t="e">
        <f>CWE!C489+"$5F&amp;!VJ"</f>
        <v>#VALUE!</v>
      </c>
      <c r="DT66" t="e">
        <f>CWE!D489+"$5F&amp;!VK"</f>
        <v>#VALUE!</v>
      </c>
      <c r="DU66" t="e">
        <f>CWE!B490+"$5F&amp;!VL"</f>
        <v>#VALUE!</v>
      </c>
      <c r="DV66" t="e">
        <f>CWE!C490+"$5F&amp;!VM"</f>
        <v>#VALUE!</v>
      </c>
      <c r="DW66" t="e">
        <f>CWE!D490+"$5F&amp;!VN"</f>
        <v>#VALUE!</v>
      </c>
      <c r="DX66" t="e">
        <f>CWE!B491+"$5F&amp;!VO"</f>
        <v>#VALUE!</v>
      </c>
      <c r="DY66" t="e">
        <f>CWE!C491+"$5F&amp;!VP"</f>
        <v>#VALUE!</v>
      </c>
      <c r="DZ66" t="e">
        <f>CWE!D491+"$5F&amp;!VQ"</f>
        <v>#VALUE!</v>
      </c>
      <c r="EA66" t="e">
        <f>CWE!B492+"$5F&amp;!VR"</f>
        <v>#VALUE!</v>
      </c>
      <c r="EB66" t="e">
        <f>CWE!C492+"$5F&amp;!VS"</f>
        <v>#VALUE!</v>
      </c>
      <c r="EC66" t="e">
        <f>CWE!D492+"$5F&amp;!VT"</f>
        <v>#VALUE!</v>
      </c>
      <c r="ED66" t="e">
        <f>CWE!B493+"$5F&amp;!VU"</f>
        <v>#VALUE!</v>
      </c>
      <c r="EE66" t="e">
        <f>CWE!C493+"$5F&amp;!VV"</f>
        <v>#VALUE!</v>
      </c>
      <c r="EF66" t="e">
        <f>CWE!D493+"$5F&amp;!VW"</f>
        <v>#VALUE!</v>
      </c>
      <c r="EG66" t="e">
        <f>CWE!B494+"$5F&amp;!VX"</f>
        <v>#VALUE!</v>
      </c>
      <c r="EH66" t="e">
        <f>CWE!C494+"$5F&amp;!VY"</f>
        <v>#VALUE!</v>
      </c>
      <c r="EI66" t="e">
        <f>CWE!D494+"$5F&amp;!VZ"</f>
        <v>#VALUE!</v>
      </c>
      <c r="EJ66" t="e">
        <f>CWE!B495+"$5F&amp;!V["</f>
        <v>#VALUE!</v>
      </c>
      <c r="EK66" t="e">
        <f>CWE!C495+"$5F&amp;!V\"</f>
        <v>#VALUE!</v>
      </c>
      <c r="EL66" t="e">
        <f>CWE!D495+"$5F&amp;!V]"</f>
        <v>#VALUE!</v>
      </c>
      <c r="EM66" t="e">
        <f>CWE!B496+"$5F&amp;!V^"</f>
        <v>#VALUE!</v>
      </c>
      <c r="EN66" t="e">
        <f>CWE!C496+"$5F&amp;!V_"</f>
        <v>#VALUE!</v>
      </c>
      <c r="EO66" t="e">
        <f>CWE!D496+"$5F&amp;!V`"</f>
        <v>#VALUE!</v>
      </c>
      <c r="EP66" t="e">
        <f>CWE!B497+"$5F&amp;!Va"</f>
        <v>#VALUE!</v>
      </c>
      <c r="EQ66" t="e">
        <f>CWE!C497+"$5F&amp;!Vb"</f>
        <v>#VALUE!</v>
      </c>
      <c r="ER66" t="e">
        <f>CWE!D497+"$5F&amp;!Vc"</f>
        <v>#VALUE!</v>
      </c>
      <c r="ES66" t="e">
        <f>CWE!B498+"$5F&amp;!Vd"</f>
        <v>#VALUE!</v>
      </c>
      <c r="ET66" t="e">
        <f>CWE!C498+"$5F&amp;!Ve"</f>
        <v>#VALUE!</v>
      </c>
      <c r="EU66" t="e">
        <f>CWE!D498+"$5F&amp;!Vf"</f>
        <v>#VALUE!</v>
      </c>
      <c r="EV66" t="e">
        <f>CWE!B499+"$5F&amp;!Vg"</f>
        <v>#VALUE!</v>
      </c>
      <c r="EW66" t="e">
        <f>CWE!C499+"$5F&amp;!Vh"</f>
        <v>#VALUE!</v>
      </c>
      <c r="EX66" t="e">
        <f>CWE!D499+"$5F&amp;!Vi"</f>
        <v>#VALUE!</v>
      </c>
      <c r="EY66" t="e">
        <f>CWE!B500+"$5F&amp;!Vj"</f>
        <v>#VALUE!</v>
      </c>
      <c r="EZ66" t="e">
        <f>CWE!C500+"$5F&amp;!Vk"</f>
        <v>#VALUE!</v>
      </c>
      <c r="FA66" t="e">
        <f>CWE!D500+"$5F&amp;!Vl"</f>
        <v>#VALUE!</v>
      </c>
      <c r="FB66" t="e">
        <f>CWE!B501+"$5F&amp;!Vm"</f>
        <v>#VALUE!</v>
      </c>
      <c r="FC66" t="e">
        <f>CWE!C501+"$5F&amp;!Vn"</f>
        <v>#VALUE!</v>
      </c>
      <c r="FD66" t="e">
        <f>CWE!D501+"$5F&amp;!Vo"</f>
        <v>#VALUE!</v>
      </c>
      <c r="FE66" t="e">
        <f>CWE!B502+"$5F&amp;!Vp"</f>
        <v>#VALUE!</v>
      </c>
      <c r="FF66" t="e">
        <f>CWE!C502+"$5F&amp;!Vq"</f>
        <v>#VALUE!</v>
      </c>
      <c r="FG66" t="e">
        <f>CWE!D502+"$5F&amp;!Vr"</f>
        <v>#VALUE!</v>
      </c>
      <c r="FH66" t="e">
        <f>CWE!B503+"$5F&amp;!Vs"</f>
        <v>#VALUE!</v>
      </c>
      <c r="FI66" t="e">
        <f>CWE!C503+"$5F&amp;!Vt"</f>
        <v>#VALUE!</v>
      </c>
      <c r="FJ66" t="e">
        <f>CWE!D503+"$5F&amp;!Vu"</f>
        <v>#VALUE!</v>
      </c>
      <c r="FK66" t="e">
        <f>CWE!B504+"$5F&amp;!Vv"</f>
        <v>#VALUE!</v>
      </c>
      <c r="FL66" t="e">
        <f>CWE!C504+"$5F&amp;!Vw"</f>
        <v>#VALUE!</v>
      </c>
      <c r="FM66" t="e">
        <f>CWE!D504+"$5F&amp;!Vx"</f>
        <v>#VALUE!</v>
      </c>
      <c r="FN66" t="e">
        <f>CWE!B505+"$5F&amp;!Vy"</f>
        <v>#VALUE!</v>
      </c>
      <c r="FO66" t="e">
        <f>CWE!C505+"$5F&amp;!Vz"</f>
        <v>#VALUE!</v>
      </c>
      <c r="FP66" t="e">
        <f>CWE!D505+"$5F&amp;!V{"</f>
        <v>#VALUE!</v>
      </c>
      <c r="FQ66" t="e">
        <f>CWE!B506+"$5F&amp;!V|"</f>
        <v>#VALUE!</v>
      </c>
      <c r="FR66" t="e">
        <f>CWE!C506+"$5F&amp;!V}"</f>
        <v>#VALUE!</v>
      </c>
      <c r="FS66" t="e">
        <f>CWE!D506+"$5F&amp;!V~"</f>
        <v>#VALUE!</v>
      </c>
      <c r="FT66" t="e">
        <f>CWE!B507+"$5F&amp;!W#"</f>
        <v>#VALUE!</v>
      </c>
      <c r="FU66" t="e">
        <f>CWE!C507+"$5F&amp;!W$"</f>
        <v>#VALUE!</v>
      </c>
      <c r="FV66" t="e">
        <f>CWE!D507+"$5F&amp;!W%"</f>
        <v>#VALUE!</v>
      </c>
      <c r="FW66" t="e">
        <f>CWE!B508+"$5F&amp;!W&amp;"</f>
        <v>#VALUE!</v>
      </c>
      <c r="FX66" t="e">
        <f>CWE!C508+"$5F&amp;!W'"</f>
        <v>#VALUE!</v>
      </c>
      <c r="FY66" t="e">
        <f>CWE!D508+"$5F&amp;!W("</f>
        <v>#VALUE!</v>
      </c>
      <c r="FZ66" t="e">
        <f>CWE!B509+"$5F&amp;!W)"</f>
        <v>#VALUE!</v>
      </c>
      <c r="GA66" t="e">
        <f>CWE!C509+"$5F&amp;!W."</f>
        <v>#VALUE!</v>
      </c>
      <c r="GB66" t="e">
        <f>CWE!D509+"$5F&amp;!W/"</f>
        <v>#VALUE!</v>
      </c>
      <c r="GC66" t="e">
        <f>CWE!B510+"$5F&amp;!W0"</f>
        <v>#VALUE!</v>
      </c>
      <c r="GD66" t="e">
        <f>CWE!C510+"$5F&amp;!W1"</f>
        <v>#VALUE!</v>
      </c>
      <c r="GE66" t="e">
        <f>CWE!D510+"$5F&amp;!W2"</f>
        <v>#VALUE!</v>
      </c>
      <c r="GF66" t="e">
        <f>CWE!B511+"$5F&amp;!W3"</f>
        <v>#VALUE!</v>
      </c>
      <c r="GG66" t="e">
        <f>CWE!C511+"$5F&amp;!W4"</f>
        <v>#VALUE!</v>
      </c>
      <c r="GH66" t="e">
        <f>CWE!D511+"$5F&amp;!W5"</f>
        <v>#VALUE!</v>
      </c>
      <c r="GI66" t="e">
        <f>CWE!B512+"$5F&amp;!W6"</f>
        <v>#VALUE!</v>
      </c>
      <c r="GJ66" t="e">
        <f>CWE!C512+"$5F&amp;!W7"</f>
        <v>#VALUE!</v>
      </c>
      <c r="GK66" t="e">
        <f>CWE!D512+"$5F&amp;!W8"</f>
        <v>#VALUE!</v>
      </c>
      <c r="GL66" t="e">
        <f>CWE!B513+"$5F&amp;!W9"</f>
        <v>#VALUE!</v>
      </c>
      <c r="GM66" t="e">
        <f>CWE!C513+"$5F&amp;!W:"</f>
        <v>#VALUE!</v>
      </c>
      <c r="GN66" t="e">
        <f>CWE!D513+"$5F&amp;!W;"</f>
        <v>#VALUE!</v>
      </c>
      <c r="GO66" t="e">
        <f>CWE!B514+"$5F&amp;!W&lt;"</f>
        <v>#VALUE!</v>
      </c>
      <c r="GP66" t="e">
        <f>CWE!C514+"$5F&amp;!W="</f>
        <v>#VALUE!</v>
      </c>
      <c r="GQ66" t="e">
        <f>CWE!D514+"$5F&amp;!W&gt;"</f>
        <v>#VALUE!</v>
      </c>
      <c r="GR66" t="e">
        <f>CWE!B515+"$5F&amp;!W?"</f>
        <v>#VALUE!</v>
      </c>
      <c r="GS66" t="e">
        <f>CWE!C515+"$5F&amp;!W@"</f>
        <v>#VALUE!</v>
      </c>
      <c r="GT66" t="e">
        <f>CWE!D515+"$5F&amp;!WA"</f>
        <v>#VALUE!</v>
      </c>
      <c r="GU66" t="e">
        <f>CWE!B516+"$5F&amp;!WB"</f>
        <v>#VALUE!</v>
      </c>
      <c r="GV66" t="e">
        <f>CWE!C516+"$5F&amp;!WC"</f>
        <v>#VALUE!</v>
      </c>
      <c r="GW66" t="e">
        <f>CWE!D516+"$5F&amp;!WD"</f>
        <v>#VALUE!</v>
      </c>
      <c r="GX66" t="e">
        <f>CWE!B517+"$5F&amp;!WE"</f>
        <v>#VALUE!</v>
      </c>
      <c r="GY66" t="e">
        <f>CWE!C517+"$5F&amp;!WF"</f>
        <v>#VALUE!</v>
      </c>
      <c r="GZ66" t="e">
        <f>CWE!D517+"$5F&amp;!WG"</f>
        <v>#VALUE!</v>
      </c>
      <c r="HA66" t="e">
        <f>CWE!B518+"$5F&amp;!WH"</f>
        <v>#VALUE!</v>
      </c>
      <c r="HB66" t="e">
        <f>CWE!C518+"$5F&amp;!WI"</f>
        <v>#VALUE!</v>
      </c>
      <c r="HC66" t="e">
        <f>CWE!D518+"$5F&amp;!WJ"</f>
        <v>#VALUE!</v>
      </c>
      <c r="HD66" t="e">
        <f>CWE!B519+"$5F&amp;!WK"</f>
        <v>#VALUE!</v>
      </c>
      <c r="HE66" t="e">
        <f>CWE!C519+"$5F&amp;!WL"</f>
        <v>#VALUE!</v>
      </c>
      <c r="HF66" t="e">
        <f>CWE!D519+"$5F&amp;!WM"</f>
        <v>#VALUE!</v>
      </c>
      <c r="HG66" t="e">
        <f>CWE!B520+"$5F&amp;!WN"</f>
        <v>#VALUE!</v>
      </c>
      <c r="HH66" t="e">
        <f>CWE!C520+"$5F&amp;!WO"</f>
        <v>#VALUE!</v>
      </c>
      <c r="HI66" t="e">
        <f>CWE!D520+"$5F&amp;!WP"</f>
        <v>#VALUE!</v>
      </c>
      <c r="HJ66" t="e">
        <f>CWE!B521+"$5F&amp;!WQ"</f>
        <v>#VALUE!</v>
      </c>
      <c r="HK66" t="e">
        <f>CWE!C521+"$5F&amp;!WR"</f>
        <v>#VALUE!</v>
      </c>
      <c r="HL66" t="e">
        <f>CWE!D521+"$5F&amp;!WS"</f>
        <v>#VALUE!</v>
      </c>
      <c r="HM66" t="e">
        <f>CWE!B522+"$5F&amp;!WT"</f>
        <v>#VALUE!</v>
      </c>
      <c r="HN66" t="e">
        <f>CWE!C522+"$5F&amp;!WU"</f>
        <v>#VALUE!</v>
      </c>
      <c r="HO66" t="e">
        <f>CWE!D522+"$5F&amp;!WV"</f>
        <v>#VALUE!</v>
      </c>
      <c r="HP66" t="e">
        <f>CWE!B523+"$5F&amp;!WW"</f>
        <v>#VALUE!</v>
      </c>
      <c r="HQ66" t="e">
        <f>CWE!C523+"$5F&amp;!WX"</f>
        <v>#VALUE!</v>
      </c>
      <c r="HR66" t="e">
        <f>CWE!D523+"$5F&amp;!WY"</f>
        <v>#VALUE!</v>
      </c>
      <c r="HS66" t="e">
        <f>CWE!B524+"$5F&amp;!WZ"</f>
        <v>#VALUE!</v>
      </c>
      <c r="HT66" t="e">
        <f>CWE!C524+"$5F&amp;!W["</f>
        <v>#VALUE!</v>
      </c>
      <c r="HU66" t="e">
        <f>CWE!D524+"$5F&amp;!W\"</f>
        <v>#VALUE!</v>
      </c>
      <c r="HV66" t="e">
        <f>CWE!B525+"$5F&amp;!W]"</f>
        <v>#VALUE!</v>
      </c>
      <c r="HW66" t="e">
        <f>CWE!C525+"$5F&amp;!W^"</f>
        <v>#VALUE!</v>
      </c>
      <c r="HX66" t="e">
        <f>CWE!D525+"$5F&amp;!W_"</f>
        <v>#VALUE!</v>
      </c>
      <c r="HY66" t="e">
        <f>CWE!B526+"$5F&amp;!W`"</f>
        <v>#VALUE!</v>
      </c>
      <c r="HZ66" t="e">
        <f>CWE!C526+"$5F&amp;!Wa"</f>
        <v>#VALUE!</v>
      </c>
      <c r="IA66" t="e">
        <f>CWE!D526+"$5F&amp;!Wb"</f>
        <v>#VALUE!</v>
      </c>
      <c r="IB66" t="e">
        <f>CWE!B527+"$5F&amp;!Wc"</f>
        <v>#VALUE!</v>
      </c>
      <c r="IC66" t="e">
        <f>CWE!C527+"$5F&amp;!Wd"</f>
        <v>#VALUE!</v>
      </c>
      <c r="ID66" t="e">
        <f>CWE!D527+"$5F&amp;!We"</f>
        <v>#VALUE!</v>
      </c>
      <c r="IE66" t="e">
        <f>CWE!B528+"$5F&amp;!Wf"</f>
        <v>#VALUE!</v>
      </c>
      <c r="IF66" t="e">
        <f>CWE!C528+"$5F&amp;!Wg"</f>
        <v>#VALUE!</v>
      </c>
      <c r="IG66" t="e">
        <f>CWE!D528+"$5F&amp;!Wh"</f>
        <v>#VALUE!</v>
      </c>
      <c r="IH66" t="e">
        <f>CWE!B529+"$5F&amp;!Wi"</f>
        <v>#VALUE!</v>
      </c>
      <c r="II66" t="e">
        <f>CWE!C529+"$5F&amp;!Wj"</f>
        <v>#VALUE!</v>
      </c>
      <c r="IJ66" t="e">
        <f>CWE!D529+"$5F&amp;!Wk"</f>
        <v>#VALUE!</v>
      </c>
      <c r="IK66" t="e">
        <f>CWE!B530+"$5F&amp;!Wl"</f>
        <v>#VALUE!</v>
      </c>
      <c r="IL66" t="e">
        <f>CWE!C530+"$5F&amp;!Wm"</f>
        <v>#VALUE!</v>
      </c>
      <c r="IM66" t="e">
        <f>CWE!D530+"$5F&amp;!Wn"</f>
        <v>#VALUE!</v>
      </c>
      <c r="IN66" t="e">
        <f>CWE!B531+"$5F&amp;!Wo"</f>
        <v>#VALUE!</v>
      </c>
      <c r="IO66" t="e">
        <f>CWE!C531+"$5F&amp;!Wp"</f>
        <v>#VALUE!</v>
      </c>
      <c r="IP66" t="e">
        <f>CWE!D531+"$5F&amp;!Wq"</f>
        <v>#VALUE!</v>
      </c>
      <c r="IQ66" t="e">
        <f>CWE!B532+"$5F&amp;!Wr"</f>
        <v>#VALUE!</v>
      </c>
      <c r="IR66" t="e">
        <f>CWE!C532+"$5F&amp;!Ws"</f>
        <v>#VALUE!</v>
      </c>
      <c r="IS66" t="e">
        <f>CWE!D532+"$5F&amp;!Wt"</f>
        <v>#VALUE!</v>
      </c>
      <c r="IT66" t="e">
        <f>CWE!B533+"$5F&amp;!Wu"</f>
        <v>#VALUE!</v>
      </c>
      <c r="IU66" t="e">
        <f>CWE!C533+"$5F&amp;!Wv"</f>
        <v>#VALUE!</v>
      </c>
      <c r="IV66" t="e">
        <f>CWE!D533+"$5F&amp;!Ww"</f>
        <v>#VALUE!</v>
      </c>
    </row>
    <row r="67" spans="6:256" x14ac:dyDescent="0.25">
      <c r="F67" t="e">
        <f>CWE!B534+"$5F&amp;!Wx"</f>
        <v>#VALUE!</v>
      </c>
      <c r="G67" t="e">
        <f>CWE!C534+"$5F&amp;!Wy"</f>
        <v>#VALUE!</v>
      </c>
      <c r="H67" t="e">
        <f>CWE!D534+"$5F&amp;!Wz"</f>
        <v>#VALUE!</v>
      </c>
      <c r="I67" t="e">
        <f>CWE!B535+"$5F&amp;!W{"</f>
        <v>#VALUE!</v>
      </c>
      <c r="J67" t="e">
        <f>CWE!C535+"$5F&amp;!W|"</f>
        <v>#VALUE!</v>
      </c>
      <c r="K67" t="e">
        <f>CWE!D535+"$5F&amp;!W}"</f>
        <v>#VALUE!</v>
      </c>
      <c r="L67" t="e">
        <f>CWE!B536+"$5F&amp;!W~"</f>
        <v>#VALUE!</v>
      </c>
      <c r="M67" t="e">
        <f>CWE!C536+"$5F&amp;!X#"</f>
        <v>#VALUE!</v>
      </c>
      <c r="N67" t="e">
        <f>CWE!D536+"$5F&amp;!X$"</f>
        <v>#VALUE!</v>
      </c>
      <c r="O67" t="e">
        <f>CWE!B537+"$5F&amp;!X%"</f>
        <v>#VALUE!</v>
      </c>
      <c r="P67" t="e">
        <f>CWE!C537+"$5F&amp;!X&amp;"</f>
        <v>#VALUE!</v>
      </c>
      <c r="Q67" t="e">
        <f>CWE!D537+"$5F&amp;!X'"</f>
        <v>#VALUE!</v>
      </c>
      <c r="R67" t="e">
        <f>CWE!B538+"$5F&amp;!X("</f>
        <v>#VALUE!</v>
      </c>
      <c r="S67" t="e">
        <f>CWE!C538+"$5F&amp;!X)"</f>
        <v>#VALUE!</v>
      </c>
      <c r="T67" t="e">
        <f>CWE!D538+"$5F&amp;!X."</f>
        <v>#VALUE!</v>
      </c>
      <c r="U67" t="e">
        <f>CWE!B539+"$5F&amp;!X/"</f>
        <v>#VALUE!</v>
      </c>
      <c r="V67" t="e">
        <f>CWE!C539+"$5F&amp;!X0"</f>
        <v>#VALUE!</v>
      </c>
      <c r="W67" t="e">
        <f>CWE!D539+"$5F&amp;!X1"</f>
        <v>#VALUE!</v>
      </c>
      <c r="X67" t="e">
        <f>CWE!B540+"$5F&amp;!X2"</f>
        <v>#VALUE!</v>
      </c>
      <c r="Y67" t="e">
        <f>CWE!C540+"$5F&amp;!X3"</f>
        <v>#VALUE!</v>
      </c>
      <c r="Z67" t="e">
        <f>CWE!D540+"$5F&amp;!X4"</f>
        <v>#VALUE!</v>
      </c>
      <c r="AA67" t="e">
        <f>CWE!B541+"$5F&amp;!X5"</f>
        <v>#VALUE!</v>
      </c>
      <c r="AB67" t="e">
        <f>CWE!C541+"$5F&amp;!X6"</f>
        <v>#VALUE!</v>
      </c>
      <c r="AC67" t="e">
        <f>CWE!D541+"$5F&amp;!X7"</f>
        <v>#VALUE!</v>
      </c>
      <c r="AD67" t="e">
        <f>CWE!B542+"$5F&amp;!X8"</f>
        <v>#VALUE!</v>
      </c>
      <c r="AE67" t="e">
        <f>CWE!C542+"$5F&amp;!X9"</f>
        <v>#VALUE!</v>
      </c>
      <c r="AF67" t="e">
        <f>CWE!D542+"$5F&amp;!X:"</f>
        <v>#VALUE!</v>
      </c>
      <c r="AG67" t="e">
        <f>CWE!B543+"$5F&amp;!X;"</f>
        <v>#VALUE!</v>
      </c>
      <c r="AH67" t="e">
        <f>CWE!C543+"$5F&amp;!X&lt;"</f>
        <v>#VALUE!</v>
      </c>
      <c r="AI67" t="e">
        <f>CWE!D543+"$5F&amp;!X="</f>
        <v>#VALUE!</v>
      </c>
      <c r="AJ67" t="e">
        <f>CWE!B544+"$5F&amp;!X&gt;"</f>
        <v>#VALUE!</v>
      </c>
      <c r="AK67" t="e">
        <f>CWE!C544+"$5F&amp;!X?"</f>
        <v>#VALUE!</v>
      </c>
      <c r="AL67" t="e">
        <f>CWE!D544+"$5F&amp;!X@"</f>
        <v>#VALUE!</v>
      </c>
      <c r="AM67" t="e">
        <f>CWE!B545+"$5F&amp;!XA"</f>
        <v>#VALUE!</v>
      </c>
      <c r="AN67" t="e">
        <f>CWE!C545+"$5F&amp;!XB"</f>
        <v>#VALUE!</v>
      </c>
      <c r="AO67" t="e">
        <f>CWE!D545+"$5F&amp;!XC"</f>
        <v>#VALUE!</v>
      </c>
      <c r="AP67" t="e">
        <f>CWE!B546+"$5F&amp;!XD"</f>
        <v>#VALUE!</v>
      </c>
      <c r="AQ67" t="e">
        <f>CWE!C546+"$5F&amp;!XE"</f>
        <v>#VALUE!</v>
      </c>
      <c r="AR67" t="e">
        <f>CWE!D546+"$5F&amp;!XF"</f>
        <v>#VALUE!</v>
      </c>
      <c r="AS67" t="e">
        <f>CWE!B547+"$5F&amp;!XG"</f>
        <v>#VALUE!</v>
      </c>
      <c r="AT67" t="e">
        <f>CWE!C547+"$5F&amp;!XH"</f>
        <v>#VALUE!</v>
      </c>
      <c r="AU67" t="e">
        <f>CWE!D547+"$5F&amp;!XI"</f>
        <v>#VALUE!</v>
      </c>
      <c r="AV67" t="e">
        <f>CWE!B548+"$5F&amp;!XJ"</f>
        <v>#VALUE!</v>
      </c>
      <c r="AW67" t="e">
        <f>CWE!C548+"$5F&amp;!XK"</f>
        <v>#VALUE!</v>
      </c>
      <c r="AX67" t="e">
        <f>CWE!D548+"$5F&amp;!XL"</f>
        <v>#VALUE!</v>
      </c>
      <c r="AY67" t="e">
        <f>CWE!B549+"$5F&amp;!XM"</f>
        <v>#VALUE!</v>
      </c>
      <c r="AZ67" t="e">
        <f>CWE!C549+"$5F&amp;!XN"</f>
        <v>#VALUE!</v>
      </c>
      <c r="BA67" t="e">
        <f>CWE!D549+"$5F&amp;!XO"</f>
        <v>#VALUE!</v>
      </c>
      <c r="BB67" t="e">
        <f>CWE!B550+"$5F&amp;!XP"</f>
        <v>#VALUE!</v>
      </c>
      <c r="BC67" t="e">
        <f>CWE!C550+"$5F&amp;!XQ"</f>
        <v>#VALUE!</v>
      </c>
      <c r="BD67" t="e">
        <f>CWE!D550+"$5F&amp;!XR"</f>
        <v>#VALUE!</v>
      </c>
      <c r="BE67" t="e">
        <f>CWE!B551+"$5F&amp;!XS"</f>
        <v>#VALUE!</v>
      </c>
      <c r="BF67" t="e">
        <f>CWE!C551+"$5F&amp;!XT"</f>
        <v>#VALUE!</v>
      </c>
      <c r="BG67" t="e">
        <f>CWE!D551+"$5F&amp;!XU"</f>
        <v>#VALUE!</v>
      </c>
      <c r="BH67" t="e">
        <f>CWE!B552+"$5F&amp;!XV"</f>
        <v>#VALUE!</v>
      </c>
      <c r="BI67" t="e">
        <f>CWE!C552+"$5F&amp;!XW"</f>
        <v>#VALUE!</v>
      </c>
      <c r="BJ67" t="e">
        <f>CWE!D552+"$5F&amp;!XX"</f>
        <v>#VALUE!</v>
      </c>
      <c r="BK67" t="e">
        <f>CWE!B553+"$5F&amp;!XY"</f>
        <v>#VALUE!</v>
      </c>
      <c r="BL67" t="e">
        <f>CWE!C553+"$5F&amp;!XZ"</f>
        <v>#VALUE!</v>
      </c>
      <c r="BM67" t="e">
        <f>CWE!D553+"$5F&amp;!X["</f>
        <v>#VALUE!</v>
      </c>
      <c r="BN67" t="e">
        <f>CWE!B554+"$5F&amp;!X\"</f>
        <v>#VALUE!</v>
      </c>
      <c r="BO67" t="e">
        <f>CWE!C554+"$5F&amp;!X]"</f>
        <v>#VALUE!</v>
      </c>
      <c r="BP67" t="e">
        <f>CWE!D554+"$5F&amp;!X^"</f>
        <v>#VALUE!</v>
      </c>
      <c r="BQ67" t="e">
        <f>CWE!B555+"$5F&amp;!X_"</f>
        <v>#VALUE!</v>
      </c>
      <c r="BR67" t="e">
        <f>CWE!C555+"$5F&amp;!X`"</f>
        <v>#VALUE!</v>
      </c>
      <c r="BS67" t="e">
        <f>CWE!D555+"$5F&amp;!Xa"</f>
        <v>#VALUE!</v>
      </c>
      <c r="BT67" t="e">
        <f>CWE!B556+"$5F&amp;!Xb"</f>
        <v>#VALUE!</v>
      </c>
      <c r="BU67" t="e">
        <f>CWE!C556+"$5F&amp;!Xc"</f>
        <v>#VALUE!</v>
      </c>
      <c r="BV67" t="e">
        <f>CWE!D556+"$5F&amp;!Xd"</f>
        <v>#VALUE!</v>
      </c>
      <c r="BW67" t="e">
        <f>CWE!B557+"$5F&amp;!Xe"</f>
        <v>#VALUE!</v>
      </c>
      <c r="BX67" t="e">
        <f>CWE!C557+"$5F&amp;!Xf"</f>
        <v>#VALUE!</v>
      </c>
      <c r="BY67" t="e">
        <f>CWE!D557+"$5F&amp;!Xg"</f>
        <v>#VALUE!</v>
      </c>
      <c r="BZ67" t="e">
        <f>CWE!B558+"$5F&amp;!Xh"</f>
        <v>#VALUE!</v>
      </c>
      <c r="CA67" t="e">
        <f>CWE!C558+"$5F&amp;!Xi"</f>
        <v>#VALUE!</v>
      </c>
      <c r="CB67" t="e">
        <f>CWE!D558+"$5F&amp;!Xj"</f>
        <v>#VALUE!</v>
      </c>
      <c r="CC67" t="e">
        <f>CWE!B559+"$5F&amp;!Xk"</f>
        <v>#VALUE!</v>
      </c>
      <c r="CD67" t="e">
        <f>CWE!C559+"$5F&amp;!Xl"</f>
        <v>#VALUE!</v>
      </c>
      <c r="CE67" t="e">
        <f>CWE!D559+"$5F&amp;!Xm"</f>
        <v>#VALUE!</v>
      </c>
      <c r="CF67" t="e">
        <f>CWE!B560+"$5F&amp;!Xn"</f>
        <v>#VALUE!</v>
      </c>
      <c r="CG67" t="e">
        <f>CWE!C560+"$5F&amp;!Xo"</f>
        <v>#VALUE!</v>
      </c>
      <c r="CH67" t="e">
        <f>CWE!D560+"$5F&amp;!Xp"</f>
        <v>#VALUE!</v>
      </c>
      <c r="CI67" t="e">
        <f>CWE!B561+"$5F&amp;!Xq"</f>
        <v>#VALUE!</v>
      </c>
      <c r="CJ67" t="e">
        <f>CWE!C561+"$5F&amp;!Xr"</f>
        <v>#VALUE!</v>
      </c>
      <c r="CK67" t="e">
        <f>CWE!D561+"$5F&amp;!Xs"</f>
        <v>#VALUE!</v>
      </c>
      <c r="CL67" t="e">
        <f>CWE!B562+"$5F&amp;!Xt"</f>
        <v>#VALUE!</v>
      </c>
      <c r="CM67" t="e">
        <f>CWE!C562+"$5F&amp;!Xu"</f>
        <v>#VALUE!</v>
      </c>
      <c r="CN67" t="e">
        <f>CWE!D562+"$5F&amp;!Xv"</f>
        <v>#VALUE!</v>
      </c>
      <c r="CO67" t="e">
        <f>CWE!B563+"$5F&amp;!Xw"</f>
        <v>#VALUE!</v>
      </c>
      <c r="CP67" t="e">
        <f>CWE!C563+"$5F&amp;!Xx"</f>
        <v>#VALUE!</v>
      </c>
      <c r="CQ67" t="e">
        <f>CWE!D563+"$5F&amp;!Xy"</f>
        <v>#VALUE!</v>
      </c>
      <c r="CR67" t="e">
        <f>CWE!B564+"$5F&amp;!Xz"</f>
        <v>#VALUE!</v>
      </c>
      <c r="CS67" t="e">
        <f>CWE!C564+"$5F&amp;!X{"</f>
        <v>#VALUE!</v>
      </c>
      <c r="CT67" t="e">
        <f>CWE!D564+"$5F&amp;!X|"</f>
        <v>#VALUE!</v>
      </c>
      <c r="CU67" t="e">
        <f>CWE!B565+"$5F&amp;!X}"</f>
        <v>#VALUE!</v>
      </c>
      <c r="CV67" t="e">
        <f>CWE!C565+"$5F&amp;!X~"</f>
        <v>#VALUE!</v>
      </c>
      <c r="CW67" t="e">
        <f>CWE!D565+"$5F&amp;!Y#"</f>
        <v>#VALUE!</v>
      </c>
      <c r="CX67" t="e">
        <f>CWE!B566+"$5F&amp;!Y$"</f>
        <v>#VALUE!</v>
      </c>
      <c r="CY67" t="e">
        <f>CWE!C566+"$5F&amp;!Y%"</f>
        <v>#VALUE!</v>
      </c>
      <c r="CZ67" t="e">
        <f>CWE!D566+"$5F&amp;!Y&amp;"</f>
        <v>#VALUE!</v>
      </c>
      <c r="DA67" t="e">
        <f>CWE!B567+"$5F&amp;!Y'"</f>
        <v>#VALUE!</v>
      </c>
      <c r="DB67" t="e">
        <f>CWE!C567+"$5F&amp;!Y("</f>
        <v>#VALUE!</v>
      </c>
      <c r="DC67" t="e">
        <f>CWE!D567+"$5F&amp;!Y)"</f>
        <v>#VALUE!</v>
      </c>
      <c r="DD67" t="e">
        <f>CWE!B568+"$5F&amp;!Y."</f>
        <v>#VALUE!</v>
      </c>
      <c r="DE67" t="e">
        <f>CWE!C568+"$5F&amp;!Y/"</f>
        <v>#VALUE!</v>
      </c>
      <c r="DF67" t="e">
        <f>CWE!D568+"$5F&amp;!Y0"</f>
        <v>#VALUE!</v>
      </c>
      <c r="DG67" t="e">
        <f>CWE!B569+"$5F&amp;!Y1"</f>
        <v>#VALUE!</v>
      </c>
      <c r="DH67" t="e">
        <f>CWE!C569+"$5F&amp;!Y2"</f>
        <v>#VALUE!</v>
      </c>
      <c r="DI67" t="e">
        <f>CWE!D569+"$5F&amp;!Y3"</f>
        <v>#VALUE!</v>
      </c>
      <c r="DJ67" t="e">
        <f>CWE!B570+"$5F&amp;!Y4"</f>
        <v>#VALUE!</v>
      </c>
      <c r="DK67" t="e">
        <f>CWE!C570+"$5F&amp;!Y5"</f>
        <v>#VALUE!</v>
      </c>
      <c r="DL67" t="e">
        <f>CWE!D570+"$5F&amp;!Y6"</f>
        <v>#VALUE!</v>
      </c>
      <c r="DM67" t="e">
        <f>CWE!B571+"$5F&amp;!Y7"</f>
        <v>#VALUE!</v>
      </c>
      <c r="DN67" t="e">
        <f>CWE!C571+"$5F&amp;!Y8"</f>
        <v>#VALUE!</v>
      </c>
      <c r="DO67" t="e">
        <f>CWE!D571+"$5F&amp;!Y9"</f>
        <v>#VALUE!</v>
      </c>
      <c r="DP67" t="e">
        <f>CWE!B572+"$5F&amp;!Y:"</f>
        <v>#VALUE!</v>
      </c>
      <c r="DQ67" t="e">
        <f>CWE!C572+"$5F&amp;!Y;"</f>
        <v>#VALUE!</v>
      </c>
      <c r="DR67" t="e">
        <f>CWE!D572+"$5F&amp;!Y&lt;"</f>
        <v>#VALUE!</v>
      </c>
      <c r="DS67" t="e">
        <f>CWE!B573+"$5F&amp;!Y="</f>
        <v>#VALUE!</v>
      </c>
      <c r="DT67" t="e">
        <f>CWE!C573+"$5F&amp;!Y&gt;"</f>
        <v>#VALUE!</v>
      </c>
      <c r="DU67" t="e">
        <f>CWE!D573+"$5F&amp;!Y?"</f>
        <v>#VALUE!</v>
      </c>
      <c r="DV67" t="e">
        <f>CWE!B574+"$5F&amp;!Y@"</f>
        <v>#VALUE!</v>
      </c>
      <c r="DW67" t="e">
        <f>CWE!C574+"$5F&amp;!YA"</f>
        <v>#VALUE!</v>
      </c>
      <c r="DX67" t="e">
        <f>CWE!D574+"$5F&amp;!YB"</f>
        <v>#VALUE!</v>
      </c>
      <c r="DY67" t="e">
        <f>CWE!B575+"$5F&amp;!YC"</f>
        <v>#VALUE!</v>
      </c>
      <c r="DZ67" t="e">
        <f>CWE!C575+"$5F&amp;!YD"</f>
        <v>#VALUE!</v>
      </c>
      <c r="EA67" t="e">
        <f>CWE!D575+"$5F&amp;!YE"</f>
        <v>#VALUE!</v>
      </c>
      <c r="EB67" t="e">
        <f>CWE!B576+"$5F&amp;!YF"</f>
        <v>#VALUE!</v>
      </c>
      <c r="EC67" t="e">
        <f>CWE!C576+"$5F&amp;!YG"</f>
        <v>#VALUE!</v>
      </c>
      <c r="ED67" t="e">
        <f>CWE!D576+"$5F&amp;!YH"</f>
        <v>#VALUE!</v>
      </c>
      <c r="EE67" t="e">
        <f>CWE!B577+"$5F&amp;!YI"</f>
        <v>#VALUE!</v>
      </c>
      <c r="EF67" t="e">
        <f>CWE!C577+"$5F&amp;!YJ"</f>
        <v>#VALUE!</v>
      </c>
      <c r="EG67" t="e">
        <f>CWE!D577+"$5F&amp;!YK"</f>
        <v>#VALUE!</v>
      </c>
      <c r="EH67" t="e">
        <f>CWE!B578+"$5F&amp;!YL"</f>
        <v>#VALUE!</v>
      </c>
      <c r="EI67" t="e">
        <f>CWE!C578+"$5F&amp;!YM"</f>
        <v>#VALUE!</v>
      </c>
      <c r="EJ67" t="e">
        <f>CWE!D578+"$5F&amp;!YN"</f>
        <v>#VALUE!</v>
      </c>
      <c r="EK67" t="e">
        <f>CWE!B579+"$5F&amp;!YO"</f>
        <v>#VALUE!</v>
      </c>
      <c r="EL67" t="e">
        <f>CWE!C579+"$5F&amp;!YP"</f>
        <v>#VALUE!</v>
      </c>
      <c r="EM67" t="e">
        <f>CWE!D579+"$5F&amp;!YQ"</f>
        <v>#VALUE!</v>
      </c>
      <c r="EN67" t="e">
        <f>CWE!B580+"$5F&amp;!YR"</f>
        <v>#VALUE!</v>
      </c>
      <c r="EO67" t="e">
        <f>CWE!C580+"$5F&amp;!YS"</f>
        <v>#VALUE!</v>
      </c>
      <c r="EP67" t="e">
        <f>CWE!D580+"$5F&amp;!YT"</f>
        <v>#VALUE!</v>
      </c>
      <c r="EQ67" t="e">
        <f>CWE!B581+"$5F&amp;!YU"</f>
        <v>#VALUE!</v>
      </c>
      <c r="ER67" t="e">
        <f>CWE!C581+"$5F&amp;!YV"</f>
        <v>#VALUE!</v>
      </c>
      <c r="ES67" t="e">
        <f>CWE!D581+"$5F&amp;!YW"</f>
        <v>#VALUE!</v>
      </c>
      <c r="ET67" t="e">
        <f>CWE!B582+"$5F&amp;!YX"</f>
        <v>#VALUE!</v>
      </c>
      <c r="EU67" t="e">
        <f>CWE!C582+"$5F&amp;!YY"</f>
        <v>#VALUE!</v>
      </c>
      <c r="EV67" t="e">
        <f>CWE!D582+"$5F&amp;!YZ"</f>
        <v>#VALUE!</v>
      </c>
      <c r="EW67" t="e">
        <f>CWE!B583+"$5F&amp;!Y["</f>
        <v>#VALUE!</v>
      </c>
      <c r="EX67" t="e">
        <f>CWE!C583+"$5F&amp;!Y\"</f>
        <v>#VALUE!</v>
      </c>
      <c r="EY67" t="e">
        <f>CWE!D583+"$5F&amp;!Y]"</f>
        <v>#VALUE!</v>
      </c>
      <c r="EZ67" t="e">
        <f>CWE!B584+"$5F&amp;!Y^"</f>
        <v>#VALUE!</v>
      </c>
      <c r="FA67" t="e">
        <f>CWE!C584+"$5F&amp;!Y_"</f>
        <v>#VALUE!</v>
      </c>
      <c r="FB67" t="e">
        <f>CWE!D584+"$5F&amp;!Y`"</f>
        <v>#VALUE!</v>
      </c>
      <c r="FC67" t="e">
        <f>CWE!B585+"$5F&amp;!Ya"</f>
        <v>#VALUE!</v>
      </c>
      <c r="FD67" t="e">
        <f>CWE!C585+"$5F&amp;!Yb"</f>
        <v>#VALUE!</v>
      </c>
      <c r="FE67" t="e">
        <f>CWE!D585+"$5F&amp;!Yc"</f>
        <v>#VALUE!</v>
      </c>
      <c r="FF67" t="e">
        <f>CWE!B586+"$5F&amp;!Yd"</f>
        <v>#VALUE!</v>
      </c>
      <c r="FG67" t="e">
        <f>CWE!C586+"$5F&amp;!Ye"</f>
        <v>#VALUE!</v>
      </c>
      <c r="FH67" t="e">
        <f>CWE!D586+"$5F&amp;!Yf"</f>
        <v>#VALUE!</v>
      </c>
      <c r="FI67" t="e">
        <f>CWE!B587+"$5F&amp;!Yg"</f>
        <v>#VALUE!</v>
      </c>
      <c r="FJ67" t="e">
        <f>CWE!C587+"$5F&amp;!Yh"</f>
        <v>#VALUE!</v>
      </c>
      <c r="FK67" t="e">
        <f>CWE!D587+"$5F&amp;!Yi"</f>
        <v>#VALUE!</v>
      </c>
      <c r="FL67" t="e">
        <f>CWE!B588+"$5F&amp;!Yj"</f>
        <v>#VALUE!</v>
      </c>
      <c r="FM67" t="e">
        <f>CWE!C588+"$5F&amp;!Yk"</f>
        <v>#VALUE!</v>
      </c>
      <c r="FN67" t="e">
        <f>CWE!D588+"$5F&amp;!Yl"</f>
        <v>#VALUE!</v>
      </c>
      <c r="FO67" t="e">
        <f>CWE!B589+"$5F&amp;!Ym"</f>
        <v>#VALUE!</v>
      </c>
      <c r="FP67" t="e">
        <f>CWE!C589+"$5F&amp;!Yn"</f>
        <v>#VALUE!</v>
      </c>
      <c r="FQ67" t="e">
        <f>CWE!D589+"$5F&amp;!Yo"</f>
        <v>#VALUE!</v>
      </c>
      <c r="FR67" t="e">
        <f>CWE!B590+"$5F&amp;!Yp"</f>
        <v>#VALUE!</v>
      </c>
      <c r="FS67" t="e">
        <f>CWE!C590+"$5F&amp;!Yq"</f>
        <v>#VALUE!</v>
      </c>
      <c r="FT67" t="e">
        <f>CWE!D590+"$5F&amp;!Yr"</f>
        <v>#VALUE!</v>
      </c>
      <c r="FU67" t="e">
        <f>CWE!B591+"$5F&amp;!Ys"</f>
        <v>#VALUE!</v>
      </c>
      <c r="FV67" t="e">
        <f>CWE!C591+"$5F&amp;!Yt"</f>
        <v>#VALUE!</v>
      </c>
      <c r="FW67" t="e">
        <f>CWE!D591+"$5F&amp;!Yu"</f>
        <v>#VALUE!</v>
      </c>
      <c r="FX67" t="e">
        <f>CWE!B592+"$5F&amp;!Yv"</f>
        <v>#VALUE!</v>
      </c>
      <c r="FY67" t="e">
        <f>CWE!C592+"$5F&amp;!Yw"</f>
        <v>#VALUE!</v>
      </c>
      <c r="FZ67" t="e">
        <f>CWE!D592+"$5F&amp;!Yx"</f>
        <v>#VALUE!</v>
      </c>
      <c r="GA67" t="e">
        <f>CWE!B593+"$5F&amp;!Yy"</f>
        <v>#VALUE!</v>
      </c>
      <c r="GB67" t="e">
        <f>CWE!C593+"$5F&amp;!Yz"</f>
        <v>#VALUE!</v>
      </c>
      <c r="GC67" t="e">
        <f>CWE!D593+"$5F&amp;!Y{"</f>
        <v>#VALUE!</v>
      </c>
      <c r="GD67" t="e">
        <f>CWE!B594+"$5F&amp;!Y|"</f>
        <v>#VALUE!</v>
      </c>
      <c r="GE67" t="e">
        <f>CWE!C594+"$5F&amp;!Y}"</f>
        <v>#VALUE!</v>
      </c>
      <c r="GF67" t="e">
        <f>CWE!D594+"$5F&amp;!Y~"</f>
        <v>#VALUE!</v>
      </c>
      <c r="GG67" t="e">
        <f>CWE!B595+"$5F&amp;!Z#"</f>
        <v>#VALUE!</v>
      </c>
      <c r="GH67" t="e">
        <f>CWE!C595+"$5F&amp;!Z$"</f>
        <v>#VALUE!</v>
      </c>
      <c r="GI67" t="e">
        <f>CWE!D595+"$5F&amp;!Z%"</f>
        <v>#VALUE!</v>
      </c>
      <c r="GJ67" t="e">
        <f>CWE!B596+"$5F&amp;!Z&amp;"</f>
        <v>#VALUE!</v>
      </c>
      <c r="GK67" t="e">
        <f>CWE!C596+"$5F&amp;!Z'"</f>
        <v>#VALUE!</v>
      </c>
      <c r="GL67" t="e">
        <f>CWE!D596+"$5F&amp;!Z("</f>
        <v>#VALUE!</v>
      </c>
      <c r="GM67" t="e">
        <f>CWE!B597+"$5F&amp;!Z)"</f>
        <v>#VALUE!</v>
      </c>
      <c r="GN67" t="e">
        <f>CWE!C597+"$5F&amp;!Z."</f>
        <v>#VALUE!</v>
      </c>
      <c r="GO67" t="e">
        <f>CWE!D597+"$5F&amp;!Z/"</f>
        <v>#VALUE!</v>
      </c>
      <c r="GP67" t="e">
        <f>CWE!B598+"$5F&amp;!Z0"</f>
        <v>#VALUE!</v>
      </c>
      <c r="GQ67" t="e">
        <f>CWE!C598+"$5F&amp;!Z1"</f>
        <v>#VALUE!</v>
      </c>
      <c r="GR67" t="e">
        <f>CWE!D598+"$5F&amp;!Z2"</f>
        <v>#VALUE!</v>
      </c>
      <c r="GS67" t="e">
        <f>CWE!B599+"$5F&amp;!Z3"</f>
        <v>#VALUE!</v>
      </c>
      <c r="GT67" t="e">
        <f>CWE!C599+"$5F&amp;!Z4"</f>
        <v>#VALUE!</v>
      </c>
      <c r="GU67" t="e">
        <f>CWE!D599+"$5F&amp;!Z5"</f>
        <v>#VALUE!</v>
      </c>
      <c r="GV67" t="e">
        <f>CWE!B600+"$5F&amp;!Z6"</f>
        <v>#VALUE!</v>
      </c>
      <c r="GW67" t="e">
        <f>CWE!C600+"$5F&amp;!Z7"</f>
        <v>#VALUE!</v>
      </c>
      <c r="GX67" t="e">
        <f>CWE!D600+"$5F&amp;!Z8"</f>
        <v>#VALUE!</v>
      </c>
      <c r="GY67" t="e">
        <f>CWE!B601+"$5F&amp;!Z9"</f>
        <v>#VALUE!</v>
      </c>
      <c r="GZ67" t="e">
        <f>CWE!C601+"$5F&amp;!Z:"</f>
        <v>#VALUE!</v>
      </c>
      <c r="HA67" t="e">
        <f>CWE!D601+"$5F&amp;!Z;"</f>
        <v>#VALUE!</v>
      </c>
      <c r="HB67" t="e">
        <f>CWE!B602+"$5F&amp;!Z&lt;"</f>
        <v>#VALUE!</v>
      </c>
      <c r="HC67" t="e">
        <f>CWE!C602+"$5F&amp;!Z="</f>
        <v>#VALUE!</v>
      </c>
      <c r="HD67" t="e">
        <f>CWE!D602+"$5F&amp;!Z&gt;"</f>
        <v>#VALUE!</v>
      </c>
      <c r="HE67" t="e">
        <f>CWE!B603+"$5F&amp;!Z?"</f>
        <v>#VALUE!</v>
      </c>
      <c r="HF67" t="e">
        <f>CWE!C603+"$5F&amp;!Z@"</f>
        <v>#VALUE!</v>
      </c>
      <c r="HG67" t="e">
        <f>CWE!D603+"$5F&amp;!ZA"</f>
        <v>#VALUE!</v>
      </c>
      <c r="HH67" t="e">
        <f>CWE!B604+"$5F&amp;!ZB"</f>
        <v>#VALUE!</v>
      </c>
      <c r="HI67" t="e">
        <f>CWE!C604+"$5F&amp;!ZC"</f>
        <v>#VALUE!</v>
      </c>
      <c r="HJ67" t="e">
        <f>CWE!D604+"$5F&amp;!ZD"</f>
        <v>#VALUE!</v>
      </c>
      <c r="HK67" t="e">
        <f>CWE!B605+"$5F&amp;!ZE"</f>
        <v>#VALUE!</v>
      </c>
      <c r="HL67" t="e">
        <f>CWE!C605+"$5F&amp;!ZF"</f>
        <v>#VALUE!</v>
      </c>
      <c r="HM67" t="e">
        <f>CWE!D605+"$5F&amp;!ZG"</f>
        <v>#VALUE!</v>
      </c>
      <c r="HN67" t="e">
        <f>CWE!B606+"$5F&amp;!ZH"</f>
        <v>#VALUE!</v>
      </c>
      <c r="HO67" t="e">
        <f>CWE!C606+"$5F&amp;!ZI"</f>
        <v>#VALUE!</v>
      </c>
      <c r="HP67" t="e">
        <f>CWE!D606+"$5F&amp;!ZJ"</f>
        <v>#VALUE!</v>
      </c>
      <c r="HQ67" t="e">
        <f>CWE!B607+"$5F&amp;!ZK"</f>
        <v>#VALUE!</v>
      </c>
      <c r="HR67" t="e">
        <f>CWE!C607+"$5F&amp;!ZL"</f>
        <v>#VALUE!</v>
      </c>
      <c r="HS67" t="e">
        <f>CWE!D607+"$5F&amp;!ZM"</f>
        <v>#VALUE!</v>
      </c>
      <c r="HT67" t="e">
        <f>CWE!B608+"$5F&amp;!ZN"</f>
        <v>#VALUE!</v>
      </c>
      <c r="HU67" t="e">
        <f>CWE!C608+"$5F&amp;!ZO"</f>
        <v>#VALUE!</v>
      </c>
      <c r="HV67" t="e">
        <f>CWE!D608+"$5F&amp;!ZP"</f>
        <v>#VALUE!</v>
      </c>
      <c r="HW67" t="e">
        <f>CWE!B609+"$5F&amp;!ZQ"</f>
        <v>#VALUE!</v>
      </c>
      <c r="HX67" t="e">
        <f>CWE!C609+"$5F&amp;!ZR"</f>
        <v>#VALUE!</v>
      </c>
      <c r="HY67" t="e">
        <f>CWE!D609+"$5F&amp;!ZS"</f>
        <v>#VALUE!</v>
      </c>
      <c r="HZ67" t="e">
        <f>CWE!B610+"$5F&amp;!ZT"</f>
        <v>#VALUE!</v>
      </c>
      <c r="IA67" t="e">
        <f>CWE!C610+"$5F&amp;!ZU"</f>
        <v>#VALUE!</v>
      </c>
      <c r="IB67" t="e">
        <f>CWE!D610+"$5F&amp;!ZV"</f>
        <v>#VALUE!</v>
      </c>
      <c r="IC67" t="e">
        <f>CWE!B611+"$5F&amp;!ZW"</f>
        <v>#VALUE!</v>
      </c>
      <c r="ID67" t="e">
        <f>CWE!C611+"$5F&amp;!ZX"</f>
        <v>#VALUE!</v>
      </c>
      <c r="IE67" t="e">
        <f>CWE!D611+"$5F&amp;!ZY"</f>
        <v>#VALUE!</v>
      </c>
      <c r="IF67" t="e">
        <f>CWE!B612+"$5F&amp;!ZZ"</f>
        <v>#VALUE!</v>
      </c>
      <c r="IG67" t="e">
        <f>CWE!C612+"$5F&amp;!Z["</f>
        <v>#VALUE!</v>
      </c>
      <c r="IH67" t="e">
        <f>CWE!D612+"$5F&amp;!Z\"</f>
        <v>#VALUE!</v>
      </c>
      <c r="II67" t="e">
        <f>CWE!B613+"$5F&amp;!Z]"</f>
        <v>#VALUE!</v>
      </c>
      <c r="IJ67" t="e">
        <f>CWE!C613+"$5F&amp;!Z^"</f>
        <v>#VALUE!</v>
      </c>
      <c r="IK67" t="e">
        <f>CWE!D613+"$5F&amp;!Z_"</f>
        <v>#VALUE!</v>
      </c>
      <c r="IL67" t="e">
        <f>CWE!B614+"$5F&amp;!Z`"</f>
        <v>#VALUE!</v>
      </c>
      <c r="IM67" t="e">
        <f>CWE!C614+"$5F&amp;!Za"</f>
        <v>#VALUE!</v>
      </c>
      <c r="IN67" t="e">
        <f>CWE!D614+"$5F&amp;!Zb"</f>
        <v>#VALUE!</v>
      </c>
      <c r="IO67" t="e">
        <f>CWE!B615+"$5F&amp;!Zc"</f>
        <v>#VALUE!</v>
      </c>
      <c r="IP67" t="e">
        <f>CWE!C615+"$5F&amp;!Zd"</f>
        <v>#VALUE!</v>
      </c>
      <c r="IQ67" t="e">
        <f>CWE!D615+"$5F&amp;!Ze"</f>
        <v>#VALUE!</v>
      </c>
      <c r="IR67" t="e">
        <f>CWE!B616+"$5F&amp;!Zf"</f>
        <v>#VALUE!</v>
      </c>
      <c r="IS67" t="e">
        <f>CWE!C616+"$5F&amp;!Zg"</f>
        <v>#VALUE!</v>
      </c>
      <c r="IT67" t="e">
        <f>CWE!D616+"$5F&amp;!Zh"</f>
        <v>#VALUE!</v>
      </c>
      <c r="IU67" t="e">
        <f>CWE!B617+"$5F&amp;!Zi"</f>
        <v>#VALUE!</v>
      </c>
      <c r="IV67" t="e">
        <f>CWE!C617+"$5F&amp;!Zj"</f>
        <v>#VALUE!</v>
      </c>
    </row>
    <row r="68" spans="6:256" x14ac:dyDescent="0.25">
      <c r="F68" t="e">
        <f>CWE!D617+"$5F&amp;!Zk"</f>
        <v>#VALUE!</v>
      </c>
      <c r="G68" t="e">
        <f>CWE!B618+"$5F&amp;!Zl"</f>
        <v>#VALUE!</v>
      </c>
      <c r="H68" t="e">
        <f>CWE!C618+"$5F&amp;!Zm"</f>
        <v>#VALUE!</v>
      </c>
      <c r="I68" t="e">
        <f>CWE!D618+"$5F&amp;!Zn"</f>
        <v>#VALUE!</v>
      </c>
      <c r="J68" t="e">
        <f>CWE!B619+"$5F&amp;!Zo"</f>
        <v>#VALUE!</v>
      </c>
      <c r="K68" t="e">
        <f>CWE!C619+"$5F&amp;!Zp"</f>
        <v>#VALUE!</v>
      </c>
      <c r="L68" t="e">
        <f>CWE!D619+"$5F&amp;!Zq"</f>
        <v>#VALUE!</v>
      </c>
      <c r="M68" t="e">
        <f>CWE!B620+"$5F&amp;!Zr"</f>
        <v>#VALUE!</v>
      </c>
      <c r="N68" t="e">
        <f>CWE!C620+"$5F&amp;!Zs"</f>
        <v>#VALUE!</v>
      </c>
      <c r="O68" t="e">
        <f>CWE!D620+"$5F&amp;!Zt"</f>
        <v>#VALUE!</v>
      </c>
      <c r="P68" t="e">
        <f>CWE!B621+"$5F&amp;!Zu"</f>
        <v>#VALUE!</v>
      </c>
      <c r="Q68" t="e">
        <f>CWE!C621+"$5F&amp;!Zv"</f>
        <v>#VALUE!</v>
      </c>
      <c r="R68" t="e">
        <f>CWE!D621+"$5F&amp;!Zw"</f>
        <v>#VALUE!</v>
      </c>
      <c r="S68" t="e">
        <f>CWE!B622+"$5F&amp;!Zx"</f>
        <v>#VALUE!</v>
      </c>
      <c r="T68" t="e">
        <f>CWE!C622+"$5F&amp;!Zy"</f>
        <v>#VALUE!</v>
      </c>
      <c r="U68" t="e">
        <f>CWE!D622+"$5F&amp;!Zz"</f>
        <v>#VALUE!</v>
      </c>
      <c r="V68" t="e">
        <f>CWE!B623+"$5F&amp;!Z{"</f>
        <v>#VALUE!</v>
      </c>
      <c r="W68" t="e">
        <f>CWE!C623+"$5F&amp;!Z|"</f>
        <v>#VALUE!</v>
      </c>
      <c r="X68" t="e">
        <f>CWE!D623+"$5F&amp;!Z}"</f>
        <v>#VALUE!</v>
      </c>
      <c r="Y68" t="e">
        <f>CWE!B624+"$5F&amp;!Z~"</f>
        <v>#VALUE!</v>
      </c>
      <c r="Z68" t="e">
        <f>CWE!C624+"$5F&amp;![#"</f>
        <v>#VALUE!</v>
      </c>
      <c r="AA68" t="e">
        <f>CWE!D624+"$5F&amp;![$"</f>
        <v>#VALUE!</v>
      </c>
      <c r="AB68" t="e">
        <f>CWE!B625+"$5F&amp;![%"</f>
        <v>#VALUE!</v>
      </c>
      <c r="AC68" t="e">
        <f>CWE!C625+"$5F&amp;![&amp;"</f>
        <v>#VALUE!</v>
      </c>
      <c r="AD68" t="e">
        <f>CWE!D625+"$5F&amp;!['"</f>
        <v>#VALUE!</v>
      </c>
      <c r="AE68" t="e">
        <f>CWE!B626+"$5F&amp;![("</f>
        <v>#VALUE!</v>
      </c>
      <c r="AF68" t="e">
        <f>CWE!C626+"$5F&amp;![)"</f>
        <v>#VALUE!</v>
      </c>
      <c r="AG68" t="e">
        <f>CWE!D626+"$5F&amp;![."</f>
        <v>#VALUE!</v>
      </c>
      <c r="AH68" t="e">
        <f>CWE!B627+"$5F&amp;![/"</f>
        <v>#VALUE!</v>
      </c>
      <c r="AI68" t="e">
        <f>CWE!C627+"$5F&amp;![0"</f>
        <v>#VALUE!</v>
      </c>
      <c r="AJ68" t="e">
        <f>CWE!D627+"$5F&amp;![1"</f>
        <v>#VALUE!</v>
      </c>
      <c r="AK68" t="e">
        <f>CWE!B628+"$5F&amp;![2"</f>
        <v>#VALUE!</v>
      </c>
      <c r="AL68" t="e">
        <f>CWE!C628+"$5F&amp;![3"</f>
        <v>#VALUE!</v>
      </c>
      <c r="AM68" t="e">
        <f>CWE!D628+"$5F&amp;![4"</f>
        <v>#VALUE!</v>
      </c>
      <c r="AN68" t="e">
        <f>CWE!B629+"$5F&amp;![5"</f>
        <v>#VALUE!</v>
      </c>
      <c r="AO68" t="e">
        <f>CWE!C629+"$5F&amp;![6"</f>
        <v>#VALUE!</v>
      </c>
      <c r="AP68" t="e">
        <f>CWE!D629+"$5F&amp;![7"</f>
        <v>#VALUE!</v>
      </c>
      <c r="AQ68" t="e">
        <f>CWE!B630+"$5F&amp;![8"</f>
        <v>#VALUE!</v>
      </c>
      <c r="AR68" t="e">
        <f>CWE!C630+"$5F&amp;![9"</f>
        <v>#VALUE!</v>
      </c>
      <c r="AS68" t="e">
        <f>CWE!D630+"$5F&amp;![:"</f>
        <v>#VALUE!</v>
      </c>
      <c r="AT68" t="e">
        <f>CWE!B631+"$5F&amp;![;"</f>
        <v>#VALUE!</v>
      </c>
      <c r="AU68" t="e">
        <f>CWE!C631+"$5F&amp;![&lt;"</f>
        <v>#VALUE!</v>
      </c>
      <c r="AV68" t="e">
        <f>CWE!D631+"$5F&amp;![="</f>
        <v>#VALUE!</v>
      </c>
      <c r="AW68" t="e">
        <f>CWE!B632+"$5F&amp;![&gt;"</f>
        <v>#VALUE!</v>
      </c>
      <c r="AX68" t="e">
        <f>CWE!C632+"$5F&amp;![?"</f>
        <v>#VALUE!</v>
      </c>
      <c r="AY68" t="e">
        <f>CWE!D632+"$5F&amp;![@"</f>
        <v>#VALUE!</v>
      </c>
      <c r="AZ68" t="e">
        <f>CWE!B633+"$5F&amp;![A"</f>
        <v>#VALUE!</v>
      </c>
      <c r="BA68" t="e">
        <f>CWE!C633+"$5F&amp;![B"</f>
        <v>#VALUE!</v>
      </c>
      <c r="BB68" t="e">
        <f>CWE!D633+"$5F&amp;![C"</f>
        <v>#VALUE!</v>
      </c>
      <c r="BC68" t="e">
        <f>CWE!B634+"$5F&amp;![D"</f>
        <v>#VALUE!</v>
      </c>
      <c r="BD68" t="e">
        <f>CWE!C634+"$5F&amp;![E"</f>
        <v>#VALUE!</v>
      </c>
      <c r="BE68" t="e">
        <f>CWE!D634+"$5F&amp;![F"</f>
        <v>#VALUE!</v>
      </c>
      <c r="BF68" t="e">
        <f>CWE!B635+"$5F&amp;![G"</f>
        <v>#VALUE!</v>
      </c>
      <c r="BG68" t="e">
        <f>CWE!C635+"$5F&amp;![H"</f>
        <v>#VALUE!</v>
      </c>
      <c r="BH68" t="e">
        <f>CWE!D635+"$5F&amp;![I"</f>
        <v>#VALUE!</v>
      </c>
      <c r="BI68" t="e">
        <f>CWE!B636+"$5F&amp;![J"</f>
        <v>#VALUE!</v>
      </c>
      <c r="BJ68" t="e">
        <f>CWE!C636+"$5F&amp;![K"</f>
        <v>#VALUE!</v>
      </c>
      <c r="BK68" t="e">
        <f>CWE!D636+"$5F&amp;![L"</f>
        <v>#VALUE!</v>
      </c>
      <c r="BL68" t="e">
        <f>CWE!B637+"$5F&amp;![M"</f>
        <v>#VALUE!</v>
      </c>
      <c r="BM68" t="e">
        <f>CWE!C637+"$5F&amp;![N"</f>
        <v>#VALUE!</v>
      </c>
      <c r="BN68" t="e">
        <f>CWE!D637+"$5F&amp;![O"</f>
        <v>#VALUE!</v>
      </c>
      <c r="BO68" t="e">
        <f>CWE!B638+"$5F&amp;![P"</f>
        <v>#VALUE!</v>
      </c>
      <c r="BP68" t="e">
        <f>CWE!C638+"$5F&amp;![Q"</f>
        <v>#VALUE!</v>
      </c>
      <c r="BQ68" t="e">
        <f>CWE!D638+"$5F&amp;![R"</f>
        <v>#VALUE!</v>
      </c>
      <c r="BR68" t="e">
        <f>CWE!B639+"$5F&amp;![S"</f>
        <v>#VALUE!</v>
      </c>
      <c r="BS68" t="e">
        <f>CWE!C639+"$5F&amp;![T"</f>
        <v>#VALUE!</v>
      </c>
      <c r="BT68" t="e">
        <f>CWE!D639+"$5F&amp;![U"</f>
        <v>#VALUE!</v>
      </c>
      <c r="BU68" t="e">
        <f>CWE!B640+"$5F&amp;![V"</f>
        <v>#VALUE!</v>
      </c>
      <c r="BV68" t="e">
        <f>CWE!C640+"$5F&amp;![W"</f>
        <v>#VALUE!</v>
      </c>
      <c r="BW68" t="e">
        <f>CWE!D640+"$5F&amp;![X"</f>
        <v>#VALUE!</v>
      </c>
      <c r="BX68" t="e">
        <f>CWE!B641+"$5F&amp;![Y"</f>
        <v>#VALUE!</v>
      </c>
      <c r="BY68" t="e">
        <f>CWE!C641+"$5F&amp;![Z"</f>
        <v>#VALUE!</v>
      </c>
      <c r="BZ68" t="e">
        <f>CWE!D641+"$5F&amp;![["</f>
        <v>#VALUE!</v>
      </c>
      <c r="CA68" t="e">
        <f>CWE!B642+"$5F&amp;![\"</f>
        <v>#VALUE!</v>
      </c>
      <c r="CB68" t="e">
        <f>CWE!C642+"$5F&amp;![]"</f>
        <v>#VALUE!</v>
      </c>
      <c r="CC68" t="e">
        <f>CWE!D642+"$5F&amp;![^"</f>
        <v>#VALUE!</v>
      </c>
      <c r="CD68" t="e">
        <f>CWE!B643+"$5F&amp;![_"</f>
        <v>#VALUE!</v>
      </c>
      <c r="CE68" t="e">
        <f>CWE!C643+"$5F&amp;![`"</f>
        <v>#VALUE!</v>
      </c>
      <c r="CF68" t="e">
        <f>CWE!D643+"$5F&amp;![a"</f>
        <v>#VALUE!</v>
      </c>
      <c r="CG68" t="e">
        <f>CWE!B644+"$5F&amp;![b"</f>
        <v>#VALUE!</v>
      </c>
      <c r="CH68" t="e">
        <f>CWE!C644+"$5F&amp;![c"</f>
        <v>#VALUE!</v>
      </c>
      <c r="CI68" t="e">
        <f>CWE!D644+"$5F&amp;![d"</f>
        <v>#VALUE!</v>
      </c>
      <c r="CJ68" t="e">
        <f>CWE!B645+"$5F&amp;![e"</f>
        <v>#VALUE!</v>
      </c>
      <c r="CK68" t="e">
        <f>CWE!C645+"$5F&amp;![f"</f>
        <v>#VALUE!</v>
      </c>
      <c r="CL68" t="e">
        <f>CWE!D645+"$5F&amp;![g"</f>
        <v>#VALUE!</v>
      </c>
      <c r="CM68" t="e">
        <f>CWE!B646+"$5F&amp;![h"</f>
        <v>#VALUE!</v>
      </c>
      <c r="CN68" t="e">
        <f>CWE!C646+"$5F&amp;![i"</f>
        <v>#VALUE!</v>
      </c>
      <c r="CO68" t="e">
        <f>CWE!D646+"$5F&amp;![j"</f>
        <v>#VALUE!</v>
      </c>
      <c r="CP68" t="e">
        <f>CWE!B647+"$5F&amp;![k"</f>
        <v>#VALUE!</v>
      </c>
      <c r="CQ68" t="e">
        <f>CWE!C647+"$5F&amp;![l"</f>
        <v>#VALUE!</v>
      </c>
      <c r="CR68" t="e">
        <f>CWE!D647+"$5F&amp;![m"</f>
        <v>#VALUE!</v>
      </c>
      <c r="CS68" t="e">
        <f>CWE!B648+"$5F&amp;![n"</f>
        <v>#VALUE!</v>
      </c>
      <c r="CT68" t="e">
        <f>CWE!C648+"$5F&amp;![o"</f>
        <v>#VALUE!</v>
      </c>
      <c r="CU68" t="e">
        <f>CWE!D648+"$5F&amp;![p"</f>
        <v>#VALUE!</v>
      </c>
      <c r="CV68" t="e">
        <f>CWE!B649+"$5F&amp;![q"</f>
        <v>#VALUE!</v>
      </c>
      <c r="CW68" t="e">
        <f>CWE!C649+"$5F&amp;![r"</f>
        <v>#VALUE!</v>
      </c>
      <c r="CX68" t="e">
        <f>CWE!D649+"$5F&amp;![s"</f>
        <v>#VALUE!</v>
      </c>
      <c r="CY68" t="e">
        <f>CWE!B650+"$5F&amp;![t"</f>
        <v>#VALUE!</v>
      </c>
      <c r="CZ68" t="e">
        <f>CWE!C650+"$5F&amp;![u"</f>
        <v>#VALUE!</v>
      </c>
      <c r="DA68" t="e">
        <f>CWE!D650+"$5F&amp;![v"</f>
        <v>#VALUE!</v>
      </c>
      <c r="DB68" t="e">
        <f>CWE!B651+"$5F&amp;![w"</f>
        <v>#VALUE!</v>
      </c>
      <c r="DC68" t="e">
        <f>CWE!C651+"$5F&amp;![x"</f>
        <v>#VALUE!</v>
      </c>
      <c r="DD68" t="e">
        <f>CWE!D651+"$5F&amp;![y"</f>
        <v>#VALUE!</v>
      </c>
      <c r="DE68" t="e">
        <f>CWE!B652+"$5F&amp;![z"</f>
        <v>#VALUE!</v>
      </c>
      <c r="DF68" t="e">
        <f>CWE!C652+"$5F&amp;![{"</f>
        <v>#VALUE!</v>
      </c>
      <c r="DG68" t="e">
        <f>CWE!D652+"$5F&amp;![|"</f>
        <v>#VALUE!</v>
      </c>
      <c r="DH68" t="e">
        <f>CWE!B653+"$5F&amp;![}"</f>
        <v>#VALUE!</v>
      </c>
      <c r="DI68" t="e">
        <f>CWE!C653+"$5F&amp;![~"</f>
        <v>#VALUE!</v>
      </c>
      <c r="DJ68" t="e">
        <f>CWE!D653+"$5F&amp;!\#"</f>
        <v>#VALUE!</v>
      </c>
      <c r="DK68" t="e">
        <f>CWE!B654+"$5F&amp;!\$"</f>
        <v>#VALUE!</v>
      </c>
      <c r="DL68" t="e">
        <f>CWE!C654+"$5F&amp;!\%"</f>
        <v>#VALUE!</v>
      </c>
      <c r="DM68" t="e">
        <f>CWE!D654+"$5F&amp;!\&amp;"</f>
        <v>#VALUE!</v>
      </c>
      <c r="DN68" t="e">
        <f>CWE!B655+"$5F&amp;!\'"</f>
        <v>#VALUE!</v>
      </c>
      <c r="DO68" t="e">
        <f>CWE!C655+"$5F&amp;!\("</f>
        <v>#VALUE!</v>
      </c>
      <c r="DP68" t="e">
        <f>CWE!D655+"$5F&amp;!\)"</f>
        <v>#VALUE!</v>
      </c>
      <c r="DQ68" t="e">
        <f>CWE!B656+"$5F&amp;!\."</f>
        <v>#VALUE!</v>
      </c>
      <c r="DR68" t="e">
        <f>CWE!C656+"$5F&amp;!\/"</f>
        <v>#VALUE!</v>
      </c>
      <c r="DS68" t="e">
        <f>CWE!D656+"$5F&amp;!\0"</f>
        <v>#VALUE!</v>
      </c>
      <c r="DT68" t="e">
        <f>CWE!B657+"$5F&amp;!\1"</f>
        <v>#VALUE!</v>
      </c>
      <c r="DU68" t="e">
        <f>CWE!C657+"$5F&amp;!\2"</f>
        <v>#VALUE!</v>
      </c>
      <c r="DV68" t="e">
        <f>CWE!D657+"$5F&amp;!\3"</f>
        <v>#VALUE!</v>
      </c>
      <c r="DW68" t="e">
        <f>CWE!B658+"$5F&amp;!\4"</f>
        <v>#VALUE!</v>
      </c>
      <c r="DX68" t="e">
        <f>CWE!C658+"$5F&amp;!\5"</f>
        <v>#VALUE!</v>
      </c>
      <c r="DY68" t="e">
        <f>CWE!D658+"$5F&amp;!\6"</f>
        <v>#VALUE!</v>
      </c>
      <c r="DZ68" t="e">
        <f>CWE!B659+"$5F&amp;!\7"</f>
        <v>#VALUE!</v>
      </c>
      <c r="EA68" t="e">
        <f>CWE!C659+"$5F&amp;!\8"</f>
        <v>#VALUE!</v>
      </c>
      <c r="EB68" t="e">
        <f>CWE!D659+"$5F&amp;!\9"</f>
        <v>#VALUE!</v>
      </c>
      <c r="EC68" t="e">
        <f>CWE!B660+"$5F&amp;!\:"</f>
        <v>#VALUE!</v>
      </c>
      <c r="ED68" t="e">
        <f>CWE!C660+"$5F&amp;!\;"</f>
        <v>#VALUE!</v>
      </c>
      <c r="EE68" t="e">
        <f>CWE!D660+"$5F&amp;!\&lt;"</f>
        <v>#VALUE!</v>
      </c>
      <c r="EF68" t="e">
        <f>CWE!B661+"$5F&amp;!\="</f>
        <v>#VALUE!</v>
      </c>
      <c r="EG68" t="e">
        <f>CWE!C661+"$5F&amp;!\&gt;"</f>
        <v>#VALUE!</v>
      </c>
      <c r="EH68" t="e">
        <f>CWE!D661+"$5F&amp;!\?"</f>
        <v>#VALUE!</v>
      </c>
      <c r="EI68" t="e">
        <f>CWE!B662+"$5F&amp;!\@"</f>
        <v>#VALUE!</v>
      </c>
      <c r="EJ68" t="e">
        <f>CWE!C662+"$5F&amp;!\A"</f>
        <v>#VALUE!</v>
      </c>
      <c r="EK68" t="e">
        <f>CWE!D662+"$5F&amp;!\B"</f>
        <v>#VALUE!</v>
      </c>
      <c r="EL68" t="e">
        <f>CWE!B663+"$5F&amp;!\C"</f>
        <v>#VALUE!</v>
      </c>
      <c r="EM68" t="e">
        <f>CWE!C663+"$5F&amp;!\D"</f>
        <v>#VALUE!</v>
      </c>
      <c r="EN68" t="e">
        <f>CWE!D663+"$5F&amp;!\E"</f>
        <v>#VALUE!</v>
      </c>
      <c r="EO68" t="e">
        <f>CWE!B664+"$5F&amp;!\F"</f>
        <v>#VALUE!</v>
      </c>
      <c r="EP68" t="e">
        <f>CWE!C664+"$5F&amp;!\G"</f>
        <v>#VALUE!</v>
      </c>
      <c r="EQ68" t="e">
        <f>CWE!D664+"$5F&amp;!\H"</f>
        <v>#VALUE!</v>
      </c>
      <c r="ER68" t="e">
        <f>CWE!B665+"$5F&amp;!\I"</f>
        <v>#VALUE!</v>
      </c>
      <c r="ES68" t="e">
        <f>CWE!C665+"$5F&amp;!\J"</f>
        <v>#VALUE!</v>
      </c>
      <c r="ET68" t="e">
        <f>CWE!D665+"$5F&amp;!\K"</f>
        <v>#VALUE!</v>
      </c>
      <c r="EU68" t="e">
        <f>CWE!B666+"$5F&amp;!\L"</f>
        <v>#VALUE!</v>
      </c>
      <c r="EV68" t="e">
        <f>CWE!C666+"$5F&amp;!\M"</f>
        <v>#VALUE!</v>
      </c>
      <c r="EW68" t="e">
        <f>CWE!D666+"$5F&amp;!\N"</f>
        <v>#VALUE!</v>
      </c>
      <c r="EX68" t="e">
        <f>CWE!B667+"$5F&amp;!\O"</f>
        <v>#VALUE!</v>
      </c>
      <c r="EY68" t="e">
        <f>CWE!C667+"$5F&amp;!\P"</f>
        <v>#VALUE!</v>
      </c>
      <c r="EZ68" t="e">
        <f>CWE!D667+"$5F&amp;!\Q"</f>
        <v>#VALUE!</v>
      </c>
      <c r="FA68" t="e">
        <f>CWE!B668+"$5F&amp;!\R"</f>
        <v>#VALUE!</v>
      </c>
      <c r="FB68" t="e">
        <f>CWE!C668+"$5F&amp;!\S"</f>
        <v>#VALUE!</v>
      </c>
      <c r="FC68" t="e">
        <f>CWE!D668+"$5F&amp;!\T"</f>
        <v>#VALUE!</v>
      </c>
      <c r="FD68" t="e">
        <f>CWE!B669+"$5F&amp;!\U"</f>
        <v>#VALUE!</v>
      </c>
      <c r="FE68" t="e">
        <f>CWE!C669+"$5F&amp;!\V"</f>
        <v>#VALUE!</v>
      </c>
      <c r="FF68" t="e">
        <f>CWE!D669+"$5F&amp;!\W"</f>
        <v>#VALUE!</v>
      </c>
      <c r="FG68" t="e">
        <f>CWE!B670+"$5F&amp;!\X"</f>
        <v>#VALUE!</v>
      </c>
      <c r="FH68" t="e">
        <f>CWE!C670+"$5F&amp;!\Y"</f>
        <v>#VALUE!</v>
      </c>
      <c r="FI68" t="e">
        <f>CWE!D670+"$5F&amp;!\Z"</f>
        <v>#VALUE!</v>
      </c>
      <c r="FJ68" t="e">
        <f>CWE!B671+"$5F&amp;!\["</f>
        <v>#VALUE!</v>
      </c>
      <c r="FK68" t="e">
        <f>CWE!C671+"$5F&amp;!\\"</f>
        <v>#VALUE!</v>
      </c>
      <c r="FL68" t="e">
        <f>CWE!D671+"$5F&amp;!\]"</f>
        <v>#VALUE!</v>
      </c>
      <c r="FM68" t="e">
        <f>CWE!B672+"$5F&amp;!\^"</f>
        <v>#VALUE!</v>
      </c>
      <c r="FN68" t="e">
        <f>CWE!C672+"$5F&amp;!\_"</f>
        <v>#VALUE!</v>
      </c>
      <c r="FO68" t="e">
        <f>CWE!D672+"$5F&amp;!\`"</f>
        <v>#VALUE!</v>
      </c>
      <c r="FP68" t="e">
        <f>CWE!B673+"$5F&amp;!\a"</f>
        <v>#VALUE!</v>
      </c>
      <c r="FQ68" t="e">
        <f>CWE!C673+"$5F&amp;!\b"</f>
        <v>#VALUE!</v>
      </c>
      <c r="FR68" t="e">
        <f>CWE!D673+"$5F&amp;!\c"</f>
        <v>#VALUE!</v>
      </c>
      <c r="FS68" t="e">
        <f>CWE!B674+"$5F&amp;!\d"</f>
        <v>#VALUE!</v>
      </c>
      <c r="FT68" t="e">
        <f>CWE!C674+"$5F&amp;!\e"</f>
        <v>#VALUE!</v>
      </c>
      <c r="FU68" t="e">
        <f>CWE!D674+"$5F&amp;!\f"</f>
        <v>#VALUE!</v>
      </c>
      <c r="FV68" t="e">
        <f>CWE!B675+"$5F&amp;!\g"</f>
        <v>#VALUE!</v>
      </c>
      <c r="FW68" t="e">
        <f>CWE!C675+"$5F&amp;!\h"</f>
        <v>#VALUE!</v>
      </c>
      <c r="FX68" t="e">
        <f>CWE!D675+"$5F&amp;!\i"</f>
        <v>#VALUE!</v>
      </c>
      <c r="FY68" t="e">
        <f>CWE!B676+"$5F&amp;!\j"</f>
        <v>#VALUE!</v>
      </c>
      <c r="FZ68" t="e">
        <f>CWE!C676+"$5F&amp;!\k"</f>
        <v>#VALUE!</v>
      </c>
      <c r="GA68" t="e">
        <f>CWE!D676+"$5F&amp;!\l"</f>
        <v>#VALUE!</v>
      </c>
      <c r="GB68" t="e">
        <f>CWE!B677+"$5F&amp;!\m"</f>
        <v>#VALUE!</v>
      </c>
      <c r="GC68" t="e">
        <f>CWE!C677+"$5F&amp;!\n"</f>
        <v>#VALUE!</v>
      </c>
      <c r="GD68" t="e">
        <f>CWE!D677+"$5F&amp;!\o"</f>
        <v>#VALUE!</v>
      </c>
      <c r="GE68" t="e">
        <f>CWE!B678+"$5F&amp;!\p"</f>
        <v>#VALUE!</v>
      </c>
      <c r="GF68" t="e">
        <f>CWE!C678+"$5F&amp;!\q"</f>
        <v>#VALUE!</v>
      </c>
      <c r="GG68" t="e">
        <f>CWE!D678+"$5F&amp;!\r"</f>
        <v>#VALUE!</v>
      </c>
      <c r="GH68" t="e">
        <f>CWE!B679+"$5F&amp;!\s"</f>
        <v>#VALUE!</v>
      </c>
      <c r="GI68" t="e">
        <f>CWE!C679+"$5F&amp;!\t"</f>
        <v>#VALUE!</v>
      </c>
      <c r="GJ68" t="e">
        <f>CWE!D679+"$5F&amp;!\u"</f>
        <v>#VALUE!</v>
      </c>
      <c r="GK68" t="e">
        <f>CWE!B680+"$5F&amp;!\v"</f>
        <v>#VALUE!</v>
      </c>
      <c r="GL68" t="e">
        <f>CWE!C680+"$5F&amp;!\w"</f>
        <v>#VALUE!</v>
      </c>
      <c r="GM68" t="e">
        <f>CWE!D680+"$5F&amp;!\x"</f>
        <v>#VALUE!</v>
      </c>
      <c r="GN68" t="e">
        <f>CWE!B681+"$5F&amp;!\y"</f>
        <v>#VALUE!</v>
      </c>
      <c r="GO68" t="e">
        <f>CWE!C681+"$5F&amp;!\z"</f>
        <v>#VALUE!</v>
      </c>
      <c r="GP68" t="e">
        <f>CWE!D681+"$5F&amp;!\{"</f>
        <v>#VALUE!</v>
      </c>
      <c r="GQ68" t="e">
        <f>CWE!B682+"$5F&amp;!\|"</f>
        <v>#VALUE!</v>
      </c>
      <c r="GR68" t="e">
        <f>CWE!C682+"$5F&amp;!\}"</f>
        <v>#VALUE!</v>
      </c>
      <c r="GS68" t="e">
        <f>CWE!D682+"$5F&amp;!\~"</f>
        <v>#VALUE!</v>
      </c>
      <c r="GT68" t="e">
        <f>CWE!B683+"$5F&amp;!]#"</f>
        <v>#VALUE!</v>
      </c>
      <c r="GU68" t="e">
        <f>CWE!C683+"$5F&amp;!]$"</f>
        <v>#VALUE!</v>
      </c>
      <c r="GV68" t="e">
        <f>CWE!D683+"$5F&amp;!]%"</f>
        <v>#VALUE!</v>
      </c>
      <c r="GW68" t="e">
        <f>CWE!B684+"$5F&amp;!]&amp;"</f>
        <v>#VALUE!</v>
      </c>
      <c r="GX68" t="e">
        <f>CWE!C684+"$5F&amp;!]'"</f>
        <v>#VALUE!</v>
      </c>
      <c r="GY68" t="e">
        <f>CWE!D684+"$5F&amp;!]("</f>
        <v>#VALUE!</v>
      </c>
      <c r="GZ68" t="e">
        <f>CWE!B685+"$5F&amp;!])"</f>
        <v>#VALUE!</v>
      </c>
      <c r="HA68" t="e">
        <f>CWE!C685+"$5F&amp;!]."</f>
        <v>#VALUE!</v>
      </c>
      <c r="HB68" t="e">
        <f>CWE!D685+"$5F&amp;!]/"</f>
        <v>#VALUE!</v>
      </c>
      <c r="HC68" t="e">
        <f>CWE!B686+"$5F&amp;!]0"</f>
        <v>#VALUE!</v>
      </c>
      <c r="HD68" t="e">
        <f>CWE!C686+"$5F&amp;!]1"</f>
        <v>#VALUE!</v>
      </c>
      <c r="HE68" t="e">
        <f>CWE!D686+"$5F&amp;!]2"</f>
        <v>#VALUE!</v>
      </c>
      <c r="HF68" t="e">
        <f>CWE!B687+"$5F&amp;!]3"</f>
        <v>#VALUE!</v>
      </c>
      <c r="HG68" t="e">
        <f>CWE!C687+"$5F&amp;!]4"</f>
        <v>#VALUE!</v>
      </c>
      <c r="HH68" t="e">
        <f>CWE!D687+"$5F&amp;!]5"</f>
        <v>#VALUE!</v>
      </c>
      <c r="HI68" t="e">
        <f>CWE!B688+"$5F&amp;!]6"</f>
        <v>#VALUE!</v>
      </c>
      <c r="HJ68" t="e">
        <f>CWE!C688+"$5F&amp;!]7"</f>
        <v>#VALUE!</v>
      </c>
      <c r="HK68" t="e">
        <f>CWE!D688+"$5F&amp;!]8"</f>
        <v>#VALUE!</v>
      </c>
      <c r="HL68" t="e">
        <f>CWE!B689+"$5F&amp;!]9"</f>
        <v>#VALUE!</v>
      </c>
      <c r="HM68" t="e">
        <f>CWE!C689+"$5F&amp;!]:"</f>
        <v>#VALUE!</v>
      </c>
      <c r="HN68" t="e">
        <f>CWE!D689+"$5F&amp;!];"</f>
        <v>#VALUE!</v>
      </c>
      <c r="HO68" t="e">
        <f>CWE!B690+"$5F&amp;!]&lt;"</f>
        <v>#VALUE!</v>
      </c>
      <c r="HP68" t="e">
        <f>CWE!C690+"$5F&amp;!]="</f>
        <v>#VALUE!</v>
      </c>
      <c r="HQ68" t="e">
        <f>CWE!D690+"$5F&amp;!]&gt;"</f>
        <v>#VALUE!</v>
      </c>
      <c r="HR68" t="e">
        <f>CWE!B691+"$5F&amp;!]?"</f>
        <v>#VALUE!</v>
      </c>
      <c r="HS68" t="e">
        <f>CWE!C691+"$5F&amp;!]@"</f>
        <v>#VALUE!</v>
      </c>
      <c r="HT68" t="e">
        <f>CWE!D691+"$5F&amp;!]A"</f>
        <v>#VALUE!</v>
      </c>
      <c r="HU68" t="e">
        <f>CWE!B692+"$5F&amp;!]B"</f>
        <v>#VALUE!</v>
      </c>
      <c r="HV68" t="e">
        <f>CWE!C692+"$5F&amp;!]C"</f>
        <v>#VALUE!</v>
      </c>
      <c r="HW68" t="e">
        <f>CWE!D692+"$5F&amp;!]D"</f>
        <v>#VALUE!</v>
      </c>
      <c r="HX68" t="e">
        <f>CWE!B693+"$5F&amp;!]E"</f>
        <v>#VALUE!</v>
      </c>
      <c r="HY68" t="e">
        <f>CWE!C693+"$5F&amp;!]F"</f>
        <v>#VALUE!</v>
      </c>
      <c r="HZ68" t="e">
        <f>CWE!D693+"$5F&amp;!]G"</f>
        <v>#VALUE!</v>
      </c>
      <c r="IA68" t="e">
        <f>CWE!B694+"$5F&amp;!]H"</f>
        <v>#VALUE!</v>
      </c>
      <c r="IB68" t="e">
        <f>CWE!C694+"$5F&amp;!]I"</f>
        <v>#VALUE!</v>
      </c>
      <c r="IC68" t="e">
        <f>CWE!D694+"$5F&amp;!]J"</f>
        <v>#VALUE!</v>
      </c>
      <c r="ID68" t="e">
        <f>CWE!B695+"$5F&amp;!]K"</f>
        <v>#VALUE!</v>
      </c>
      <c r="IE68" t="e">
        <f>CWE!C695+"$5F&amp;!]L"</f>
        <v>#VALUE!</v>
      </c>
      <c r="IF68" t="e">
        <f>CWE!D695+"$5F&amp;!]M"</f>
        <v>#VALUE!</v>
      </c>
      <c r="IG68" t="e">
        <f>CWE!B696+"$5F&amp;!]N"</f>
        <v>#VALUE!</v>
      </c>
      <c r="IH68" t="e">
        <f>CWE!C696+"$5F&amp;!]O"</f>
        <v>#VALUE!</v>
      </c>
      <c r="II68" t="e">
        <f>CWE!D696+"$5F&amp;!]P"</f>
        <v>#VALUE!</v>
      </c>
      <c r="IJ68" t="e">
        <f>CWE!B697+"$5F&amp;!]Q"</f>
        <v>#VALUE!</v>
      </c>
      <c r="IK68" t="e">
        <f>CWE!C697+"$5F&amp;!]R"</f>
        <v>#VALUE!</v>
      </c>
      <c r="IL68" t="e">
        <f>CWE!D697+"$5F&amp;!]S"</f>
        <v>#VALUE!</v>
      </c>
      <c r="IM68" t="e">
        <f>CWE!B698+"$5F&amp;!]T"</f>
        <v>#VALUE!</v>
      </c>
      <c r="IN68" t="e">
        <f>CWE!C698+"$5F&amp;!]U"</f>
        <v>#VALUE!</v>
      </c>
      <c r="IO68" t="e">
        <f>CWE!D698+"$5F&amp;!]V"</f>
        <v>#VALUE!</v>
      </c>
      <c r="IP68" t="e">
        <f>CWE!B699+"$5F&amp;!]W"</f>
        <v>#VALUE!</v>
      </c>
      <c r="IQ68" t="e">
        <f>CWE!C699+"$5F&amp;!]X"</f>
        <v>#VALUE!</v>
      </c>
      <c r="IR68" t="e">
        <f>CWE!D699+"$5F&amp;!]Y"</f>
        <v>#VALUE!</v>
      </c>
      <c r="IS68" t="e">
        <f>CWE!B700+"$5F&amp;!]Z"</f>
        <v>#VALUE!</v>
      </c>
      <c r="IT68" t="e">
        <f>CWE!C700+"$5F&amp;!]["</f>
        <v>#VALUE!</v>
      </c>
      <c r="IU68" t="e">
        <f>CWE!D700+"$5F&amp;!]\"</f>
        <v>#VALUE!</v>
      </c>
      <c r="IV68" t="e">
        <f>CWE!B701+"$5F&amp;!]]"</f>
        <v>#VALUE!</v>
      </c>
    </row>
    <row r="69" spans="6:256" x14ac:dyDescent="0.25">
      <c r="F69" t="e">
        <f>CWE!C701+"$5F&amp;!]^"</f>
        <v>#VALUE!</v>
      </c>
      <c r="G69" t="e">
        <f>CWE!D701+"$5F&amp;!]_"</f>
        <v>#VALUE!</v>
      </c>
      <c r="H69" t="e">
        <f>CWE!B702+"$5F&amp;!]`"</f>
        <v>#VALUE!</v>
      </c>
      <c r="I69" t="e">
        <f>CWE!C702+"$5F&amp;!]a"</f>
        <v>#VALUE!</v>
      </c>
      <c r="J69" t="e">
        <f>CWE!D702+"$5F&amp;!]b"</f>
        <v>#VALUE!</v>
      </c>
      <c r="K69" t="e">
        <f>CWE!B703+"$5F&amp;!]c"</f>
        <v>#VALUE!</v>
      </c>
      <c r="L69" t="e">
        <f>CWE!C703+"$5F&amp;!]d"</f>
        <v>#VALUE!</v>
      </c>
      <c r="M69" t="e">
        <f>CWE!D703+"$5F&amp;!]e"</f>
        <v>#VALUE!</v>
      </c>
      <c r="N69" t="e">
        <f>CWE!B704+"$5F&amp;!]f"</f>
        <v>#VALUE!</v>
      </c>
      <c r="O69" t="e">
        <f>CWE!C704+"$5F&amp;!]g"</f>
        <v>#VALUE!</v>
      </c>
      <c r="P69" t="e">
        <f>CWE!D704+"$5F&amp;!]h"</f>
        <v>#VALUE!</v>
      </c>
      <c r="Q69" t="e">
        <f>CWE!B705+"$5F&amp;!]i"</f>
        <v>#VALUE!</v>
      </c>
      <c r="R69" t="e">
        <f>CWE!C705+"$5F&amp;!]j"</f>
        <v>#VALUE!</v>
      </c>
      <c r="S69" t="e">
        <f>CWE!D705+"$5F&amp;!]k"</f>
        <v>#VALUE!</v>
      </c>
      <c r="T69" t="e">
        <f>CWE!B706+"$5F&amp;!]l"</f>
        <v>#VALUE!</v>
      </c>
      <c r="U69" t="e">
        <f>CWE!C706+"$5F&amp;!]m"</f>
        <v>#VALUE!</v>
      </c>
      <c r="V69" t="e">
        <f>CWE!D706+"$5F&amp;!]n"</f>
        <v>#VALUE!</v>
      </c>
      <c r="W69" t="e">
        <f>CWE!B707+"$5F&amp;!]o"</f>
        <v>#VALUE!</v>
      </c>
      <c r="X69" t="e">
        <f>CWE!C707+"$5F&amp;!]p"</f>
        <v>#VALUE!</v>
      </c>
      <c r="Y69" t="e">
        <f>CWE!D707+"$5F&amp;!]q"</f>
        <v>#VALUE!</v>
      </c>
      <c r="Z69" t="e">
        <f>CWE!B708+"$5F&amp;!]r"</f>
        <v>#VALUE!</v>
      </c>
      <c r="AA69" t="e">
        <f>CWE!C708+"$5F&amp;!]s"</f>
        <v>#VALUE!</v>
      </c>
      <c r="AB69" t="e">
        <f>CWE!D708+"$5F&amp;!]t"</f>
        <v>#VALUE!</v>
      </c>
      <c r="AC69" t="e">
        <f>CWE!B709+"$5F&amp;!]u"</f>
        <v>#VALUE!</v>
      </c>
      <c r="AD69" t="e">
        <f>CWE!C709+"$5F&amp;!]v"</f>
        <v>#VALUE!</v>
      </c>
      <c r="AE69" t="e">
        <f>CWE!D709+"$5F&amp;!]w"</f>
        <v>#VALUE!</v>
      </c>
      <c r="AF69" t="e">
        <f>CWE!B710+"$5F&amp;!]x"</f>
        <v>#VALUE!</v>
      </c>
      <c r="AG69" t="e">
        <f>CWE!C710+"$5F&amp;!]y"</f>
        <v>#VALUE!</v>
      </c>
      <c r="AH69" t="e">
        <f>CWE!D710+"$5F&amp;!]z"</f>
        <v>#VALUE!</v>
      </c>
      <c r="AI69" t="e">
        <f>CWE!B711+"$5F&amp;!]{"</f>
        <v>#VALUE!</v>
      </c>
      <c r="AJ69" t="e">
        <f>CWE!C711+"$5F&amp;!]|"</f>
        <v>#VALUE!</v>
      </c>
      <c r="AK69" t="e">
        <f>CWE!D711+"$5F&amp;!]}"</f>
        <v>#VALUE!</v>
      </c>
      <c r="AL69" t="e">
        <f>CWE!B712+"$5F&amp;!]~"</f>
        <v>#VALUE!</v>
      </c>
      <c r="AM69" t="e">
        <f>CWE!C712+"$5F&amp;!^#"</f>
        <v>#VALUE!</v>
      </c>
      <c r="AN69" t="e">
        <f>CWE!D712+"$5F&amp;!^$"</f>
        <v>#VALUE!</v>
      </c>
      <c r="AO69" t="e">
        <f>CWE!B713+"$5F&amp;!^%"</f>
        <v>#VALUE!</v>
      </c>
      <c r="AP69" t="e">
        <f>CWE!C713+"$5F&amp;!^&amp;"</f>
        <v>#VALUE!</v>
      </c>
      <c r="AQ69" t="e">
        <f>CWE!D713+"$5F&amp;!^'"</f>
        <v>#VALUE!</v>
      </c>
      <c r="AR69" t="e">
        <f>CWE!B714+"$5F&amp;!^("</f>
        <v>#VALUE!</v>
      </c>
      <c r="AS69" t="e">
        <f>CWE!C714+"$5F&amp;!^)"</f>
        <v>#VALUE!</v>
      </c>
      <c r="AT69" t="e">
        <f>CWE!D714+"$5F&amp;!^."</f>
        <v>#VALUE!</v>
      </c>
      <c r="AU69" t="e">
        <f>CWE!B715+"$5F&amp;!^/"</f>
        <v>#VALUE!</v>
      </c>
      <c r="AV69" t="e">
        <f>CWE!C715+"$5F&amp;!^0"</f>
        <v>#VALUE!</v>
      </c>
      <c r="AW69" t="e">
        <f>CWE!D715+"$5F&amp;!^1"</f>
        <v>#VALUE!</v>
      </c>
      <c r="AX69" t="e">
        <f>CWE!B716+"$5F&amp;!^2"</f>
        <v>#VALUE!</v>
      </c>
      <c r="AY69" t="e">
        <f>CWE!C716+"$5F&amp;!^3"</f>
        <v>#VALUE!</v>
      </c>
      <c r="AZ69" t="e">
        <f>CWE!D716+"$5F&amp;!^4"</f>
        <v>#VALUE!</v>
      </c>
      <c r="BA69" t="e">
        <f>CWE!B717+"$5F&amp;!^5"</f>
        <v>#VALUE!</v>
      </c>
      <c r="BB69" t="e">
        <f>CWE!C717+"$5F&amp;!^6"</f>
        <v>#VALUE!</v>
      </c>
      <c r="BC69" t="e">
        <f>CWE!D717+"$5F&amp;!^7"</f>
        <v>#VALUE!</v>
      </c>
      <c r="BD69" t="e">
        <f>CWE!B718+"$5F&amp;!^8"</f>
        <v>#VALUE!</v>
      </c>
      <c r="BE69" t="e">
        <f>CWE!C718+"$5F&amp;!^9"</f>
        <v>#VALUE!</v>
      </c>
      <c r="BF69" t="e">
        <f>CWE!D718+"$5F&amp;!^:"</f>
        <v>#VALUE!</v>
      </c>
      <c r="BG69" t="e">
        <f>CWE!B719+"$5F&amp;!^;"</f>
        <v>#VALUE!</v>
      </c>
      <c r="BH69" t="e">
        <f>CWE!C719+"$5F&amp;!^&lt;"</f>
        <v>#VALUE!</v>
      </c>
      <c r="BI69" t="e">
        <f>CWE!D719+"$5F&amp;!^="</f>
        <v>#VALUE!</v>
      </c>
      <c r="BJ69" t="e">
        <f>CWE!B720+"$5F&amp;!^&gt;"</f>
        <v>#VALUE!</v>
      </c>
      <c r="BK69" t="e">
        <f>CWE!C720+"$5F&amp;!^?"</f>
        <v>#VALUE!</v>
      </c>
      <c r="BL69" t="e">
        <f>CWE!D720+"$5F&amp;!^@"</f>
        <v>#VALUE!</v>
      </c>
      <c r="BM69" t="e">
        <f>CWE!B721+"$5F&amp;!^A"</f>
        <v>#VALUE!</v>
      </c>
      <c r="BN69" t="e">
        <f>CWE!C721+"$5F&amp;!^B"</f>
        <v>#VALUE!</v>
      </c>
      <c r="BO69" t="e">
        <f>CWE!D721+"$5F&amp;!^C"</f>
        <v>#VALUE!</v>
      </c>
      <c r="BP69" t="e">
        <f>CWE!B722+"$5F&amp;!^D"</f>
        <v>#VALUE!</v>
      </c>
      <c r="BQ69" t="e">
        <f>CWE!C722+"$5F&amp;!^E"</f>
        <v>#VALUE!</v>
      </c>
      <c r="BR69" t="e">
        <f>CWE!D722+"$5F&amp;!^F"</f>
        <v>#VALUE!</v>
      </c>
      <c r="BS69" t="e">
        <f>CWE!B723+"$5F&amp;!^G"</f>
        <v>#VALUE!</v>
      </c>
      <c r="BT69" t="e">
        <f>CWE!C723+"$5F&amp;!^H"</f>
        <v>#VALUE!</v>
      </c>
      <c r="BU69" t="e">
        <f>CWE!D723+"$5F&amp;!^I"</f>
        <v>#VALUE!</v>
      </c>
      <c r="BV69" t="e">
        <f>CWE!B724+"$5F&amp;!^J"</f>
        <v>#VALUE!</v>
      </c>
      <c r="BW69" t="e">
        <f>CWE!C724+"$5F&amp;!^K"</f>
        <v>#VALUE!</v>
      </c>
      <c r="BX69" t="e">
        <f>CWE!D724+"$5F&amp;!^L"</f>
        <v>#VALUE!</v>
      </c>
      <c r="BY69" t="e">
        <f>CWE!B725+"$5F&amp;!^M"</f>
        <v>#VALUE!</v>
      </c>
      <c r="BZ69" t="e">
        <f>CWE!C725+"$5F&amp;!^N"</f>
        <v>#VALUE!</v>
      </c>
      <c r="CA69" t="e">
        <f>CWE!D725+"$5F&amp;!^O"</f>
        <v>#VALUE!</v>
      </c>
      <c r="CB69" t="e">
        <f>CWE!B726+"$5F&amp;!^P"</f>
        <v>#VALUE!</v>
      </c>
      <c r="CC69" t="e">
        <f>CWE!C726+"$5F&amp;!^Q"</f>
        <v>#VALUE!</v>
      </c>
      <c r="CD69" t="e">
        <f>CWE!D726+"$5F&amp;!^R"</f>
        <v>#VALUE!</v>
      </c>
      <c r="CE69" t="e">
        <f>CWE!B727+"$5F&amp;!^S"</f>
        <v>#VALUE!</v>
      </c>
      <c r="CF69" t="e">
        <f>CWE!C727+"$5F&amp;!^T"</f>
        <v>#VALUE!</v>
      </c>
      <c r="CG69" t="e">
        <f>CWE!D727+"$5F&amp;!^U"</f>
        <v>#VALUE!</v>
      </c>
      <c r="CH69" t="e">
        <f>CWE!B728+"$5F&amp;!^V"</f>
        <v>#VALUE!</v>
      </c>
      <c r="CI69" t="e">
        <f>CWE!C728+"$5F&amp;!^W"</f>
        <v>#VALUE!</v>
      </c>
      <c r="CJ69" t="e">
        <f>CWE!D728+"$5F&amp;!^X"</f>
        <v>#VALUE!</v>
      </c>
      <c r="CK69" t="e">
        <f>CWE!B729+"$5F&amp;!^Y"</f>
        <v>#VALUE!</v>
      </c>
      <c r="CL69" t="e">
        <f>CWE!C729+"$5F&amp;!^Z"</f>
        <v>#VALUE!</v>
      </c>
      <c r="CM69" t="e">
        <f>CWE!D729+"$5F&amp;!^["</f>
        <v>#VALUE!</v>
      </c>
      <c r="CN69" t="e">
        <f>CWE!B730+"$5F&amp;!^\"</f>
        <v>#VALUE!</v>
      </c>
      <c r="CO69" t="e">
        <f>CWE!C730+"$5F&amp;!^]"</f>
        <v>#VALUE!</v>
      </c>
      <c r="CP69" t="e">
        <f>CWE!D730+"$5F&amp;!^^"</f>
        <v>#VALUE!</v>
      </c>
      <c r="CQ69" t="e">
        <f>CWE!B731+"$5F&amp;!^_"</f>
        <v>#VALUE!</v>
      </c>
      <c r="CR69" t="e">
        <f>CWE!C731+"$5F&amp;!^`"</f>
        <v>#VALUE!</v>
      </c>
      <c r="CS69" t="e">
        <f>CWE!D731+"$5F&amp;!^a"</f>
        <v>#VALUE!</v>
      </c>
      <c r="CT69" t="e">
        <f>CWE!B732+"$5F&amp;!^b"</f>
        <v>#VALUE!</v>
      </c>
      <c r="CU69" t="e">
        <f>CWE!C732+"$5F&amp;!^c"</f>
        <v>#VALUE!</v>
      </c>
      <c r="CV69" t="e">
        <f>CWE!D732+"$5F&amp;!^d"</f>
        <v>#VALUE!</v>
      </c>
      <c r="CW69" t="e">
        <f>CWE!B733+"$5F&amp;!^e"</f>
        <v>#VALUE!</v>
      </c>
      <c r="CX69" t="e">
        <f>CWE!C733+"$5F&amp;!^f"</f>
        <v>#VALUE!</v>
      </c>
      <c r="CY69" t="e">
        <f>CWE!D733+"$5F&amp;!^g"</f>
        <v>#VALUE!</v>
      </c>
      <c r="CZ69" t="e">
        <f>CWE!B734+"$5F&amp;!^h"</f>
        <v>#VALUE!</v>
      </c>
      <c r="DA69" t="e">
        <f>CWE!C734+"$5F&amp;!^i"</f>
        <v>#VALUE!</v>
      </c>
      <c r="DB69" t="e">
        <f>CWE!D734+"$5F&amp;!^j"</f>
        <v>#VALUE!</v>
      </c>
      <c r="DC69" t="e">
        <f>CWE!B735+"$5F&amp;!^k"</f>
        <v>#VALUE!</v>
      </c>
      <c r="DD69" t="e">
        <f>CWE!C735+"$5F&amp;!^l"</f>
        <v>#VALUE!</v>
      </c>
      <c r="DE69" t="e">
        <f>CWE!D735+"$5F&amp;!^m"</f>
        <v>#VALUE!</v>
      </c>
      <c r="DF69" t="e">
        <f>CWE!B736+"$5F&amp;!^n"</f>
        <v>#VALUE!</v>
      </c>
      <c r="DG69" t="e">
        <f>CWE!C736+"$5F&amp;!^o"</f>
        <v>#VALUE!</v>
      </c>
      <c r="DH69" t="e">
        <f>CWE!D736+"$5F&amp;!^p"</f>
        <v>#VALUE!</v>
      </c>
      <c r="DI69" t="e">
        <f>CWE!B737+"$5F&amp;!^q"</f>
        <v>#VALUE!</v>
      </c>
      <c r="DJ69" t="e">
        <f>CWE!C737+"$5F&amp;!^r"</f>
        <v>#VALUE!</v>
      </c>
      <c r="DK69" t="e">
        <f>CWE!D737+"$5F&amp;!^s"</f>
        <v>#VALUE!</v>
      </c>
      <c r="DL69" t="e">
        <f>CWE!B738+"$5F&amp;!^t"</f>
        <v>#VALUE!</v>
      </c>
      <c r="DM69" t="e">
        <f>CWE!C738+"$5F&amp;!^u"</f>
        <v>#VALUE!</v>
      </c>
      <c r="DN69" t="e">
        <f>CWE!D738+"$5F&amp;!^v"</f>
        <v>#VALUE!</v>
      </c>
      <c r="DO69" t="e">
        <f>CWE!B739+"$5F&amp;!^w"</f>
        <v>#VALUE!</v>
      </c>
      <c r="DP69" t="e">
        <f>CWE!C739+"$5F&amp;!^x"</f>
        <v>#VALUE!</v>
      </c>
      <c r="DQ69" t="e">
        <f>CWE!D739+"$5F&amp;!^y"</f>
        <v>#VALUE!</v>
      </c>
      <c r="DR69" t="e">
        <f>CWE!B740+"$5F&amp;!^z"</f>
        <v>#VALUE!</v>
      </c>
      <c r="DS69" t="e">
        <f>CWE!C740+"$5F&amp;!^{"</f>
        <v>#VALUE!</v>
      </c>
      <c r="DT69" t="e">
        <f>CWE!D740+"$5F&amp;!^|"</f>
        <v>#VALUE!</v>
      </c>
      <c r="DU69" t="e">
        <f>CWE!B741+"$5F&amp;!^}"</f>
        <v>#VALUE!</v>
      </c>
      <c r="DV69" t="e">
        <f>CWE!C741+"$5F&amp;!^~"</f>
        <v>#VALUE!</v>
      </c>
      <c r="DW69" t="e">
        <f>CWE!D741+"$5F&amp;!_#"</f>
        <v>#VALUE!</v>
      </c>
      <c r="DX69" t="e">
        <f>CWE!B742+"$5F&amp;!_$"</f>
        <v>#VALUE!</v>
      </c>
      <c r="DY69" t="e">
        <f>CWE!C742+"$5F&amp;!_%"</f>
        <v>#VALUE!</v>
      </c>
      <c r="DZ69" t="e">
        <f>CWE!D742+"$5F&amp;!_&amp;"</f>
        <v>#VALUE!</v>
      </c>
      <c r="EA69" t="e">
        <f>CWE!B743+"$5F&amp;!_'"</f>
        <v>#VALUE!</v>
      </c>
      <c r="EB69" t="e">
        <f>CWE!C743+"$5F&amp;!_("</f>
        <v>#VALUE!</v>
      </c>
      <c r="EC69" t="e">
        <f>CWE!D743+"$5F&amp;!_)"</f>
        <v>#VALUE!</v>
      </c>
      <c r="ED69" t="e">
        <f>CWE!B744+"$5F&amp;!_."</f>
        <v>#VALUE!</v>
      </c>
      <c r="EE69" t="e">
        <f>CWE!C744+"$5F&amp;!_/"</f>
        <v>#VALUE!</v>
      </c>
      <c r="EF69" t="e">
        <f>CWE!D744+"$5F&amp;!_0"</f>
        <v>#VALUE!</v>
      </c>
      <c r="EG69" t="e">
        <f>CWE!B745+"$5F&amp;!_1"</f>
        <v>#VALUE!</v>
      </c>
      <c r="EH69" t="e">
        <f>CWE!C745+"$5F&amp;!_2"</f>
        <v>#VALUE!</v>
      </c>
      <c r="EI69" t="e">
        <f>CWE!D745+"$5F&amp;!_3"</f>
        <v>#VALUE!</v>
      </c>
      <c r="EJ69" t="e">
        <f>CWE!B746+"$5F&amp;!_4"</f>
        <v>#VALUE!</v>
      </c>
      <c r="EK69" t="e">
        <f>CWE!C746+"$5F&amp;!_5"</f>
        <v>#VALUE!</v>
      </c>
      <c r="EL69" t="e">
        <f>CWE!D746+"$5F&amp;!_6"</f>
        <v>#VALUE!</v>
      </c>
      <c r="EM69" t="e">
        <f>CWE!B747+"$5F&amp;!_7"</f>
        <v>#VALUE!</v>
      </c>
      <c r="EN69" t="e">
        <f>CWE!C747+"$5F&amp;!_8"</f>
        <v>#VALUE!</v>
      </c>
      <c r="EO69" t="e">
        <f>CWE!D747+"$5F&amp;!_9"</f>
        <v>#VALUE!</v>
      </c>
      <c r="EP69" t="e">
        <f>CWE!B748+"$5F&amp;!_:"</f>
        <v>#VALUE!</v>
      </c>
      <c r="EQ69" t="e">
        <f>CWE!C748+"$5F&amp;!_;"</f>
        <v>#VALUE!</v>
      </c>
      <c r="ER69" t="e">
        <f>CWE!D748+"$5F&amp;!_&lt;"</f>
        <v>#VALUE!</v>
      </c>
      <c r="ES69" t="e">
        <f>CWE!B749+"$5F&amp;!_="</f>
        <v>#VALUE!</v>
      </c>
      <c r="ET69" t="e">
        <f>CWE!C749+"$5F&amp;!_&gt;"</f>
        <v>#VALUE!</v>
      </c>
      <c r="EU69" t="e">
        <f>CWE!D749+"$5F&amp;!_?"</f>
        <v>#VALUE!</v>
      </c>
      <c r="EV69" t="e">
        <f>CWE!B750+"$5F&amp;!_@"</f>
        <v>#VALUE!</v>
      </c>
      <c r="EW69" t="e">
        <f>CWE!C750+"$5F&amp;!_A"</f>
        <v>#VALUE!</v>
      </c>
      <c r="EX69" t="e">
        <f>CWE!D750+"$5F&amp;!_B"</f>
        <v>#VALUE!</v>
      </c>
      <c r="EY69" t="e">
        <f>CWE!B751+"$5F&amp;!_C"</f>
        <v>#VALUE!</v>
      </c>
      <c r="EZ69" t="e">
        <f>CWE!C751+"$5F&amp;!_D"</f>
        <v>#VALUE!</v>
      </c>
      <c r="FA69" t="e">
        <f>CWE!D751+"$5F&amp;!_E"</f>
        <v>#VALUE!</v>
      </c>
      <c r="FB69" t="e">
        <f>CWE!B752+"$5F&amp;!_F"</f>
        <v>#VALUE!</v>
      </c>
      <c r="FC69" t="e">
        <f>CWE!C752+"$5F&amp;!_G"</f>
        <v>#VALUE!</v>
      </c>
      <c r="FD69" t="e">
        <f>CWE!D752+"$5F&amp;!_H"</f>
        <v>#VALUE!</v>
      </c>
      <c r="FE69" t="e">
        <f>CWE!B753+"$5F&amp;!_I"</f>
        <v>#VALUE!</v>
      </c>
      <c r="FF69" t="e">
        <f>CWE!C753+"$5F&amp;!_J"</f>
        <v>#VALUE!</v>
      </c>
      <c r="FG69" t="e">
        <f>CWE!D753+"$5F&amp;!_K"</f>
        <v>#VALUE!</v>
      </c>
      <c r="FH69" t="e">
        <f>CWE!B754+"$5F&amp;!_L"</f>
        <v>#VALUE!</v>
      </c>
      <c r="FI69" t="e">
        <f>CWE!C754+"$5F&amp;!_M"</f>
        <v>#VALUE!</v>
      </c>
      <c r="FJ69" t="e">
        <f>CWE!D754+"$5F&amp;!_N"</f>
        <v>#VALUE!</v>
      </c>
      <c r="FK69" t="e">
        <f>CWE!B755+"$5F&amp;!_O"</f>
        <v>#VALUE!</v>
      </c>
      <c r="FL69" t="e">
        <f>CWE!C755+"$5F&amp;!_P"</f>
        <v>#VALUE!</v>
      </c>
      <c r="FM69" t="e">
        <f>CWE!D755+"$5F&amp;!_Q"</f>
        <v>#VALUE!</v>
      </c>
      <c r="FN69" t="e">
        <f>CWE!B756+"$5F&amp;!_R"</f>
        <v>#VALUE!</v>
      </c>
      <c r="FO69" t="e">
        <f>CWE!C756+"$5F&amp;!_S"</f>
        <v>#VALUE!</v>
      </c>
      <c r="FP69" t="e">
        <f>CWE!D756+"$5F&amp;!_T"</f>
        <v>#VALUE!</v>
      </c>
      <c r="FQ69" t="e">
        <f>CWE!B757+"$5F&amp;!_U"</f>
        <v>#VALUE!</v>
      </c>
      <c r="FR69" t="e">
        <f>CWE!C757+"$5F&amp;!_V"</f>
        <v>#VALUE!</v>
      </c>
      <c r="FS69" t="e">
        <f>CWE!D757+"$5F&amp;!_W"</f>
        <v>#VALUE!</v>
      </c>
      <c r="FT69" t="e">
        <f>CWE!B758+"$5F&amp;!_X"</f>
        <v>#VALUE!</v>
      </c>
      <c r="FU69" t="e">
        <f>CWE!C758+"$5F&amp;!_Y"</f>
        <v>#VALUE!</v>
      </c>
      <c r="FV69" t="e">
        <f>CWE!D758+"$5F&amp;!_Z"</f>
        <v>#VALUE!</v>
      </c>
      <c r="FW69" t="e">
        <f>CWE!B759+"$5F&amp;!_["</f>
        <v>#VALUE!</v>
      </c>
      <c r="FX69" t="e">
        <f>CWE!C759+"$5F&amp;!_\"</f>
        <v>#VALUE!</v>
      </c>
      <c r="FY69" t="e">
        <f>CWE!D759+"$5F&amp;!_]"</f>
        <v>#VALUE!</v>
      </c>
      <c r="FZ69" t="e">
        <f>CWE!B760+"$5F&amp;!_^"</f>
        <v>#VALUE!</v>
      </c>
      <c r="GA69" t="e">
        <f>CWE!C760+"$5F&amp;!__"</f>
        <v>#VALUE!</v>
      </c>
      <c r="GB69" t="e">
        <f>CWE!D760+"$5F&amp;!_`"</f>
        <v>#VALUE!</v>
      </c>
      <c r="GC69" t="e">
        <f>CWE!B761+"$5F&amp;!_a"</f>
        <v>#VALUE!</v>
      </c>
      <c r="GD69" t="e">
        <f>CWE!C761+"$5F&amp;!_b"</f>
        <v>#VALUE!</v>
      </c>
      <c r="GE69" t="e">
        <f>CWE!D761+"$5F&amp;!_c"</f>
        <v>#VALUE!</v>
      </c>
      <c r="GF69" t="e">
        <f>CWE!B762+"$5F&amp;!_d"</f>
        <v>#VALUE!</v>
      </c>
      <c r="GG69" t="e">
        <f>CWE!C762+"$5F&amp;!_e"</f>
        <v>#VALUE!</v>
      </c>
      <c r="GH69" t="e">
        <f>CWE!D762+"$5F&amp;!_f"</f>
        <v>#VALUE!</v>
      </c>
      <c r="GI69" t="e">
        <f>CWE!B763+"$5F&amp;!_g"</f>
        <v>#VALUE!</v>
      </c>
      <c r="GJ69" t="e">
        <f>CWE!C763+"$5F&amp;!_h"</f>
        <v>#VALUE!</v>
      </c>
      <c r="GK69" t="e">
        <f>CWE!D763+"$5F&amp;!_i"</f>
        <v>#VALUE!</v>
      </c>
      <c r="GL69" t="e">
        <f>CWE!B764+"$5F&amp;!_j"</f>
        <v>#VALUE!</v>
      </c>
      <c r="GM69" t="e">
        <f>CWE!C764+"$5F&amp;!_k"</f>
        <v>#VALUE!</v>
      </c>
      <c r="GN69" t="e">
        <f>CWE!D764+"$5F&amp;!_l"</f>
        <v>#VALUE!</v>
      </c>
      <c r="GO69" t="e">
        <f>CWE!B765+"$5F&amp;!_m"</f>
        <v>#VALUE!</v>
      </c>
      <c r="GP69" t="e">
        <f>CWE!C765+"$5F&amp;!_n"</f>
        <v>#VALUE!</v>
      </c>
      <c r="GQ69" t="e">
        <f>CWE!D765+"$5F&amp;!_o"</f>
        <v>#VALUE!</v>
      </c>
      <c r="GR69" t="e">
        <f>CWE!B766+"$5F&amp;!_p"</f>
        <v>#VALUE!</v>
      </c>
      <c r="GS69" t="e">
        <f>CWE!C766+"$5F&amp;!_q"</f>
        <v>#VALUE!</v>
      </c>
      <c r="GT69" t="e">
        <f>CWE!D766+"$5F&amp;!_r"</f>
        <v>#VALUE!</v>
      </c>
      <c r="GU69" t="e">
        <f>CWE!B767+"$5F&amp;!_s"</f>
        <v>#VALUE!</v>
      </c>
      <c r="GV69" t="e">
        <f>CWE!C767+"$5F&amp;!_t"</f>
        <v>#VALUE!</v>
      </c>
      <c r="GW69" t="e">
        <f>CWE!D767+"$5F&amp;!_u"</f>
        <v>#VALUE!</v>
      </c>
      <c r="GX69" t="e">
        <f>CWE!B768+"$5F&amp;!_v"</f>
        <v>#VALUE!</v>
      </c>
      <c r="GY69" t="e">
        <f>CWE!C768+"$5F&amp;!_w"</f>
        <v>#VALUE!</v>
      </c>
      <c r="GZ69" t="e">
        <f>CWE!D768+"$5F&amp;!_x"</f>
        <v>#VALUE!</v>
      </c>
      <c r="HA69" t="e">
        <f>CWE!B769+"$5F&amp;!_y"</f>
        <v>#VALUE!</v>
      </c>
      <c r="HB69" t="e">
        <f>CWE!C769+"$5F&amp;!_z"</f>
        <v>#VALUE!</v>
      </c>
      <c r="HC69" t="e">
        <f>CWE!D769+"$5F&amp;!_{"</f>
        <v>#VALUE!</v>
      </c>
      <c r="HD69" t="e">
        <f>CWE!B770+"$5F&amp;!_|"</f>
        <v>#VALUE!</v>
      </c>
      <c r="HE69" t="e">
        <f>CWE!C770+"$5F&amp;!_}"</f>
        <v>#VALUE!</v>
      </c>
      <c r="HF69" t="e">
        <f>CWE!D770+"$5F&amp;!_~"</f>
        <v>#VALUE!</v>
      </c>
      <c r="HG69" t="e">
        <f>CWE!B771+"$5F&amp;!`#"</f>
        <v>#VALUE!</v>
      </c>
      <c r="HH69" t="e">
        <f>CWE!C771+"$5F&amp;!`$"</f>
        <v>#VALUE!</v>
      </c>
      <c r="HI69" t="e">
        <f>CWE!D771+"$5F&amp;!`%"</f>
        <v>#VALUE!</v>
      </c>
      <c r="HJ69" t="e">
        <f>CWE!B772+"$5F&amp;!`&amp;"</f>
        <v>#VALUE!</v>
      </c>
      <c r="HK69" t="e">
        <f>CWE!C772+"$5F&amp;!`'"</f>
        <v>#VALUE!</v>
      </c>
      <c r="HL69" t="e">
        <f>CWE!D772+"$5F&amp;!`("</f>
        <v>#VALUE!</v>
      </c>
      <c r="HM69" t="e">
        <f>CWE!B773+"$5F&amp;!`)"</f>
        <v>#VALUE!</v>
      </c>
      <c r="HN69" t="e">
        <f>CWE!C773+"$5F&amp;!`."</f>
        <v>#VALUE!</v>
      </c>
      <c r="HO69" t="e">
        <f>CWE!D773+"$5F&amp;!`/"</f>
        <v>#VALUE!</v>
      </c>
      <c r="HP69" t="e">
        <f>CWE!B774+"$5F&amp;!`0"</f>
        <v>#VALUE!</v>
      </c>
      <c r="HQ69" t="e">
        <f>CWE!C774+"$5F&amp;!`1"</f>
        <v>#VALUE!</v>
      </c>
      <c r="HR69" t="e">
        <f>CWE!D774+"$5F&amp;!`2"</f>
        <v>#VALUE!</v>
      </c>
      <c r="HS69" t="e">
        <f>CWE!B775+"$5F&amp;!`3"</f>
        <v>#VALUE!</v>
      </c>
      <c r="HT69" t="e">
        <f>CWE!C775+"$5F&amp;!`4"</f>
        <v>#VALUE!</v>
      </c>
      <c r="HU69" t="e">
        <f>CWE!D775+"$5F&amp;!`5"</f>
        <v>#VALUE!</v>
      </c>
      <c r="HV69" t="e">
        <f>CWE!B776+"$5F&amp;!`6"</f>
        <v>#VALUE!</v>
      </c>
      <c r="HW69" t="e">
        <f>CWE!C776+"$5F&amp;!`7"</f>
        <v>#VALUE!</v>
      </c>
      <c r="HX69" t="e">
        <f>CWE!D776+"$5F&amp;!`8"</f>
        <v>#VALUE!</v>
      </c>
      <c r="HY69" t="e">
        <f>CWE!B777+"$5F&amp;!`9"</f>
        <v>#VALUE!</v>
      </c>
      <c r="HZ69" t="e">
        <f>CWE!C777+"$5F&amp;!`:"</f>
        <v>#VALUE!</v>
      </c>
      <c r="IA69" t="e">
        <f>CWE!D777+"$5F&amp;!`;"</f>
        <v>#VALUE!</v>
      </c>
      <c r="IB69" t="e">
        <f>CWE!B778+"$5F&amp;!`&lt;"</f>
        <v>#VALUE!</v>
      </c>
      <c r="IC69" t="e">
        <f>CWE!C778+"$5F&amp;!`="</f>
        <v>#VALUE!</v>
      </c>
      <c r="ID69" t="e">
        <f>CWE!D778+"$5F&amp;!`&gt;"</f>
        <v>#VALUE!</v>
      </c>
      <c r="IE69" t="e">
        <f>CWE!B779+"$5F&amp;!`?"</f>
        <v>#VALUE!</v>
      </c>
      <c r="IF69" t="e">
        <f>CWE!C779+"$5F&amp;!`@"</f>
        <v>#VALUE!</v>
      </c>
      <c r="IG69" t="e">
        <f>CWE!D779+"$5F&amp;!`A"</f>
        <v>#VALUE!</v>
      </c>
      <c r="IH69" t="e">
        <f>CWE!B780+"$5F&amp;!`B"</f>
        <v>#VALUE!</v>
      </c>
      <c r="II69" t="e">
        <f>CWE!C780+"$5F&amp;!`C"</f>
        <v>#VALUE!</v>
      </c>
      <c r="IJ69" t="e">
        <f>CWE!D780+"$5F&amp;!`D"</f>
        <v>#VALUE!</v>
      </c>
      <c r="IK69" t="e">
        <f>CWE!B781+"$5F&amp;!`E"</f>
        <v>#VALUE!</v>
      </c>
      <c r="IL69" t="e">
        <f>CWE!C781+"$5F&amp;!`F"</f>
        <v>#VALUE!</v>
      </c>
      <c r="IM69" t="e">
        <f>CWE!D781+"$5F&amp;!`G"</f>
        <v>#VALUE!</v>
      </c>
      <c r="IN69" t="e">
        <f>CWE!B782+"$5F&amp;!`H"</f>
        <v>#VALUE!</v>
      </c>
      <c r="IO69" t="e">
        <f>CWE!C782+"$5F&amp;!`I"</f>
        <v>#VALUE!</v>
      </c>
      <c r="IP69" t="e">
        <f>CWE!D782+"$5F&amp;!`J"</f>
        <v>#VALUE!</v>
      </c>
      <c r="IQ69" t="e">
        <f>CWE!B783+"$5F&amp;!`K"</f>
        <v>#VALUE!</v>
      </c>
      <c r="IR69" t="e">
        <f>CWE!C783+"$5F&amp;!`L"</f>
        <v>#VALUE!</v>
      </c>
      <c r="IS69" t="e">
        <f>CWE!D783+"$5F&amp;!`M"</f>
        <v>#VALUE!</v>
      </c>
      <c r="IT69" t="e">
        <f>CWE!B784+"$5F&amp;!`N"</f>
        <v>#VALUE!</v>
      </c>
      <c r="IU69" t="e">
        <f>CWE!C784+"$5F&amp;!`O"</f>
        <v>#VALUE!</v>
      </c>
      <c r="IV69" t="e">
        <f>CWE!D784+"$5F&amp;!`P"</f>
        <v>#VALUE!</v>
      </c>
    </row>
    <row r="70" spans="6:256" x14ac:dyDescent="0.25">
      <c r="F70" t="e">
        <f>CWE!B785+"$5F&amp;!`Q"</f>
        <v>#VALUE!</v>
      </c>
      <c r="G70" t="e">
        <f>CWE!C785+"$5F&amp;!`R"</f>
        <v>#VALUE!</v>
      </c>
      <c r="H70" t="e">
        <f>CWE!D785+"$5F&amp;!`S"</f>
        <v>#VALUE!</v>
      </c>
      <c r="I70" t="e">
        <f>CWE!B786+"$5F&amp;!`T"</f>
        <v>#VALUE!</v>
      </c>
      <c r="J70" t="e">
        <f>CWE!C786+"$5F&amp;!`U"</f>
        <v>#VALUE!</v>
      </c>
      <c r="K70" t="e">
        <f>CWE!D786+"$5F&amp;!`V"</f>
        <v>#VALUE!</v>
      </c>
      <c r="L70" t="e">
        <f>CWE!B787+"$5F&amp;!`W"</f>
        <v>#VALUE!</v>
      </c>
      <c r="M70" t="e">
        <f>CWE!C787+"$5F&amp;!`X"</f>
        <v>#VALUE!</v>
      </c>
      <c r="N70" t="e">
        <f>CWE!D787+"$5F&amp;!`Y"</f>
        <v>#VALUE!</v>
      </c>
      <c r="O70" t="e">
        <f>CWE!B788+"$5F&amp;!`Z"</f>
        <v>#VALUE!</v>
      </c>
      <c r="P70" t="e">
        <f>CWE!C788+"$5F&amp;!`["</f>
        <v>#VALUE!</v>
      </c>
      <c r="Q70" t="e">
        <f>CWE!D788+"$5F&amp;!`\"</f>
        <v>#VALUE!</v>
      </c>
      <c r="R70" t="e">
        <f>CWE!B789+"$5F&amp;!`]"</f>
        <v>#VALUE!</v>
      </c>
      <c r="S70" t="e">
        <f>CWE!C789+"$5F&amp;!`^"</f>
        <v>#VALUE!</v>
      </c>
      <c r="T70" t="e">
        <f>CWE!D789+"$5F&amp;!`_"</f>
        <v>#VALUE!</v>
      </c>
      <c r="U70" t="e">
        <f>CWE!B790+"$5F&amp;!``"</f>
        <v>#VALUE!</v>
      </c>
      <c r="V70" t="e">
        <f>CWE!C790+"$5F&amp;!`a"</f>
        <v>#VALUE!</v>
      </c>
      <c r="W70" t="e">
        <f>CWE!D790+"$5F&amp;!`b"</f>
        <v>#VALUE!</v>
      </c>
      <c r="X70" t="e">
        <f>CWE!B791+"$5F&amp;!`c"</f>
        <v>#VALUE!</v>
      </c>
      <c r="Y70" t="e">
        <f>CWE!C791+"$5F&amp;!`d"</f>
        <v>#VALUE!</v>
      </c>
      <c r="Z70" t="e">
        <f>CWE!D791+"$5F&amp;!`e"</f>
        <v>#VALUE!</v>
      </c>
      <c r="AA70" t="e">
        <f>CWE!B792+"$5F&amp;!`f"</f>
        <v>#VALUE!</v>
      </c>
      <c r="AB70" t="e">
        <f>CWE!C792+"$5F&amp;!`g"</f>
        <v>#VALUE!</v>
      </c>
      <c r="AC70" t="e">
        <f>CWE!D792+"$5F&amp;!`h"</f>
        <v>#VALUE!</v>
      </c>
      <c r="AD70" t="e">
        <f>CWE!B793+"$5F&amp;!`i"</f>
        <v>#VALUE!</v>
      </c>
      <c r="AE70" t="e">
        <f>CWE!C793+"$5F&amp;!`j"</f>
        <v>#VALUE!</v>
      </c>
      <c r="AF70" t="e">
        <f>CWE!D793+"$5F&amp;!`k"</f>
        <v>#VALUE!</v>
      </c>
      <c r="AG70" t="e">
        <f>CWE!B794+"$5F&amp;!`l"</f>
        <v>#VALUE!</v>
      </c>
      <c r="AH70" t="e">
        <f>CWE!C794+"$5F&amp;!`m"</f>
        <v>#VALUE!</v>
      </c>
      <c r="AI70" t="e">
        <f>CWE!D794+"$5F&amp;!`n"</f>
        <v>#VALUE!</v>
      </c>
      <c r="AJ70" t="e">
        <f>CWE!B795+"$5F&amp;!`o"</f>
        <v>#VALUE!</v>
      </c>
      <c r="AK70" t="e">
        <f>CWE!C795+"$5F&amp;!`p"</f>
        <v>#VALUE!</v>
      </c>
      <c r="AL70" t="e">
        <f>CWE!D795+"$5F&amp;!`q"</f>
        <v>#VALUE!</v>
      </c>
      <c r="AM70" t="e">
        <f>CWE!B796+"$5F&amp;!`r"</f>
        <v>#VALUE!</v>
      </c>
      <c r="AN70" t="e">
        <f>CWE!C796+"$5F&amp;!`s"</f>
        <v>#VALUE!</v>
      </c>
      <c r="AO70" t="e">
        <f>CWE!D796+"$5F&amp;!`t"</f>
        <v>#VALUE!</v>
      </c>
      <c r="AP70" t="e">
        <f>CWE!B797+"$5F&amp;!`u"</f>
        <v>#VALUE!</v>
      </c>
      <c r="AQ70" t="e">
        <f>CWE!C797+"$5F&amp;!`v"</f>
        <v>#VALUE!</v>
      </c>
      <c r="AR70" t="e">
        <f>CWE!D797+"$5F&amp;!`w"</f>
        <v>#VALUE!</v>
      </c>
      <c r="AS70" t="e">
        <f>CWE!B798+"$5F&amp;!`x"</f>
        <v>#VALUE!</v>
      </c>
      <c r="AT70" t="e">
        <f>CWE!C798+"$5F&amp;!`y"</f>
        <v>#VALUE!</v>
      </c>
      <c r="AU70" t="e">
        <f>CWE!D798+"$5F&amp;!`z"</f>
        <v>#VALUE!</v>
      </c>
      <c r="AV70" t="e">
        <f>CWE!B799+"$5F&amp;!`{"</f>
        <v>#VALUE!</v>
      </c>
      <c r="AW70" t="e">
        <f>CWE!C799+"$5F&amp;!`|"</f>
        <v>#VALUE!</v>
      </c>
      <c r="AX70" t="e">
        <f>CWE!D799+"$5F&amp;!`}"</f>
        <v>#VALUE!</v>
      </c>
      <c r="AY70" t="e">
        <f>CWE!B800+"$5F&amp;!`~"</f>
        <v>#VALUE!</v>
      </c>
      <c r="AZ70" t="e">
        <f>CWE!C800+"$5F&amp;!a#"</f>
        <v>#VALUE!</v>
      </c>
      <c r="BA70" t="e">
        <f>CWE!D800+"$5F&amp;!a$"</f>
        <v>#VALUE!</v>
      </c>
      <c r="BB70" t="e">
        <f>CWE!B801+"$5F&amp;!a%"</f>
        <v>#VALUE!</v>
      </c>
      <c r="BC70" t="e">
        <f>CWE!C801+"$5F&amp;!a&amp;"</f>
        <v>#VALUE!</v>
      </c>
      <c r="BD70" t="e">
        <f>CWE!D801+"$5F&amp;!a'"</f>
        <v>#VALUE!</v>
      </c>
      <c r="BE70" t="e">
        <f>CWE!B802+"$5F&amp;!a("</f>
        <v>#VALUE!</v>
      </c>
      <c r="BF70" t="e">
        <f>CWE!C802+"$5F&amp;!a)"</f>
        <v>#VALUE!</v>
      </c>
      <c r="BG70" t="e">
        <f>CWE!D802+"$5F&amp;!a."</f>
        <v>#VALUE!</v>
      </c>
      <c r="BH70" t="e">
        <f>CWE!B803+"$5F&amp;!a/"</f>
        <v>#VALUE!</v>
      </c>
      <c r="BI70" t="e">
        <f>CWE!C803+"$5F&amp;!a0"</f>
        <v>#VALUE!</v>
      </c>
      <c r="BJ70" t="e">
        <f>CWE!D803+"$5F&amp;!a1"</f>
        <v>#VALUE!</v>
      </c>
      <c r="BK70" t="e">
        <f>CWE!B804+"$5F&amp;!a2"</f>
        <v>#VALUE!</v>
      </c>
      <c r="BL70" t="e">
        <f>CWE!C804+"$5F&amp;!a3"</f>
        <v>#VALUE!</v>
      </c>
      <c r="BM70" t="e">
        <f>CWE!D804+"$5F&amp;!a4"</f>
        <v>#VALUE!</v>
      </c>
      <c r="BN70" t="e">
        <f>CWE!B805+"$5F&amp;!a5"</f>
        <v>#VALUE!</v>
      </c>
      <c r="BO70" t="e">
        <f>CWE!C805+"$5F&amp;!a6"</f>
        <v>#VALUE!</v>
      </c>
      <c r="BP70" t="e">
        <f>CWE!D805+"$5F&amp;!a7"</f>
        <v>#VALUE!</v>
      </c>
      <c r="BQ70" t="e">
        <f>CWE!B806+"$5F&amp;!a8"</f>
        <v>#VALUE!</v>
      </c>
      <c r="BR70" t="e">
        <f>CWE!C806+"$5F&amp;!a9"</f>
        <v>#VALUE!</v>
      </c>
      <c r="BS70" t="e">
        <f>CWE!D806+"$5F&amp;!a:"</f>
        <v>#VALUE!</v>
      </c>
      <c r="BT70" t="e">
        <f>CWE!B807+"$5F&amp;!a;"</f>
        <v>#VALUE!</v>
      </c>
      <c r="BU70" t="e">
        <f>CWE!C807+"$5F&amp;!a&lt;"</f>
        <v>#VALUE!</v>
      </c>
      <c r="BV70" t="e">
        <f>CWE!D807+"$5F&amp;!a="</f>
        <v>#VALUE!</v>
      </c>
      <c r="BW70" t="e">
        <f>CWE!B808+"$5F&amp;!a&gt;"</f>
        <v>#VALUE!</v>
      </c>
      <c r="BX70" t="e">
        <f>CWE!C808+"$5F&amp;!a?"</f>
        <v>#VALUE!</v>
      </c>
      <c r="BY70" t="e">
        <f>CWE!D808+"$5F&amp;!a@"</f>
        <v>#VALUE!</v>
      </c>
      <c r="BZ70" t="e">
        <f>CWE!B809+"$5F&amp;!aA"</f>
        <v>#VALUE!</v>
      </c>
      <c r="CA70" t="e">
        <f>CWE!C809+"$5F&amp;!aB"</f>
        <v>#VALUE!</v>
      </c>
      <c r="CB70" t="e">
        <f>CWE!D809+"$5F&amp;!aC"</f>
        <v>#VALUE!</v>
      </c>
      <c r="CC70" t="e">
        <f>CWE!B810+"$5F&amp;!aD"</f>
        <v>#VALUE!</v>
      </c>
      <c r="CD70" t="e">
        <f>CWE!C810+"$5F&amp;!aE"</f>
        <v>#VALUE!</v>
      </c>
      <c r="CE70" t="e">
        <f>CWE!D810+"$5F&amp;!aF"</f>
        <v>#VALUE!</v>
      </c>
      <c r="CF70" t="e">
        <f>CWE!B811+"$5F&amp;!aG"</f>
        <v>#VALUE!</v>
      </c>
      <c r="CG70" t="e">
        <f>CWE!C811+"$5F&amp;!aH"</f>
        <v>#VALUE!</v>
      </c>
      <c r="CH70" t="e">
        <f>CWE!D811+"$5F&amp;!aI"</f>
        <v>#VALUE!</v>
      </c>
      <c r="CI70" t="e">
        <f>CWE!B812+"$5F&amp;!aJ"</f>
        <v>#VALUE!</v>
      </c>
      <c r="CJ70" t="e">
        <f>CWE!C812+"$5F&amp;!aK"</f>
        <v>#VALUE!</v>
      </c>
      <c r="CK70" t="e">
        <f>CWE!D812+"$5F&amp;!aL"</f>
        <v>#VALUE!</v>
      </c>
      <c r="CL70" t="e">
        <f>CWE!B813+"$5F&amp;!aM"</f>
        <v>#VALUE!</v>
      </c>
      <c r="CM70" t="e">
        <f>CWE!C813+"$5F&amp;!aN"</f>
        <v>#VALUE!</v>
      </c>
      <c r="CN70" t="e">
        <f>CWE!D813+"$5F&amp;!aO"</f>
        <v>#VALUE!</v>
      </c>
      <c r="CO70" t="e">
        <f>CWE!B814+"$5F&amp;!aP"</f>
        <v>#VALUE!</v>
      </c>
      <c r="CP70" t="e">
        <f>CWE!C814+"$5F&amp;!aQ"</f>
        <v>#VALUE!</v>
      </c>
      <c r="CQ70" t="e">
        <f>CWE!D814+"$5F&amp;!aR"</f>
        <v>#VALUE!</v>
      </c>
      <c r="CR70" t="e">
        <f>CWE!B815+"$5F&amp;!aS"</f>
        <v>#VALUE!</v>
      </c>
      <c r="CS70" t="e">
        <f>CWE!C815+"$5F&amp;!aT"</f>
        <v>#VALUE!</v>
      </c>
      <c r="CT70" t="e">
        <f>CWE!D815+"$5F&amp;!aU"</f>
        <v>#VALUE!</v>
      </c>
      <c r="CU70" t="e">
        <f>CWE!B816+"$5F&amp;!aV"</f>
        <v>#VALUE!</v>
      </c>
      <c r="CV70" t="e">
        <f>CWE!C816+"$5F&amp;!aW"</f>
        <v>#VALUE!</v>
      </c>
      <c r="CW70" t="e">
        <f>CWE!D816+"$5F&amp;!aX"</f>
        <v>#VALUE!</v>
      </c>
      <c r="CX70" t="e">
        <f>CWE!B817+"$5F&amp;!aY"</f>
        <v>#VALUE!</v>
      </c>
      <c r="CY70" t="e">
        <f>CWE!C817+"$5F&amp;!aZ"</f>
        <v>#VALUE!</v>
      </c>
      <c r="CZ70" t="e">
        <f>CWE!D817+"$5F&amp;!a["</f>
        <v>#VALUE!</v>
      </c>
      <c r="DA70" t="e">
        <f>CWE!B818+"$5F&amp;!a\"</f>
        <v>#VALUE!</v>
      </c>
      <c r="DB70" t="e">
        <f>CWE!C818+"$5F&amp;!a]"</f>
        <v>#VALUE!</v>
      </c>
      <c r="DC70" t="e">
        <f>CWE!D818+"$5F&amp;!a^"</f>
        <v>#VALUE!</v>
      </c>
      <c r="DD70" t="e">
        <f>CWE!B819+"$5F&amp;!a_"</f>
        <v>#VALUE!</v>
      </c>
      <c r="DE70" t="e">
        <f>CWE!C819+"$5F&amp;!a`"</f>
        <v>#VALUE!</v>
      </c>
      <c r="DF70" t="e">
        <f>CWE!D819+"$5F&amp;!aa"</f>
        <v>#VALUE!</v>
      </c>
      <c r="DG70" t="e">
        <f>CWE!B820+"$5F&amp;!ab"</f>
        <v>#VALUE!</v>
      </c>
      <c r="DH70" t="e">
        <f>CWE!C820+"$5F&amp;!ac"</f>
        <v>#VALUE!</v>
      </c>
      <c r="DI70" t="e">
        <f>CWE!D820+"$5F&amp;!ad"</f>
        <v>#VALUE!</v>
      </c>
      <c r="DJ70" t="e">
        <f>CWE!B821+"$5F&amp;!ae"</f>
        <v>#VALUE!</v>
      </c>
      <c r="DK70" t="e">
        <f>CWE!C821+"$5F&amp;!af"</f>
        <v>#VALUE!</v>
      </c>
      <c r="DL70" t="e">
        <f>CWE!D821+"$5F&amp;!ag"</f>
        <v>#VALUE!</v>
      </c>
      <c r="DM70" t="e">
        <f>CWE!B822+"$5F&amp;!ah"</f>
        <v>#VALUE!</v>
      </c>
      <c r="DN70" t="e">
        <f>CWE!C822+"$5F&amp;!ai"</f>
        <v>#VALUE!</v>
      </c>
      <c r="DO70" t="e">
        <f>CWE!D822+"$5F&amp;!aj"</f>
        <v>#VALUE!</v>
      </c>
      <c r="DP70" t="e">
        <f>CWE!B823+"$5F&amp;!ak"</f>
        <v>#VALUE!</v>
      </c>
      <c r="DQ70" t="e">
        <f>CWE!C823+"$5F&amp;!al"</f>
        <v>#VALUE!</v>
      </c>
      <c r="DR70" t="e">
        <f>CWE!D823+"$5F&amp;!am"</f>
        <v>#VALUE!</v>
      </c>
      <c r="DS70" t="e">
        <f>CWE!B824+"$5F&amp;!an"</f>
        <v>#VALUE!</v>
      </c>
      <c r="DT70" t="e">
        <f>CWE!C824+"$5F&amp;!ao"</f>
        <v>#VALUE!</v>
      </c>
      <c r="DU70" t="e">
        <f>CWE!D824+"$5F&amp;!ap"</f>
        <v>#VALUE!</v>
      </c>
      <c r="DV70" t="e">
        <f>CWE!B825+"$5F&amp;!aq"</f>
        <v>#VALUE!</v>
      </c>
      <c r="DW70" t="e">
        <f>CWE!C825+"$5F&amp;!ar"</f>
        <v>#VALUE!</v>
      </c>
      <c r="DX70" t="e">
        <f>CWE!D825+"$5F&amp;!as"</f>
        <v>#VALUE!</v>
      </c>
      <c r="DY70" t="e">
        <f>CWE!B826+"$5F&amp;!at"</f>
        <v>#VALUE!</v>
      </c>
      <c r="DZ70" t="e">
        <f>CWE!C826+"$5F&amp;!au"</f>
        <v>#VALUE!</v>
      </c>
      <c r="EA70" t="e">
        <f>CWE!D826+"$5F&amp;!av"</f>
        <v>#VALUE!</v>
      </c>
      <c r="EB70" t="e">
        <f>CWE!B827+"$5F&amp;!aw"</f>
        <v>#VALUE!</v>
      </c>
      <c r="EC70" t="e">
        <f>CWE!C827+"$5F&amp;!ax"</f>
        <v>#VALUE!</v>
      </c>
      <c r="ED70" t="e">
        <f>CWE!D827+"$5F&amp;!ay"</f>
        <v>#VALUE!</v>
      </c>
      <c r="EE70" t="e">
        <f>CWE!B828+"$5F&amp;!az"</f>
        <v>#VALUE!</v>
      </c>
      <c r="EF70" t="e">
        <f>CWE!C828+"$5F&amp;!a{"</f>
        <v>#VALUE!</v>
      </c>
      <c r="EG70" t="e">
        <f>CWE!D828+"$5F&amp;!a|"</f>
        <v>#VALUE!</v>
      </c>
      <c r="EH70" t="e">
        <f>CWE!B829+"$5F&amp;!a}"</f>
        <v>#VALUE!</v>
      </c>
      <c r="EI70" t="e">
        <f>CWE!C829+"$5F&amp;!a~"</f>
        <v>#VALUE!</v>
      </c>
      <c r="EJ70" t="e">
        <f>CWE!D829+"$5F&amp;!b#"</f>
        <v>#VALUE!</v>
      </c>
      <c r="EK70" t="e">
        <f>CWE!B830+"$5F&amp;!b$"</f>
        <v>#VALUE!</v>
      </c>
      <c r="EL70" t="e">
        <f>CWE!C830+"$5F&amp;!b%"</f>
        <v>#VALUE!</v>
      </c>
      <c r="EM70" t="e">
        <f>CWE!D830+"$5F&amp;!b&amp;"</f>
        <v>#VALUE!</v>
      </c>
      <c r="EN70" t="e">
        <f>CWE!B831+"$5F&amp;!b'"</f>
        <v>#VALUE!</v>
      </c>
      <c r="EO70" t="e">
        <f>CWE!C831+"$5F&amp;!b("</f>
        <v>#VALUE!</v>
      </c>
      <c r="EP70" t="e">
        <f>CWE!D831+"$5F&amp;!b)"</f>
        <v>#VALUE!</v>
      </c>
      <c r="EQ70" t="e">
        <f>CWE!B832+"$5F&amp;!b."</f>
        <v>#VALUE!</v>
      </c>
      <c r="ER70" t="e">
        <f>CWE!C832+"$5F&amp;!b/"</f>
        <v>#VALUE!</v>
      </c>
      <c r="ES70" t="e">
        <f>CWE!D832+"$5F&amp;!b0"</f>
        <v>#VALUE!</v>
      </c>
      <c r="ET70" t="e">
        <f>CWE!B833+"$5F&amp;!b1"</f>
        <v>#VALUE!</v>
      </c>
      <c r="EU70" t="e">
        <f>CWE!C833+"$5F&amp;!b2"</f>
        <v>#VALUE!</v>
      </c>
      <c r="EV70" t="e">
        <f>CWE!D833+"$5F&amp;!b3"</f>
        <v>#VALUE!</v>
      </c>
      <c r="EW70" t="e">
        <f>CWE!B834+"$5F&amp;!b4"</f>
        <v>#VALUE!</v>
      </c>
      <c r="EX70" t="e">
        <f>CWE!C834+"$5F&amp;!b5"</f>
        <v>#VALUE!</v>
      </c>
      <c r="EY70" t="e">
        <f>CWE!D834+"$5F&amp;!b6"</f>
        <v>#VALUE!</v>
      </c>
      <c r="EZ70" t="e">
        <f>CWE!B835+"$5F&amp;!b7"</f>
        <v>#VALUE!</v>
      </c>
      <c r="FA70" t="e">
        <f>CWE!C835+"$5F&amp;!b8"</f>
        <v>#VALUE!</v>
      </c>
      <c r="FB70" t="e">
        <f>CWE!D835+"$5F&amp;!b9"</f>
        <v>#VALUE!</v>
      </c>
      <c r="FC70" t="e">
        <f>CWE!B836+"$5F&amp;!b:"</f>
        <v>#VALUE!</v>
      </c>
      <c r="FD70" t="e">
        <f>CWE!C836+"$5F&amp;!b;"</f>
        <v>#VALUE!</v>
      </c>
      <c r="FE70" t="e">
        <f>CWE!D836+"$5F&amp;!b&lt;"</f>
        <v>#VALUE!</v>
      </c>
      <c r="FF70" t="e">
        <f>CWE!B837+"$5F&amp;!b="</f>
        <v>#VALUE!</v>
      </c>
      <c r="FG70" t="e">
        <f>CWE!C837+"$5F&amp;!b&gt;"</f>
        <v>#VALUE!</v>
      </c>
      <c r="FH70" t="e">
        <f>CWE!D837+"$5F&amp;!b?"</f>
        <v>#VALUE!</v>
      </c>
      <c r="FI70" t="e">
        <f>CWE!B838+"$5F&amp;!b@"</f>
        <v>#VALUE!</v>
      </c>
      <c r="FJ70" t="e">
        <f>CWE!C838+"$5F&amp;!bA"</f>
        <v>#VALUE!</v>
      </c>
      <c r="FK70" t="e">
        <f>CWE!D838+"$5F&amp;!bB"</f>
        <v>#VALUE!</v>
      </c>
      <c r="FL70" t="e">
        <f>CWE!B839+"$5F&amp;!bC"</f>
        <v>#VALUE!</v>
      </c>
      <c r="FM70" t="e">
        <f>CWE!C839+"$5F&amp;!bD"</f>
        <v>#VALUE!</v>
      </c>
      <c r="FN70" t="e">
        <f>CWE!D839+"$5F&amp;!bE"</f>
        <v>#VALUE!</v>
      </c>
      <c r="FO70" t="e">
        <f>CWE!B840+"$5F&amp;!bF"</f>
        <v>#VALUE!</v>
      </c>
      <c r="FP70" t="e">
        <f>CWE!C840+"$5F&amp;!bG"</f>
        <v>#VALUE!</v>
      </c>
      <c r="FQ70" t="e">
        <f>CWE!D840+"$5F&amp;!bH"</f>
        <v>#VALUE!</v>
      </c>
      <c r="FR70" t="e">
        <f>CWE!B841+"$5F&amp;!bI"</f>
        <v>#VALUE!</v>
      </c>
      <c r="FS70" t="e">
        <f>CWE!C841+"$5F&amp;!bJ"</f>
        <v>#VALUE!</v>
      </c>
      <c r="FT70" t="e">
        <f>CWE!D841+"$5F&amp;!bK"</f>
        <v>#VALUE!</v>
      </c>
      <c r="FU70" t="e">
        <f>CWE!B842+"$5F&amp;!bL"</f>
        <v>#VALUE!</v>
      </c>
      <c r="FV70" t="e">
        <f>CWE!C842+"$5F&amp;!bM"</f>
        <v>#VALUE!</v>
      </c>
      <c r="FW70" t="e">
        <f>CWE!D842+"$5F&amp;!bN"</f>
        <v>#VALUE!</v>
      </c>
      <c r="FX70" t="e">
        <f>CWE!B843+"$5F&amp;!bO"</f>
        <v>#VALUE!</v>
      </c>
      <c r="FY70" t="e">
        <f>CWE!C843+"$5F&amp;!bP"</f>
        <v>#VALUE!</v>
      </c>
      <c r="FZ70" t="e">
        <f>CWE!D843+"$5F&amp;!bQ"</f>
        <v>#VALUE!</v>
      </c>
      <c r="GA70" t="e">
        <f>CWE!B844+"$5F&amp;!bR"</f>
        <v>#VALUE!</v>
      </c>
      <c r="GB70" t="e">
        <f>CWE!C844+"$5F&amp;!bS"</f>
        <v>#VALUE!</v>
      </c>
      <c r="GC70" t="e">
        <f>CWE!D844+"$5F&amp;!bT"</f>
        <v>#VALUE!</v>
      </c>
      <c r="GD70" t="e">
        <f>CWE!B845+"$5F&amp;!bU"</f>
        <v>#VALUE!</v>
      </c>
      <c r="GE70" t="e">
        <f>CWE!C845+"$5F&amp;!bV"</f>
        <v>#VALUE!</v>
      </c>
      <c r="GF70" t="e">
        <f>CWE!D845+"$5F&amp;!bW"</f>
        <v>#VALUE!</v>
      </c>
      <c r="GG70" t="e">
        <f>CWE!B846+"$5F&amp;!bX"</f>
        <v>#VALUE!</v>
      </c>
      <c r="GH70" t="e">
        <f>CWE!C846+"$5F&amp;!bY"</f>
        <v>#VALUE!</v>
      </c>
      <c r="GI70" t="e">
        <f>CWE!D846+"$5F&amp;!bZ"</f>
        <v>#VALUE!</v>
      </c>
      <c r="GJ70" t="e">
        <f>CWE!B847+"$5F&amp;!b["</f>
        <v>#VALUE!</v>
      </c>
      <c r="GK70" t="e">
        <f>CWE!C847+"$5F&amp;!b\"</f>
        <v>#VALUE!</v>
      </c>
      <c r="GL70" t="e">
        <f>CWE!D847+"$5F&amp;!b]"</f>
        <v>#VALUE!</v>
      </c>
      <c r="GM70" t="e">
        <f>CWE!B848+"$5F&amp;!b^"</f>
        <v>#VALUE!</v>
      </c>
      <c r="GN70" t="e">
        <f>CWE!C848+"$5F&amp;!b_"</f>
        <v>#VALUE!</v>
      </c>
      <c r="GO70" t="e">
        <f>CWE!D848+"$5F&amp;!b`"</f>
        <v>#VALUE!</v>
      </c>
      <c r="GP70" t="e">
        <f>CWE!B849+"$5F&amp;!ba"</f>
        <v>#VALUE!</v>
      </c>
      <c r="GQ70" t="e">
        <f>CWE!C849+"$5F&amp;!bb"</f>
        <v>#VALUE!</v>
      </c>
      <c r="GR70" t="e">
        <f>CWE!D849+"$5F&amp;!bc"</f>
        <v>#VALUE!</v>
      </c>
      <c r="GS70" t="e">
        <f>CWE!B850+"$5F&amp;!bd"</f>
        <v>#VALUE!</v>
      </c>
      <c r="GT70" t="e">
        <f>CWE!C850+"$5F&amp;!be"</f>
        <v>#VALUE!</v>
      </c>
      <c r="GU70" t="e">
        <f>CWE!D850+"$5F&amp;!bf"</f>
        <v>#VALUE!</v>
      </c>
      <c r="GV70" t="e">
        <f>CWE!B851+"$5F&amp;!bg"</f>
        <v>#VALUE!</v>
      </c>
      <c r="GW70" t="e">
        <f>CWE!C851+"$5F&amp;!bh"</f>
        <v>#VALUE!</v>
      </c>
      <c r="GX70" t="e">
        <f>CWE!D851+"$5F&amp;!bi"</f>
        <v>#VALUE!</v>
      </c>
      <c r="GY70" t="e">
        <f>CWE!B852+"$5F&amp;!bj"</f>
        <v>#VALUE!</v>
      </c>
      <c r="GZ70" t="e">
        <f>CWE!C852+"$5F&amp;!bk"</f>
        <v>#VALUE!</v>
      </c>
      <c r="HA70" t="e">
        <f>CWE!D852+"$5F&amp;!bl"</f>
        <v>#VALUE!</v>
      </c>
      <c r="HB70" t="e">
        <f>CWE!B853+"$5F&amp;!bm"</f>
        <v>#VALUE!</v>
      </c>
      <c r="HC70" t="e">
        <f>CWE!C853+"$5F&amp;!bn"</f>
        <v>#VALUE!</v>
      </c>
      <c r="HD70" t="e">
        <f>CWE!D853+"$5F&amp;!bo"</f>
        <v>#VALUE!</v>
      </c>
      <c r="HE70" t="e">
        <f>CWE!B854+"$5F&amp;!bp"</f>
        <v>#VALUE!</v>
      </c>
      <c r="HF70" t="e">
        <f>CWE!C854+"$5F&amp;!bq"</f>
        <v>#VALUE!</v>
      </c>
      <c r="HG70" t="e">
        <f>CWE!D854+"$5F&amp;!br"</f>
        <v>#VALUE!</v>
      </c>
      <c r="HH70" t="e">
        <f>CWE!B855+"$5F&amp;!bs"</f>
        <v>#VALUE!</v>
      </c>
      <c r="HI70" t="e">
        <f>CWE!C855+"$5F&amp;!bt"</f>
        <v>#VALUE!</v>
      </c>
      <c r="HJ70" t="e">
        <f>CWE!D855+"$5F&amp;!bu"</f>
        <v>#VALUE!</v>
      </c>
      <c r="HK70" t="e">
        <f>CWE!B856+"$5F&amp;!bv"</f>
        <v>#VALUE!</v>
      </c>
      <c r="HL70" t="e">
        <f>CWE!C856+"$5F&amp;!bw"</f>
        <v>#VALUE!</v>
      </c>
      <c r="HM70" t="e">
        <f>CWE!D856+"$5F&amp;!bx"</f>
        <v>#VALUE!</v>
      </c>
      <c r="HN70" t="e">
        <f>CWE!B857+"$5F&amp;!by"</f>
        <v>#VALUE!</v>
      </c>
      <c r="HO70" t="e">
        <f>CWE!C857+"$5F&amp;!bz"</f>
        <v>#VALUE!</v>
      </c>
      <c r="HP70" t="e">
        <f>CWE!D857+"$5F&amp;!b{"</f>
        <v>#VALUE!</v>
      </c>
      <c r="HQ70" t="e">
        <f>CWE!B858+"$5F&amp;!b|"</f>
        <v>#VALUE!</v>
      </c>
      <c r="HR70" t="e">
        <f>CWE!C858+"$5F&amp;!b}"</f>
        <v>#VALUE!</v>
      </c>
      <c r="HS70" t="e">
        <f>CWE!D858+"$5F&amp;!b~"</f>
        <v>#VALUE!</v>
      </c>
      <c r="HT70" t="e">
        <f>CWE!B859+"$5F&amp;!c#"</f>
        <v>#VALUE!</v>
      </c>
      <c r="HU70" t="e">
        <f>CWE!C859+"$5F&amp;!c$"</f>
        <v>#VALUE!</v>
      </c>
      <c r="HV70" t="e">
        <f>CWE!D859+"$5F&amp;!c%"</f>
        <v>#VALUE!</v>
      </c>
      <c r="HW70" t="e">
        <f>CWE!B860+"$5F&amp;!c&amp;"</f>
        <v>#VALUE!</v>
      </c>
      <c r="HX70" t="e">
        <f>CWE!C860+"$5F&amp;!c'"</f>
        <v>#VALUE!</v>
      </c>
      <c r="HY70" t="e">
        <f>CWE!D860+"$5F&amp;!c("</f>
        <v>#VALUE!</v>
      </c>
      <c r="HZ70" t="e">
        <f>CWE!B861+"$5F&amp;!c)"</f>
        <v>#VALUE!</v>
      </c>
      <c r="IA70" t="e">
        <f>CWE!C861+"$5F&amp;!c."</f>
        <v>#VALUE!</v>
      </c>
      <c r="IB70" t="e">
        <f>CWE!D861+"$5F&amp;!c/"</f>
        <v>#VALUE!</v>
      </c>
      <c r="IC70" t="e">
        <f>CWE!B862+"$5F&amp;!c0"</f>
        <v>#VALUE!</v>
      </c>
      <c r="ID70" t="e">
        <f>CWE!C862+"$5F&amp;!c1"</f>
        <v>#VALUE!</v>
      </c>
      <c r="IE70" t="e">
        <f>CWE!D862+"$5F&amp;!c2"</f>
        <v>#VALUE!</v>
      </c>
      <c r="IF70" t="e">
        <f>CWE!B863+"$5F&amp;!c3"</f>
        <v>#VALUE!</v>
      </c>
      <c r="IG70" t="e">
        <f>CWE!C863+"$5F&amp;!c4"</f>
        <v>#VALUE!</v>
      </c>
      <c r="IH70" t="e">
        <f>CWE!D863+"$5F&amp;!c5"</f>
        <v>#VALUE!</v>
      </c>
      <c r="II70" t="e">
        <f>CWE!B864+"$5F&amp;!c6"</f>
        <v>#VALUE!</v>
      </c>
      <c r="IJ70" t="e">
        <f>CWE!C864+"$5F&amp;!c7"</f>
        <v>#VALUE!</v>
      </c>
      <c r="IK70" t="e">
        <f>CWE!D864+"$5F&amp;!c8"</f>
        <v>#VALUE!</v>
      </c>
      <c r="IL70" t="e">
        <f>CWE!B865+"$5F&amp;!c9"</f>
        <v>#VALUE!</v>
      </c>
      <c r="IM70" t="e">
        <f>CWE!C865+"$5F&amp;!c:"</f>
        <v>#VALUE!</v>
      </c>
      <c r="IN70" t="e">
        <f>CWE!D865+"$5F&amp;!c;"</f>
        <v>#VALUE!</v>
      </c>
      <c r="IO70" t="e">
        <f>CWE!B866+"$5F&amp;!c&lt;"</f>
        <v>#VALUE!</v>
      </c>
      <c r="IP70" t="e">
        <f>CWE!C866+"$5F&amp;!c="</f>
        <v>#VALUE!</v>
      </c>
      <c r="IQ70" t="e">
        <f>CWE!D866+"$5F&amp;!c&gt;"</f>
        <v>#VALUE!</v>
      </c>
      <c r="IR70" t="e">
        <f>CWE!B867+"$5F&amp;!c?"</f>
        <v>#VALUE!</v>
      </c>
      <c r="IS70" t="e">
        <f>CWE!C867+"$5F&amp;!c@"</f>
        <v>#VALUE!</v>
      </c>
      <c r="IT70" t="e">
        <f>CWE!D867+"$5F&amp;!cA"</f>
        <v>#VALUE!</v>
      </c>
      <c r="IU70" t="e">
        <f>CWE!B868+"$5F&amp;!cB"</f>
        <v>#VALUE!</v>
      </c>
      <c r="IV70" t="e">
        <f>CWE!C868+"$5F&amp;!cC"</f>
        <v>#VALUE!</v>
      </c>
    </row>
    <row r="71" spans="6:256" x14ac:dyDescent="0.25">
      <c r="F71" t="e">
        <f>CWE!D868+"$5F&amp;!cD"</f>
        <v>#VALUE!</v>
      </c>
      <c r="G71" t="e">
        <f>CWE!B869+"$5F&amp;!cE"</f>
        <v>#VALUE!</v>
      </c>
      <c r="H71" t="e">
        <f>CWE!C869+"$5F&amp;!cF"</f>
        <v>#VALUE!</v>
      </c>
      <c r="I71" t="e">
        <f>CWE!D869+"$5F&amp;!cG"</f>
        <v>#VALUE!</v>
      </c>
      <c r="J71" t="e">
        <f>CWE!B870+"$5F&amp;!cH"</f>
        <v>#VALUE!</v>
      </c>
      <c r="K71" t="e">
        <f>CWE!C870+"$5F&amp;!cI"</f>
        <v>#VALUE!</v>
      </c>
      <c r="L71" t="e">
        <f>CWE!D870+"$5F&amp;!cJ"</f>
        <v>#VALUE!</v>
      </c>
      <c r="M71" t="e">
        <f>CWE!B871+"$5F&amp;!cK"</f>
        <v>#VALUE!</v>
      </c>
      <c r="N71" t="e">
        <f>CWE!C871+"$5F&amp;!cL"</f>
        <v>#VALUE!</v>
      </c>
      <c r="O71" t="e">
        <f>CWE!D871+"$5F&amp;!cM"</f>
        <v>#VALUE!</v>
      </c>
      <c r="P71" t="e">
        <f>CWE!B872+"$5F&amp;!cN"</f>
        <v>#VALUE!</v>
      </c>
      <c r="Q71" t="e">
        <f>CWE!C872+"$5F&amp;!cO"</f>
        <v>#VALUE!</v>
      </c>
      <c r="R71" t="e">
        <f>CWE!D872+"$5F&amp;!cP"</f>
        <v>#VALUE!</v>
      </c>
      <c r="S71" t="e">
        <f>CWE!B873+"$5F&amp;!cQ"</f>
        <v>#VALUE!</v>
      </c>
      <c r="T71" t="e">
        <f>CWE!C873+"$5F&amp;!cR"</f>
        <v>#VALUE!</v>
      </c>
      <c r="U71" t="e">
        <f>CWE!D873+"$5F&amp;!cS"</f>
        <v>#VALUE!</v>
      </c>
      <c r="V71" t="e">
        <f>CWE!B874+"$5F&amp;!cT"</f>
        <v>#VALUE!</v>
      </c>
      <c r="W71" t="e">
        <f>CWE!C874+"$5F&amp;!cU"</f>
        <v>#VALUE!</v>
      </c>
      <c r="X71" t="e">
        <f>CWE!D874+"$5F&amp;!cV"</f>
        <v>#VALUE!</v>
      </c>
      <c r="Y71" t="e">
        <f>CWE!B875+"$5F&amp;!cW"</f>
        <v>#VALUE!</v>
      </c>
      <c r="Z71" t="e">
        <f>CWE!C875+"$5F&amp;!cX"</f>
        <v>#VALUE!</v>
      </c>
      <c r="AA71" t="e">
        <f>CWE!D875+"$5F&amp;!cY"</f>
        <v>#VALUE!</v>
      </c>
      <c r="AB71" t="e">
        <f>CWE!B876+"$5F&amp;!cZ"</f>
        <v>#VALUE!</v>
      </c>
      <c r="AC71" t="e">
        <f>CWE!C876+"$5F&amp;!c["</f>
        <v>#VALUE!</v>
      </c>
      <c r="AD71" t="e">
        <f>CWE!D876+"$5F&amp;!c\"</f>
        <v>#VALUE!</v>
      </c>
      <c r="AE71" t="e">
        <f>CWE!B877+"$5F&amp;!c]"</f>
        <v>#VALUE!</v>
      </c>
      <c r="AF71" t="e">
        <f>CWE!C877+"$5F&amp;!c^"</f>
        <v>#VALUE!</v>
      </c>
      <c r="AG71" t="e">
        <f>CWE!D877+"$5F&amp;!c_"</f>
        <v>#VALUE!</v>
      </c>
      <c r="AH71" t="e">
        <f>CWE!B878+"$5F&amp;!c`"</f>
        <v>#VALUE!</v>
      </c>
      <c r="AI71" t="e">
        <f>CWE!C878+"$5F&amp;!ca"</f>
        <v>#VALUE!</v>
      </c>
      <c r="AJ71" t="e">
        <f>CWE!D878+"$5F&amp;!cb"</f>
        <v>#VALUE!</v>
      </c>
      <c r="AK71" t="e">
        <f>CWE!B879+"$5F&amp;!cc"</f>
        <v>#VALUE!</v>
      </c>
      <c r="AL71" t="e">
        <f>CWE!C879+"$5F&amp;!cd"</f>
        <v>#VALUE!</v>
      </c>
      <c r="AM71" t="e">
        <f>CWE!D879+"$5F&amp;!ce"</f>
        <v>#VALUE!</v>
      </c>
      <c r="AN71" t="e">
        <f>CWE!B880+"$5F&amp;!cf"</f>
        <v>#VALUE!</v>
      </c>
      <c r="AO71" t="e">
        <f>CWE!C880+"$5F&amp;!cg"</f>
        <v>#VALUE!</v>
      </c>
      <c r="AP71" t="e">
        <f>CWE!D880+"$5F&amp;!ch"</f>
        <v>#VALUE!</v>
      </c>
      <c r="AQ71" t="e">
        <f>CWE!B881+"$5F&amp;!ci"</f>
        <v>#VALUE!</v>
      </c>
      <c r="AR71" t="e">
        <f>CWE!C881+"$5F&amp;!cj"</f>
        <v>#VALUE!</v>
      </c>
      <c r="AS71" t="e">
        <f>CWE!D881+"$5F&amp;!ck"</f>
        <v>#VALUE!</v>
      </c>
      <c r="AT71" t="e">
        <f>CWE!B882+"$5F&amp;!cl"</f>
        <v>#VALUE!</v>
      </c>
      <c r="AU71" t="e">
        <f>CWE!C882+"$5F&amp;!cm"</f>
        <v>#VALUE!</v>
      </c>
      <c r="AV71" t="e">
        <f>CWE!D882+"$5F&amp;!cn"</f>
        <v>#VALUE!</v>
      </c>
      <c r="AW71" t="e">
        <f>CWE!B883+"$5F&amp;!co"</f>
        <v>#VALUE!</v>
      </c>
      <c r="AX71" t="e">
        <f>CWE!C883+"$5F&amp;!cp"</f>
        <v>#VALUE!</v>
      </c>
      <c r="AY71" t="e">
        <f>CWE!D883+"$5F&amp;!cq"</f>
        <v>#VALUE!</v>
      </c>
      <c r="AZ71" t="e">
        <f>CWE!B884+"$5F&amp;!cr"</f>
        <v>#VALUE!</v>
      </c>
      <c r="BA71" t="e">
        <f>CWE!C884+"$5F&amp;!cs"</f>
        <v>#VALUE!</v>
      </c>
      <c r="BB71" t="e">
        <f>CWE!D884+"$5F&amp;!ct"</f>
        <v>#VALUE!</v>
      </c>
      <c r="BC71" t="e">
        <f>CWE!B885+"$5F&amp;!cu"</f>
        <v>#VALUE!</v>
      </c>
      <c r="BD71" t="e">
        <f>CWE!C885+"$5F&amp;!cv"</f>
        <v>#VALUE!</v>
      </c>
      <c r="BE71" t="e">
        <f>CWE!D885+"$5F&amp;!cw"</f>
        <v>#VALUE!</v>
      </c>
      <c r="BF71" t="e">
        <f>CWE!B886+"$5F&amp;!cx"</f>
        <v>#VALUE!</v>
      </c>
      <c r="BG71" t="e">
        <f>CWE!C886+"$5F&amp;!cy"</f>
        <v>#VALUE!</v>
      </c>
      <c r="BH71" t="e">
        <f>CWE!D886+"$5F&amp;!cz"</f>
        <v>#VALUE!</v>
      </c>
      <c r="BI71" t="e">
        <f>CWE!B887+"$5F&amp;!c{"</f>
        <v>#VALUE!</v>
      </c>
      <c r="BJ71" t="e">
        <f>CWE!C887+"$5F&amp;!c|"</f>
        <v>#VALUE!</v>
      </c>
      <c r="BK71" t="e">
        <f>CWE!D887+"$5F&amp;!c}"</f>
        <v>#VALUE!</v>
      </c>
      <c r="BL71" t="e">
        <f>CWE!B888+"$5F&amp;!c~"</f>
        <v>#VALUE!</v>
      </c>
      <c r="BM71" t="e">
        <f>CWE!C888+"$5F&amp;!d#"</f>
        <v>#VALUE!</v>
      </c>
      <c r="BN71" t="e">
        <f>CWE!D888+"$5F&amp;!d$"</f>
        <v>#VALUE!</v>
      </c>
      <c r="BO71" t="e">
        <f>CWE!B889+"$5F&amp;!d%"</f>
        <v>#VALUE!</v>
      </c>
      <c r="BP71" t="e">
        <f>CWE!C889+"$5F&amp;!d&amp;"</f>
        <v>#VALUE!</v>
      </c>
      <c r="BQ71" t="e">
        <f>CWE!D889+"$5F&amp;!d'"</f>
        <v>#VALUE!</v>
      </c>
      <c r="BR71" t="e">
        <f>CWE!B890+"$5F&amp;!d("</f>
        <v>#VALUE!</v>
      </c>
      <c r="BS71" t="e">
        <f>CWE!C890+"$5F&amp;!d)"</f>
        <v>#VALUE!</v>
      </c>
      <c r="BT71" t="e">
        <f>CWE!D890+"$5F&amp;!d."</f>
        <v>#VALUE!</v>
      </c>
      <c r="BU71" t="e">
        <f>CWE!B891+"$5F&amp;!d/"</f>
        <v>#VALUE!</v>
      </c>
      <c r="BV71" t="e">
        <f>CWE!C891+"$5F&amp;!d0"</f>
        <v>#VALUE!</v>
      </c>
      <c r="BW71" t="e">
        <f>CWE!D891+"$5F&amp;!d1"</f>
        <v>#VALUE!</v>
      </c>
      <c r="BX71" t="e">
        <f>CWE!B892+"$5F&amp;!d2"</f>
        <v>#VALUE!</v>
      </c>
      <c r="BY71" t="e">
        <f>CWE!C892+"$5F&amp;!d3"</f>
        <v>#VALUE!</v>
      </c>
      <c r="BZ71" t="e">
        <f>CWE!D892+"$5F&amp;!d4"</f>
        <v>#VALUE!</v>
      </c>
      <c r="CA71" t="e">
        <f>CWE!B893+"$5F&amp;!d5"</f>
        <v>#VALUE!</v>
      </c>
      <c r="CB71" t="e">
        <f>CWE!C893+"$5F&amp;!d6"</f>
        <v>#VALUE!</v>
      </c>
      <c r="CC71" t="e">
        <f>CWE!D893+"$5F&amp;!d7"</f>
        <v>#VALUE!</v>
      </c>
      <c r="CD71" t="e">
        <f>CWE!B894+"$5F&amp;!d8"</f>
        <v>#VALUE!</v>
      </c>
      <c r="CE71" t="e">
        <f>CWE!C894+"$5F&amp;!d9"</f>
        <v>#VALUE!</v>
      </c>
      <c r="CF71" t="e">
        <f>CWE!D894+"$5F&amp;!d:"</f>
        <v>#VALUE!</v>
      </c>
      <c r="CG71" t="e">
        <f>CWE!B895+"$5F&amp;!d;"</f>
        <v>#VALUE!</v>
      </c>
      <c r="CH71" t="e">
        <f>CWE!C895+"$5F&amp;!d&lt;"</f>
        <v>#VALUE!</v>
      </c>
      <c r="CI71" t="e">
        <f>CWE!D895+"$5F&amp;!d="</f>
        <v>#VALUE!</v>
      </c>
      <c r="CJ71" t="e">
        <f>CWE!B896+"$5F&amp;!d&gt;"</f>
        <v>#VALUE!</v>
      </c>
      <c r="CK71" t="e">
        <f>CWE!C896+"$5F&amp;!d?"</f>
        <v>#VALUE!</v>
      </c>
      <c r="CL71" t="e">
        <f>CWE!D896+"$5F&amp;!d@"</f>
        <v>#VALUE!</v>
      </c>
      <c r="CM71" t="e">
        <f>CWE!B897+"$5F&amp;!dA"</f>
        <v>#VALUE!</v>
      </c>
      <c r="CN71" t="e">
        <f>CWE!C897+"$5F&amp;!dB"</f>
        <v>#VALUE!</v>
      </c>
      <c r="CO71" t="e">
        <f>CWE!D897+"$5F&amp;!dC"</f>
        <v>#VALUE!</v>
      </c>
      <c r="CP71" t="e">
        <f>CWE!B898+"$5F&amp;!dD"</f>
        <v>#VALUE!</v>
      </c>
      <c r="CQ71" t="e">
        <f>CWE!C898+"$5F&amp;!dE"</f>
        <v>#VALUE!</v>
      </c>
      <c r="CR71" t="e">
        <f>CWE!D898+"$5F&amp;!dF"</f>
        <v>#VALUE!</v>
      </c>
      <c r="CS71" t="e">
        <f>CWE!B899+"$5F&amp;!dG"</f>
        <v>#VALUE!</v>
      </c>
      <c r="CT71" t="e">
        <f>CWE!C899+"$5F&amp;!dH"</f>
        <v>#VALUE!</v>
      </c>
      <c r="CU71" t="e">
        <f>CWE!D899+"$5F&amp;!dI"</f>
        <v>#VALUE!</v>
      </c>
      <c r="CV71" t="e">
        <f>CWE!B900+"$5F&amp;!dJ"</f>
        <v>#VALUE!</v>
      </c>
      <c r="CW71" t="e">
        <f>CWE!C900+"$5F&amp;!dK"</f>
        <v>#VALUE!</v>
      </c>
      <c r="CX71" t="e">
        <f>CWE!D900+"$5F&amp;!dL"</f>
        <v>#VALUE!</v>
      </c>
      <c r="CY71" t="e">
        <f>CWE!B901+"$5F&amp;!dM"</f>
        <v>#VALUE!</v>
      </c>
      <c r="CZ71" t="e">
        <f>CWE!C901+"$5F&amp;!dN"</f>
        <v>#VALUE!</v>
      </c>
      <c r="DA71" t="e">
        <f>CWE!D901+"$5F&amp;!dO"</f>
        <v>#VALUE!</v>
      </c>
      <c r="DB71" t="e">
        <f>CWE!B902+"$5F&amp;!dP"</f>
        <v>#VALUE!</v>
      </c>
      <c r="DC71" t="e">
        <f>CWE!C902+"$5F&amp;!dQ"</f>
        <v>#VALUE!</v>
      </c>
      <c r="DD71" t="e">
        <f>CWE!D902+"$5F&amp;!dR"</f>
        <v>#VALUE!</v>
      </c>
      <c r="DE71" t="e">
        <f>CWE!B903+"$5F&amp;!dS"</f>
        <v>#VALUE!</v>
      </c>
      <c r="DF71" t="e">
        <f>CWE!C903+"$5F&amp;!dT"</f>
        <v>#VALUE!</v>
      </c>
      <c r="DG71" t="e">
        <f>CWE!D903+"$5F&amp;!dU"</f>
        <v>#VALUE!</v>
      </c>
      <c r="DH71" t="e">
        <f>CWE!B904+"$5F&amp;!dV"</f>
        <v>#VALUE!</v>
      </c>
      <c r="DI71" t="e">
        <f>CWE!C904+"$5F&amp;!dW"</f>
        <v>#VALUE!</v>
      </c>
      <c r="DJ71" t="e">
        <f>CWE!D904+"$5F&amp;!dX"</f>
        <v>#VALUE!</v>
      </c>
      <c r="DK71" t="e">
        <f>CWE!B905+"$5F&amp;!dY"</f>
        <v>#VALUE!</v>
      </c>
      <c r="DL71" t="e">
        <f>CWE!C905+"$5F&amp;!dZ"</f>
        <v>#VALUE!</v>
      </c>
      <c r="DM71" t="e">
        <f>CWE!D905+"$5F&amp;!d["</f>
        <v>#VALUE!</v>
      </c>
      <c r="DN71" t="e">
        <f>CWE!B906+"$5F&amp;!d\"</f>
        <v>#VALUE!</v>
      </c>
      <c r="DO71" t="e">
        <f>CWE!C906+"$5F&amp;!d]"</f>
        <v>#VALUE!</v>
      </c>
      <c r="DP71" t="e">
        <f>CWE!D906+"$5F&amp;!d^"</f>
        <v>#VALUE!</v>
      </c>
      <c r="DQ71" t="e">
        <f>CWE!B907+"$5F&amp;!d_"</f>
        <v>#VALUE!</v>
      </c>
      <c r="DR71" t="e">
        <f>CWE!C907+"$5F&amp;!d`"</f>
        <v>#VALUE!</v>
      </c>
      <c r="DS71" t="e">
        <f>CWE!D907+"$5F&amp;!da"</f>
        <v>#VALUE!</v>
      </c>
      <c r="DT71" t="e">
        <f>CWE!B908+"$5F&amp;!db"</f>
        <v>#VALUE!</v>
      </c>
      <c r="DU71" t="e">
        <f>CWE!C908+"$5F&amp;!dc"</f>
        <v>#VALUE!</v>
      </c>
      <c r="DV71" t="e">
        <f>CWE!D908+"$5F&amp;!dd"</f>
        <v>#VALUE!</v>
      </c>
      <c r="DW71" t="e">
        <f>CWE!B909+"$5F&amp;!de"</f>
        <v>#VALUE!</v>
      </c>
      <c r="DX71" t="e">
        <f>CWE!C909+"$5F&amp;!df"</f>
        <v>#VALUE!</v>
      </c>
      <c r="DY71" t="e">
        <f>CWE!D909+"$5F&amp;!dg"</f>
        <v>#VALUE!</v>
      </c>
      <c r="DZ71" t="e">
        <f>CWE!B910+"$5F&amp;!dh"</f>
        <v>#VALUE!</v>
      </c>
      <c r="EA71" t="e">
        <f>CWE!C910+"$5F&amp;!di"</f>
        <v>#VALUE!</v>
      </c>
      <c r="EB71" t="e">
        <f>CWE!D910+"$5F&amp;!dj"</f>
        <v>#VALUE!</v>
      </c>
      <c r="EC71" t="e">
        <f>CWE!B911+"$5F&amp;!dk"</f>
        <v>#VALUE!</v>
      </c>
      <c r="ED71" t="e">
        <f>CWE!C911+"$5F&amp;!dl"</f>
        <v>#VALUE!</v>
      </c>
      <c r="EE71" t="e">
        <f>CWE!D911+"$5F&amp;!dm"</f>
        <v>#VALUE!</v>
      </c>
      <c r="EF71" t="e">
        <f>CWE!B912+"$5F&amp;!dn"</f>
        <v>#VALUE!</v>
      </c>
      <c r="EG71" t="e">
        <f>CWE!C912+"$5F&amp;!do"</f>
        <v>#VALUE!</v>
      </c>
      <c r="EH71" t="e">
        <f>CWE!D912+"$5F&amp;!dp"</f>
        <v>#VALUE!</v>
      </c>
      <c r="EI71" t="e">
        <f>CWE!B913+"$5F&amp;!dq"</f>
        <v>#VALUE!</v>
      </c>
      <c r="EJ71" t="e">
        <f>CWE!C913+"$5F&amp;!dr"</f>
        <v>#VALUE!</v>
      </c>
      <c r="EK71" t="e">
        <f>CWE!D913+"$5F&amp;!ds"</f>
        <v>#VALUE!</v>
      </c>
      <c r="EL71" t="e">
        <f>CWE!B914+"$5F&amp;!dt"</f>
        <v>#VALUE!</v>
      </c>
      <c r="EM71" t="e">
        <f>CWE!C914+"$5F&amp;!du"</f>
        <v>#VALUE!</v>
      </c>
      <c r="EN71" t="e">
        <f>CWE!D914+"$5F&amp;!dv"</f>
        <v>#VALUE!</v>
      </c>
      <c r="EO71" t="e">
        <f>CWE!B915+"$5F&amp;!dw"</f>
        <v>#VALUE!</v>
      </c>
      <c r="EP71" t="e">
        <f>CWE!C915+"$5F&amp;!dx"</f>
        <v>#VALUE!</v>
      </c>
      <c r="EQ71" t="e">
        <f>CWE!D915+"$5F&amp;!dy"</f>
        <v>#VALUE!</v>
      </c>
      <c r="ER71" t="e">
        <f>CWE!B916+"$5F&amp;!dz"</f>
        <v>#VALUE!</v>
      </c>
      <c r="ES71" t="e">
        <f>CWE!C916+"$5F&amp;!d{"</f>
        <v>#VALUE!</v>
      </c>
      <c r="ET71" t="e">
        <f>CWE!D916+"$5F&amp;!d|"</f>
        <v>#VALUE!</v>
      </c>
      <c r="EU71" t="e">
        <f>CWE!B917+"$5F&amp;!d}"</f>
        <v>#VALUE!</v>
      </c>
      <c r="EV71" t="e">
        <f>CWE!C917+"$5F&amp;!d~"</f>
        <v>#VALUE!</v>
      </c>
      <c r="EW71" t="e">
        <f>CWE!D917+"$5F&amp;!e#"</f>
        <v>#VALUE!</v>
      </c>
      <c r="EX71" t="e">
        <f>CWE!B918+"$5F&amp;!e$"</f>
        <v>#VALUE!</v>
      </c>
      <c r="EY71" t="e">
        <f>CWE!C918+"$5F&amp;!e%"</f>
        <v>#VALUE!</v>
      </c>
      <c r="EZ71" t="e">
        <f>CWE!D918+"$5F&amp;!e&amp;"</f>
        <v>#VALUE!</v>
      </c>
      <c r="FA71" t="e">
        <f>CWE!B919+"$5F&amp;!e'"</f>
        <v>#VALUE!</v>
      </c>
      <c r="FB71" t="e">
        <f>CWE!C919+"$5F&amp;!e("</f>
        <v>#VALUE!</v>
      </c>
      <c r="FC71" t="e">
        <f>CWE!D919+"$5F&amp;!e)"</f>
        <v>#VALUE!</v>
      </c>
      <c r="FD71" t="e">
        <f>CWE!B920+"$5F&amp;!e."</f>
        <v>#VALUE!</v>
      </c>
      <c r="FE71" t="e">
        <f>CWE!C920+"$5F&amp;!e/"</f>
        <v>#VALUE!</v>
      </c>
      <c r="FF71" t="e">
        <f>CWE!D920+"$5F&amp;!e0"</f>
        <v>#VALUE!</v>
      </c>
      <c r="FG71" t="e">
        <f>CWE!B921+"$5F&amp;!e1"</f>
        <v>#VALUE!</v>
      </c>
      <c r="FH71" t="e">
        <f>CWE!C921+"$5F&amp;!e2"</f>
        <v>#VALUE!</v>
      </c>
      <c r="FI71" t="e">
        <f>CWE!D921+"$5F&amp;!e3"</f>
        <v>#VALUE!</v>
      </c>
      <c r="FJ71" t="e">
        <f>CWE!B922+"$5F&amp;!e4"</f>
        <v>#VALUE!</v>
      </c>
      <c r="FK71" t="e">
        <f>CWE!C922+"$5F&amp;!e5"</f>
        <v>#VALUE!</v>
      </c>
      <c r="FL71" t="e">
        <f>CWE!D922+"$5F&amp;!e6"</f>
        <v>#VALUE!</v>
      </c>
      <c r="FM71" t="e">
        <f>CWE!B923+"$5F&amp;!e7"</f>
        <v>#VALUE!</v>
      </c>
      <c r="FN71" t="e">
        <f>CWE!C923+"$5F&amp;!e8"</f>
        <v>#VALUE!</v>
      </c>
      <c r="FO71" t="e">
        <f>CWE!D923+"$5F&amp;!e9"</f>
        <v>#VALUE!</v>
      </c>
      <c r="FP71" t="e">
        <f>CWE!B924+"$5F&amp;!e:"</f>
        <v>#VALUE!</v>
      </c>
      <c r="FQ71" t="e">
        <f>CWE!C924+"$5F&amp;!e;"</f>
        <v>#VALUE!</v>
      </c>
      <c r="FR71" t="e">
        <f>CWE!D924+"$5F&amp;!e&lt;"</f>
        <v>#VALUE!</v>
      </c>
      <c r="FS71" t="e">
        <f>CWE!B925+"$5F&amp;!e="</f>
        <v>#VALUE!</v>
      </c>
      <c r="FT71" t="e">
        <f>CWE!C925+"$5F&amp;!e&gt;"</f>
        <v>#VALUE!</v>
      </c>
      <c r="FU71" t="e">
        <f>CWE!D925+"$5F&amp;!e?"</f>
        <v>#VALUE!</v>
      </c>
      <c r="FV71" t="e">
        <f>CWE!B926+"$5F&amp;!e@"</f>
        <v>#VALUE!</v>
      </c>
      <c r="FW71" t="e">
        <f>CWE!C926+"$5F&amp;!eA"</f>
        <v>#VALUE!</v>
      </c>
      <c r="FX71" t="e">
        <f>CWE!D926+"$5F&amp;!eB"</f>
        <v>#VALUE!</v>
      </c>
      <c r="FY71" t="e">
        <f>CWE!B927+"$5F&amp;!eC"</f>
        <v>#VALUE!</v>
      </c>
      <c r="FZ71" t="e">
        <f>CWE!C927+"$5F&amp;!eD"</f>
        <v>#VALUE!</v>
      </c>
      <c r="GA71" t="e">
        <f>CWE!D927+"$5F&amp;!eE"</f>
        <v>#VALUE!</v>
      </c>
      <c r="GB71" t="e">
        <f>CWE!B928+"$5F&amp;!eF"</f>
        <v>#VALUE!</v>
      </c>
      <c r="GC71" t="e">
        <f>CWE!C928+"$5F&amp;!eG"</f>
        <v>#VALUE!</v>
      </c>
      <c r="GD71" t="e">
        <f>CWE!D928+"$5F&amp;!eH"</f>
        <v>#VALUE!</v>
      </c>
      <c r="GE71" t="e">
        <f>CWE!B929+"$5F&amp;!eI"</f>
        <v>#VALUE!</v>
      </c>
      <c r="GF71" t="e">
        <f>CWE!C929+"$5F&amp;!eJ"</f>
        <v>#VALUE!</v>
      </c>
      <c r="GG71" t="e">
        <f>CWE!D929+"$5F&amp;!eK"</f>
        <v>#VALUE!</v>
      </c>
      <c r="GH71" t="e">
        <f>CWE!B930+"$5F&amp;!eL"</f>
        <v>#VALUE!</v>
      </c>
      <c r="GI71" t="e">
        <f>CWE!C930+"$5F&amp;!eM"</f>
        <v>#VALUE!</v>
      </c>
      <c r="GJ71" t="e">
        <f>CWE!D930+"$5F&amp;!eN"</f>
        <v>#VALUE!</v>
      </c>
      <c r="GK71" t="e">
        <f>CWE!B931+"$5F&amp;!eO"</f>
        <v>#VALUE!</v>
      </c>
      <c r="GL71" t="e">
        <f>CWE!C931+"$5F&amp;!eP"</f>
        <v>#VALUE!</v>
      </c>
      <c r="GM71" t="e">
        <f>CWE!D931+"$5F&amp;!eQ"</f>
        <v>#VALUE!</v>
      </c>
      <c r="GN71" t="e">
        <f>CWE!B932+"$5F&amp;!eR"</f>
        <v>#VALUE!</v>
      </c>
      <c r="GO71" t="e">
        <f>CWE!C932+"$5F&amp;!eS"</f>
        <v>#VALUE!</v>
      </c>
      <c r="GP71" t="e">
        <f>CWE!D932+"$5F&amp;!eT"</f>
        <v>#VALUE!</v>
      </c>
      <c r="GQ71" t="e">
        <f>CWE!B933+"$5F&amp;!eU"</f>
        <v>#VALUE!</v>
      </c>
      <c r="GR71" t="e">
        <f>CWE!C933+"$5F&amp;!eV"</f>
        <v>#VALUE!</v>
      </c>
      <c r="GS71" t="e">
        <f>CWE!D933+"$5F&amp;!eW"</f>
        <v>#VALUE!</v>
      </c>
      <c r="GT71" t="e">
        <f>CWE!B934+"$5F&amp;!eX"</f>
        <v>#VALUE!</v>
      </c>
      <c r="GU71" t="e">
        <f>CWE!C934+"$5F&amp;!eY"</f>
        <v>#VALUE!</v>
      </c>
      <c r="GV71" t="e">
        <f>CWE!D934+"$5F&amp;!eZ"</f>
        <v>#VALUE!</v>
      </c>
      <c r="GW71" t="e">
        <f>CWE!B935+"$5F&amp;!e["</f>
        <v>#VALUE!</v>
      </c>
      <c r="GX71" t="e">
        <f>CWE!C935+"$5F&amp;!e\"</f>
        <v>#VALUE!</v>
      </c>
      <c r="GY71" t="e">
        <f>CWE!D935+"$5F&amp;!e]"</f>
        <v>#VALUE!</v>
      </c>
      <c r="GZ71" t="e">
        <f>CWE!B936+"$5F&amp;!e^"</f>
        <v>#VALUE!</v>
      </c>
      <c r="HA71" t="e">
        <f>CWE!C936+"$5F&amp;!e_"</f>
        <v>#VALUE!</v>
      </c>
      <c r="HB71" t="e">
        <f>CWE!D936+"$5F&amp;!e`"</f>
        <v>#VALUE!</v>
      </c>
      <c r="HC71" t="e">
        <f>CWE!B937+"$5F&amp;!ea"</f>
        <v>#VALUE!</v>
      </c>
      <c r="HD71" t="e">
        <f>CWE!C937+"$5F&amp;!eb"</f>
        <v>#VALUE!</v>
      </c>
      <c r="HE71" t="e">
        <f>CWE!D937+"$5F&amp;!ec"</f>
        <v>#VALUE!</v>
      </c>
      <c r="HF71" t="e">
        <f>CWE!B938+"$5F&amp;!ed"</f>
        <v>#VALUE!</v>
      </c>
      <c r="HG71" t="e">
        <f>CWE!C938+"$5F&amp;!ee"</f>
        <v>#VALUE!</v>
      </c>
      <c r="HH71" t="e">
        <f>CWE!D938+"$5F&amp;!ef"</f>
        <v>#VALUE!</v>
      </c>
      <c r="HI71" t="e">
        <f>CWE!B939+"$5F&amp;!eg"</f>
        <v>#VALUE!</v>
      </c>
      <c r="HJ71" t="e">
        <f>CWE!C939+"$5F&amp;!eh"</f>
        <v>#VALUE!</v>
      </c>
      <c r="HK71" t="e">
        <f>CWE!D939+"$5F&amp;!ei"</f>
        <v>#VALUE!</v>
      </c>
      <c r="HL71" t="e">
        <f>CWE!B940+"$5F&amp;!ej"</f>
        <v>#VALUE!</v>
      </c>
      <c r="HM71" t="e">
        <f>CWE!C940+"$5F&amp;!ek"</f>
        <v>#VALUE!</v>
      </c>
      <c r="HN71" t="e">
        <f>CWE!D940+"$5F&amp;!el"</f>
        <v>#VALUE!</v>
      </c>
      <c r="HO71" t="e">
        <f>CWE!B941+"$5F&amp;!em"</f>
        <v>#VALUE!</v>
      </c>
      <c r="HP71" t="e">
        <f>CWE!C941+"$5F&amp;!en"</f>
        <v>#VALUE!</v>
      </c>
      <c r="HQ71" t="e">
        <f>CWE!D941+"$5F&amp;!eo"</f>
        <v>#VALUE!</v>
      </c>
      <c r="HR71" t="e">
        <f>CWE!B942+"$5F&amp;!ep"</f>
        <v>#VALUE!</v>
      </c>
      <c r="HS71" t="e">
        <f>CWE!C942+"$5F&amp;!eq"</f>
        <v>#VALUE!</v>
      </c>
      <c r="HT71" t="e">
        <f>CWE!D942+"$5F&amp;!er"</f>
        <v>#VALUE!</v>
      </c>
      <c r="HU71" t="e">
        <f>CWE!B943+"$5F&amp;!es"</f>
        <v>#VALUE!</v>
      </c>
      <c r="HV71" t="e">
        <f>CWE!C943+"$5F&amp;!et"</f>
        <v>#VALUE!</v>
      </c>
      <c r="HW71" t="e">
        <f>CWE!D943+"$5F&amp;!eu"</f>
        <v>#VALUE!</v>
      </c>
      <c r="HX71" t="e">
        <f>CWE!B944+"$5F&amp;!ev"</f>
        <v>#VALUE!</v>
      </c>
      <c r="HY71" t="e">
        <f>CWE!C944+"$5F&amp;!ew"</f>
        <v>#VALUE!</v>
      </c>
      <c r="HZ71" t="e">
        <f>CWE!D944+"$5F&amp;!ex"</f>
        <v>#VALUE!</v>
      </c>
      <c r="IA71" t="e">
        <f>CWE!B945+"$5F&amp;!ey"</f>
        <v>#VALUE!</v>
      </c>
      <c r="IB71" t="e">
        <f>CWE!C945+"$5F&amp;!ez"</f>
        <v>#VALUE!</v>
      </c>
      <c r="IC71" t="e">
        <f>CWE!D945+"$5F&amp;!e{"</f>
        <v>#VALUE!</v>
      </c>
      <c r="ID71" t="e">
        <f>CWE!B946+"$5F&amp;!e|"</f>
        <v>#VALUE!</v>
      </c>
      <c r="IE71" t="e">
        <f>CWE!C946+"$5F&amp;!e}"</f>
        <v>#VALUE!</v>
      </c>
      <c r="IF71" t="e">
        <f>CWE!D946+"$5F&amp;!e~"</f>
        <v>#VALUE!</v>
      </c>
      <c r="IG71" t="e">
        <f>CWE!C947+"$5F&amp;!f#"</f>
        <v>#VALUE!</v>
      </c>
      <c r="IH71" t="e">
        <f>CWE!D947+"$5F&amp;!f$"</f>
        <v>#VALUE!</v>
      </c>
      <c r="II71" t="e">
        <f>CWE!C948+"$5F&amp;!f%"</f>
        <v>#VALUE!</v>
      </c>
      <c r="IJ71" t="e">
        <f>CWE!D948+"$5F&amp;!f&amp;"</f>
        <v>#VALUE!</v>
      </c>
      <c r="IK71" t="e">
        <f>CWE!C949+"$5F&amp;!f'"</f>
        <v>#VALUE!</v>
      </c>
      <c r="IL71" t="e">
        <f>CWE!D949+"$5F&amp;!f("</f>
        <v>#VALUE!</v>
      </c>
      <c r="IM71" t="e">
        <f>CWE!C950+"$5F&amp;!f)"</f>
        <v>#VALUE!</v>
      </c>
      <c r="IN71" t="e">
        <f>CWE!D950+"$5F&amp;!f."</f>
        <v>#VALUE!</v>
      </c>
      <c r="IO71" t="e">
        <f>CWE!C951+"$5F&amp;!f/"</f>
        <v>#VALUE!</v>
      </c>
      <c r="IP71" t="e">
        <f>CWE!D951+"$5F&amp;!f0"</f>
        <v>#VALUE!</v>
      </c>
      <c r="IQ71" t="e">
        <f>CWE!C952+"$5F&amp;!f1"</f>
        <v>#VALUE!</v>
      </c>
      <c r="IR71" t="e">
        <f>CWE!D952+"$5F&amp;!f2"</f>
        <v>#VALUE!</v>
      </c>
      <c r="IS71" t="e">
        <f>CWE!C953+"$5F&amp;!f3"</f>
        <v>#VALUE!</v>
      </c>
      <c r="IT71" t="e">
        <f>CWE!D953+"$5F&amp;!f4"</f>
        <v>#VALUE!</v>
      </c>
      <c r="IU71" t="e">
        <f>CWE!C954+"$5F&amp;!f5"</f>
        <v>#VALUE!</v>
      </c>
      <c r="IV71" t="e">
        <f>CWE!D954+"$5F&amp;!f6"</f>
        <v>#VALUE!</v>
      </c>
    </row>
    <row r="72" spans="6:256" x14ac:dyDescent="0.25">
      <c r="F72" t="e">
        <f>CWE!C955+"$5F&amp;!f7"</f>
        <v>#VALUE!</v>
      </c>
      <c r="G72" t="e">
        <f>CWE!D955+"$5F&amp;!f8"</f>
        <v>#VALUE!</v>
      </c>
      <c r="H72" t="e">
        <f>CWE!C956+"$5F&amp;!f9"</f>
        <v>#VALUE!</v>
      </c>
      <c r="I72" t="e">
        <f>CWE!D956+"$5F&amp;!f:"</f>
        <v>#VALUE!</v>
      </c>
      <c r="J72" t="e">
        <f>CWE!C957+"$5F&amp;!f;"</f>
        <v>#VALUE!</v>
      </c>
      <c r="K72" t="e">
        <f>CWE!D957+"$5F&amp;!f&lt;"</f>
        <v>#VALUE!</v>
      </c>
      <c r="L72" t="e">
        <f>CWE!C958+"$5F&amp;!f="</f>
        <v>#VALUE!</v>
      </c>
      <c r="M72" t="e">
        <f>CWE!D958+"$5F&amp;!f&gt;"</f>
        <v>#VALUE!</v>
      </c>
      <c r="N72" t="e">
        <f>CWE!C959+"$5F&amp;!f?"</f>
        <v>#VALUE!</v>
      </c>
      <c r="O72" t="e">
        <f>CWE!D959+"$5F&amp;!f@"</f>
        <v>#VALUE!</v>
      </c>
      <c r="P72" t="e">
        <f>CWE!C960+"$5F&amp;!fA"</f>
        <v>#VALUE!</v>
      </c>
      <c r="Q72" t="e">
        <f>CWE!D960+"$5F&amp;!fB"</f>
        <v>#VALUE!</v>
      </c>
      <c r="R72" t="e">
        <f>CWE!C961+"$5F&amp;!fC"</f>
        <v>#VALUE!</v>
      </c>
      <c r="S72" t="e">
        <f>CWE!D961+"$5F&amp;!fD"</f>
        <v>#VALUE!</v>
      </c>
      <c r="T72" t="e">
        <f>CWE!C962+"$5F&amp;!fE"</f>
        <v>#VALUE!</v>
      </c>
      <c r="U72" t="e">
        <f>CWE!D962+"$5F&amp;!fF"</f>
        <v>#VALUE!</v>
      </c>
      <c r="V72" t="e">
        <f>CWE!C963+"$5F&amp;!fG"</f>
        <v>#VALUE!</v>
      </c>
      <c r="W72" t="e">
        <f>CWE!D963+"$5F&amp;!fH"</f>
        <v>#VALUE!</v>
      </c>
      <c r="X72" t="e">
        <f>CWE!C964+"$5F&amp;!fI"</f>
        <v>#VALUE!</v>
      </c>
      <c r="Y72" t="e">
        <f>CWE!D964+"$5F&amp;!fJ"</f>
        <v>#VALUE!</v>
      </c>
      <c r="Z72" t="e">
        <f>CWE!C965+"$5F&amp;!fK"</f>
        <v>#VALUE!</v>
      </c>
      <c r="AA72" t="e">
        <f>CWE!D965+"$5F&amp;!fL"</f>
        <v>#VALUE!</v>
      </c>
      <c r="AB72" t="e">
        <f>CWE!C967+"$5F&amp;!fM"</f>
        <v>#VALUE!</v>
      </c>
      <c r="AC72" t="e">
        <f>CWE!D967+"$5F&amp;!fN"</f>
        <v>#VALUE!</v>
      </c>
      <c r="AD72" t="e">
        <f>CWE!B968+"$5F&amp;!fO"</f>
        <v>#VALUE!</v>
      </c>
      <c r="AE72" t="e">
        <f>CWE!B969+"$5F&amp;!fP"</f>
        <v>#VALUE!</v>
      </c>
      <c r="AF72" t="e">
        <f>CWE!B970+"$5F&amp;!fQ"</f>
        <v>#VALUE!</v>
      </c>
      <c r="AG72" t="e">
        <f>CWE!B971+"$5F&amp;!fR"</f>
        <v>#VALUE!</v>
      </c>
      <c r="AH72" t="e">
        <f>CWE!B972+"$5F&amp;!fS"</f>
        <v>#VALUE!</v>
      </c>
      <c r="AI72" t="e">
        <f>CWE!A974+"$5F&amp;!fT"</f>
        <v>#VALUE!</v>
      </c>
      <c r="AJ72" t="e">
        <f>CWE!B974+"$5F&amp;!fU"</f>
        <v>#VALUE!</v>
      </c>
      <c r="AK72" t="e">
        <f>CWE!C974+"$5F&amp;!fV"</f>
        <v>#VALUE!</v>
      </c>
      <c r="AL72" t="e">
        <f>CWE!E974+"$5F&amp;!fW"</f>
        <v>#VALUE!</v>
      </c>
      <c r="AM72" t="e">
        <f>CWE!A975+"$5F&amp;!fX"</f>
        <v>#VALUE!</v>
      </c>
      <c r="AN72" t="e">
        <f>CWE!B975+"$5F&amp;!fY"</f>
        <v>#VALUE!</v>
      </c>
      <c r="AO72" t="e">
        <f>CWE!C975+"$5F&amp;!fZ"</f>
        <v>#VALUE!</v>
      </c>
      <c r="AP72" t="e">
        <f>CWE!E975+"$5F&amp;!f["</f>
        <v>#VALUE!</v>
      </c>
      <c r="AQ72" t="e">
        <f>CWE!A976+"$5F&amp;!f\"</f>
        <v>#VALUE!</v>
      </c>
      <c r="AR72" t="e">
        <f>CWE!B976+"$5F&amp;!f]"</f>
        <v>#VALUE!</v>
      </c>
      <c r="AS72" t="e">
        <f>CWE!C976+"$5F&amp;!f^"</f>
        <v>#VALUE!</v>
      </c>
      <c r="AT72" t="e">
        <f>CWE!E976+"$5F&amp;!f_"</f>
        <v>#VALUE!</v>
      </c>
      <c r="AU72" t="e">
        <f>CWE!A977+"$5F&amp;!f`"</f>
        <v>#VALUE!</v>
      </c>
      <c r="AV72" t="e">
        <f>CWE!B977+"$5F&amp;!fa"</f>
        <v>#VALUE!</v>
      </c>
      <c r="AW72" t="e">
        <f>CWE!C977+"$5F&amp;!fb"</f>
        <v>#VALUE!</v>
      </c>
      <c r="AX72" t="e">
        <f>CWE!E977+"$5F&amp;!fc"</f>
        <v>#VALUE!</v>
      </c>
      <c r="AY72" t="e">
        <f>CWE!A978+"$5F&amp;!fd"</f>
        <v>#VALUE!</v>
      </c>
      <c r="AZ72" t="e">
        <f>CWE!B978+"$5F&amp;!fe"</f>
        <v>#VALUE!</v>
      </c>
      <c r="BA72" t="e">
        <f>CWE!C978+"$5F&amp;!ff"</f>
        <v>#VALUE!</v>
      </c>
      <c r="BB72" t="e">
        <f>CWE!E978+"$5F&amp;!fg"</f>
        <v>#VALUE!</v>
      </c>
      <c r="BC72" t="e">
        <f>CWE!A979+"$5F&amp;!fh"</f>
        <v>#VALUE!</v>
      </c>
      <c r="BD72" t="e">
        <f>CWE!B979+"$5F&amp;!fi"</f>
        <v>#VALUE!</v>
      </c>
      <c r="BE72" t="e">
        <f>CWE!C979+"$5F&amp;!fj"</f>
        <v>#VALUE!</v>
      </c>
      <c r="BF72" t="e">
        <f>CWE!E979+"$5F&amp;!fk"</f>
        <v>#VALUE!</v>
      </c>
      <c r="BG72" t="e">
        <f>CWE!A980+"$5F&amp;!fl"</f>
        <v>#VALUE!</v>
      </c>
      <c r="BH72" t="e">
        <f>CWE!B980+"$5F&amp;!fm"</f>
        <v>#VALUE!</v>
      </c>
      <c r="BI72" t="e">
        <f>CWE!C980+"$5F&amp;!fn"</f>
        <v>#VALUE!</v>
      </c>
      <c r="BJ72" t="e">
        <f>CWE!E980+"$5F&amp;!fo"</f>
        <v>#VALUE!</v>
      </c>
      <c r="BK72" t="e">
        <f>CWE!A981+"$5F&amp;!fp"</f>
        <v>#VALUE!</v>
      </c>
      <c r="BL72" t="e">
        <f>CWE!B981+"$5F&amp;!fq"</f>
        <v>#VALUE!</v>
      </c>
      <c r="BM72" t="e">
        <f>CWE!C981+"$5F&amp;!fr"</f>
        <v>#VALUE!</v>
      </c>
      <c r="BN72" t="e">
        <f>CWE!E981+"$5F&amp;!fs"</f>
        <v>#VALUE!</v>
      </c>
      <c r="BO72" t="e">
        <f>CWE!A982+"$5F&amp;!ft"</f>
        <v>#VALUE!</v>
      </c>
      <c r="BP72" t="e">
        <f>CWE!B982+"$5F&amp;!fu"</f>
        <v>#VALUE!</v>
      </c>
      <c r="BQ72" t="e">
        <f>CWE!C982+"$5F&amp;!fv"</f>
        <v>#VALUE!</v>
      </c>
      <c r="BR72" t="e">
        <f>CWE!E982+"$5F&amp;!fw"</f>
        <v>#VALUE!</v>
      </c>
      <c r="BS72" t="e">
        <f>CWE!A983+"$5F&amp;!fx"</f>
        <v>#VALUE!</v>
      </c>
      <c r="BT72" t="e">
        <f>CWE!B983+"$5F&amp;!fy"</f>
        <v>#VALUE!</v>
      </c>
      <c r="BU72" t="e">
        <f>CWE!C983+"$5F&amp;!fz"</f>
        <v>#VALUE!</v>
      </c>
      <c r="BV72" t="e">
        <f>CWE!E983+"$5F&amp;!f{"</f>
        <v>#VALUE!</v>
      </c>
      <c r="BW72" t="e">
        <f>CWE!A984+"$5F&amp;!f|"</f>
        <v>#VALUE!</v>
      </c>
      <c r="BX72" t="e">
        <f>CWE!B984+"$5F&amp;!f}"</f>
        <v>#VALUE!</v>
      </c>
      <c r="BY72" t="e">
        <f>CWE!C984+"$5F&amp;!f~"</f>
        <v>#VALUE!</v>
      </c>
      <c r="BZ72" t="e">
        <f>CWE!E984+"$5F&amp;!g#"</f>
        <v>#VALUE!</v>
      </c>
      <c r="CA72" t="e">
        <f>CWE!A985+"$5F&amp;!g$"</f>
        <v>#VALUE!</v>
      </c>
      <c r="CB72" t="e">
        <f>CWE!B985+"$5F&amp;!g%"</f>
        <v>#VALUE!</v>
      </c>
      <c r="CC72" t="e">
        <f>CWE!C985+"$5F&amp;!g&amp;"</f>
        <v>#VALUE!</v>
      </c>
      <c r="CD72" t="e">
        <f>CWE!E985+"$5F&amp;!g'"</f>
        <v>#VALUE!</v>
      </c>
      <c r="CE72" t="e">
        <f>CWE!A986+"$5F&amp;!g("</f>
        <v>#VALUE!</v>
      </c>
      <c r="CF72" t="e">
        <f>CWE!B986+"$5F&amp;!g)"</f>
        <v>#VALUE!</v>
      </c>
      <c r="CG72" t="e">
        <f>CWE!C986+"$5F&amp;!g."</f>
        <v>#VALUE!</v>
      </c>
      <c r="CH72" t="e">
        <f>CWE!E986+"$5F&amp;!g/"</f>
        <v>#VALUE!</v>
      </c>
      <c r="CI72" t="e">
        <f>CWE!A987+"$5F&amp;!g0"</f>
        <v>#VALUE!</v>
      </c>
      <c r="CJ72" t="e">
        <f>CWE!B987+"$5F&amp;!g1"</f>
        <v>#VALUE!</v>
      </c>
      <c r="CK72" t="e">
        <f>CWE!C987+"$5F&amp;!g2"</f>
        <v>#VALUE!</v>
      </c>
      <c r="CL72" t="e">
        <f>CWE!E987+"$5F&amp;!g3"</f>
        <v>#VALUE!</v>
      </c>
      <c r="CM72" t="e">
        <f>CWE!A988+"$5F&amp;!g4"</f>
        <v>#VALUE!</v>
      </c>
      <c r="CN72" t="e">
        <f>CWE!B988+"$5F&amp;!g5"</f>
        <v>#VALUE!</v>
      </c>
      <c r="CO72" t="e">
        <f>CWE!C988+"$5F&amp;!g6"</f>
        <v>#VALUE!</v>
      </c>
      <c r="CP72" t="e">
        <f>CWE!E988+"$5F&amp;!g7"</f>
        <v>#VALUE!</v>
      </c>
      <c r="CQ72" t="e">
        <f>CWE!A989+"$5F&amp;!g8"</f>
        <v>#VALUE!</v>
      </c>
      <c r="CR72" t="e">
        <f>CWE!B989+"$5F&amp;!g9"</f>
        <v>#VALUE!</v>
      </c>
      <c r="CS72" t="e">
        <f>CWE!C989+"$5F&amp;!g:"</f>
        <v>#VALUE!</v>
      </c>
      <c r="CT72" t="e">
        <f>CWE!E989+"$5F&amp;!g;"</f>
        <v>#VALUE!</v>
      </c>
      <c r="CU72" t="e">
        <f>CWE!A990+"$5F&amp;!g&lt;"</f>
        <v>#VALUE!</v>
      </c>
      <c r="CV72" t="e">
        <f>CWE!B990+"$5F&amp;!g="</f>
        <v>#VALUE!</v>
      </c>
      <c r="CW72" t="e">
        <f>CWE!C990+"$5F&amp;!g&gt;"</f>
        <v>#VALUE!</v>
      </c>
      <c r="CX72" t="e">
        <f>CWE!E990+"$5F&amp;!g?"</f>
        <v>#VALUE!</v>
      </c>
      <c r="CY72" t="e">
        <f>CWE!A991+"$5F&amp;!g@"</f>
        <v>#VALUE!</v>
      </c>
      <c r="CZ72" t="e">
        <f>CWE!B991+"$5F&amp;!gA"</f>
        <v>#VALUE!</v>
      </c>
      <c r="DA72" t="e">
        <f>CWE!C991+"$5F&amp;!gB"</f>
        <v>#VALUE!</v>
      </c>
      <c r="DB72" t="e">
        <f>CWE!E991+"$5F&amp;!gC"</f>
        <v>#VALUE!</v>
      </c>
      <c r="DC72" t="e">
        <f>CWE!A992+"$5F&amp;!gD"</f>
        <v>#VALUE!</v>
      </c>
      <c r="DD72" t="e">
        <f>CWE!B992+"$5F&amp;!gE"</f>
        <v>#VALUE!</v>
      </c>
      <c r="DE72" t="e">
        <f>CWE!C992+"$5F&amp;!gF"</f>
        <v>#VALUE!</v>
      </c>
      <c r="DF72" t="e">
        <f>CWE!E992+"$5F&amp;!gG"</f>
        <v>#VALUE!</v>
      </c>
      <c r="DG72" t="e">
        <f>CWE!A993+"$5F&amp;!gH"</f>
        <v>#VALUE!</v>
      </c>
      <c r="DH72" t="e">
        <f>CWE!B993+"$5F&amp;!gI"</f>
        <v>#VALUE!</v>
      </c>
      <c r="DI72" t="e">
        <f>CWE!C993+"$5F&amp;!gJ"</f>
        <v>#VALUE!</v>
      </c>
      <c r="DJ72" t="e">
        <f>CWE!E993+"$5F&amp;!gK"</f>
        <v>#VALUE!</v>
      </c>
      <c r="DK72" t="e">
        <f>CWE!A994+"$5F&amp;!gL"</f>
        <v>#VALUE!</v>
      </c>
      <c r="DL72" t="e">
        <f>CWE!B994+"$5F&amp;!gM"</f>
        <v>#VALUE!</v>
      </c>
      <c r="DM72" t="e">
        <f>CWE!C994+"$5F&amp;!gN"</f>
        <v>#VALUE!</v>
      </c>
      <c r="DN72" t="e">
        <f>CWE!E994+"$5F&amp;!gO"</f>
        <v>#VALUE!</v>
      </c>
      <c r="DO72" t="e">
        <f>CWE!A995+"$5F&amp;!gP"</f>
        <v>#VALUE!</v>
      </c>
      <c r="DP72" t="e">
        <f>CWE!B995+"$5F&amp;!gQ"</f>
        <v>#VALUE!</v>
      </c>
      <c r="DQ72" t="e">
        <f>CWE!C995+"$5F&amp;!gR"</f>
        <v>#VALUE!</v>
      </c>
      <c r="DR72" t="e">
        <f>CWE!E995+"$5F&amp;!gS"</f>
        <v>#VALUE!</v>
      </c>
      <c r="DS72" t="e">
        <f>CWE!A996+"$5F&amp;!gT"</f>
        <v>#VALUE!</v>
      </c>
      <c r="DT72" t="e">
        <f>CWE!B996+"$5F&amp;!gU"</f>
        <v>#VALUE!</v>
      </c>
      <c r="DU72" t="e">
        <f>CWE!C996+"$5F&amp;!gV"</f>
        <v>#VALUE!</v>
      </c>
      <c r="DV72" t="e">
        <f>CWE!E996+"$5F&amp;!gW"</f>
        <v>#VALUE!</v>
      </c>
      <c r="DW72" t="e">
        <f>CWE!A997+"$5F&amp;!gX"</f>
        <v>#VALUE!</v>
      </c>
      <c r="DX72" t="e">
        <f>CWE!B997+"$5F&amp;!gY"</f>
        <v>#VALUE!</v>
      </c>
      <c r="DY72" t="e">
        <f>CWE!C997+"$5F&amp;!gZ"</f>
        <v>#VALUE!</v>
      </c>
      <c r="DZ72" t="e">
        <f>CWE!E997+"$5F&amp;!g["</f>
        <v>#VALUE!</v>
      </c>
      <c r="EA72" t="e">
        <f>CWE!A998+"$5F&amp;!g\"</f>
        <v>#VALUE!</v>
      </c>
      <c r="EB72" t="e">
        <f>CWE!B998+"$5F&amp;!g]"</f>
        <v>#VALUE!</v>
      </c>
      <c r="EC72" t="e">
        <f>CWE!C998+"$5F&amp;!g^"</f>
        <v>#VALUE!</v>
      </c>
      <c r="ED72" t="e">
        <f>CWE!E998+"$5F&amp;!g_"</f>
        <v>#VALUE!</v>
      </c>
      <c r="EE72" t="e">
        <f>CWE!A999+"$5F&amp;!g`"</f>
        <v>#VALUE!</v>
      </c>
      <c r="EF72" t="e">
        <f>CWE!B999+"$5F&amp;!ga"</f>
        <v>#VALUE!</v>
      </c>
      <c r="EG72" t="e">
        <f>CWE!C999+"$5F&amp;!gb"</f>
        <v>#VALUE!</v>
      </c>
      <c r="EH72" t="e">
        <f>CWE!E999+"$5F&amp;!gc"</f>
        <v>#VALUE!</v>
      </c>
      <c r="EI72" t="e">
        <f>CWE!B1003+"$5F&amp;!gd"</f>
        <v>#VALUE!</v>
      </c>
      <c r="EJ72" t="e">
        <f>CWE!B1004+"$5F&amp;!ge"</f>
        <v>#VALUE!</v>
      </c>
      <c r="EK72" t="e">
        <f>CWE!B1005+"$5F&amp;!gf"</f>
        <v>#VALUE!</v>
      </c>
      <c r="EL72" t="e">
        <f>CWE!B1007+"$5F&amp;!gg"</f>
        <v>#VALUE!</v>
      </c>
      <c r="EM72" t="e">
        <f>CWE!B1008+"$5F&amp;!gh"</f>
        <v>#VALUE!</v>
      </c>
      <c r="EN72" t="e">
        <f>CWE!B1009+"$5F&amp;!gi"</f>
        <v>#VALUE!</v>
      </c>
      <c r="EO72" t="e">
        <f>CWE!B1010+"$5F&amp;!gj"</f>
        <v>#VALUE!</v>
      </c>
      <c r="EP72" t="e">
        <f>CWE!B1011+"$5F&amp;!gk"</f>
        <v>#VALUE!</v>
      </c>
      <c r="EQ72" t="e">
        <f>CWE!B1012+"$5F&amp;!gl"</f>
        <v>#VALUE!</v>
      </c>
      <c r="ER72" t="e">
        <f>CWE!B1013+"$5F&amp;!gm"</f>
        <v>#VALUE!</v>
      </c>
      <c r="ES72" t="e">
        <f>CWE!B1014+"$5F&amp;!gn"</f>
        <v>#VALUE!</v>
      </c>
      <c r="ET72" t="e">
        <f>CWE!B1015+"$5F&amp;!go"</f>
        <v>#VALUE!</v>
      </c>
      <c r="EU72" t="e">
        <f>CWE!B1016+"$5F&amp;!gp"</f>
        <v>#VALUE!</v>
      </c>
      <c r="EV72" t="e">
        <f>CWE!B1017+"$5F&amp;!gq"</f>
        <v>#VALUE!</v>
      </c>
      <c r="EW72" t="e">
        <f>CWE!B1018+"$5F&amp;!gr"</f>
        <v>#VALUE!</v>
      </c>
      <c r="EX72" t="e">
        <f>CWE!B1019+"$5F&amp;!gs"</f>
        <v>#VALUE!</v>
      </c>
      <c r="EY72" t="e">
        <f>CWE!B1020+"$5F&amp;!gt"</f>
        <v>#VALUE!</v>
      </c>
      <c r="EZ72" t="e">
        <f>CWE!B1021+"$5F&amp;!gu"</f>
        <v>#VALUE!</v>
      </c>
      <c r="FA72" t="e">
        <f>CWE!B1022+"$5F&amp;!gv"</f>
        <v>#VALUE!</v>
      </c>
      <c r="FB72" t="e">
        <f>CWE!B1023+"$5F&amp;!gw"</f>
        <v>#VALUE!</v>
      </c>
      <c r="FC72" t="e">
        <f>CWE!B1024+"$5F&amp;!gx"</f>
        <v>#VALUE!</v>
      </c>
      <c r="FD72" t="e">
        <f>CWE!B1025+"$5F&amp;!gy"</f>
        <v>#VALUE!</v>
      </c>
      <c r="FE72" t="e">
        <f>CWE!B1026+"$5F&amp;!gz"</f>
        <v>#VALUE!</v>
      </c>
      <c r="FF72" t="e">
        <f>CWE!B1027+"$5F&amp;!g{"</f>
        <v>#VALUE!</v>
      </c>
      <c r="FG72" t="e">
        <f>CWE!B1028+"$5F&amp;!g|"</f>
        <v>#VALUE!</v>
      </c>
      <c r="FH72" t="e">
        <f>CWE!B1029+"$5F&amp;!g}"</f>
        <v>#VALUE!</v>
      </c>
      <c r="FI72" t="e">
        <f>CWE!B1030+"$5F&amp;!g~"</f>
        <v>#VALUE!</v>
      </c>
      <c r="FJ72" t="e">
        <f>CWE!B1031+"$5F&amp;!h#"</f>
        <v>#VALUE!</v>
      </c>
      <c r="FK72" t="e">
        <f>CWE!B1032+"$5F&amp;!h$"</f>
        <v>#VALUE!</v>
      </c>
      <c r="FL72" t="e">
        <f>CWE!B1033+"$5F&amp;!h%"</f>
        <v>#VALUE!</v>
      </c>
      <c r="FM72" t="e">
        <f>CWE!B1034+"$5F&amp;!h&amp;"</f>
        <v>#VALUE!</v>
      </c>
      <c r="FN72" t="e">
        <f>CWE!B1035+"$5F&amp;!h'"</f>
        <v>#VALUE!</v>
      </c>
      <c r="FO72" t="e">
        <f>CWE!B1036+"$5F&amp;!h("</f>
        <v>#VALUE!</v>
      </c>
      <c r="FP72" t="e">
        <f>CWE!B1037+"$5F&amp;!h)"</f>
        <v>#VALUE!</v>
      </c>
      <c r="FQ72" t="e">
        <f>CVEs_Intel!A:A*"$5F&amp;!h."</f>
        <v>#VALUE!</v>
      </c>
      <c r="FR72" t="e">
        <f>CVEs_Intel!B:B*"$5F&amp;!h/"</f>
        <v>#VALUE!</v>
      </c>
      <c r="FS72" t="e">
        <f>CVEs_Intel!C:C*"$5F&amp;!h0"</f>
        <v>#VALUE!</v>
      </c>
      <c r="FT72" t="e">
        <f>CVEs_Intel!D:D*"$5F&amp;!h1"</f>
        <v>#VALUE!</v>
      </c>
      <c r="FU72" t="e">
        <f>CVEs_Intel!E:E*"$5F&amp;!h2"</f>
        <v>#VALUE!</v>
      </c>
      <c r="FV72" t="e">
        <f>CVEs_Intel!F:F*"$5F&amp;!h3"</f>
        <v>#VALUE!</v>
      </c>
      <c r="FW72" t="e">
        <f>CVEs_Intel!G:G*"$5F&amp;!h4"</f>
        <v>#VALUE!</v>
      </c>
      <c r="FX72" t="e">
        <f>CVEs_Intel!H:H*"$5F&amp;!h5"</f>
        <v>#VALUE!</v>
      </c>
      <c r="FY72" t="e">
        <f>CVEs_Intel!I:I*"$5F&amp;!h6"</f>
        <v>#VALUE!</v>
      </c>
      <c r="FZ72" t="e">
        <f>CVEs_Intel!J:J*"$5F&amp;!h7"</f>
        <v>#VALUE!</v>
      </c>
      <c r="GA72" t="e">
        <f>CVEs_Intel!K:K*"$5F&amp;!h8"</f>
        <v>#VALUE!</v>
      </c>
      <c r="GB72" t="e">
        <f>CVEs_Intel!L:L*"$5F&amp;!h9"</f>
        <v>#VALUE!</v>
      </c>
      <c r="GC72" t="e">
        <f>CVEs_Intel!M:M*"$5F&amp;!h:"</f>
        <v>#VALUE!</v>
      </c>
      <c r="GD72" t="e">
        <f>CVEs_Intel!N:N*"$5F&amp;!h;"</f>
        <v>#VALUE!</v>
      </c>
      <c r="GE72" t="e">
        <f>CVEs_Intel!O:O*"$5F&amp;!h&lt;"</f>
        <v>#VALUE!</v>
      </c>
      <c r="GF72" t="e">
        <f>CVEs_Intel!P:P*"$5F&amp;!h="</f>
        <v>#VALUE!</v>
      </c>
      <c r="GG72" t="e">
        <f>CVEs_Intel!Q:Q*"$5F&amp;!h&gt;"</f>
        <v>#VALUE!</v>
      </c>
      <c r="GH72" t="e">
        <f>CVEs_Intel!R:R*"$5F&amp;!h?"</f>
        <v>#VALUE!</v>
      </c>
      <c r="GI72" t="e">
        <f>CVEs_Intel!S:S*"$5F&amp;!h@"</f>
        <v>#VALUE!</v>
      </c>
      <c r="GJ72" t="e">
        <f>CVEs_Intel!T:T*"$5F&amp;!hA"</f>
        <v>#VALUE!</v>
      </c>
      <c r="GK72" t="e">
        <f>CVEs_Intel!U:U*"$5F&amp;!hB"</f>
        <v>#VALUE!</v>
      </c>
      <c r="GL72" t="e">
        <f>CVEs_Intel!V:V*"$5F&amp;!hC"</f>
        <v>#VALUE!</v>
      </c>
      <c r="GM72" t="e">
        <f>CVEs_Intel!W:W*"$5F&amp;!hD"</f>
        <v>#VALUE!</v>
      </c>
      <c r="GN72" t="e">
        <f>CVEs_Intel!X:X*"$5F&amp;!hE"</f>
        <v>#VALUE!</v>
      </c>
      <c r="GO72" t="e">
        <f>CVEs_Intel!Y:Y*"$5F&amp;!hF"</f>
        <v>#VALUE!</v>
      </c>
      <c r="GP72" t="e">
        <f>CVEs_Intel!Z:Z*"$5F&amp;!hG"</f>
        <v>#VALUE!</v>
      </c>
      <c r="GQ72" t="e">
        <f>CVEs_Intel!AA:AA*"$5F&amp;!hH"</f>
        <v>#VALUE!</v>
      </c>
      <c r="GR72" t="e">
        <f>CVEs_Intel!AB:AB*"$5F&amp;!hI"</f>
        <v>#VALUE!</v>
      </c>
      <c r="GS72" t="e">
        <f>CVEs_Intel!AC:AC*"$5F&amp;!hJ"</f>
        <v>#VALUE!</v>
      </c>
      <c r="GT72" t="e">
        <f>CVEs_Intel!AD:AD*"$5F&amp;!hK"</f>
        <v>#VALUE!</v>
      </c>
      <c r="GU72" t="e">
        <f>CVEs_Intel!AE:AE*"$5F&amp;!hL"</f>
        <v>#VALUE!</v>
      </c>
      <c r="GV72" t="e">
        <f>CVEs_Intel!AF:AF*"$5F&amp;!hM"</f>
        <v>#VALUE!</v>
      </c>
      <c r="GW72" t="e">
        <f>CVEs_Intel!AG:AG*"$5F&amp;!hN"</f>
        <v>#VALUE!</v>
      </c>
      <c r="GX72" t="e">
        <f>CVEs_Intel!AH:AH*"$5F&amp;!hO"</f>
        <v>#VALUE!</v>
      </c>
      <c r="GY72" t="e">
        <f>CVEs_Intel!AI:AI*"$5F&amp;!hP"</f>
        <v>#VALUE!</v>
      </c>
      <c r="GZ72" t="e">
        <f>CVEs_Intel!AJ:AJ*"$5F&amp;!hQ"</f>
        <v>#VALUE!</v>
      </c>
      <c r="HA72" t="e">
        <f>CVEs_Intel!AK:AK*"$5F&amp;!hR"</f>
        <v>#VALUE!</v>
      </c>
      <c r="HB72" t="e">
        <f>CVEs_Intel!AL:AL*"$5F&amp;!hS"</f>
        <v>#VALUE!</v>
      </c>
      <c r="HC72" t="e">
        <f>CVEs_Intel!AM:AM*"$5F&amp;!hT"</f>
        <v>#VALUE!</v>
      </c>
      <c r="HD72" t="e">
        <f>CVEs_Intel!AN:AN*"$5F&amp;!hU"</f>
        <v>#VALUE!</v>
      </c>
      <c r="HE72" t="e">
        <f>CVEs_Intel!AO:AO*"$5F&amp;!hV"</f>
        <v>#VALUE!</v>
      </c>
      <c r="HF72" t="e">
        <f>CVEs_Intel!AP:AP*"$5F&amp;!hW"</f>
        <v>#VALUE!</v>
      </c>
      <c r="HG72" t="e">
        <f>CVEs_Intel!AQ:AQ*"$5F&amp;!hX"</f>
        <v>#VALUE!</v>
      </c>
      <c r="HH72" t="e">
        <f>CVEs_Intel!AR:AR*"$5F&amp;!hY"</f>
        <v>#VALUE!</v>
      </c>
      <c r="HI72" t="e">
        <f>CVEs_Intel!AS:AS*"$5F&amp;!hZ"</f>
        <v>#VALUE!</v>
      </c>
      <c r="HJ72" t="e">
        <f>CVEs_Intel!AT:AT*"$5F&amp;!h["</f>
        <v>#VALUE!</v>
      </c>
      <c r="HK72" t="e">
        <f>CVEs_Intel!AU:AU*"$5F&amp;!h\"</f>
        <v>#VALUE!</v>
      </c>
      <c r="HL72" t="e">
        <f>CVEs_Intel!AV:AV*"$5F&amp;!h]"</f>
        <v>#VALUE!</v>
      </c>
      <c r="HM72" t="e">
        <f>CVEs_Intel!AW:AW*"$5F&amp;!h^"</f>
        <v>#VALUE!</v>
      </c>
      <c r="HN72" t="e">
        <f>CVEs_Intel!AX:AX*"$5F&amp;!h_"</f>
        <v>#VALUE!</v>
      </c>
      <c r="HO72" t="e">
        <f>CVEs_Intel!AY:AY*"$5F&amp;!h`"</f>
        <v>#VALUE!</v>
      </c>
      <c r="HP72" t="e">
        <f>CVEs_Intel!AZ:AZ*"$5F&amp;!ha"</f>
        <v>#VALUE!</v>
      </c>
      <c r="HQ72" t="e">
        <f>CVEs_Intel!BA:BA*"$5F&amp;!hb"</f>
        <v>#VALUE!</v>
      </c>
      <c r="HR72" t="e">
        <f>CVEs_Intel!BB:BB*"$5F&amp;!hc"</f>
        <v>#VALUE!</v>
      </c>
      <c r="HS72" t="e">
        <f>CVEs_Intel!BC:BC*"$5F&amp;!hd"</f>
        <v>#VALUE!</v>
      </c>
      <c r="HT72" t="e">
        <f>CVEs_Intel!BD:BD*"$5F&amp;!he"</f>
        <v>#VALUE!</v>
      </c>
      <c r="HU72" t="e">
        <f>CVEs_Intel!BE:BE*"$5F&amp;!hf"</f>
        <v>#VALUE!</v>
      </c>
      <c r="HV72" t="e">
        <f>CVEs_Intel!BF:BF*"$5F&amp;!hg"</f>
        <v>#VALUE!</v>
      </c>
      <c r="HW72" t="e">
        <f>CVEs_Intel!BG:BG*"$5F&amp;!hh"</f>
        <v>#VALUE!</v>
      </c>
      <c r="HX72" t="e">
        <f>CVEs_Intel!BH:BH*"$5F&amp;!hi"</f>
        <v>#VALUE!</v>
      </c>
      <c r="HY72" t="e">
        <f>CVEs_Intel!BI:BI*"$5F&amp;!hj"</f>
        <v>#VALUE!</v>
      </c>
      <c r="HZ72" t="e">
        <f>CVEs_Intel!BJ:BJ*"$5F&amp;!hk"</f>
        <v>#VALUE!</v>
      </c>
      <c r="IA72" t="e">
        <f>CVEs_Intel!BK:BK*"$5F&amp;!hl"</f>
        <v>#VALUE!</v>
      </c>
      <c r="IB72" t="e">
        <f>CVEs_Intel!BL:BL*"$5F&amp;!hm"</f>
        <v>#VALUE!</v>
      </c>
      <c r="IC72" t="e">
        <f>CVEs_Intel!BM:BM*"$5F&amp;!hn"</f>
        <v>#VALUE!</v>
      </c>
      <c r="ID72" t="e">
        <f>CVEs_Intel!BN:BN*"$5F&amp;!ho"</f>
        <v>#VALUE!</v>
      </c>
      <c r="IE72" t="e">
        <f>CVEs_Intel!BO:BO*"$5F&amp;!hp"</f>
        <v>#VALUE!</v>
      </c>
      <c r="IF72" t="e">
        <f>CVEs_Intel!BP:BP*"$5F&amp;!hq"</f>
        <v>#VALUE!</v>
      </c>
      <c r="IG72" t="e">
        <f>CVEs_Intel!BQ:BQ*"$5F&amp;!hr"</f>
        <v>#VALUE!</v>
      </c>
      <c r="IH72" t="e">
        <f>CVEs_Intel!BR:BR*"$5F&amp;!hs"</f>
        <v>#VALUE!</v>
      </c>
      <c r="II72" t="e">
        <f>CVEs_Intel!BS:BS*"$5F&amp;!ht"</f>
        <v>#VALUE!</v>
      </c>
      <c r="IJ72" t="e">
        <f>CVEs_Intel!BT:BT*"$5F&amp;!hu"</f>
        <v>#VALUE!</v>
      </c>
      <c r="IK72" t="e">
        <f>CVEs_Intel!BU:BU*"$5F&amp;!hv"</f>
        <v>#VALUE!</v>
      </c>
      <c r="IL72" t="e">
        <f>CVEs_Intel!BV:BV*"$5F&amp;!hw"</f>
        <v>#VALUE!</v>
      </c>
      <c r="IM72" t="e">
        <f>CVEs_Intel!1:1-"$5F&amp;!hx"</f>
        <v>#VALUE!</v>
      </c>
      <c r="IN72" t="e">
        <f>CVEs_Intel!2:2-"$5F&amp;!hy"</f>
        <v>#VALUE!</v>
      </c>
      <c r="IO72" t="e">
        <f>CVEs_Intel!3:3-"$5F&amp;!hz"</f>
        <v>#VALUE!</v>
      </c>
      <c r="IP72" t="e">
        <f>CVEs_Intel!4:4-"$5F&amp;!h{"</f>
        <v>#VALUE!</v>
      </c>
      <c r="IQ72" t="e">
        <f>CVEs_Intel!5:5-"$5F&amp;!h|"</f>
        <v>#VALUE!</v>
      </c>
      <c r="IR72" t="e">
        <f>CVEs_Intel!6:6-"$5F&amp;!h}"</f>
        <v>#VALUE!</v>
      </c>
      <c r="IS72" t="e">
        <f>CVEs_Intel!7:7-"$5F&amp;!h~"</f>
        <v>#VALUE!</v>
      </c>
      <c r="IT72" t="e">
        <f>CVEs_Intel!8:8-"$5F&amp;!i#"</f>
        <v>#VALUE!</v>
      </c>
      <c r="IU72" t="e">
        <f>CVEs_Intel!9:9-"$5F&amp;!i$"</f>
        <v>#VALUE!</v>
      </c>
      <c r="IV72" t="e">
        <f>CVEs_Intel!10:10-"$5F&amp;!i%"</f>
        <v>#VALUE!</v>
      </c>
    </row>
    <row r="73" spans="6:256" x14ac:dyDescent="0.25">
      <c r="F73" t="e">
        <f>CVEs_Intel!11:11-"$5F&amp;!i&amp;"</f>
        <v>#VALUE!</v>
      </c>
      <c r="G73" t="e">
        <f>CVEs_Intel!12:12-"$5F&amp;!i'"</f>
        <v>#VALUE!</v>
      </c>
      <c r="H73" t="e">
        <f>CVEs_Intel!13:13-"$5F&amp;!i("</f>
        <v>#VALUE!</v>
      </c>
      <c r="I73" t="e">
        <f>CVEs_Intel!14:14-"$5F&amp;!i)"</f>
        <v>#VALUE!</v>
      </c>
      <c r="J73" t="e">
        <f>CVEs_Intel!15:15-"$5F&amp;!i."</f>
        <v>#VALUE!</v>
      </c>
      <c r="K73" t="e">
        <f>CVEs_Intel!16:16-"$5F&amp;!i/"</f>
        <v>#VALUE!</v>
      </c>
      <c r="L73" t="e">
        <f>CVEs_Intel!17:17-"$5F&amp;!i0"</f>
        <v>#VALUE!</v>
      </c>
      <c r="M73" t="e">
        <f>CVEs_Intel!18:18-"$5F&amp;!i1"</f>
        <v>#VALUE!</v>
      </c>
      <c r="N73" t="e">
        <f>CVEs_Intel!19:19-"$5F&amp;!i2"</f>
        <v>#VALUE!</v>
      </c>
      <c r="O73" t="e">
        <f>CVEs_Intel!20:20-"$5F&amp;!i3"</f>
        <v>#VALUE!</v>
      </c>
      <c r="P73" t="e">
        <f>CVEs_Intel!21:21-"$5F&amp;!i4"</f>
        <v>#VALUE!</v>
      </c>
      <c r="Q73" t="e">
        <f>CVEs_Intel!22:22-"$5F&amp;!i5"</f>
        <v>#VALUE!</v>
      </c>
      <c r="R73" t="e">
        <f>CVEs_Intel!23:23-"$5F&amp;!i6"</f>
        <v>#VALUE!</v>
      </c>
      <c r="S73" t="e">
        <f>CVEs_Intel!24:24-"$5F&amp;!i7"</f>
        <v>#VALUE!</v>
      </c>
      <c r="T73" t="e">
        <f>CVEs_Intel!25:25-"$5F&amp;!i8"</f>
        <v>#VALUE!</v>
      </c>
      <c r="U73" t="e">
        <f>CVEs_Intel!26:26-"$5F&amp;!i9"</f>
        <v>#VALUE!</v>
      </c>
      <c r="V73" t="e">
        <f>CVEs_Intel!27:27-"$5F&amp;!i:"</f>
        <v>#VALUE!</v>
      </c>
      <c r="W73" t="e">
        <f>CVEs_Intel!28:28-"$5F&amp;!i;"</f>
        <v>#VALUE!</v>
      </c>
      <c r="X73" t="e">
        <f>CVEs_Intel!29:29-"$5F&amp;!i&lt;"</f>
        <v>#VALUE!</v>
      </c>
      <c r="Y73" t="e">
        <f>CVEs_Intel!30:30-"$5F&amp;!i="</f>
        <v>#VALUE!</v>
      </c>
      <c r="Z73" t="e">
        <f>CVEs_Intel!31:31-"$5F&amp;!i&gt;"</f>
        <v>#VALUE!</v>
      </c>
      <c r="AA73" t="e">
        <f>CVEs_Intel!32:32-"$5F&amp;!i?"</f>
        <v>#VALUE!</v>
      </c>
      <c r="AB73" t="e">
        <f>CVEs_Intel!33:33-"$5F&amp;!i@"</f>
        <v>#VALUE!</v>
      </c>
      <c r="AC73" t="e">
        <f>CVEs_Intel!34:34-"$5F&amp;!iA"</f>
        <v>#VALUE!</v>
      </c>
      <c r="AD73" t="e">
        <f>CVEs_Intel!35:35-"$5F&amp;!iB"</f>
        <v>#VALUE!</v>
      </c>
      <c r="AE73" t="e">
        <f>CVEs_Intel!36:36-"$5F&amp;!iC"</f>
        <v>#VALUE!</v>
      </c>
      <c r="AF73" t="e">
        <f>CVEs_Intel!37:37-"$5F&amp;!iD"</f>
        <v>#VALUE!</v>
      </c>
      <c r="AG73" t="e">
        <f>CVEs_Intel!38:38-"$5F&amp;!iE"</f>
        <v>#VALUE!</v>
      </c>
      <c r="AH73" t="e">
        <f>CVEs_Intel!39:39-"$5F&amp;!iF"</f>
        <v>#VALUE!</v>
      </c>
      <c r="AI73" t="e">
        <f>CVEs_Intel!40:40-"$5F&amp;!iG"</f>
        <v>#VALUE!</v>
      </c>
      <c r="AJ73" t="e">
        <f>CVEs_Intel!41:41-"$5F&amp;!iH"</f>
        <v>#VALUE!</v>
      </c>
      <c r="AK73" t="e">
        <f>CVEs_Intel!42:42-"$5F&amp;!iI"</f>
        <v>#VALUE!</v>
      </c>
      <c r="AL73" t="e">
        <f>CVEs_Intel!43:43-"$5F&amp;!iJ"</f>
        <v>#VALUE!</v>
      </c>
      <c r="AM73" t="e">
        <f>CVEs_Intel!44:44-"$5F&amp;!iK"</f>
        <v>#VALUE!</v>
      </c>
      <c r="AN73" t="e">
        <f>CVEs_Intel!45:45-"$5F&amp;!iL"</f>
        <v>#VALUE!</v>
      </c>
      <c r="AO73" t="e">
        <f>CVEs_Intel!46:46-"$5F&amp;!iM"</f>
        <v>#VALUE!</v>
      </c>
      <c r="AP73" t="e">
        <f>CVEs_Intel!47:47-"$5F&amp;!iN"</f>
        <v>#VALUE!</v>
      </c>
      <c r="AQ73" t="e">
        <f>CVEs_Intel!48:48-"$5F&amp;!iO"</f>
        <v>#VALUE!</v>
      </c>
      <c r="AR73" t="e">
        <f>CVEs_Intel!49:49-"$5F&amp;!iP"</f>
        <v>#VALUE!</v>
      </c>
      <c r="AS73" t="e">
        <f>CVEs_Intel!50:50-"$5F&amp;!iQ"</f>
        <v>#VALUE!</v>
      </c>
      <c r="AT73" t="e">
        <f>CVEs_Intel!51:51-"$5F&amp;!iR"</f>
        <v>#VALUE!</v>
      </c>
      <c r="AU73" t="e">
        <f>CVEs_Intel!52:52-"$5F&amp;!iS"</f>
        <v>#VALUE!</v>
      </c>
      <c r="AV73" t="e">
        <f>CVEs_Intel!53:53-"$5F&amp;!iT"</f>
        <v>#VALUE!</v>
      </c>
      <c r="AW73" t="e">
        <f>CVEs_Intel!54:54-"$5F&amp;!iU"</f>
        <v>#VALUE!</v>
      </c>
      <c r="AX73" t="e">
        <f>CVEs_Intel!55:55-"$5F&amp;!iV"</f>
        <v>#VALUE!</v>
      </c>
      <c r="AY73" t="e">
        <f>CVEs_Intel!56:56-"$5F&amp;!iW"</f>
        <v>#VALUE!</v>
      </c>
      <c r="AZ73" t="e">
        <f>CVEs_Intel!57:57-"$5F&amp;!iX"</f>
        <v>#VALUE!</v>
      </c>
      <c r="BA73" t="e">
        <f>CVEs_Intel!58:58-"$5F&amp;!iY"</f>
        <v>#VALUE!</v>
      </c>
      <c r="BB73" t="e">
        <f>CVEs_Intel!59:59-"$5F&amp;!iZ"</f>
        <v>#VALUE!</v>
      </c>
      <c r="BC73" t="e">
        <f>CVEs_Intel!60:60-"$5F&amp;!i["</f>
        <v>#VALUE!</v>
      </c>
      <c r="BD73" t="e">
        <f>CVEs_Intel!61:61-"$5F&amp;!i\"</f>
        <v>#VALUE!</v>
      </c>
      <c r="BE73" t="e">
        <f>CVEs_Intel!62:62-"$5F&amp;!i]"</f>
        <v>#VALUE!</v>
      </c>
      <c r="BF73" t="e">
        <f>CVEs_Intel!63:63-"$5F&amp;!i^"</f>
        <v>#VALUE!</v>
      </c>
      <c r="BG73" t="e">
        <f>CVEs_Intel!64:64-"$5F&amp;!i_"</f>
        <v>#VALUE!</v>
      </c>
      <c r="BH73" t="e">
        <f>CVEs_Intel!65:65-"$5F&amp;!i`"</f>
        <v>#VALUE!</v>
      </c>
      <c r="BI73" t="e">
        <f>CVEs_Intel!66:66-"$5F&amp;!ia"</f>
        <v>#VALUE!</v>
      </c>
      <c r="BJ73" t="e">
        <f>CVEs_Intel!67:67-"$5F&amp;!ib"</f>
        <v>#VALUE!</v>
      </c>
      <c r="BK73" t="e">
        <f>CVEs_Intel!68:68-"$5F&amp;!ic"</f>
        <v>#VALUE!</v>
      </c>
      <c r="BL73" t="e">
        <f>CVEs_Intel!69:69-"$5F&amp;!id"</f>
        <v>#VALUE!</v>
      </c>
      <c r="BM73" t="e">
        <f>CVEs_Intel!70:70-"$5F&amp;!ie"</f>
        <v>#VALUE!</v>
      </c>
      <c r="BN73" t="e">
        <f>CVEs_Intel!71:71-"$5F&amp;!if"</f>
        <v>#VALUE!</v>
      </c>
      <c r="BO73" t="e">
        <f>CVEs_Intel!72:72-"$5F&amp;!ig"</f>
        <v>#VALUE!</v>
      </c>
      <c r="BP73" t="e">
        <f>CVEs_Intel!73:73-"$5F&amp;!ih"</f>
        <v>#VALUE!</v>
      </c>
      <c r="BQ73" t="e">
        <f>CVEs_Intel!74:74-"$5F&amp;!ii"</f>
        <v>#VALUE!</v>
      </c>
      <c r="BR73" t="e">
        <f>CVEs_Intel!75:75-"$5F&amp;!ij"</f>
        <v>#VALUE!</v>
      </c>
      <c r="BS73" t="e">
        <f>CVEs_Intel!76:76-"$5F&amp;!ik"</f>
        <v>#VALUE!</v>
      </c>
      <c r="BT73" t="e">
        <f>CVEs_Intel!77:77-"$5F&amp;!il"</f>
        <v>#VALUE!</v>
      </c>
      <c r="BU73" t="e">
        <f>CVEs_Intel!78:78-"$5F&amp;!im"</f>
        <v>#VALUE!</v>
      </c>
      <c r="BV73" t="e">
        <f>CVEs_Intel!79:79-"$5F&amp;!in"</f>
        <v>#VALUE!</v>
      </c>
      <c r="BW73" t="e">
        <f>CVEs_Intel!80:80-"$5F&amp;!io"</f>
        <v>#VALUE!</v>
      </c>
      <c r="BX73" t="e">
        <f>CVEs_Intel!81:81-"$5F&amp;!ip"</f>
        <v>#VALUE!</v>
      </c>
      <c r="BY73" t="e">
        <f>CVEs_Intel!82:82-"$5F&amp;!iq"</f>
        <v>#VALUE!</v>
      </c>
      <c r="BZ73" t="e">
        <f>CVEs_Intel!83:83-"$5F&amp;!ir"</f>
        <v>#VALUE!</v>
      </c>
      <c r="CA73" t="e">
        <f>CVEs_Intel!84:84-"$5F&amp;!is"</f>
        <v>#VALUE!</v>
      </c>
      <c r="CB73" t="e">
        <f>CVEs_Intel!85:85-"$5F&amp;!it"</f>
        <v>#VALUE!</v>
      </c>
      <c r="CC73" t="e">
        <f>CVEs_Intel!86:86-"$5F&amp;!iu"</f>
        <v>#VALUE!</v>
      </c>
      <c r="CD73" t="e">
        <f>CVEs_Intel!87:87-"$5F&amp;!iv"</f>
        <v>#VALUE!</v>
      </c>
      <c r="CE73" t="e">
        <f>CVEs_Intel!88:88-"$5F&amp;!iw"</f>
        <v>#VALUE!</v>
      </c>
      <c r="CF73" t="e">
        <f>CVEs_Intel!89:89-"$5F&amp;!ix"</f>
        <v>#VALUE!</v>
      </c>
      <c r="CG73" t="e">
        <f>CVEs_Intel!90:90-"$5F&amp;!iy"</f>
        <v>#VALUE!</v>
      </c>
      <c r="CH73" t="e">
        <f>CVEs_Intel!91:91-"$5F&amp;!iz"</f>
        <v>#VALUE!</v>
      </c>
      <c r="CI73" t="e">
        <f>CVEs_Intel!92:92-"$5F&amp;!i{"</f>
        <v>#VALUE!</v>
      </c>
      <c r="CJ73" t="e">
        <f>CVEs_Intel!93:93-"$5F&amp;!i|"</f>
        <v>#VALUE!</v>
      </c>
      <c r="CK73" t="e">
        <f>CVEs_Intel!94:94-"$5F&amp;!i}"</f>
        <v>#VALUE!</v>
      </c>
      <c r="CL73" t="e">
        <f>CVEs_Intel!95:95-"$5F&amp;!i~"</f>
        <v>#VALUE!</v>
      </c>
      <c r="CM73" t="e">
        <f>CVEs_Intel!96:96-"$5F&amp;!j#"</f>
        <v>#VALUE!</v>
      </c>
      <c r="CN73" t="e">
        <f>CVEs_Intel!97:97-"$5F&amp;!j$"</f>
        <v>#VALUE!</v>
      </c>
      <c r="CO73" t="e">
        <f>CVEs_Intel!98:98-"$5F&amp;!j%"</f>
        <v>#VALUE!</v>
      </c>
      <c r="CP73" t="e">
        <f>CVEs_Intel!99:99-"$5F&amp;!j&amp;"</f>
        <v>#VALUE!</v>
      </c>
      <c r="CQ73" t="e">
        <f>CVEs_Intel!100:100-"$5F&amp;!j'"</f>
        <v>#VALUE!</v>
      </c>
      <c r="CR73" t="e">
        <f>CVEs_Intel!101:101-"$5F&amp;!j("</f>
        <v>#VALUE!</v>
      </c>
      <c r="CS73" t="e">
        <f>CVEs_Intel!102:102-"$5F&amp;!j)"</f>
        <v>#VALUE!</v>
      </c>
      <c r="CT73" t="e">
        <f>CVEs_Intel!103:103-"$5F&amp;!j."</f>
        <v>#VALUE!</v>
      </c>
      <c r="CU73" t="e">
        <f>CVEs_Intel!104:104-"$5F&amp;!j/"</f>
        <v>#VALUE!</v>
      </c>
      <c r="CV73" t="e">
        <f>CVEs_Intel!105:105-"$5F&amp;!j0"</f>
        <v>#VALUE!</v>
      </c>
      <c r="CW73" t="e">
        <f>CVEs_Intel!106:106-"$5F&amp;!j1"</f>
        <v>#VALUE!</v>
      </c>
      <c r="CX73" t="e">
        <f>CVEs_Intel!107:107-"$5F&amp;!j2"</f>
        <v>#VALUE!</v>
      </c>
      <c r="CY73" t="e">
        <f>CVEs_Intel!108:108-"$5F&amp;!j3"</f>
        <v>#VALUE!</v>
      </c>
      <c r="CZ73" t="e">
        <f>CVEs_Intel!109:109-"$5F&amp;!j4"</f>
        <v>#VALUE!</v>
      </c>
      <c r="DA73" t="e">
        <f>CVEs_Intel!110:110-"$5F&amp;!j5"</f>
        <v>#VALUE!</v>
      </c>
      <c r="DB73" t="e">
        <f>CVEs_Intel!111:111-"$5F&amp;!j6"</f>
        <v>#VALUE!</v>
      </c>
      <c r="DC73" t="e">
        <f>CVEs_Intel!112:112-"$5F&amp;!j7"</f>
        <v>#VALUE!</v>
      </c>
      <c r="DD73" t="e">
        <f>CVEs_Intel!113:113-"$5F&amp;!j8"</f>
        <v>#VALUE!</v>
      </c>
      <c r="DE73" t="e">
        <f>CVEs_Intel!114:114-"$5F&amp;!j9"</f>
        <v>#VALUE!</v>
      </c>
      <c r="DF73" t="e">
        <f>CVEs_Intel!115:115-"$5F&amp;!j:"</f>
        <v>#VALUE!</v>
      </c>
      <c r="DG73" t="e">
        <f>CVEs_Intel!116:116-"$5F&amp;!j;"</f>
        <v>#VALUE!</v>
      </c>
      <c r="DH73" t="e">
        <f>CVEs_Intel!117:117-"$5F&amp;!j&lt;"</f>
        <v>#VALUE!</v>
      </c>
      <c r="DI73" t="e">
        <f>CVEs_Intel!118:118-"$5F&amp;!j="</f>
        <v>#VALUE!</v>
      </c>
      <c r="DJ73" t="e">
        <f>CVEs_Intel!119:119-"$5F&amp;!j&gt;"</f>
        <v>#VALUE!</v>
      </c>
      <c r="DK73" t="e">
        <f>CVEs_Intel!120:120-"$5F&amp;!j?"</f>
        <v>#VALUE!</v>
      </c>
      <c r="DL73" t="e">
        <f>CVEs_Intel!121:121-"$5F&amp;!j@"</f>
        <v>#VALUE!</v>
      </c>
      <c r="DM73" t="e">
        <f>CVEs_Intel!122:122-"$5F&amp;!jA"</f>
        <v>#VALUE!</v>
      </c>
      <c r="DN73" t="e">
        <f>CVEs_Intel!123:123-"$5F&amp;!jB"</f>
        <v>#VALUE!</v>
      </c>
      <c r="DO73" t="e">
        <f>CVEs_Intel!124:124-"$5F&amp;!jC"</f>
        <v>#VALUE!</v>
      </c>
      <c r="DP73" t="e">
        <f>CVEs_Intel!125:125-"$5F&amp;!jD"</f>
        <v>#VALUE!</v>
      </c>
      <c r="DQ73" t="e">
        <f>CVEs_Intel!126:126-"$5F&amp;!jE"</f>
        <v>#VALUE!</v>
      </c>
      <c r="DR73" t="e">
        <f>CVEs_Intel!127:127-"$5F&amp;!jF"</f>
        <v>#VALUE!</v>
      </c>
      <c r="DS73" t="e">
        <f>CVEs_Intel!128:128-"$5F&amp;!jG"</f>
        <v>#VALUE!</v>
      </c>
      <c r="DT73" t="e">
        <f>CVEs_Intel!129:129-"$5F&amp;!jH"</f>
        <v>#VALUE!</v>
      </c>
      <c r="DU73" t="e">
        <f>CVEs_Intel!130:130-"$5F&amp;!jI"</f>
        <v>#VALUE!</v>
      </c>
      <c r="DV73" t="e">
        <f>CVEs_Intel!131:131-"$5F&amp;!jJ"</f>
        <v>#VALUE!</v>
      </c>
      <c r="DW73" t="e">
        <f>CVEs_Intel!132:132-"$5F&amp;!jK"</f>
        <v>#VALUE!</v>
      </c>
      <c r="DX73" t="e">
        <f>CVEs_Intel!133:133-"$5F&amp;!jL"</f>
        <v>#VALUE!</v>
      </c>
      <c r="DY73" t="e">
        <f>CVEs_Intel!134:134-"$5F&amp;!jM"</f>
        <v>#VALUE!</v>
      </c>
      <c r="DZ73" t="e">
        <f>CVEs_Intel!135:135-"$5F&amp;!jN"</f>
        <v>#VALUE!</v>
      </c>
      <c r="EA73" t="e">
        <f>CVEs_Intel!136:136-"$5F&amp;!jO"</f>
        <v>#VALUE!</v>
      </c>
      <c r="EB73" t="e">
        <f>CVEs_Intel!137:137-"$5F&amp;!jP"</f>
        <v>#VALUE!</v>
      </c>
      <c r="EC73" t="e">
        <f>CVEs_Intel!138:138-"$5F&amp;!jQ"</f>
        <v>#VALUE!</v>
      </c>
      <c r="ED73" t="e">
        <f>CVEs_Intel!139:139-"$5F&amp;!jR"</f>
        <v>#VALUE!</v>
      </c>
      <c r="EE73" t="e">
        <f>CVEs_Intel!140:140-"$5F&amp;!jS"</f>
        <v>#VALUE!</v>
      </c>
      <c r="EF73" t="e">
        <f>CVEs_Intel!141:141-"$5F&amp;!jT"</f>
        <v>#VALUE!</v>
      </c>
      <c r="EG73" t="e">
        <f>CVEs_Intel!142:142-"$5F&amp;!jU"</f>
        <v>#VALUE!</v>
      </c>
      <c r="EH73" t="e">
        <f>CVEs_Intel!143:143-"$5F&amp;!jV"</f>
        <v>#VALUE!</v>
      </c>
      <c r="EI73" t="e">
        <f>CVEs_Intel!144:144-"$5F&amp;!jW"</f>
        <v>#VALUE!</v>
      </c>
      <c r="EJ73" t="e">
        <f>CVEs_Intel!145:145-"$5F&amp;!jX"</f>
        <v>#VALUE!</v>
      </c>
      <c r="EK73" t="e">
        <f>CVEs_Intel!146:146-"$5F&amp;!jY"</f>
        <v>#VALUE!</v>
      </c>
      <c r="EL73" t="e">
        <f>CVEs_Intel!147:147-"$5F&amp;!jZ"</f>
        <v>#VALUE!</v>
      </c>
      <c r="EM73" t="e">
        <f>CVEs_Intel!148:148-"$5F&amp;!j["</f>
        <v>#VALUE!</v>
      </c>
      <c r="EN73" t="e">
        <f>CVEs_Intel!149:149-"$5F&amp;!j\"</f>
        <v>#VALUE!</v>
      </c>
      <c r="EO73" t="e">
        <f>CVEs_Intel!150:150-"$5F&amp;!j]"</f>
        <v>#VALUE!</v>
      </c>
      <c r="EP73" t="e">
        <f>CVEs_Intel!151:151-"$5F&amp;!j^"</f>
        <v>#VALUE!</v>
      </c>
      <c r="EQ73" t="e">
        <f>CVEs_Intel!152:152-"$5F&amp;!j_"</f>
        <v>#VALUE!</v>
      </c>
      <c r="ER73" t="e">
        <f>CVEs_Intel!153:153-"$5F&amp;!j`"</f>
        <v>#VALUE!</v>
      </c>
      <c r="ES73" t="e">
        <f>CVEs_Intel!154:154-"$5F&amp;!ja"</f>
        <v>#VALUE!</v>
      </c>
      <c r="ET73" t="e">
        <f>CVEs_Intel!155:155-"$5F&amp;!jb"</f>
        <v>#VALUE!</v>
      </c>
      <c r="EU73" t="e">
        <f>CVEs_Intel!156:156-"$5F&amp;!jc"</f>
        <v>#VALUE!</v>
      </c>
      <c r="EV73" t="e">
        <f>CVEs_Intel!157:157-"$5F&amp;!jd"</f>
        <v>#VALUE!</v>
      </c>
      <c r="EW73" t="e">
        <f>CVEs_Intel!158:158-"$5F&amp;!je"</f>
        <v>#VALUE!</v>
      </c>
      <c r="EX73" t="e">
        <f>CVEs_Intel!159:159-"$5F&amp;!jf"</f>
        <v>#VALUE!</v>
      </c>
      <c r="EY73" t="e">
        <f>CVEs_Intel!160:160-"$5F&amp;!jg"</f>
        <v>#VALUE!</v>
      </c>
      <c r="EZ73" t="e">
        <f>CVEs_Intel!161:161-"$5F&amp;!jh"</f>
        <v>#VALUE!</v>
      </c>
      <c r="FA73" t="e">
        <f>CVEs_Intel!162:162-"$5F&amp;!ji"</f>
        <v>#VALUE!</v>
      </c>
      <c r="FB73" t="e">
        <f>CVEs_Intel!163:163-"$5F&amp;!jj"</f>
        <v>#VALUE!</v>
      </c>
      <c r="FC73" t="e">
        <f>CVEs_Intel!164:164-"$5F&amp;!jk"</f>
        <v>#VALUE!</v>
      </c>
      <c r="FD73" t="e">
        <f>CVEs_Intel!165:165-"$5F&amp;!jl"</f>
        <v>#VALUE!</v>
      </c>
      <c r="FE73" t="e">
        <f>CVEs_Intel!166:166-"$5F&amp;!jm"</f>
        <v>#VALUE!</v>
      </c>
      <c r="FF73" t="e">
        <f>CVEs_Intel!167:167-"$5F&amp;!jn"</f>
        <v>#VALUE!</v>
      </c>
      <c r="FG73" t="e">
        <f>CVEs_Intel!168:168-"$5F&amp;!jo"</f>
        <v>#VALUE!</v>
      </c>
      <c r="FH73" t="e">
        <f>CVEs_Intel!169:169-"$5F&amp;!jp"</f>
        <v>#VALUE!</v>
      </c>
      <c r="FI73" t="e">
        <f>CVEs_Intel!170:170-"$5F&amp;!jq"</f>
        <v>#VALUE!</v>
      </c>
      <c r="FJ73" t="e">
        <f>CVEs_Intel!171:171-"$5F&amp;!jr"</f>
        <v>#VALUE!</v>
      </c>
      <c r="FK73" t="e">
        <f>CVEs_Intel!172:172-"$5F&amp;!js"</f>
        <v>#VALUE!</v>
      </c>
      <c r="FL73" t="e">
        <f>CVEs_Intel!173:173-"$5F&amp;!jt"</f>
        <v>#VALUE!</v>
      </c>
      <c r="FM73" t="e">
        <f>CVEs_Intel!174:174-"$5F&amp;!ju"</f>
        <v>#VALUE!</v>
      </c>
      <c r="FN73" t="e">
        <f>CVEs_Intel!175:175-"$5F&amp;!jv"</f>
        <v>#VALUE!</v>
      </c>
      <c r="FO73" t="e">
        <f>CVEs_Intel!176:176-"$5F&amp;!jw"</f>
        <v>#VALUE!</v>
      </c>
      <c r="FP73" t="e">
        <f>CVEs_Intel!177:177-"$5F&amp;!jx"</f>
        <v>#VALUE!</v>
      </c>
      <c r="FQ73" t="e">
        <f>CVEs_Intel!178:178-"$5F&amp;!jy"</f>
        <v>#VALUE!</v>
      </c>
      <c r="FR73" t="e">
        <f>CVEs_Intel!179:179-"$5F&amp;!jz"</f>
        <v>#VALUE!</v>
      </c>
      <c r="FS73" t="e">
        <f>CVEs_Intel!180:180-"$5F&amp;!j{"</f>
        <v>#VALUE!</v>
      </c>
      <c r="FT73" t="e">
        <f>CVEs_Intel!181:181-"$5F&amp;!j|"</f>
        <v>#VALUE!</v>
      </c>
      <c r="FU73" t="e">
        <f>CVEs_Intel!182:182-"$5F&amp;!j}"</f>
        <v>#VALUE!</v>
      </c>
      <c r="FV73" t="e">
        <f>CVEs_Intel!183:183-"$5F&amp;!j~"</f>
        <v>#VALUE!</v>
      </c>
      <c r="FW73" t="e">
        <f>CVEs_Intel!184:184-"$5F&amp;!k#"</f>
        <v>#VALUE!</v>
      </c>
      <c r="FX73" t="e">
        <f>CVEs_Intel!185:185-"$5F&amp;!k$"</f>
        <v>#VALUE!</v>
      </c>
      <c r="FY73" t="e">
        <f>CVEs_Intel!186:186-"$5F&amp;!k%"</f>
        <v>#VALUE!</v>
      </c>
      <c r="FZ73" t="e">
        <f>CVEs_Intel!187:187-"$5F&amp;!k&amp;"</f>
        <v>#VALUE!</v>
      </c>
      <c r="GA73" t="e">
        <f>CVEs_Intel!188:188-"$5F&amp;!k'"</f>
        <v>#VALUE!</v>
      </c>
      <c r="GB73" t="e">
        <f>CVEs_Intel!189:189-"$5F&amp;!k("</f>
        <v>#VALUE!</v>
      </c>
      <c r="GC73" t="e">
        <f>CVEs_Intel!190:190-"$5F&amp;!k)"</f>
        <v>#VALUE!</v>
      </c>
      <c r="GD73" t="e">
        <f>CVEs_Intel!191:191-"$5F&amp;!k."</f>
        <v>#VALUE!</v>
      </c>
      <c r="GE73" t="e">
        <f>CVEs_Intel!192:192-"$5F&amp;!k/"</f>
        <v>#VALUE!</v>
      </c>
      <c r="GF73" t="e">
        <f>CVEs_Intel!193:193-"$5F&amp;!k0"</f>
        <v>#VALUE!</v>
      </c>
      <c r="GG73" t="e">
        <f>CVEs_Intel!194:194-"$5F&amp;!k1"</f>
        <v>#VALUE!</v>
      </c>
      <c r="GH73" t="e">
        <f>CVEs_Intel!195:195-"$5F&amp;!k2"</f>
        <v>#VALUE!</v>
      </c>
      <c r="GI73" t="e">
        <f>CVEs_Intel!196:196-"$5F&amp;!k3"</f>
        <v>#VALUE!</v>
      </c>
      <c r="GJ73" t="e">
        <f>CVEs_Intel!197:197-"$5F&amp;!k4"</f>
        <v>#VALUE!</v>
      </c>
      <c r="GK73" t="e">
        <f>CVEs_Intel!198:198-"$5F&amp;!k5"</f>
        <v>#VALUE!</v>
      </c>
      <c r="GL73" t="e">
        <f>CVEs_Intel!199:199-"$5F&amp;!k6"</f>
        <v>#VALUE!</v>
      </c>
      <c r="GM73" t="e">
        <f>CVEs_Intel!200:200-"$5F&amp;!k7"</f>
        <v>#VALUE!</v>
      </c>
      <c r="GN73" t="e">
        <f>CVEs_Intel!201:201-"$5F&amp;!k8"</f>
        <v>#VALUE!</v>
      </c>
      <c r="GO73" t="e">
        <f>CVEs_Intel!202:202-"$5F&amp;!k9"</f>
        <v>#VALUE!</v>
      </c>
      <c r="GP73" t="e">
        <f>CVEs_Intel!203:203-"$5F&amp;!k:"</f>
        <v>#VALUE!</v>
      </c>
      <c r="GQ73" t="e">
        <f>CVEs_Intel!204:204-"$5F&amp;!k;"</f>
        <v>#VALUE!</v>
      </c>
      <c r="GR73" t="e">
        <f>CVEs_Intel!205:205-"$5F&amp;!k&lt;"</f>
        <v>#VALUE!</v>
      </c>
      <c r="GS73" t="e">
        <f>CVEs_Intel!206:206-"$5F&amp;!k="</f>
        <v>#VALUE!</v>
      </c>
      <c r="GT73" t="e">
        <f>CVEs_Intel!207:207-"$5F&amp;!k&gt;"</f>
        <v>#VALUE!</v>
      </c>
      <c r="GU73" t="e">
        <f>CVEs_Intel!208:208-"$5F&amp;!k?"</f>
        <v>#VALUE!</v>
      </c>
      <c r="GV73" t="e">
        <f>CVEs_Intel!209:209-"$5F&amp;!k@"</f>
        <v>#VALUE!</v>
      </c>
      <c r="GW73" t="e">
        <f>CVEs_Intel!210:210-"$5F&amp;!kA"</f>
        <v>#VALUE!</v>
      </c>
      <c r="GX73" t="e">
        <f>CVEs_Intel!211:211-"$5F&amp;!kB"</f>
        <v>#VALUE!</v>
      </c>
      <c r="GY73" t="e">
        <f>CVEs_Intel!212:212-"$5F&amp;!kC"</f>
        <v>#VALUE!</v>
      </c>
      <c r="GZ73" t="e">
        <f>CVEs_Intel!213:213-"$5F&amp;!kD"</f>
        <v>#VALUE!</v>
      </c>
      <c r="HA73" t="e">
        <f>CVEs_Intel!214:214-"$5F&amp;!kE"</f>
        <v>#VALUE!</v>
      </c>
      <c r="HB73" t="e">
        <f>CVEs_Intel!215:215-"$5F&amp;!kF"</f>
        <v>#VALUE!</v>
      </c>
      <c r="HC73" t="e">
        <f>CVEs_Intel!216:216-"$5F&amp;!kG"</f>
        <v>#VALUE!</v>
      </c>
      <c r="HD73" t="e">
        <f>CVEs_Intel!217:217-"$5F&amp;!kH"</f>
        <v>#VALUE!</v>
      </c>
      <c r="HE73" t="e">
        <f>CVEs_Intel!218:218-"$5F&amp;!kI"</f>
        <v>#VALUE!</v>
      </c>
      <c r="HF73" t="e">
        <f>CVEs_Intel!219:219-"$5F&amp;!kJ"</f>
        <v>#VALUE!</v>
      </c>
      <c r="HG73" t="e">
        <f>CVEs_Intel!220:220-"$5F&amp;!kK"</f>
        <v>#VALUE!</v>
      </c>
      <c r="HH73" t="e">
        <f>CVEs_Intel!221:221-"$5F&amp;!kL"</f>
        <v>#VALUE!</v>
      </c>
      <c r="HI73" t="e">
        <f>CVEs_Intel!222:222-"$5F&amp;!kM"</f>
        <v>#VALUE!</v>
      </c>
      <c r="HJ73" t="e">
        <f>CVEs_Intel!223:223-"$5F&amp;!kN"</f>
        <v>#VALUE!</v>
      </c>
      <c r="HK73" t="e">
        <f>CVEs_Intel!224:224-"$5F&amp;!kO"</f>
        <v>#VALUE!</v>
      </c>
      <c r="HL73" t="e">
        <f>CVEs_Intel!225:225-"$5F&amp;!kP"</f>
        <v>#VALUE!</v>
      </c>
      <c r="HM73" t="e">
        <f>CVEs_Intel!226:226-"$5F&amp;!kQ"</f>
        <v>#VALUE!</v>
      </c>
      <c r="HN73" t="e">
        <f>CVEs_Intel!227:227-"$5F&amp;!kR"</f>
        <v>#VALUE!</v>
      </c>
      <c r="HO73" t="e">
        <f>CVEs_Intel!228:228-"$5F&amp;!kS"</f>
        <v>#VALUE!</v>
      </c>
      <c r="HP73" t="e">
        <f>CVEs_Intel!229:229-"$5F&amp;!kT"</f>
        <v>#VALUE!</v>
      </c>
      <c r="HQ73" t="e">
        <f>CVEs_Intel!230:230-"$5F&amp;!kU"</f>
        <v>#VALUE!</v>
      </c>
      <c r="HR73" t="e">
        <f>CVEs_Intel!231:231-"$5F&amp;!kV"</f>
        <v>#VALUE!</v>
      </c>
      <c r="HS73" t="e">
        <f>CVEs_Intel!232:232-"$5F&amp;!kW"</f>
        <v>#VALUE!</v>
      </c>
      <c r="HT73" t="e">
        <f>CVEs_Intel!233:233-"$5F&amp;!kX"</f>
        <v>#VALUE!</v>
      </c>
      <c r="HU73" t="e">
        <f>CVEs_Intel!234:234-"$5F&amp;!kY"</f>
        <v>#VALUE!</v>
      </c>
      <c r="HV73" t="e">
        <f>CVEs_Intel!235:235-"$5F&amp;!kZ"</f>
        <v>#VALUE!</v>
      </c>
      <c r="HW73" t="e">
        <f>CVEs_Intel!236:236-"$5F&amp;!k["</f>
        <v>#VALUE!</v>
      </c>
      <c r="HX73" t="e">
        <f>CVEs_Intel!237:237-"$5F&amp;!k\"</f>
        <v>#VALUE!</v>
      </c>
      <c r="HY73" t="e">
        <f>CVEs_Intel!238:238-"$5F&amp;!k]"</f>
        <v>#VALUE!</v>
      </c>
      <c r="HZ73" t="e">
        <f>CVEs_Intel!239:239-"$5F&amp;!k^"</f>
        <v>#VALUE!</v>
      </c>
      <c r="IA73" t="e">
        <f>CVEs_Intel!240:240-"$5F&amp;!k_"</f>
        <v>#VALUE!</v>
      </c>
      <c r="IB73" t="e">
        <f>CVEs_Intel!241:241-"$5F&amp;!k`"</f>
        <v>#VALUE!</v>
      </c>
      <c r="IC73" t="e">
        <f>CVEs_Intel!242:242-"$5F&amp;!ka"</f>
        <v>#VALUE!</v>
      </c>
      <c r="ID73" t="e">
        <f>CVEs_Intel!I1+"$5F&amp;!kb"</f>
        <v>#VALUE!</v>
      </c>
      <c r="IE73" t="e">
        <f>CVEs_Intel!A2+"$5F&amp;!kc"</f>
        <v>#VALUE!</v>
      </c>
      <c r="IF73" t="e">
        <f>CVEs_Intel!B2+"$5F&amp;!kd"</f>
        <v>#VALUE!</v>
      </c>
      <c r="IG73" t="e">
        <f>CVEs_Intel!C2+"$5F&amp;!ke"</f>
        <v>#VALUE!</v>
      </c>
      <c r="IH73" s="57" t="e">
        <f>CVEs_Intel!D2+"$5F&amp;!kf"</f>
        <v>#VALUE!</v>
      </c>
      <c r="II73" s="58" t="e">
        <f>CVEs_Intel!E2+"$5F&amp;!kg"</f>
        <v>#VALUE!</v>
      </c>
      <c r="IJ73" s="58" t="e">
        <f>CVEs_Intel!F2+"$5F&amp;!kh"</f>
        <v>#VALUE!</v>
      </c>
      <c r="IK73" s="58" t="e">
        <f>CVEs_Intel!G2+"$5F&amp;!ki"</f>
        <v>#VALUE!</v>
      </c>
      <c r="IL73" t="e">
        <f>CVEs_Intel!H2+"$5F&amp;!kj"</f>
        <v>#VALUE!</v>
      </c>
      <c r="IM73" t="e">
        <f>CVEs_Intel!R2+"$5F&amp;!kk"</f>
        <v>#VALUE!</v>
      </c>
      <c r="IN73" t="e">
        <f>CVEs_Intel!V2+"$5F&amp;!kl"</f>
        <v>#VALUE!</v>
      </c>
      <c r="IO73" t="e">
        <f>CVEs_Intel!A3+"$5F&amp;!km"</f>
        <v>#VALUE!</v>
      </c>
      <c r="IP73" t="e">
        <f>CVEs_Intel!B3+"$5F&amp;!kn"</f>
        <v>#VALUE!</v>
      </c>
      <c r="IQ73" t="e">
        <f>CVEs_Intel!C3+"$5F&amp;!ko"</f>
        <v>#VALUE!</v>
      </c>
      <c r="IR73" t="e">
        <f>CVEs_Intel!H3+"$5F&amp;!kp"</f>
        <v>#VALUE!</v>
      </c>
      <c r="IS73" t="e">
        <f>CVEs_Intel!I3+"$5F&amp;!kq"</f>
        <v>#VALUE!</v>
      </c>
      <c r="IT73" t="e">
        <f>CVEs_Intel!R3+"$5F&amp;!kr"</f>
        <v>#VALUE!</v>
      </c>
      <c r="IU73" t="e">
        <f>CVEs_Intel!V3+"$5F&amp;!ks"</f>
        <v>#VALUE!</v>
      </c>
      <c r="IV73" t="e">
        <f>CVEs_Intel!A4+"$5F&amp;!kt"</f>
        <v>#VALUE!</v>
      </c>
    </row>
    <row r="74" spans="6:256" x14ac:dyDescent="0.25">
      <c r="F74" t="e">
        <f>CVEs_Intel!B4+"$5F&amp;!ku"</f>
        <v>#VALUE!</v>
      </c>
      <c r="G74" t="e">
        <f>CVEs_Intel!C4+"$5F&amp;!kv"</f>
        <v>#VALUE!</v>
      </c>
      <c r="H74" s="57" t="e">
        <f>CVEs_Intel!D4+"$5F&amp;!kw"</f>
        <v>#VALUE!</v>
      </c>
      <c r="I74" s="58" t="e">
        <f>CVEs_Intel!E4+"$5F&amp;!kx"</f>
        <v>#VALUE!</v>
      </c>
      <c r="J74" s="58" t="e">
        <f>CVEs_Intel!F4+"$5F&amp;!ky"</f>
        <v>#VALUE!</v>
      </c>
      <c r="K74" s="58" t="e">
        <f>CVEs_Intel!G4+"$5F&amp;!kz"</f>
        <v>#VALUE!</v>
      </c>
      <c r="L74" t="e">
        <f>CVEs_Intel!H4+"$5F&amp;!k{"</f>
        <v>#VALUE!</v>
      </c>
      <c r="M74" t="e">
        <f>CVEs_Intel!I4+"$5F&amp;!k|"</f>
        <v>#VALUE!</v>
      </c>
      <c r="N74" t="e">
        <f>CVEs_Intel!J4+"$5F&amp;!k}"</f>
        <v>#VALUE!</v>
      </c>
      <c r="O74" t="e">
        <f>CVEs_Intel!K4+"$5F&amp;!k~"</f>
        <v>#VALUE!</v>
      </c>
      <c r="P74" t="e">
        <f>CVEs_Intel!L4+"$5F&amp;!l#"</f>
        <v>#VALUE!</v>
      </c>
      <c r="Q74" t="e">
        <f>CVEs_Intel!M4+"$5F&amp;!l$"</f>
        <v>#VALUE!</v>
      </c>
      <c r="R74" t="e">
        <f>CVEs_Intel!N4+"$5F&amp;!l%"</f>
        <v>#VALUE!</v>
      </c>
      <c r="S74" t="e">
        <f>CVEs_Intel!O4+"$5F&amp;!l&amp;"</f>
        <v>#VALUE!</v>
      </c>
      <c r="T74" t="e">
        <f>CVEs_Intel!P4+"$5F&amp;!l'"</f>
        <v>#VALUE!</v>
      </c>
      <c r="U74" t="e">
        <f>CVEs_Intel!Q4+"$5F&amp;!l("</f>
        <v>#VALUE!</v>
      </c>
      <c r="V74" t="e">
        <f>CVEs_Intel!R4+"$5F&amp;!l)"</f>
        <v>#VALUE!</v>
      </c>
      <c r="W74" t="e">
        <f>CVEs_Intel!S4+"$5F&amp;!l."</f>
        <v>#VALUE!</v>
      </c>
      <c r="X74" t="e">
        <f>CVEs_Intel!T4+"$5F&amp;!l/"</f>
        <v>#VALUE!</v>
      </c>
      <c r="Y74" t="e">
        <f>CVEs_Intel!U4+"$5F&amp;!l0"</f>
        <v>#VALUE!</v>
      </c>
      <c r="Z74" t="e">
        <f>CVEs_Intel!V4+"$5F&amp;!l1"</f>
        <v>#VALUE!</v>
      </c>
      <c r="AA74" t="e">
        <f>CVEs_Intel!W4+"$5F&amp;!l2"</f>
        <v>#VALUE!</v>
      </c>
      <c r="AB74" t="e">
        <f>CVEs_Intel!X4+"$5F&amp;!l3"</f>
        <v>#VALUE!</v>
      </c>
      <c r="AC74" t="e">
        <f>CVEs_Intel!A5+"$5F&amp;!l4"</f>
        <v>#VALUE!</v>
      </c>
      <c r="AD74" t="e">
        <f>CVEs_Intel!B5+"$5F&amp;!l5"</f>
        <v>#VALUE!</v>
      </c>
      <c r="AE74" t="e">
        <f>CVEs_Intel!C5+"$5F&amp;!l6"</f>
        <v>#VALUE!</v>
      </c>
      <c r="AF74" s="57" t="e">
        <f>CVEs_Intel!D5+"$5F&amp;!l7"</f>
        <v>#VALUE!</v>
      </c>
      <c r="AG74" s="58" t="e">
        <f>CVEs_Intel!E5+"$5F&amp;!l8"</f>
        <v>#VALUE!</v>
      </c>
      <c r="AH74" s="58" t="e">
        <f>CVEs_Intel!F5+"$5F&amp;!l9"</f>
        <v>#VALUE!</v>
      </c>
      <c r="AI74" s="58" t="e">
        <f>CVEs_Intel!G5+"$5F&amp;!l:"</f>
        <v>#VALUE!</v>
      </c>
      <c r="AJ74" t="e">
        <f>CVEs_Intel!H5+"$5F&amp;!l;"</f>
        <v>#VALUE!</v>
      </c>
      <c r="AK74" t="e">
        <f>CVEs_Intel!I5+"$5F&amp;!l&lt;"</f>
        <v>#VALUE!</v>
      </c>
      <c r="AL74" t="e">
        <f>CVEs_Intel!J5+"$5F&amp;!l="</f>
        <v>#VALUE!</v>
      </c>
      <c r="AM74" t="e">
        <f>CVEs_Intel!K5+"$5F&amp;!l&gt;"</f>
        <v>#VALUE!</v>
      </c>
      <c r="AN74" t="e">
        <f>CVEs_Intel!L5+"$5F&amp;!l?"</f>
        <v>#VALUE!</v>
      </c>
      <c r="AO74" t="e">
        <f>CVEs_Intel!M5+"$5F&amp;!l@"</f>
        <v>#VALUE!</v>
      </c>
      <c r="AP74" t="e">
        <f>CVEs_Intel!N5+"$5F&amp;!lA"</f>
        <v>#VALUE!</v>
      </c>
      <c r="AQ74" t="e">
        <f>CVEs_Intel!O5+"$5F&amp;!lB"</f>
        <v>#VALUE!</v>
      </c>
      <c r="AR74" t="e">
        <f>CVEs_Intel!P5+"$5F&amp;!lC"</f>
        <v>#VALUE!</v>
      </c>
      <c r="AS74" t="e">
        <f>CVEs_Intel!Q5+"$5F&amp;!lD"</f>
        <v>#VALUE!</v>
      </c>
      <c r="AT74" t="e">
        <f>CVEs_Intel!R5+"$5F&amp;!lE"</f>
        <v>#VALUE!</v>
      </c>
      <c r="AU74" t="e">
        <f>CVEs_Intel!S5+"$5F&amp;!lF"</f>
        <v>#VALUE!</v>
      </c>
      <c r="AV74" t="e">
        <f>CVEs_Intel!T5+"$5F&amp;!lG"</f>
        <v>#VALUE!</v>
      </c>
      <c r="AW74" t="e">
        <f>CVEs_Intel!U5+"$5F&amp;!lH"</f>
        <v>#VALUE!</v>
      </c>
      <c r="AX74" t="e">
        <f>CVEs_Intel!V5+"$5F&amp;!lI"</f>
        <v>#VALUE!</v>
      </c>
      <c r="AY74" t="e">
        <f>CVEs_Intel!W5+"$5F&amp;!lJ"</f>
        <v>#VALUE!</v>
      </c>
      <c r="AZ74" t="e">
        <f>CVEs_Intel!X5+"$5F&amp;!lK"</f>
        <v>#VALUE!</v>
      </c>
      <c r="BA74" t="e">
        <f>CVEs_Intel!A7+"$5F&amp;!lL"</f>
        <v>#VALUE!</v>
      </c>
      <c r="BB74" s="57" t="e">
        <f>CVEs_Intel!D7+"$5F&amp;!lM"</f>
        <v>#VALUE!</v>
      </c>
      <c r="BC74" s="58" t="e">
        <f>CVEs_Intel!E7+"$5F&amp;!lN"</f>
        <v>#VALUE!</v>
      </c>
      <c r="BD74" s="58" t="e">
        <f>CVEs_Intel!F7+"$5F&amp;!lO"</f>
        <v>#VALUE!</v>
      </c>
      <c r="BE74" s="58" t="e">
        <f>CVEs_Intel!G7+"$5F&amp;!lP"</f>
        <v>#VALUE!</v>
      </c>
      <c r="BF74" t="e">
        <f>CVEs_Intel!H7+"$5F&amp;!lQ"</f>
        <v>#VALUE!</v>
      </c>
      <c r="BG74" t="e">
        <f>CVEs_Intel!I7+"$5F&amp;!lR"</f>
        <v>#VALUE!</v>
      </c>
      <c r="BH74" t="e">
        <f>CVEs_Intel!J7+"$5F&amp;!lS"</f>
        <v>#VALUE!</v>
      </c>
      <c r="BI74" t="e">
        <f>CVEs_Intel!K7+"$5F&amp;!lT"</f>
        <v>#VALUE!</v>
      </c>
      <c r="BJ74" t="e">
        <f>CVEs_Intel!L7+"$5F&amp;!lU"</f>
        <v>#VALUE!</v>
      </c>
      <c r="BK74" t="e">
        <f>CVEs_Intel!M7+"$5F&amp;!lV"</f>
        <v>#VALUE!</v>
      </c>
      <c r="BL74" t="e">
        <f>CVEs_Intel!N7+"$5F&amp;!lW"</f>
        <v>#VALUE!</v>
      </c>
      <c r="BM74" t="e">
        <f>CVEs_Intel!O7+"$5F&amp;!lX"</f>
        <v>#VALUE!</v>
      </c>
      <c r="BN74" t="e">
        <f>CVEs_Intel!P7+"$5F&amp;!lY"</f>
        <v>#VALUE!</v>
      </c>
      <c r="BO74" t="e">
        <f>CVEs_Intel!Q7+"$5F&amp;!lZ"</f>
        <v>#VALUE!</v>
      </c>
      <c r="BP74" t="e">
        <f>CVEs_Intel!R7+"$5F&amp;!l["</f>
        <v>#VALUE!</v>
      </c>
      <c r="BQ74" t="e">
        <f>CVEs_Intel!V7+"$5F&amp;!l\"</f>
        <v>#VALUE!</v>
      </c>
      <c r="BR74" t="e">
        <f>CVEs_Intel!A8+"$5F&amp;!l]"</f>
        <v>#VALUE!</v>
      </c>
      <c r="BS74" t="e">
        <f>CVEs_Intel!I8+"$5F&amp;!l^"</f>
        <v>#VALUE!</v>
      </c>
      <c r="BT74" t="e">
        <f>CVEs_Intel!J8+"$5F&amp;!l_"</f>
        <v>#VALUE!</v>
      </c>
      <c r="BU74" t="e">
        <f>CVEs_Intel!K8+"$5F&amp;!l`"</f>
        <v>#VALUE!</v>
      </c>
      <c r="BV74" t="e">
        <f>CVEs_Intel!L8+"$5F&amp;!la"</f>
        <v>#VALUE!</v>
      </c>
      <c r="BW74" t="e">
        <f>CVEs_Intel!M8+"$5F&amp;!lb"</f>
        <v>#VALUE!</v>
      </c>
      <c r="BX74" t="e">
        <f>CVEs_Intel!N8+"$5F&amp;!lc"</f>
        <v>#VALUE!</v>
      </c>
      <c r="BY74" t="e">
        <f>CVEs_Intel!O8+"$5F&amp;!ld"</f>
        <v>#VALUE!</v>
      </c>
      <c r="BZ74" t="e">
        <f>CVEs_Intel!P8+"$5F&amp;!le"</f>
        <v>#VALUE!</v>
      </c>
      <c r="CA74" t="e">
        <f>CVEs_Intel!Q8+"$5F&amp;!lf"</f>
        <v>#VALUE!</v>
      </c>
      <c r="CB74" t="e">
        <f>CVEs_Intel!S8+"$5F&amp;!lg"</f>
        <v>#VALUE!</v>
      </c>
      <c r="CC74" t="e">
        <f>CVEs_Intel!A9+"$5F&amp;!lh"</f>
        <v>#VALUE!</v>
      </c>
      <c r="CD74" s="58" t="e">
        <f>CVEs_Intel!E9+"$5F&amp;!li"</f>
        <v>#VALUE!</v>
      </c>
      <c r="CE74" t="e">
        <f>CVEs_Intel!I9+"$5F&amp;!lj"</f>
        <v>#VALUE!</v>
      </c>
      <c r="CF74" t="e">
        <f>CVEs_Intel!J9+"$5F&amp;!lk"</f>
        <v>#VALUE!</v>
      </c>
      <c r="CG74" t="e">
        <f>CVEs_Intel!K9+"$5F&amp;!ll"</f>
        <v>#VALUE!</v>
      </c>
      <c r="CH74" t="e">
        <f>CVEs_Intel!L9+"$5F&amp;!lm"</f>
        <v>#VALUE!</v>
      </c>
      <c r="CI74" t="e">
        <f>CVEs_Intel!M9+"$5F&amp;!ln"</f>
        <v>#VALUE!</v>
      </c>
      <c r="CJ74" t="e">
        <f>CVEs_Intel!N9+"$5F&amp;!lo"</f>
        <v>#VALUE!</v>
      </c>
      <c r="CK74" t="e">
        <f>CVEs_Intel!O9+"$5F&amp;!lp"</f>
        <v>#VALUE!</v>
      </c>
      <c r="CL74" t="e">
        <f>CVEs_Intel!P9+"$5F&amp;!lq"</f>
        <v>#VALUE!</v>
      </c>
      <c r="CM74" t="e">
        <f>CVEs_Intel!Q9+"$5F&amp;!lr"</f>
        <v>#VALUE!</v>
      </c>
      <c r="CN74" t="e">
        <f>CVEs_Intel!A10+"$5F&amp;!ls"</f>
        <v>#VALUE!</v>
      </c>
      <c r="CO74" t="e">
        <f>CVEs_Intel!B10+"$5F&amp;!lt"</f>
        <v>#VALUE!</v>
      </c>
      <c r="CP74" t="e">
        <f>CVEs_Intel!C10+"$5F&amp;!lu"</f>
        <v>#VALUE!</v>
      </c>
      <c r="CQ74" s="57" t="e">
        <f>CVEs_Intel!D10+"$5F&amp;!lv"</f>
        <v>#VALUE!</v>
      </c>
      <c r="CR74" s="58" t="e">
        <f>CVEs_Intel!E10+"$5F&amp;!lw"</f>
        <v>#VALUE!</v>
      </c>
      <c r="CS74" s="58" t="e">
        <f>CVEs_Intel!F10+"$5F&amp;!lx"</f>
        <v>#VALUE!</v>
      </c>
      <c r="CT74" s="58" t="e">
        <f>CVEs_Intel!G10+"$5F&amp;!ly"</f>
        <v>#VALUE!</v>
      </c>
      <c r="CU74" t="e">
        <f>CVEs_Intel!H10+"$5F&amp;!lz"</f>
        <v>#VALUE!</v>
      </c>
      <c r="CV74" t="e">
        <f>CVEs_Intel!I10+"$5F&amp;!l{"</f>
        <v>#VALUE!</v>
      </c>
      <c r="CW74" t="e">
        <f>CVEs_Intel!J10+"$5F&amp;!l|"</f>
        <v>#VALUE!</v>
      </c>
      <c r="CX74" t="e">
        <f>CVEs_Intel!K10+"$5F&amp;!l}"</f>
        <v>#VALUE!</v>
      </c>
      <c r="CY74" t="e">
        <f>CVEs_Intel!L10+"$5F&amp;!l~"</f>
        <v>#VALUE!</v>
      </c>
      <c r="CZ74" t="e">
        <f>CVEs_Intel!M10+"$5F&amp;!m#"</f>
        <v>#VALUE!</v>
      </c>
      <c r="DA74" t="e">
        <f>CVEs_Intel!N10+"$5F&amp;!m$"</f>
        <v>#VALUE!</v>
      </c>
      <c r="DB74" t="e">
        <f>CVEs_Intel!O10+"$5F&amp;!m%"</f>
        <v>#VALUE!</v>
      </c>
      <c r="DC74" t="e">
        <f>CVEs_Intel!P10+"$5F&amp;!m&amp;"</f>
        <v>#VALUE!</v>
      </c>
      <c r="DD74" t="e">
        <f>CVEs_Intel!Q10+"$5F&amp;!m'"</f>
        <v>#VALUE!</v>
      </c>
      <c r="DE74" t="e">
        <f>CVEs_Intel!R10+"$5F&amp;!m("</f>
        <v>#VALUE!</v>
      </c>
      <c r="DF74" t="e">
        <f>CVEs_Intel!S10+"$5F&amp;!m)"</f>
        <v>#VALUE!</v>
      </c>
      <c r="DG74" t="e">
        <f>CVEs_Intel!T10+"$5F&amp;!m."</f>
        <v>#VALUE!</v>
      </c>
      <c r="DH74" t="e">
        <f>CVEs_Intel!U10+"$5F&amp;!m/"</f>
        <v>#VALUE!</v>
      </c>
      <c r="DI74" t="e">
        <f>CVEs_Intel!V10+"$5F&amp;!m0"</f>
        <v>#VALUE!</v>
      </c>
      <c r="DJ74" t="e">
        <f>CVEs_Intel!W10+"$5F&amp;!m1"</f>
        <v>#VALUE!</v>
      </c>
      <c r="DK74" t="e">
        <f>CVEs_Intel!X10+"$5F&amp;!m2"</f>
        <v>#VALUE!</v>
      </c>
      <c r="DL74" t="e">
        <f>CVEs_Intel!A11+"$5F&amp;!m3"</f>
        <v>#VALUE!</v>
      </c>
      <c r="DM74" s="58" t="e">
        <f>CVEs_Intel!B11+"$5F&amp;!m4"</f>
        <v>#VALUE!</v>
      </c>
      <c r="DN74" t="e">
        <f>CVEs_Intel!C11+"$5F&amp;!m5"</f>
        <v>#VALUE!</v>
      </c>
      <c r="DO74" s="57" t="e">
        <f>CVEs_Intel!D11+"$5F&amp;!m6"</f>
        <v>#VALUE!</v>
      </c>
      <c r="DP74" s="58" t="e">
        <f>CVEs_Intel!E11+"$5F&amp;!m7"</f>
        <v>#VALUE!</v>
      </c>
      <c r="DQ74" s="58" t="e">
        <f>CVEs_Intel!F11+"$5F&amp;!m8"</f>
        <v>#VALUE!</v>
      </c>
      <c r="DR74" s="58" t="e">
        <f>CVEs_Intel!G11+"$5F&amp;!m9"</f>
        <v>#VALUE!</v>
      </c>
      <c r="DS74" t="e">
        <f>CVEs_Intel!H11+"$5F&amp;!m:"</f>
        <v>#VALUE!</v>
      </c>
      <c r="DT74" t="e">
        <f>CVEs_Intel!I11+"$5F&amp;!m;"</f>
        <v>#VALUE!</v>
      </c>
      <c r="DU74" t="e">
        <f>CVEs_Intel!J11+"$5F&amp;!m&lt;"</f>
        <v>#VALUE!</v>
      </c>
      <c r="DV74" t="e">
        <f>CVEs_Intel!K11+"$5F&amp;!m="</f>
        <v>#VALUE!</v>
      </c>
      <c r="DW74" t="e">
        <f>CVEs_Intel!L11+"$5F&amp;!m&gt;"</f>
        <v>#VALUE!</v>
      </c>
      <c r="DX74" t="e">
        <f>CVEs_Intel!M11+"$5F&amp;!m?"</f>
        <v>#VALUE!</v>
      </c>
      <c r="DY74" t="e">
        <f>CVEs_Intel!N11+"$5F&amp;!m@"</f>
        <v>#VALUE!</v>
      </c>
      <c r="DZ74" t="e">
        <f>CVEs_Intel!O11+"$5F&amp;!mA"</f>
        <v>#VALUE!</v>
      </c>
      <c r="EA74" t="e">
        <f>CVEs_Intel!P11+"$5F&amp;!mB"</f>
        <v>#VALUE!</v>
      </c>
      <c r="EB74" t="e">
        <f>CVEs_Intel!Q11+"$5F&amp;!mC"</f>
        <v>#VALUE!</v>
      </c>
      <c r="EC74" t="e">
        <f>CVEs_Intel!R11+"$5F&amp;!mD"</f>
        <v>#VALUE!</v>
      </c>
      <c r="ED74" t="e">
        <f>CVEs_Intel!S11+"$5F&amp;!mE"</f>
        <v>#VALUE!</v>
      </c>
      <c r="EE74" t="e">
        <f>CVEs_Intel!T11+"$5F&amp;!mF"</f>
        <v>#VALUE!</v>
      </c>
      <c r="EF74" t="e">
        <f>CVEs_Intel!U11+"$5F&amp;!mG"</f>
        <v>#VALUE!</v>
      </c>
      <c r="EG74" t="e">
        <f>CVEs_Intel!V11+"$5F&amp;!mH"</f>
        <v>#VALUE!</v>
      </c>
      <c r="EH74" t="e">
        <f>CVEs_Intel!W11+"$5F&amp;!mI"</f>
        <v>#VALUE!</v>
      </c>
      <c r="EI74" t="e">
        <f>CVEs_Intel!X11+"$5F&amp;!mJ"</f>
        <v>#VALUE!</v>
      </c>
      <c r="EJ74" t="e">
        <f>CVEs_Intel!A12+"$5F&amp;!mK"</f>
        <v>#VALUE!</v>
      </c>
      <c r="EK74" s="58" t="e">
        <f>CVEs_Intel!B12+"$5F&amp;!mL"</f>
        <v>#VALUE!</v>
      </c>
      <c r="EL74" t="e">
        <f>CVEs_Intel!C12+"$5F&amp;!mM"</f>
        <v>#VALUE!</v>
      </c>
      <c r="EM74" s="57" t="e">
        <f>CVEs_Intel!D12+"$5F&amp;!mN"</f>
        <v>#VALUE!</v>
      </c>
      <c r="EN74" s="58" t="e">
        <f>CVEs_Intel!E12+"$5F&amp;!mO"</f>
        <v>#VALUE!</v>
      </c>
      <c r="EO74" s="58" t="e">
        <f>CVEs_Intel!F12+"$5F&amp;!mP"</f>
        <v>#VALUE!</v>
      </c>
      <c r="EP74" s="58" t="e">
        <f>CVEs_Intel!G12+"$5F&amp;!mQ"</f>
        <v>#VALUE!</v>
      </c>
      <c r="EQ74" t="e">
        <f>CVEs_Intel!H12+"$5F&amp;!mR"</f>
        <v>#VALUE!</v>
      </c>
      <c r="ER74" t="e">
        <f>CVEs_Intel!I12+"$5F&amp;!mS"</f>
        <v>#VALUE!</v>
      </c>
      <c r="ES74" t="e">
        <f>CVEs_Intel!J12+"$5F&amp;!mT"</f>
        <v>#VALUE!</v>
      </c>
      <c r="ET74" t="e">
        <f>CVEs_Intel!K12+"$5F&amp;!mU"</f>
        <v>#VALUE!</v>
      </c>
      <c r="EU74" t="e">
        <f>CVEs_Intel!L12+"$5F&amp;!mV"</f>
        <v>#VALUE!</v>
      </c>
      <c r="EV74" t="e">
        <f>CVEs_Intel!M12+"$5F&amp;!mW"</f>
        <v>#VALUE!</v>
      </c>
      <c r="EW74" t="e">
        <f>CVEs_Intel!N12+"$5F&amp;!mX"</f>
        <v>#VALUE!</v>
      </c>
      <c r="EX74" t="e">
        <f>CVEs_Intel!O12+"$5F&amp;!mY"</f>
        <v>#VALUE!</v>
      </c>
      <c r="EY74" t="e">
        <f>CVEs_Intel!P12+"$5F&amp;!mZ"</f>
        <v>#VALUE!</v>
      </c>
      <c r="EZ74" t="e">
        <f>CVEs_Intel!Q12+"$5F&amp;!m["</f>
        <v>#VALUE!</v>
      </c>
      <c r="FA74" t="e">
        <f>CVEs_Intel!R12+"$5F&amp;!m\"</f>
        <v>#VALUE!</v>
      </c>
      <c r="FB74" t="e">
        <f>CVEs_Intel!S12+"$5F&amp;!m]"</f>
        <v>#VALUE!</v>
      </c>
      <c r="FC74" t="e">
        <f>CVEs_Intel!T12+"$5F&amp;!m^"</f>
        <v>#VALUE!</v>
      </c>
      <c r="FD74" t="e">
        <f>CVEs_Intel!U12+"$5F&amp;!m_"</f>
        <v>#VALUE!</v>
      </c>
      <c r="FE74" t="e">
        <f>CVEs_Intel!V12+"$5F&amp;!m`"</f>
        <v>#VALUE!</v>
      </c>
      <c r="FF74" t="e">
        <f>CVEs_Intel!W12+"$5F&amp;!ma"</f>
        <v>#VALUE!</v>
      </c>
      <c r="FG74" t="e">
        <f>CVEs_Intel!X12+"$5F&amp;!mb"</f>
        <v>#VALUE!</v>
      </c>
      <c r="FH74" t="e">
        <f>CVEs_Intel!A13+"$5F&amp;!mc"</f>
        <v>#VALUE!</v>
      </c>
      <c r="FI74" s="58" t="e">
        <f>CVEs_Intel!B13+"$5F&amp;!md"</f>
        <v>#VALUE!</v>
      </c>
      <c r="FJ74" t="e">
        <f>CVEs_Intel!C13+"$5F&amp;!me"</f>
        <v>#VALUE!</v>
      </c>
      <c r="FK74" s="57" t="e">
        <f>CVEs_Intel!D13+"$5F&amp;!mf"</f>
        <v>#VALUE!</v>
      </c>
      <c r="FL74" s="58" t="e">
        <f>CVEs_Intel!E13+"$5F&amp;!mg"</f>
        <v>#VALUE!</v>
      </c>
      <c r="FM74" s="58" t="e">
        <f>CVEs_Intel!F13+"$5F&amp;!mh"</f>
        <v>#VALUE!</v>
      </c>
      <c r="FN74" s="58" t="e">
        <f>CVEs_Intel!G13+"$5F&amp;!mi"</f>
        <v>#VALUE!</v>
      </c>
      <c r="FO74" t="e">
        <f>CVEs_Intel!H13+"$5F&amp;!mj"</f>
        <v>#VALUE!</v>
      </c>
      <c r="FP74" t="e">
        <f>CVEs_Intel!I13+"$5F&amp;!mk"</f>
        <v>#VALUE!</v>
      </c>
      <c r="FQ74" t="e">
        <f>CVEs_Intel!J13+"$5F&amp;!ml"</f>
        <v>#VALUE!</v>
      </c>
      <c r="FR74" t="e">
        <f>CVEs_Intel!K13+"$5F&amp;!mm"</f>
        <v>#VALUE!</v>
      </c>
      <c r="FS74" t="e">
        <f>CVEs_Intel!L13+"$5F&amp;!mn"</f>
        <v>#VALUE!</v>
      </c>
      <c r="FT74" t="e">
        <f>CVEs_Intel!M13+"$5F&amp;!mo"</f>
        <v>#VALUE!</v>
      </c>
      <c r="FU74" t="e">
        <f>CVEs_Intel!N13+"$5F&amp;!mp"</f>
        <v>#VALUE!</v>
      </c>
      <c r="FV74" t="e">
        <f>CVEs_Intel!O13+"$5F&amp;!mq"</f>
        <v>#VALUE!</v>
      </c>
      <c r="FW74" t="e">
        <f>CVEs_Intel!P13+"$5F&amp;!mr"</f>
        <v>#VALUE!</v>
      </c>
      <c r="FX74" t="e">
        <f>CVEs_Intel!Q13+"$5F&amp;!ms"</f>
        <v>#VALUE!</v>
      </c>
      <c r="FY74" t="e">
        <f>CVEs_Intel!R13+"$5F&amp;!mt"</f>
        <v>#VALUE!</v>
      </c>
      <c r="FZ74" t="e">
        <f>CVEs_Intel!S13+"$5F&amp;!mu"</f>
        <v>#VALUE!</v>
      </c>
      <c r="GA74" t="e">
        <f>CVEs_Intel!T13+"$5F&amp;!mv"</f>
        <v>#VALUE!</v>
      </c>
      <c r="GB74" t="e">
        <f>CVEs_Intel!U13+"$5F&amp;!mw"</f>
        <v>#VALUE!</v>
      </c>
      <c r="GC74" t="e">
        <f>CVEs_Intel!V13+"$5F&amp;!mx"</f>
        <v>#VALUE!</v>
      </c>
      <c r="GD74" t="e">
        <f>CVEs_Intel!W13+"$5F&amp;!my"</f>
        <v>#VALUE!</v>
      </c>
      <c r="GE74" t="e">
        <f>CVEs_Intel!X13+"$5F&amp;!mz"</f>
        <v>#VALUE!</v>
      </c>
      <c r="GF74" t="e">
        <f>CVEs_Intel!A14+"$5F&amp;!m{"</f>
        <v>#VALUE!</v>
      </c>
      <c r="GG74" s="58" t="e">
        <f>CVEs_Intel!B14+"$5F&amp;!m|"</f>
        <v>#VALUE!</v>
      </c>
      <c r="GH74" t="e">
        <f>CVEs_Intel!C14+"$5F&amp;!m}"</f>
        <v>#VALUE!</v>
      </c>
      <c r="GI74" s="57" t="e">
        <f>CVEs_Intel!D14+"$5F&amp;!m~"</f>
        <v>#VALUE!</v>
      </c>
      <c r="GJ74" s="58" t="e">
        <f>CVEs_Intel!E14+"$5F&amp;!n#"</f>
        <v>#VALUE!</v>
      </c>
      <c r="GK74" s="58" t="e">
        <f>CVEs_Intel!F14+"$5F&amp;!n$"</f>
        <v>#VALUE!</v>
      </c>
      <c r="GL74" s="58" t="e">
        <f>CVEs_Intel!G14+"$5F&amp;!n%"</f>
        <v>#VALUE!</v>
      </c>
      <c r="GM74" t="e">
        <f>CVEs_Intel!H14+"$5F&amp;!n&amp;"</f>
        <v>#VALUE!</v>
      </c>
      <c r="GN74" t="e">
        <f>CVEs_Intel!I14+"$5F&amp;!n'"</f>
        <v>#VALUE!</v>
      </c>
      <c r="GO74" t="e">
        <f>CVEs_Intel!J14+"$5F&amp;!n("</f>
        <v>#VALUE!</v>
      </c>
      <c r="GP74" t="e">
        <f>CVEs_Intel!K14+"$5F&amp;!n)"</f>
        <v>#VALUE!</v>
      </c>
      <c r="GQ74" t="e">
        <f>CVEs_Intel!L14+"$5F&amp;!n."</f>
        <v>#VALUE!</v>
      </c>
      <c r="GR74" t="e">
        <f>CVEs_Intel!M14+"$5F&amp;!n/"</f>
        <v>#VALUE!</v>
      </c>
      <c r="GS74" t="e">
        <f>CVEs_Intel!N14+"$5F&amp;!n0"</f>
        <v>#VALUE!</v>
      </c>
      <c r="GT74" t="e">
        <f>CVEs_Intel!O14+"$5F&amp;!n1"</f>
        <v>#VALUE!</v>
      </c>
      <c r="GU74" t="e">
        <f>CVEs_Intel!P14+"$5F&amp;!n2"</f>
        <v>#VALUE!</v>
      </c>
      <c r="GV74" t="e">
        <f>CVEs_Intel!Q14+"$5F&amp;!n3"</f>
        <v>#VALUE!</v>
      </c>
      <c r="GW74" t="e">
        <f>CVEs_Intel!R14+"$5F&amp;!n4"</f>
        <v>#VALUE!</v>
      </c>
      <c r="GX74" t="e">
        <f>CVEs_Intel!S14+"$5F&amp;!n5"</f>
        <v>#VALUE!</v>
      </c>
      <c r="GY74" t="e">
        <f>CVEs_Intel!T14+"$5F&amp;!n6"</f>
        <v>#VALUE!</v>
      </c>
      <c r="GZ74" t="e">
        <f>CVEs_Intel!U14+"$5F&amp;!n7"</f>
        <v>#VALUE!</v>
      </c>
      <c r="HA74" t="e">
        <f>CVEs_Intel!V14+"$5F&amp;!n8"</f>
        <v>#VALUE!</v>
      </c>
      <c r="HB74" t="e">
        <f>CVEs_Intel!W14+"$5F&amp;!n9"</f>
        <v>#VALUE!</v>
      </c>
      <c r="HC74" t="e">
        <f>CVEs_Intel!X14+"$5F&amp;!n:"</f>
        <v>#VALUE!</v>
      </c>
      <c r="HD74" t="e">
        <f>CVEs_Intel!A15+"$5F&amp;!n;"</f>
        <v>#VALUE!</v>
      </c>
      <c r="HE74" s="58" t="e">
        <f>CVEs_Intel!B15+"$5F&amp;!n&lt;"</f>
        <v>#VALUE!</v>
      </c>
      <c r="HF74" t="e">
        <f>CVEs_Intel!C15+"$5F&amp;!n="</f>
        <v>#VALUE!</v>
      </c>
      <c r="HG74" s="57" t="e">
        <f>CVEs_Intel!D15+"$5F&amp;!n&gt;"</f>
        <v>#VALUE!</v>
      </c>
      <c r="HH74" s="58" t="e">
        <f>CVEs_Intel!E15+"$5F&amp;!n?"</f>
        <v>#VALUE!</v>
      </c>
      <c r="HI74" s="58" t="e">
        <f>CVEs_Intel!F15+"$5F&amp;!n@"</f>
        <v>#VALUE!</v>
      </c>
      <c r="HJ74" s="58" t="e">
        <f>CVEs_Intel!G15+"$5F&amp;!nA"</f>
        <v>#VALUE!</v>
      </c>
      <c r="HK74" t="e">
        <f>CVEs_Intel!H15+"$5F&amp;!nB"</f>
        <v>#VALUE!</v>
      </c>
      <c r="HL74" t="e">
        <f>CVEs_Intel!I15+"$5F&amp;!nC"</f>
        <v>#VALUE!</v>
      </c>
      <c r="HM74" t="e">
        <f>CVEs_Intel!J15+"$5F&amp;!nD"</f>
        <v>#VALUE!</v>
      </c>
      <c r="HN74" t="e">
        <f>CVEs_Intel!K15+"$5F&amp;!nE"</f>
        <v>#VALUE!</v>
      </c>
      <c r="HO74" t="e">
        <f>CVEs_Intel!L15+"$5F&amp;!nF"</f>
        <v>#VALUE!</v>
      </c>
      <c r="HP74" t="e">
        <f>CVEs_Intel!M15+"$5F&amp;!nG"</f>
        <v>#VALUE!</v>
      </c>
      <c r="HQ74" t="e">
        <f>CVEs_Intel!N15+"$5F&amp;!nH"</f>
        <v>#VALUE!</v>
      </c>
      <c r="HR74" t="e">
        <f>CVEs_Intel!O15+"$5F&amp;!nI"</f>
        <v>#VALUE!</v>
      </c>
      <c r="HS74" t="e">
        <f>CVEs_Intel!P15+"$5F&amp;!nJ"</f>
        <v>#VALUE!</v>
      </c>
      <c r="HT74" t="e">
        <f>CVEs_Intel!Q15+"$5F&amp;!nK"</f>
        <v>#VALUE!</v>
      </c>
      <c r="HU74" t="e">
        <f>CVEs_Intel!R15+"$5F&amp;!nL"</f>
        <v>#VALUE!</v>
      </c>
      <c r="HV74" t="e">
        <f>CVEs_Intel!S15+"$5F&amp;!nM"</f>
        <v>#VALUE!</v>
      </c>
      <c r="HW74" t="e">
        <f>CVEs_Intel!T15+"$5F&amp;!nN"</f>
        <v>#VALUE!</v>
      </c>
      <c r="HX74" t="e">
        <f>CVEs_Intel!U15+"$5F&amp;!nO"</f>
        <v>#VALUE!</v>
      </c>
      <c r="HY74" t="e">
        <f>CVEs_Intel!V15+"$5F&amp;!nP"</f>
        <v>#VALUE!</v>
      </c>
      <c r="HZ74" t="e">
        <f>CVEs_Intel!W15+"$5F&amp;!nQ"</f>
        <v>#VALUE!</v>
      </c>
      <c r="IA74" t="e">
        <f>CVEs_Intel!X15+"$5F&amp;!nR"</f>
        <v>#VALUE!</v>
      </c>
      <c r="IB74" t="e">
        <f>CVEs_Intel!A16+"$5F&amp;!nS"</f>
        <v>#VALUE!</v>
      </c>
      <c r="IC74" s="58" t="e">
        <f>CVEs_Intel!B16+"$5F&amp;!nT"</f>
        <v>#VALUE!</v>
      </c>
      <c r="ID74" t="e">
        <f>CVEs_Intel!C16+"$5F&amp;!nU"</f>
        <v>#VALUE!</v>
      </c>
      <c r="IE74" s="57" t="e">
        <f>CVEs_Intel!D16+"$5F&amp;!nV"</f>
        <v>#VALUE!</v>
      </c>
      <c r="IF74" s="58" t="e">
        <f>CVEs_Intel!E16+"$5F&amp;!nW"</f>
        <v>#VALUE!</v>
      </c>
      <c r="IG74" s="58" t="e">
        <f>CVEs_Intel!F16+"$5F&amp;!nX"</f>
        <v>#VALUE!</v>
      </c>
      <c r="IH74" s="58" t="e">
        <f>CVEs_Intel!G16+"$5F&amp;!nY"</f>
        <v>#VALUE!</v>
      </c>
      <c r="II74" t="e">
        <f>CVEs_Intel!H16+"$5F&amp;!nZ"</f>
        <v>#VALUE!</v>
      </c>
      <c r="IJ74" t="e">
        <f>CVEs_Intel!I16+"$5F&amp;!n["</f>
        <v>#VALUE!</v>
      </c>
      <c r="IK74" t="e">
        <f>CVEs_Intel!J16+"$5F&amp;!n\"</f>
        <v>#VALUE!</v>
      </c>
      <c r="IL74" t="e">
        <f>CVEs_Intel!K16+"$5F&amp;!n]"</f>
        <v>#VALUE!</v>
      </c>
      <c r="IM74" t="e">
        <f>CVEs_Intel!L16+"$5F&amp;!n^"</f>
        <v>#VALUE!</v>
      </c>
      <c r="IN74" t="e">
        <f>CVEs_Intel!M16+"$5F&amp;!n_"</f>
        <v>#VALUE!</v>
      </c>
      <c r="IO74" t="e">
        <f>CVEs_Intel!N16+"$5F&amp;!n`"</f>
        <v>#VALUE!</v>
      </c>
      <c r="IP74" t="e">
        <f>CVEs_Intel!O16+"$5F&amp;!na"</f>
        <v>#VALUE!</v>
      </c>
      <c r="IQ74" t="e">
        <f>CVEs_Intel!P16+"$5F&amp;!nb"</f>
        <v>#VALUE!</v>
      </c>
      <c r="IR74" t="e">
        <f>CVEs_Intel!Q16+"$5F&amp;!nc"</f>
        <v>#VALUE!</v>
      </c>
      <c r="IS74" t="e">
        <f>CVEs_Intel!R16+"$5F&amp;!nd"</f>
        <v>#VALUE!</v>
      </c>
      <c r="IT74" t="e">
        <f>CVEs_Intel!S16+"$5F&amp;!ne"</f>
        <v>#VALUE!</v>
      </c>
      <c r="IU74" t="e">
        <f>CVEs_Intel!T16+"$5F&amp;!nf"</f>
        <v>#VALUE!</v>
      </c>
      <c r="IV74" t="e">
        <f>CVEs_Intel!U16+"$5F&amp;!ng"</f>
        <v>#VALUE!</v>
      </c>
    </row>
    <row r="75" spans="6:256" x14ac:dyDescent="0.25">
      <c r="F75" t="e">
        <f>CVEs_Intel!V16+"$5F&amp;!nh"</f>
        <v>#VALUE!</v>
      </c>
      <c r="G75" t="e">
        <f>CVEs_Intel!W16+"$5F&amp;!ni"</f>
        <v>#VALUE!</v>
      </c>
      <c r="H75" t="e">
        <f>CVEs_Intel!X16+"$5F&amp;!nj"</f>
        <v>#VALUE!</v>
      </c>
      <c r="I75" t="e">
        <f>CVEs_Intel!A17+"$5F&amp;!nk"</f>
        <v>#VALUE!</v>
      </c>
      <c r="J75" s="58" t="e">
        <f>CVEs_Intel!B17+"$5F&amp;!nl"</f>
        <v>#VALUE!</v>
      </c>
      <c r="K75" t="e">
        <f>CVEs_Intel!C17+"$5F&amp;!nm"</f>
        <v>#VALUE!</v>
      </c>
      <c r="L75" s="57" t="e">
        <f>CVEs_Intel!D17+"$5F&amp;!nn"</f>
        <v>#VALUE!</v>
      </c>
      <c r="M75" s="58" t="e">
        <f>CVEs_Intel!E17+"$5F&amp;!no"</f>
        <v>#VALUE!</v>
      </c>
      <c r="N75" s="58" t="e">
        <f>CVEs_Intel!F17+"$5F&amp;!np"</f>
        <v>#VALUE!</v>
      </c>
      <c r="O75" s="58" t="e">
        <f>CVEs_Intel!G17+"$5F&amp;!nq"</f>
        <v>#VALUE!</v>
      </c>
      <c r="P75" t="e">
        <f>CVEs_Intel!H17+"$5F&amp;!nr"</f>
        <v>#VALUE!</v>
      </c>
      <c r="Q75" t="e">
        <f>CVEs_Intel!I17+"$5F&amp;!ns"</f>
        <v>#VALUE!</v>
      </c>
      <c r="R75" t="e">
        <f>CVEs_Intel!J17+"$5F&amp;!nt"</f>
        <v>#VALUE!</v>
      </c>
      <c r="S75" t="e">
        <f>CVEs_Intel!K17+"$5F&amp;!nu"</f>
        <v>#VALUE!</v>
      </c>
      <c r="T75" t="e">
        <f>CVEs_Intel!L17+"$5F&amp;!nv"</f>
        <v>#VALUE!</v>
      </c>
      <c r="U75" t="e">
        <f>CVEs_Intel!M17+"$5F&amp;!nw"</f>
        <v>#VALUE!</v>
      </c>
      <c r="V75" t="e">
        <f>CVEs_Intel!N17+"$5F&amp;!nx"</f>
        <v>#VALUE!</v>
      </c>
      <c r="W75" t="e">
        <f>CVEs_Intel!O17+"$5F&amp;!ny"</f>
        <v>#VALUE!</v>
      </c>
      <c r="X75" t="e">
        <f>CVEs_Intel!P17+"$5F&amp;!nz"</f>
        <v>#VALUE!</v>
      </c>
      <c r="Y75" t="e">
        <f>CVEs_Intel!Q17+"$5F&amp;!n{"</f>
        <v>#VALUE!</v>
      </c>
      <c r="Z75" t="e">
        <f>CVEs_Intel!R17+"$5F&amp;!n|"</f>
        <v>#VALUE!</v>
      </c>
      <c r="AA75" t="e">
        <f>CVEs_Intel!S17+"$5F&amp;!n}"</f>
        <v>#VALUE!</v>
      </c>
      <c r="AB75" t="e">
        <f>CVEs_Intel!T17+"$5F&amp;!n~"</f>
        <v>#VALUE!</v>
      </c>
      <c r="AC75" t="e">
        <f>CVEs_Intel!U17+"$5F&amp;!o#"</f>
        <v>#VALUE!</v>
      </c>
      <c r="AD75" t="e">
        <f>CVEs_Intel!V17+"$5F&amp;!o$"</f>
        <v>#VALUE!</v>
      </c>
      <c r="AE75" t="e">
        <f>CVEs_Intel!W17+"$5F&amp;!o%"</f>
        <v>#VALUE!</v>
      </c>
      <c r="AF75" t="e">
        <f>CVEs_Intel!X17+"$5F&amp;!o&amp;"</f>
        <v>#VALUE!</v>
      </c>
      <c r="AG75" t="e">
        <f>CVEs_Intel!A18+"$5F&amp;!o'"</f>
        <v>#VALUE!</v>
      </c>
      <c r="AH75" s="58" t="e">
        <f>CVEs_Intel!B18+"$5F&amp;!o("</f>
        <v>#VALUE!</v>
      </c>
      <c r="AI75" t="e">
        <f>CVEs_Intel!C18+"$5F&amp;!o)"</f>
        <v>#VALUE!</v>
      </c>
      <c r="AJ75" s="57" t="e">
        <f>CVEs_Intel!D18+"$5F&amp;!o."</f>
        <v>#VALUE!</v>
      </c>
      <c r="AK75" s="58" t="e">
        <f>CVEs_Intel!E18+"$5F&amp;!o/"</f>
        <v>#VALUE!</v>
      </c>
      <c r="AL75" s="58" t="e">
        <f>CVEs_Intel!F18+"$5F&amp;!o0"</f>
        <v>#VALUE!</v>
      </c>
      <c r="AM75" s="58" t="e">
        <f>CVEs_Intel!G18+"$5F&amp;!o1"</f>
        <v>#VALUE!</v>
      </c>
      <c r="AN75" t="e">
        <f>CVEs_Intel!H18+"$5F&amp;!o2"</f>
        <v>#VALUE!</v>
      </c>
      <c r="AO75" t="e">
        <f>CVEs_Intel!I18+"$5F&amp;!o3"</f>
        <v>#VALUE!</v>
      </c>
      <c r="AP75" t="e">
        <f>CVEs_Intel!J18+"$5F&amp;!o4"</f>
        <v>#VALUE!</v>
      </c>
      <c r="AQ75" t="e">
        <f>CVEs_Intel!K18+"$5F&amp;!o5"</f>
        <v>#VALUE!</v>
      </c>
      <c r="AR75" t="e">
        <f>CVEs_Intel!L18+"$5F&amp;!o6"</f>
        <v>#VALUE!</v>
      </c>
      <c r="AS75" t="e">
        <f>CVEs_Intel!M18+"$5F&amp;!o7"</f>
        <v>#VALUE!</v>
      </c>
      <c r="AT75" t="e">
        <f>CVEs_Intel!N18+"$5F&amp;!o8"</f>
        <v>#VALUE!</v>
      </c>
      <c r="AU75" t="e">
        <f>CVEs_Intel!O18+"$5F&amp;!o9"</f>
        <v>#VALUE!</v>
      </c>
      <c r="AV75" t="e">
        <f>CVEs_Intel!P18+"$5F&amp;!o:"</f>
        <v>#VALUE!</v>
      </c>
      <c r="AW75" t="e">
        <f>CVEs_Intel!Q18+"$5F&amp;!o;"</f>
        <v>#VALUE!</v>
      </c>
      <c r="AX75" t="e">
        <f>CVEs_Intel!R18+"$5F&amp;!o&lt;"</f>
        <v>#VALUE!</v>
      </c>
      <c r="AY75" t="e">
        <f>CVEs_Intel!S18+"$5F&amp;!o="</f>
        <v>#VALUE!</v>
      </c>
      <c r="AZ75" t="e">
        <f>CVEs_Intel!T18+"$5F&amp;!o&gt;"</f>
        <v>#VALUE!</v>
      </c>
      <c r="BA75" t="e">
        <f>CVEs_Intel!U18+"$5F&amp;!o?"</f>
        <v>#VALUE!</v>
      </c>
      <c r="BB75" t="e">
        <f>CVEs_Intel!V18+"$5F&amp;!o@"</f>
        <v>#VALUE!</v>
      </c>
      <c r="BC75" t="e">
        <f>CVEs_Intel!W18+"$5F&amp;!oA"</f>
        <v>#VALUE!</v>
      </c>
      <c r="BD75" t="e">
        <f>CVEs_Intel!X18+"$5F&amp;!oB"</f>
        <v>#VALUE!</v>
      </c>
      <c r="BE75" t="e">
        <f>CVEs_Intel!A19+"$5F&amp;!oC"</f>
        <v>#VALUE!</v>
      </c>
      <c r="BF75" t="e">
        <f>CVEs_Intel!B19+"$5F&amp;!oD"</f>
        <v>#VALUE!</v>
      </c>
      <c r="BG75" t="e">
        <f>CVEs_Intel!C19+"$5F&amp;!oE"</f>
        <v>#VALUE!</v>
      </c>
      <c r="BH75" s="57" t="e">
        <f>CVEs_Intel!D19+"$5F&amp;!oF"</f>
        <v>#VALUE!</v>
      </c>
      <c r="BI75" s="57" t="e">
        <f>CVEs_Intel!E19+"$5F&amp;!oG"</f>
        <v>#VALUE!</v>
      </c>
      <c r="BJ75" s="57" t="e">
        <f>CVEs_Intel!F19+"$5F&amp;!oH"</f>
        <v>#VALUE!</v>
      </c>
      <c r="BK75" s="57" t="e">
        <f>CVEs_Intel!G19+"$5F&amp;!oI"</f>
        <v>#VALUE!</v>
      </c>
      <c r="BL75" t="e">
        <f>CVEs_Intel!I19+"$5F&amp;!oJ"</f>
        <v>#VALUE!</v>
      </c>
      <c r="BM75" t="e">
        <f>CVEs_Intel!J19+"$5F&amp;!oK"</f>
        <v>#VALUE!</v>
      </c>
      <c r="BN75" t="e">
        <f>CVEs_Intel!K19+"$5F&amp;!oL"</f>
        <v>#VALUE!</v>
      </c>
      <c r="BO75" t="e">
        <f>CVEs_Intel!L19+"$5F&amp;!oM"</f>
        <v>#VALUE!</v>
      </c>
      <c r="BP75" t="e">
        <f>CVEs_Intel!M19+"$5F&amp;!oN"</f>
        <v>#VALUE!</v>
      </c>
      <c r="BQ75" t="e">
        <f>CVEs_Intel!N19+"$5F&amp;!oO"</f>
        <v>#VALUE!</v>
      </c>
      <c r="BR75" t="e">
        <f>CVEs_Intel!O19+"$5F&amp;!oP"</f>
        <v>#VALUE!</v>
      </c>
      <c r="BS75" t="e">
        <f>CVEs_Intel!P19+"$5F&amp;!oQ"</f>
        <v>#VALUE!</v>
      </c>
      <c r="BT75" t="e">
        <f>CVEs_Intel!Q19+"$5F&amp;!oR"</f>
        <v>#VALUE!</v>
      </c>
      <c r="BU75" t="e">
        <f>CVEs_Intel!S19+"$5F&amp;!oS"</f>
        <v>#VALUE!</v>
      </c>
      <c r="BV75" t="e">
        <f>CVEs_Intel!T19+"$5F&amp;!oT"</f>
        <v>#VALUE!</v>
      </c>
      <c r="BW75" t="e">
        <f>CVEs_Intel!U19+"$5F&amp;!oU"</f>
        <v>#VALUE!</v>
      </c>
      <c r="BX75" t="e">
        <f>CVEs_Intel!W19+"$5F&amp;!oV"</f>
        <v>#VALUE!</v>
      </c>
      <c r="BY75" t="e">
        <f>CVEs_Intel!X19+"$5F&amp;!oW"</f>
        <v>#VALUE!</v>
      </c>
      <c r="BZ75" t="e">
        <f>CVEs_Intel!I21+"$5F&amp;!oX"</f>
        <v>#VALUE!</v>
      </c>
      <c r="CA75" t="e">
        <f>CVEs_Intel!J21+"$5F&amp;!oY"</f>
        <v>#VALUE!</v>
      </c>
      <c r="CB75" t="e">
        <f>CVEs_Intel!K21+"$5F&amp;!oZ"</f>
        <v>#VALUE!</v>
      </c>
      <c r="CC75" t="e">
        <f>CVEs_Intel!L21+"$5F&amp;!o["</f>
        <v>#VALUE!</v>
      </c>
      <c r="CD75" t="e">
        <f>CVEs_Intel!I22+"$5F&amp;!o\"</f>
        <v>#VALUE!</v>
      </c>
      <c r="CE75" t="e">
        <f>CVEs_Intel!J22+"$5F&amp;!o]"</f>
        <v>#VALUE!</v>
      </c>
      <c r="CF75" t="e">
        <f>CVEs_Intel!K22+"$5F&amp;!o^"</f>
        <v>#VALUE!</v>
      </c>
      <c r="CG75" t="e">
        <f>CVEs_Intel!L22+"$5F&amp;!o_"</f>
        <v>#VALUE!</v>
      </c>
      <c r="CH75" t="e">
        <f>CVEs_Intel!I23+"$5F&amp;!o`"</f>
        <v>#VALUE!</v>
      </c>
      <c r="CI75" t="e">
        <f ca="1">CVEs_Intel!J23+"$5F&amp;!oa"</f>
        <v>#VALUE!</v>
      </c>
      <c r="CJ75" t="e">
        <f>CVEs_Intel!K23+"$5F&amp;!ob"</f>
        <v>#VALUE!</v>
      </c>
      <c r="CK75" t="e">
        <f>CVEs_Intel!L23+"$5F&amp;!oc"</f>
        <v>#VALUE!</v>
      </c>
      <c r="CL75" t="e">
        <f>CVEs_Intel!M23+"$5F&amp;!od"</f>
        <v>#VALUE!</v>
      </c>
      <c r="CM75" t="e">
        <f>CVEs_Intel!I24+"$5F&amp;!oe"</f>
        <v>#VALUE!</v>
      </c>
      <c r="CN75" t="e">
        <f ca="1">CVEs_Intel!J24+"$5F&amp;!of"</f>
        <v>#VALUE!</v>
      </c>
      <c r="CO75" t="e">
        <f>CVEs_Intel!K24+"$5F&amp;!og"</f>
        <v>#VALUE!</v>
      </c>
      <c r="CP75" t="e">
        <f>CVEs_Intel!L24+"$5F&amp;!oh"</f>
        <v>#VALUE!</v>
      </c>
      <c r="CQ75" t="e">
        <f>CVEs_Intel!M24+"$5F&amp;!oi"</f>
        <v>#VALUE!</v>
      </c>
      <c r="CR75" t="e">
        <f>CVEs_Intel!A25+"$5F&amp;!oj"</f>
        <v>#VALUE!</v>
      </c>
      <c r="CS75" t="e">
        <f>CVEs_Intel!B25+"$5F&amp;!ok"</f>
        <v>#VALUE!</v>
      </c>
      <c r="CT75" t="e">
        <f>CVEs_Intel!C25+"$5F&amp;!ol"</f>
        <v>#VALUE!</v>
      </c>
      <c r="CU75" s="57" t="e">
        <f>CVEs_Intel!D25+"$5F&amp;!om"</f>
        <v>#VALUE!</v>
      </c>
      <c r="CV75" s="58" t="e">
        <f>CVEs_Intel!E25+"$5F&amp;!on"</f>
        <v>#VALUE!</v>
      </c>
      <c r="CW75" s="58" t="e">
        <f>CVEs_Intel!F25+"$5F&amp;!oo"</f>
        <v>#VALUE!</v>
      </c>
      <c r="CX75" s="58" t="e">
        <f>CVEs_Intel!G25+"$5F&amp;!op"</f>
        <v>#VALUE!</v>
      </c>
      <c r="CY75" t="e">
        <f>CVEs_Intel!H25+"$5F&amp;!oq"</f>
        <v>#VALUE!</v>
      </c>
      <c r="CZ75" t="e">
        <f>CVEs_Intel!I25+"$5F&amp;!or"</f>
        <v>#VALUE!</v>
      </c>
      <c r="DA75" t="e">
        <f ca="1">CVEs_Intel!J25+"$5F&amp;!os"</f>
        <v>#VALUE!</v>
      </c>
      <c r="DB75" t="e">
        <f>CVEs_Intel!K25+"$5F&amp;!ot"</f>
        <v>#VALUE!</v>
      </c>
      <c r="DC75" t="e">
        <f>CVEs_Intel!L25+"$5F&amp;!ou"</f>
        <v>#VALUE!</v>
      </c>
      <c r="DD75" t="e">
        <f>CVEs_Intel!M25+"$5F&amp;!ov"</f>
        <v>#VALUE!</v>
      </c>
      <c r="DE75" t="e">
        <f>CVEs_Intel!R25+"$5F&amp;!ow"</f>
        <v>#VALUE!</v>
      </c>
      <c r="DF75" t="e">
        <f>CVEs_Intel!S25+"$5F&amp;!ox"</f>
        <v>#VALUE!</v>
      </c>
      <c r="DG75" t="e">
        <f>CVEs_Intel!T25+"$5F&amp;!oy"</f>
        <v>#VALUE!</v>
      </c>
      <c r="DH75" t="e">
        <f>CVEs_Intel!U25+"$5F&amp;!oz"</f>
        <v>#VALUE!</v>
      </c>
      <c r="DI75" t="e">
        <f>CVEs_Intel!V25+"$5F&amp;!o{"</f>
        <v>#VALUE!</v>
      </c>
      <c r="DJ75" t="e">
        <f>CVEs_Intel!W25+"$5F&amp;!o|"</f>
        <v>#VALUE!</v>
      </c>
      <c r="DK75" t="e">
        <f>CVEs_Intel!X25+"$5F&amp;!o}"</f>
        <v>#VALUE!</v>
      </c>
      <c r="DL75" t="e">
        <f>CVEs_Intel!A26+"$5F&amp;!o~"</f>
        <v>#VALUE!</v>
      </c>
      <c r="DM75" t="e">
        <f>CVEs_Intel!B26+"$5F&amp;!p#"</f>
        <v>#VALUE!</v>
      </c>
      <c r="DN75" t="e">
        <f>CVEs_Intel!C26+"$5F&amp;!p$"</f>
        <v>#VALUE!</v>
      </c>
      <c r="DO75" s="57" t="e">
        <f>CVEs_Intel!D26+"$5F&amp;!p%"</f>
        <v>#VALUE!</v>
      </c>
      <c r="DP75" s="58" t="e">
        <f>CVEs_Intel!E26+"$5F&amp;!p&amp;"</f>
        <v>#VALUE!</v>
      </c>
      <c r="DQ75" s="58" t="e">
        <f>CVEs_Intel!F26+"$5F&amp;!p'"</f>
        <v>#VALUE!</v>
      </c>
      <c r="DR75" s="58" t="e">
        <f>CVEs_Intel!G26+"$5F&amp;!p("</f>
        <v>#VALUE!</v>
      </c>
      <c r="DS75" t="e">
        <f>CVEs_Intel!H26+"$5F&amp;!p)"</f>
        <v>#VALUE!</v>
      </c>
      <c r="DT75" t="e">
        <f>CVEs_Intel!I26+"$5F&amp;!p."</f>
        <v>#VALUE!</v>
      </c>
      <c r="DU75" t="e">
        <f ca="1">CVEs_Intel!J26+"$5F&amp;!p/"</f>
        <v>#VALUE!</v>
      </c>
      <c r="DV75" t="e">
        <f>CVEs_Intel!K26+"$5F&amp;!p0"</f>
        <v>#VALUE!</v>
      </c>
      <c r="DW75" t="e">
        <f>CVEs_Intel!L26+"$5F&amp;!p1"</f>
        <v>#VALUE!</v>
      </c>
      <c r="DX75" t="e">
        <f>CVEs_Intel!M26+"$5F&amp;!p2"</f>
        <v>#VALUE!</v>
      </c>
      <c r="DY75" t="e">
        <f>CVEs_Intel!R26+"$5F&amp;!p3"</f>
        <v>#VALUE!</v>
      </c>
      <c r="DZ75" t="e">
        <f>CVEs_Intel!S26+"$5F&amp;!p4"</f>
        <v>#VALUE!</v>
      </c>
      <c r="EA75" t="e">
        <f>CVEs_Intel!T26+"$5F&amp;!p5"</f>
        <v>#VALUE!</v>
      </c>
      <c r="EB75" t="e">
        <f>CVEs_Intel!U26+"$5F&amp;!p6"</f>
        <v>#VALUE!</v>
      </c>
      <c r="EC75" t="e">
        <f>CVEs_Intel!V26+"$5F&amp;!p7"</f>
        <v>#VALUE!</v>
      </c>
      <c r="ED75" t="e">
        <f>CVEs_Intel!W26+"$5F&amp;!p8"</f>
        <v>#VALUE!</v>
      </c>
      <c r="EE75" t="e">
        <f>CVEs_Intel!X26+"$5F&amp;!p9"</f>
        <v>#VALUE!</v>
      </c>
      <c r="EF75" t="e">
        <f>CVEs_Intel!A27+"$5F&amp;!p:"</f>
        <v>#VALUE!</v>
      </c>
      <c r="EG75" t="e">
        <f>CVEs_Intel!B27+"$5F&amp;!p;"</f>
        <v>#VALUE!</v>
      </c>
      <c r="EH75" t="e">
        <f>CVEs_Intel!C27+"$5F&amp;!p&lt;"</f>
        <v>#VALUE!</v>
      </c>
      <c r="EI75" s="57" t="e">
        <f>CVEs_Intel!D27+"$5F&amp;!p="</f>
        <v>#VALUE!</v>
      </c>
      <c r="EJ75" s="58" t="e">
        <f>CVEs_Intel!E27+"$5F&amp;!p&gt;"</f>
        <v>#VALUE!</v>
      </c>
      <c r="EK75" s="58" t="e">
        <f>CVEs_Intel!F27+"$5F&amp;!p?"</f>
        <v>#VALUE!</v>
      </c>
      <c r="EL75" s="58" t="e">
        <f>CVEs_Intel!G27+"$5F&amp;!p@"</f>
        <v>#VALUE!</v>
      </c>
      <c r="EM75" t="e">
        <f>CVEs_Intel!H27+"$5F&amp;!pA"</f>
        <v>#VALUE!</v>
      </c>
      <c r="EN75" t="e">
        <f>CVEs_Intel!I27+"$5F&amp;!pB"</f>
        <v>#VALUE!</v>
      </c>
      <c r="EO75" t="e">
        <f ca="1">CVEs_Intel!J27+"$5F&amp;!pC"</f>
        <v>#VALUE!</v>
      </c>
      <c r="EP75" t="e">
        <f>CVEs_Intel!K27+"$5F&amp;!pD"</f>
        <v>#VALUE!</v>
      </c>
      <c r="EQ75" t="e">
        <f>CVEs_Intel!L27+"$5F&amp;!pE"</f>
        <v>#VALUE!</v>
      </c>
      <c r="ER75" t="e">
        <f>CVEs_Intel!M27+"$5F&amp;!pF"</f>
        <v>#VALUE!</v>
      </c>
      <c r="ES75" t="e">
        <f>CVEs_Intel!R27+"$5F&amp;!pG"</f>
        <v>#VALUE!</v>
      </c>
      <c r="ET75" t="e">
        <f>CVEs_Intel!S27+"$5F&amp;!pH"</f>
        <v>#VALUE!</v>
      </c>
      <c r="EU75" t="e">
        <f>CVEs_Intel!T27+"$5F&amp;!pI"</f>
        <v>#VALUE!</v>
      </c>
      <c r="EV75" t="e">
        <f>CVEs_Intel!U27+"$5F&amp;!pJ"</f>
        <v>#VALUE!</v>
      </c>
      <c r="EW75" t="e">
        <f>CVEs_Intel!V27+"$5F&amp;!pK"</f>
        <v>#VALUE!</v>
      </c>
      <c r="EX75" t="e">
        <f>CVEs_Intel!W27+"$5F&amp;!pL"</f>
        <v>#VALUE!</v>
      </c>
      <c r="EY75" t="e">
        <f>CVEs_Intel!X27+"$5F&amp;!pM"</f>
        <v>#VALUE!</v>
      </c>
      <c r="EZ75" t="e">
        <f>CVEs_Intel!A28+"$5F&amp;!pN"</f>
        <v>#VALUE!</v>
      </c>
      <c r="FA75" t="e">
        <f>CVEs_Intel!B28+"$5F&amp;!pO"</f>
        <v>#VALUE!</v>
      </c>
      <c r="FB75" t="e">
        <f>CVEs_Intel!C28+"$5F&amp;!pP"</f>
        <v>#VALUE!</v>
      </c>
      <c r="FC75" s="57" t="e">
        <f>CVEs_Intel!D28+"$5F&amp;!pQ"</f>
        <v>#VALUE!</v>
      </c>
      <c r="FD75" s="58" t="e">
        <f>CVEs_Intel!E28+"$5F&amp;!pR"</f>
        <v>#VALUE!</v>
      </c>
      <c r="FE75" s="58" t="e">
        <f>CVEs_Intel!F28+"$5F&amp;!pS"</f>
        <v>#VALUE!</v>
      </c>
      <c r="FF75" s="58" t="e">
        <f>CVEs_Intel!G28+"$5F&amp;!pT"</f>
        <v>#VALUE!</v>
      </c>
      <c r="FG75" t="e">
        <f>CVEs_Intel!H28+"$5F&amp;!pU"</f>
        <v>#VALUE!</v>
      </c>
      <c r="FH75" t="e">
        <f>CVEs_Intel!I28+"$5F&amp;!pV"</f>
        <v>#VALUE!</v>
      </c>
      <c r="FI75" t="e">
        <f ca="1">CVEs_Intel!J28+"$5F&amp;!pW"</f>
        <v>#VALUE!</v>
      </c>
      <c r="FJ75" t="e">
        <f>CVEs_Intel!K28+"$5F&amp;!pX"</f>
        <v>#VALUE!</v>
      </c>
      <c r="FK75" t="e">
        <f>CVEs_Intel!L28+"$5F&amp;!pY"</f>
        <v>#VALUE!</v>
      </c>
      <c r="FL75" t="e">
        <f>CVEs_Intel!M28+"$5F&amp;!pZ"</f>
        <v>#VALUE!</v>
      </c>
      <c r="FM75" t="e">
        <f>CVEs_Intel!R28+"$5F&amp;!p["</f>
        <v>#VALUE!</v>
      </c>
      <c r="FN75" t="e">
        <f>CVEs_Intel!S28+"$5F&amp;!p\"</f>
        <v>#VALUE!</v>
      </c>
      <c r="FO75" t="e">
        <f>CVEs_Intel!T28+"$5F&amp;!p]"</f>
        <v>#VALUE!</v>
      </c>
      <c r="FP75" t="e">
        <f>CVEs_Intel!U28+"$5F&amp;!p^"</f>
        <v>#VALUE!</v>
      </c>
      <c r="FQ75" t="e">
        <f>CVEs_Intel!V28+"$5F&amp;!p_"</f>
        <v>#VALUE!</v>
      </c>
      <c r="FR75" t="e">
        <f>CVEs_Intel!W28+"$5F&amp;!p`"</f>
        <v>#VALUE!</v>
      </c>
      <c r="FS75" t="e">
        <f>CVEs_Intel!X28+"$5F&amp;!pa"</f>
        <v>#VALUE!</v>
      </c>
      <c r="FT75" t="e">
        <f>CVEs_Intel!A29+"$5F&amp;!pb"</f>
        <v>#VALUE!</v>
      </c>
      <c r="FU75" t="e">
        <f>CVEs_Intel!B29+"$5F&amp;!pc"</f>
        <v>#VALUE!</v>
      </c>
      <c r="FV75" t="e">
        <f>CVEs_Intel!C29+"$5F&amp;!pd"</f>
        <v>#VALUE!</v>
      </c>
      <c r="FW75" s="57" t="e">
        <f>CVEs_Intel!D29+"$5F&amp;!pe"</f>
        <v>#VALUE!</v>
      </c>
      <c r="FX75" s="58" t="e">
        <f>CVEs_Intel!E29+"$5F&amp;!pf"</f>
        <v>#VALUE!</v>
      </c>
      <c r="FY75" s="58" t="e">
        <f>CVEs_Intel!F29+"$5F&amp;!pg"</f>
        <v>#VALUE!</v>
      </c>
      <c r="FZ75" s="58" t="e">
        <f>CVEs_Intel!G29+"$5F&amp;!ph"</f>
        <v>#VALUE!</v>
      </c>
      <c r="GA75" t="e">
        <f>CVEs_Intel!H29+"$5F&amp;!pi"</f>
        <v>#VALUE!</v>
      </c>
      <c r="GB75" t="e">
        <f>CVEs_Intel!I29+"$5F&amp;!pj"</f>
        <v>#VALUE!</v>
      </c>
      <c r="GC75" t="e">
        <f ca="1">CVEs_Intel!J29+"$5F&amp;!pk"</f>
        <v>#VALUE!</v>
      </c>
      <c r="GD75" t="e">
        <f>CVEs_Intel!K29+"$5F&amp;!pl"</f>
        <v>#VALUE!</v>
      </c>
      <c r="GE75" t="e">
        <f>CVEs_Intel!L29+"$5F&amp;!pm"</f>
        <v>#VALUE!</v>
      </c>
      <c r="GF75" t="e">
        <f>CVEs_Intel!M29+"$5F&amp;!pn"</f>
        <v>#VALUE!</v>
      </c>
      <c r="GG75" t="e">
        <f>CVEs_Intel!R29+"$5F&amp;!po"</f>
        <v>#VALUE!</v>
      </c>
      <c r="GH75" t="e">
        <f>CVEs_Intel!S29+"$5F&amp;!pp"</f>
        <v>#VALUE!</v>
      </c>
      <c r="GI75" t="e">
        <f>CVEs_Intel!T29+"$5F&amp;!pq"</f>
        <v>#VALUE!</v>
      </c>
      <c r="GJ75" t="e">
        <f>CVEs_Intel!U29+"$5F&amp;!pr"</f>
        <v>#VALUE!</v>
      </c>
      <c r="GK75" t="e">
        <f>CVEs_Intel!V29+"$5F&amp;!ps"</f>
        <v>#VALUE!</v>
      </c>
      <c r="GL75" t="e">
        <f>CVEs_Intel!W29+"$5F&amp;!pt"</f>
        <v>#VALUE!</v>
      </c>
      <c r="GM75" t="e">
        <f>CVEs_Intel!X29+"$5F&amp;!pu"</f>
        <v>#VALUE!</v>
      </c>
      <c r="GN75" t="e">
        <f>CVEs_Intel!A30+"$5F&amp;!pv"</f>
        <v>#VALUE!</v>
      </c>
      <c r="GO75" t="e">
        <f>CVEs_Intel!B30+"$5F&amp;!pw"</f>
        <v>#VALUE!</v>
      </c>
      <c r="GP75" t="e">
        <f>CVEs_Intel!C30+"$5F&amp;!px"</f>
        <v>#VALUE!</v>
      </c>
      <c r="GQ75" s="57" t="e">
        <f>CVEs_Intel!D30+"$5F&amp;!py"</f>
        <v>#VALUE!</v>
      </c>
      <c r="GR75" s="58" t="e">
        <f>CVEs_Intel!E30+"$5F&amp;!pz"</f>
        <v>#VALUE!</v>
      </c>
      <c r="GS75" s="58" t="e">
        <f>CVEs_Intel!F30+"$5F&amp;!p{"</f>
        <v>#VALUE!</v>
      </c>
      <c r="GT75" s="58" t="e">
        <f>CVEs_Intel!G30+"$5F&amp;!p|"</f>
        <v>#VALUE!</v>
      </c>
      <c r="GU75" t="e">
        <f>CVEs_Intel!H30+"$5F&amp;!p}"</f>
        <v>#VALUE!</v>
      </c>
      <c r="GV75" t="e">
        <f>CVEs_Intel!I30+"$5F&amp;!p~"</f>
        <v>#VALUE!</v>
      </c>
      <c r="GW75" t="e">
        <f>CVEs_Intel!K30+"$5F&amp;!q#"</f>
        <v>#VALUE!</v>
      </c>
      <c r="GX75" t="e">
        <f>CVEs_Intel!L30+"$5F&amp;!q$"</f>
        <v>#VALUE!</v>
      </c>
      <c r="GY75" t="e">
        <f>CVEs_Intel!R30+"$5F&amp;!q%"</f>
        <v>#VALUE!</v>
      </c>
      <c r="GZ75" t="e">
        <f>CVEs_Intel!S30+"$5F&amp;!q&amp;"</f>
        <v>#VALUE!</v>
      </c>
      <c r="HA75" t="e">
        <f>CVEs_Intel!T30+"$5F&amp;!q'"</f>
        <v>#VALUE!</v>
      </c>
      <c r="HB75" t="e">
        <f>CVEs_Intel!U30+"$5F&amp;!q("</f>
        <v>#VALUE!</v>
      </c>
      <c r="HC75" t="e">
        <f>CVEs_Intel!V30+"$5F&amp;!q)"</f>
        <v>#VALUE!</v>
      </c>
      <c r="HD75" t="e">
        <f>CVEs_Intel!W30+"$5F&amp;!q."</f>
        <v>#VALUE!</v>
      </c>
      <c r="HE75" t="e">
        <f>CVEs_Intel!X30+"$5F&amp;!q/"</f>
        <v>#VALUE!</v>
      </c>
      <c r="HF75" t="e">
        <f>CVEs_Intel!A31+"$5F&amp;!q0"</f>
        <v>#VALUE!</v>
      </c>
      <c r="HG75" t="e">
        <f>CVEs_Intel!B31+"$5F&amp;!q1"</f>
        <v>#VALUE!</v>
      </c>
      <c r="HH75" t="e">
        <f>CVEs_Intel!C31+"$5F&amp;!q2"</f>
        <v>#VALUE!</v>
      </c>
      <c r="HI75" s="57" t="e">
        <f>CVEs_Intel!D31+"$5F&amp;!q3"</f>
        <v>#VALUE!</v>
      </c>
      <c r="HJ75" s="58" t="e">
        <f>CVEs_Intel!E31+"$5F&amp;!q4"</f>
        <v>#VALUE!</v>
      </c>
      <c r="HK75" s="58" t="e">
        <f>CVEs_Intel!F31+"$5F&amp;!q5"</f>
        <v>#VALUE!</v>
      </c>
      <c r="HL75" s="58" t="e">
        <f>CVEs_Intel!G31+"$5F&amp;!q6"</f>
        <v>#VALUE!</v>
      </c>
      <c r="HM75" t="e">
        <f>CVEs_Intel!H31+"$5F&amp;!q7"</f>
        <v>#VALUE!</v>
      </c>
      <c r="HN75" t="e">
        <f>CVEs_Intel!I31+"$5F&amp;!q8"</f>
        <v>#VALUE!</v>
      </c>
      <c r="HO75" t="e">
        <f>CVEs_Intel!K31+"$5F&amp;!q9"</f>
        <v>#VALUE!</v>
      </c>
      <c r="HP75" t="e">
        <f>CVEs_Intel!L31+"$5F&amp;!q:"</f>
        <v>#VALUE!</v>
      </c>
      <c r="HQ75" t="e">
        <f>CVEs_Intel!R31+"$5F&amp;!q;"</f>
        <v>#VALUE!</v>
      </c>
      <c r="HR75" t="e">
        <f>CVEs_Intel!S31+"$5F&amp;!q&lt;"</f>
        <v>#VALUE!</v>
      </c>
      <c r="HS75" t="e">
        <f>CVEs_Intel!T31+"$5F&amp;!q="</f>
        <v>#VALUE!</v>
      </c>
      <c r="HT75" t="e">
        <f>CVEs_Intel!U31+"$5F&amp;!q&gt;"</f>
        <v>#VALUE!</v>
      </c>
      <c r="HU75" t="e">
        <f>CVEs_Intel!V31+"$5F&amp;!q?"</f>
        <v>#VALUE!</v>
      </c>
      <c r="HV75" t="e">
        <f>CVEs_Intel!W31+"$5F&amp;!q@"</f>
        <v>#VALUE!</v>
      </c>
      <c r="HW75" t="e">
        <f>CVEs_Intel!X31+"$5F&amp;!qA"</f>
        <v>#VALUE!</v>
      </c>
      <c r="HX75" t="e">
        <f>CVEs_Intel!A32+"$5F&amp;!qB"</f>
        <v>#VALUE!</v>
      </c>
      <c r="HY75" t="e">
        <f>CVEs_Intel!B32+"$5F&amp;!qC"</f>
        <v>#VALUE!</v>
      </c>
      <c r="HZ75" t="e">
        <f>CVEs_Intel!C32+"$5F&amp;!qD"</f>
        <v>#VALUE!</v>
      </c>
      <c r="IA75" s="57" t="e">
        <f>CVEs_Intel!D32+"$5F&amp;!qE"</f>
        <v>#VALUE!</v>
      </c>
      <c r="IB75" s="58" t="e">
        <f>CVEs_Intel!E32+"$5F&amp;!qF"</f>
        <v>#VALUE!</v>
      </c>
      <c r="IC75" s="58" t="e">
        <f>CVEs_Intel!F32+"$5F&amp;!qG"</f>
        <v>#VALUE!</v>
      </c>
      <c r="ID75" s="58" t="e">
        <f>CVEs_Intel!G32+"$5F&amp;!qH"</f>
        <v>#VALUE!</v>
      </c>
      <c r="IE75" t="e">
        <f>CVEs_Intel!H32+"$5F&amp;!qI"</f>
        <v>#VALUE!</v>
      </c>
      <c r="IF75" t="e">
        <f>CVEs_Intel!I32+"$5F&amp;!qJ"</f>
        <v>#VALUE!</v>
      </c>
      <c r="IG75" t="e">
        <f>CVEs_Intel!K32+"$5F&amp;!qK"</f>
        <v>#VALUE!</v>
      </c>
      <c r="IH75" t="e">
        <f>CVEs_Intel!L32+"$5F&amp;!qL"</f>
        <v>#VALUE!</v>
      </c>
      <c r="II75" t="e">
        <f>CVEs_Intel!R32+"$5F&amp;!qM"</f>
        <v>#VALUE!</v>
      </c>
      <c r="IJ75" t="e">
        <f>CVEs_Intel!S32+"$5F&amp;!qN"</f>
        <v>#VALUE!</v>
      </c>
      <c r="IK75" t="e">
        <f>CVEs_Intel!T32+"$5F&amp;!qO"</f>
        <v>#VALUE!</v>
      </c>
      <c r="IL75" t="e">
        <f>CVEs_Intel!U32+"$5F&amp;!qP"</f>
        <v>#VALUE!</v>
      </c>
      <c r="IM75" t="e">
        <f>CVEs_Intel!V32+"$5F&amp;!qQ"</f>
        <v>#VALUE!</v>
      </c>
      <c r="IN75" t="e">
        <f>CVEs_Intel!W32+"$5F&amp;!qR"</f>
        <v>#VALUE!</v>
      </c>
      <c r="IO75" t="e">
        <f>CVEs_Intel!X32+"$5F&amp;!qS"</f>
        <v>#VALUE!</v>
      </c>
      <c r="IP75" t="e">
        <f>CVEs_Intel!A33+"$5F&amp;!qT"</f>
        <v>#VALUE!</v>
      </c>
      <c r="IQ75" t="e">
        <f>CVEs_Intel!B33+"$5F&amp;!qU"</f>
        <v>#VALUE!</v>
      </c>
      <c r="IR75" t="e">
        <f>CVEs_Intel!C33+"$5F&amp;!qV"</f>
        <v>#VALUE!</v>
      </c>
      <c r="IS75" s="57" t="e">
        <f>CVEs_Intel!D33+"$5F&amp;!qW"</f>
        <v>#VALUE!</v>
      </c>
      <c r="IT75" s="58" t="e">
        <f>CVEs_Intel!E33+"$5F&amp;!qX"</f>
        <v>#VALUE!</v>
      </c>
      <c r="IU75" s="58" t="e">
        <f>CVEs_Intel!F33+"$5F&amp;!qY"</f>
        <v>#VALUE!</v>
      </c>
      <c r="IV75" s="58" t="e">
        <f>CVEs_Intel!G33+"$5F&amp;!qZ"</f>
        <v>#VALUE!</v>
      </c>
    </row>
    <row r="76" spans="6:256" x14ac:dyDescent="0.25">
      <c r="F76" t="e">
        <f>CVEs_Intel!H33+"$5F&amp;!q["</f>
        <v>#VALUE!</v>
      </c>
      <c r="G76" t="e">
        <f>CVEs_Intel!I33+"$5F&amp;!q\"</f>
        <v>#VALUE!</v>
      </c>
      <c r="H76" t="e">
        <f>CVEs_Intel!K33+"$5F&amp;!q]"</f>
        <v>#VALUE!</v>
      </c>
      <c r="I76" t="e">
        <f>CVEs_Intel!L33+"$5F&amp;!q^"</f>
        <v>#VALUE!</v>
      </c>
      <c r="J76" t="e">
        <f>CVEs_Intel!R33+"$5F&amp;!q_"</f>
        <v>#VALUE!</v>
      </c>
      <c r="K76" t="e">
        <f>CVEs_Intel!S33+"$5F&amp;!q`"</f>
        <v>#VALUE!</v>
      </c>
      <c r="L76" t="e">
        <f>CVEs_Intel!T33+"$5F&amp;!qa"</f>
        <v>#VALUE!</v>
      </c>
      <c r="M76" t="e">
        <f>CVEs_Intel!U33+"$5F&amp;!qb"</f>
        <v>#VALUE!</v>
      </c>
      <c r="N76" t="e">
        <f>CVEs_Intel!V33+"$5F&amp;!qc"</f>
        <v>#VALUE!</v>
      </c>
      <c r="O76" t="e">
        <f>CVEs_Intel!W33+"$5F&amp;!qd"</f>
        <v>#VALUE!</v>
      </c>
      <c r="P76" t="e">
        <f>CVEs_Intel!X33+"$5F&amp;!qe"</f>
        <v>#VALUE!</v>
      </c>
      <c r="Q76" t="e">
        <f>CVEs_Intel!A34+"$5F&amp;!qf"</f>
        <v>#VALUE!</v>
      </c>
      <c r="R76" t="e">
        <f>CVEs_Intel!B34+"$5F&amp;!qg"</f>
        <v>#VALUE!</v>
      </c>
      <c r="S76" t="e">
        <f>CVEs_Intel!C34+"$5F&amp;!qh"</f>
        <v>#VALUE!</v>
      </c>
      <c r="T76" s="57" t="e">
        <f>CVEs_Intel!D34+"$5F&amp;!qi"</f>
        <v>#VALUE!</v>
      </c>
      <c r="U76" s="58" t="e">
        <f>CVEs_Intel!E34+"$5F&amp;!qj"</f>
        <v>#VALUE!</v>
      </c>
      <c r="V76" s="58" t="e">
        <f>CVEs_Intel!F34+"$5F&amp;!qk"</f>
        <v>#VALUE!</v>
      </c>
      <c r="W76" s="58" t="e">
        <f>CVEs_Intel!G34+"$5F&amp;!ql"</f>
        <v>#VALUE!</v>
      </c>
      <c r="X76" t="e">
        <f>CVEs_Intel!H34+"$5F&amp;!qm"</f>
        <v>#VALUE!</v>
      </c>
      <c r="Y76" t="e">
        <f>CVEs_Intel!I34+"$5F&amp;!qn"</f>
        <v>#VALUE!</v>
      </c>
      <c r="Z76" t="e">
        <f>CVEs_Intel!K34+"$5F&amp;!qo"</f>
        <v>#VALUE!</v>
      </c>
      <c r="AA76" t="e">
        <f>CVEs_Intel!L34+"$5F&amp;!qp"</f>
        <v>#VALUE!</v>
      </c>
      <c r="AB76" t="e">
        <f>CVEs_Intel!R34+"$5F&amp;!qq"</f>
        <v>#VALUE!</v>
      </c>
      <c r="AC76" t="e">
        <f>CVEs_Intel!S34+"$5F&amp;!qr"</f>
        <v>#VALUE!</v>
      </c>
      <c r="AD76" t="e">
        <f>CVEs_Intel!T34+"$5F&amp;!qs"</f>
        <v>#VALUE!</v>
      </c>
      <c r="AE76" t="e">
        <f>CVEs_Intel!U34+"$5F&amp;!qt"</f>
        <v>#VALUE!</v>
      </c>
      <c r="AF76" t="e">
        <f>CVEs_Intel!V34+"$5F&amp;!qu"</f>
        <v>#VALUE!</v>
      </c>
      <c r="AG76" t="e">
        <f>CVEs_Intel!W34+"$5F&amp;!qv"</f>
        <v>#VALUE!</v>
      </c>
      <c r="AH76" t="e">
        <f>CVEs_Intel!X34+"$5F&amp;!qw"</f>
        <v>#VALUE!</v>
      </c>
      <c r="AI76" t="e">
        <f>CVEs_Intel!A35+"$5F&amp;!qx"</f>
        <v>#VALUE!</v>
      </c>
      <c r="AJ76" t="e">
        <f>CVEs_Intel!B35+"$5F&amp;!qy"</f>
        <v>#VALUE!</v>
      </c>
      <c r="AK76" t="e">
        <f>CVEs_Intel!C35+"$5F&amp;!qz"</f>
        <v>#VALUE!</v>
      </c>
      <c r="AL76" s="57" t="e">
        <f>CVEs_Intel!D35+"$5F&amp;!q{"</f>
        <v>#VALUE!</v>
      </c>
      <c r="AM76" s="58" t="e">
        <f>CVEs_Intel!E35+"$5F&amp;!q|"</f>
        <v>#VALUE!</v>
      </c>
      <c r="AN76" s="58" t="e">
        <f>CVEs_Intel!F35+"$5F&amp;!q}"</f>
        <v>#VALUE!</v>
      </c>
      <c r="AO76" s="58" t="e">
        <f>CVEs_Intel!G35+"$5F&amp;!q~"</f>
        <v>#VALUE!</v>
      </c>
      <c r="AP76" t="e">
        <f>CVEs_Intel!H35+"$5F&amp;!r#"</f>
        <v>#VALUE!</v>
      </c>
      <c r="AQ76" t="e">
        <f>CVEs_Intel!I35+"$5F&amp;!r$"</f>
        <v>#VALUE!</v>
      </c>
      <c r="AR76" t="e">
        <f>CVEs_Intel!K35+"$5F&amp;!r%"</f>
        <v>#VALUE!</v>
      </c>
      <c r="AS76" t="e">
        <f>CVEs_Intel!L35+"$5F&amp;!r&amp;"</f>
        <v>#VALUE!</v>
      </c>
      <c r="AT76" t="e">
        <f>CVEs_Intel!R35+"$5F&amp;!r'"</f>
        <v>#VALUE!</v>
      </c>
      <c r="AU76" t="e">
        <f>CVEs_Intel!S35+"$5F&amp;!r("</f>
        <v>#VALUE!</v>
      </c>
      <c r="AV76" t="e">
        <f>CVEs_Intel!T35+"$5F&amp;!r)"</f>
        <v>#VALUE!</v>
      </c>
      <c r="AW76" t="e">
        <f>CVEs_Intel!U35+"$5F&amp;!r."</f>
        <v>#VALUE!</v>
      </c>
      <c r="AX76" t="e">
        <f>CVEs_Intel!V35+"$5F&amp;!r/"</f>
        <v>#VALUE!</v>
      </c>
      <c r="AY76" t="e">
        <f>CVEs_Intel!W35+"$5F&amp;!r0"</f>
        <v>#VALUE!</v>
      </c>
      <c r="AZ76" t="e">
        <f>CVEs_Intel!X35+"$5F&amp;!r1"</f>
        <v>#VALUE!</v>
      </c>
      <c r="BA76" t="e">
        <f>CVEs_Intel!A36+"$5F&amp;!r2"</f>
        <v>#VALUE!</v>
      </c>
      <c r="BB76" t="e">
        <f>CVEs_Intel!B36+"$5F&amp;!r3"</f>
        <v>#VALUE!</v>
      </c>
      <c r="BC76" t="e">
        <f>CVEs_Intel!C36+"$5F&amp;!r4"</f>
        <v>#VALUE!</v>
      </c>
      <c r="BD76" s="57" t="e">
        <f>CVEs_Intel!D36+"$5F&amp;!r5"</f>
        <v>#VALUE!</v>
      </c>
      <c r="BE76" s="58" t="e">
        <f>CVEs_Intel!E36+"$5F&amp;!r6"</f>
        <v>#VALUE!</v>
      </c>
      <c r="BF76" s="58" t="e">
        <f>CVEs_Intel!F36+"$5F&amp;!r7"</f>
        <v>#VALUE!</v>
      </c>
      <c r="BG76" s="58" t="e">
        <f>CVEs_Intel!G36+"$5F&amp;!r8"</f>
        <v>#VALUE!</v>
      </c>
      <c r="BH76" t="e">
        <f>CVEs_Intel!H36+"$5F&amp;!r9"</f>
        <v>#VALUE!</v>
      </c>
      <c r="BI76" t="e">
        <f>CVEs_Intel!I36+"$5F&amp;!r:"</f>
        <v>#VALUE!</v>
      </c>
      <c r="BJ76" t="e">
        <f>CVEs_Intel!K36+"$5F&amp;!r;"</f>
        <v>#VALUE!</v>
      </c>
      <c r="BK76" t="e">
        <f>CVEs_Intel!L36+"$5F&amp;!r&lt;"</f>
        <v>#VALUE!</v>
      </c>
      <c r="BL76" t="e">
        <f>CVEs_Intel!R36+"$5F&amp;!r="</f>
        <v>#VALUE!</v>
      </c>
      <c r="BM76" t="e">
        <f>CVEs_Intel!S36+"$5F&amp;!r&gt;"</f>
        <v>#VALUE!</v>
      </c>
      <c r="BN76" t="e">
        <f>CVEs_Intel!T36+"$5F&amp;!r?"</f>
        <v>#VALUE!</v>
      </c>
      <c r="BO76" t="e">
        <f>CVEs_Intel!U36+"$5F&amp;!r@"</f>
        <v>#VALUE!</v>
      </c>
      <c r="BP76" t="e">
        <f>CVEs_Intel!V36+"$5F&amp;!rA"</f>
        <v>#VALUE!</v>
      </c>
      <c r="BQ76" t="e">
        <f>CVEs_Intel!W36+"$5F&amp;!rB"</f>
        <v>#VALUE!</v>
      </c>
      <c r="BR76" t="e">
        <f>CVEs_Intel!X36+"$5F&amp;!rC"</f>
        <v>#VALUE!</v>
      </c>
      <c r="BS76" t="e">
        <f>CVEs_Intel!A37+"$5F&amp;!rD"</f>
        <v>#VALUE!</v>
      </c>
      <c r="BT76" t="e">
        <f>CVEs_Intel!B37+"$5F&amp;!rE"</f>
        <v>#VALUE!</v>
      </c>
      <c r="BU76" t="e">
        <f>CVEs_Intel!C37+"$5F&amp;!rF"</f>
        <v>#VALUE!</v>
      </c>
      <c r="BV76" s="57" t="e">
        <f>CVEs_Intel!D37+"$5F&amp;!rG"</f>
        <v>#VALUE!</v>
      </c>
      <c r="BW76" s="58" t="e">
        <f>CVEs_Intel!E37+"$5F&amp;!rH"</f>
        <v>#VALUE!</v>
      </c>
      <c r="BX76" s="58" t="e">
        <f>CVEs_Intel!F37+"$5F&amp;!rI"</f>
        <v>#VALUE!</v>
      </c>
      <c r="BY76" s="58" t="e">
        <f>CVEs_Intel!G37+"$5F&amp;!rJ"</f>
        <v>#VALUE!</v>
      </c>
      <c r="BZ76" t="e">
        <f>CVEs_Intel!H37+"$5F&amp;!rK"</f>
        <v>#VALUE!</v>
      </c>
      <c r="CA76" t="e">
        <f>CVEs_Intel!I37+"$5F&amp;!rL"</f>
        <v>#VALUE!</v>
      </c>
      <c r="CB76" t="e">
        <f>CVEs_Intel!K37+"$5F&amp;!rM"</f>
        <v>#VALUE!</v>
      </c>
      <c r="CC76" t="e">
        <f>CVEs_Intel!L37+"$5F&amp;!rN"</f>
        <v>#VALUE!</v>
      </c>
      <c r="CD76" t="e">
        <f>CVEs_Intel!R37+"$5F&amp;!rO"</f>
        <v>#VALUE!</v>
      </c>
      <c r="CE76" t="e">
        <f>CVEs_Intel!S37+"$5F&amp;!rP"</f>
        <v>#VALUE!</v>
      </c>
      <c r="CF76" t="e">
        <f>CVEs_Intel!T37+"$5F&amp;!rQ"</f>
        <v>#VALUE!</v>
      </c>
      <c r="CG76" t="e">
        <f>CVEs_Intel!U37+"$5F&amp;!rR"</f>
        <v>#VALUE!</v>
      </c>
      <c r="CH76" t="e">
        <f>CVEs_Intel!V37+"$5F&amp;!rS"</f>
        <v>#VALUE!</v>
      </c>
      <c r="CI76" t="e">
        <f>CVEs_Intel!W37+"$5F&amp;!rT"</f>
        <v>#VALUE!</v>
      </c>
      <c r="CJ76" t="e">
        <f>CVEs_Intel!X37+"$5F&amp;!rU"</f>
        <v>#VALUE!</v>
      </c>
      <c r="CK76" t="e">
        <f>CVEs_Intel!A38+"$5F&amp;!rV"</f>
        <v>#VALUE!</v>
      </c>
      <c r="CL76" t="e">
        <f>CVEs_Intel!B38+"$5F&amp;!rW"</f>
        <v>#VALUE!</v>
      </c>
      <c r="CM76" t="e">
        <f>CVEs_Intel!C38+"$5F&amp;!rX"</f>
        <v>#VALUE!</v>
      </c>
      <c r="CN76" s="57" t="e">
        <f>CVEs_Intel!D38+"$5F&amp;!rY"</f>
        <v>#VALUE!</v>
      </c>
      <c r="CO76" s="58" t="e">
        <f>CVEs_Intel!E38+"$5F&amp;!rZ"</f>
        <v>#VALUE!</v>
      </c>
      <c r="CP76" s="58" t="e">
        <f>CVEs_Intel!F38+"$5F&amp;!r["</f>
        <v>#VALUE!</v>
      </c>
      <c r="CQ76" s="58" t="e">
        <f>CVEs_Intel!G38+"$5F&amp;!r\"</f>
        <v>#VALUE!</v>
      </c>
      <c r="CR76" t="e">
        <f>CVEs_Intel!H38+"$5F&amp;!r]"</f>
        <v>#VALUE!</v>
      </c>
      <c r="CS76" t="e">
        <f>CVEs_Intel!I38+"$5F&amp;!r^"</f>
        <v>#VALUE!</v>
      </c>
      <c r="CT76" t="e">
        <f>CVEs_Intel!K38+"$5F&amp;!r_"</f>
        <v>#VALUE!</v>
      </c>
      <c r="CU76" t="e">
        <f>CVEs_Intel!L38+"$5F&amp;!r`"</f>
        <v>#VALUE!</v>
      </c>
      <c r="CV76" t="e">
        <f>CVEs_Intel!R38+"$5F&amp;!ra"</f>
        <v>#VALUE!</v>
      </c>
      <c r="CW76" t="e">
        <f>CVEs_Intel!S38+"$5F&amp;!rb"</f>
        <v>#VALUE!</v>
      </c>
      <c r="CX76" t="e">
        <f>CVEs_Intel!T38+"$5F&amp;!rc"</f>
        <v>#VALUE!</v>
      </c>
      <c r="CY76" t="e">
        <f>CVEs_Intel!U38+"$5F&amp;!rd"</f>
        <v>#VALUE!</v>
      </c>
      <c r="CZ76" t="e">
        <f>CVEs_Intel!V38+"$5F&amp;!re"</f>
        <v>#VALUE!</v>
      </c>
      <c r="DA76" t="e">
        <f>CVEs_Intel!W38+"$5F&amp;!rf"</f>
        <v>#VALUE!</v>
      </c>
      <c r="DB76" t="e">
        <f>CVEs_Intel!X38+"$5F&amp;!rg"</f>
        <v>#VALUE!</v>
      </c>
      <c r="DC76" t="e">
        <f>CVEs_Intel!A39+"$5F&amp;!rh"</f>
        <v>#VALUE!</v>
      </c>
      <c r="DD76" t="e">
        <f>CVEs_Intel!B39+"$5F&amp;!ri"</f>
        <v>#VALUE!</v>
      </c>
      <c r="DE76" t="e">
        <f>CVEs_Intel!C39+"$5F&amp;!rj"</f>
        <v>#VALUE!</v>
      </c>
      <c r="DF76" s="57" t="e">
        <f>CVEs_Intel!D39+"$5F&amp;!rk"</f>
        <v>#VALUE!</v>
      </c>
      <c r="DG76" s="58" t="e">
        <f>CVEs_Intel!E39+"$5F&amp;!rl"</f>
        <v>#VALUE!</v>
      </c>
      <c r="DH76" s="58" t="e">
        <f>CVEs_Intel!F39+"$5F&amp;!rm"</f>
        <v>#VALUE!</v>
      </c>
      <c r="DI76" s="58" t="e">
        <f>CVEs_Intel!G39+"$5F&amp;!rn"</f>
        <v>#VALUE!</v>
      </c>
      <c r="DJ76" t="e">
        <f>CVEs_Intel!H39+"$5F&amp;!ro"</f>
        <v>#VALUE!</v>
      </c>
      <c r="DK76" t="e">
        <f>CVEs_Intel!I39+"$5F&amp;!rp"</f>
        <v>#VALUE!</v>
      </c>
      <c r="DL76" t="e">
        <f>CVEs_Intel!K39+"$5F&amp;!rq"</f>
        <v>#VALUE!</v>
      </c>
      <c r="DM76" t="e">
        <f>CVEs_Intel!L39+"$5F&amp;!rr"</f>
        <v>#VALUE!</v>
      </c>
      <c r="DN76" t="e">
        <f>CVEs_Intel!R39+"$5F&amp;!rs"</f>
        <v>#VALUE!</v>
      </c>
      <c r="DO76" t="e">
        <f>CVEs_Intel!S39+"$5F&amp;!rt"</f>
        <v>#VALUE!</v>
      </c>
      <c r="DP76" t="e">
        <f>CVEs_Intel!T39+"$5F&amp;!ru"</f>
        <v>#VALUE!</v>
      </c>
      <c r="DQ76" t="e">
        <f>CVEs_Intel!U39+"$5F&amp;!rv"</f>
        <v>#VALUE!</v>
      </c>
      <c r="DR76" t="e">
        <f>CVEs_Intel!V39+"$5F&amp;!rw"</f>
        <v>#VALUE!</v>
      </c>
      <c r="DS76" t="e">
        <f>CVEs_Intel!W39+"$5F&amp;!rx"</f>
        <v>#VALUE!</v>
      </c>
      <c r="DT76" t="e">
        <f>CVEs_Intel!X39+"$5F&amp;!ry"</f>
        <v>#VALUE!</v>
      </c>
      <c r="DU76" t="e">
        <f>CVEs_Intel!A40+"$5F&amp;!rz"</f>
        <v>#VALUE!</v>
      </c>
      <c r="DV76" t="e">
        <f>CVEs_Intel!B40+"$5F&amp;!r{"</f>
        <v>#VALUE!</v>
      </c>
      <c r="DW76" t="e">
        <f>CVEs_Intel!C40+"$5F&amp;!r|"</f>
        <v>#VALUE!</v>
      </c>
      <c r="DX76" s="57" t="e">
        <f>CVEs_Intel!D40+"$5F&amp;!r}"</f>
        <v>#VALUE!</v>
      </c>
      <c r="DY76" s="58" t="e">
        <f>CVEs_Intel!E40+"$5F&amp;!r~"</f>
        <v>#VALUE!</v>
      </c>
      <c r="DZ76" s="58" t="e">
        <f>CVEs_Intel!F40+"$5F&amp;!s#"</f>
        <v>#VALUE!</v>
      </c>
      <c r="EA76" s="58" t="e">
        <f>CVEs_Intel!G40+"$5F&amp;!s$"</f>
        <v>#VALUE!</v>
      </c>
      <c r="EB76" t="e">
        <f>CVEs_Intel!H40+"$5F&amp;!s%"</f>
        <v>#VALUE!</v>
      </c>
      <c r="EC76" t="e">
        <f>CVEs_Intel!I40+"$5F&amp;!s&amp;"</f>
        <v>#VALUE!</v>
      </c>
      <c r="ED76" t="e">
        <f>CVEs_Intel!K40+"$5F&amp;!s'"</f>
        <v>#VALUE!</v>
      </c>
      <c r="EE76" t="e">
        <f>CVEs_Intel!L40+"$5F&amp;!s("</f>
        <v>#VALUE!</v>
      </c>
      <c r="EF76" t="e">
        <f>CVEs_Intel!R40+"$5F&amp;!s)"</f>
        <v>#VALUE!</v>
      </c>
      <c r="EG76" t="e">
        <f>CVEs_Intel!S40+"$5F&amp;!s."</f>
        <v>#VALUE!</v>
      </c>
      <c r="EH76" t="e">
        <f>CVEs_Intel!T40+"$5F&amp;!s/"</f>
        <v>#VALUE!</v>
      </c>
      <c r="EI76" t="e">
        <f>CVEs_Intel!U40+"$5F&amp;!s0"</f>
        <v>#VALUE!</v>
      </c>
      <c r="EJ76" t="e">
        <f>CVEs_Intel!V40+"$5F&amp;!s1"</f>
        <v>#VALUE!</v>
      </c>
      <c r="EK76" t="e">
        <f>CVEs_Intel!W40+"$5F&amp;!s2"</f>
        <v>#VALUE!</v>
      </c>
      <c r="EL76" t="e">
        <f>CVEs_Intel!X40+"$5F&amp;!s3"</f>
        <v>#VALUE!</v>
      </c>
      <c r="EM76" t="e">
        <f>CVEs_Intel!A41+"$5F&amp;!s4"</f>
        <v>#VALUE!</v>
      </c>
      <c r="EN76" t="e">
        <f>CVEs_Intel!B41+"$5F&amp;!s5"</f>
        <v>#VALUE!</v>
      </c>
      <c r="EO76" t="e">
        <f>CVEs_Intel!C41+"$5F&amp;!s6"</f>
        <v>#VALUE!</v>
      </c>
      <c r="EP76" s="57" t="e">
        <f>CVEs_Intel!D41+"$5F&amp;!s7"</f>
        <v>#VALUE!</v>
      </c>
      <c r="EQ76" s="58" t="e">
        <f>CVEs_Intel!E41+"$5F&amp;!s8"</f>
        <v>#VALUE!</v>
      </c>
      <c r="ER76" s="58" t="e">
        <f>CVEs_Intel!F41+"$5F&amp;!s9"</f>
        <v>#VALUE!</v>
      </c>
      <c r="ES76" s="58" t="e">
        <f>CVEs_Intel!G41+"$5F&amp;!s:"</f>
        <v>#VALUE!</v>
      </c>
      <c r="ET76" t="e">
        <f>CVEs_Intel!H41+"$5F&amp;!s;"</f>
        <v>#VALUE!</v>
      </c>
      <c r="EU76" t="e">
        <f>CVEs_Intel!I41+"$5F&amp;!s&lt;"</f>
        <v>#VALUE!</v>
      </c>
      <c r="EV76" t="e">
        <f>CVEs_Intel!K41+"$5F&amp;!s="</f>
        <v>#VALUE!</v>
      </c>
      <c r="EW76" t="e">
        <f>CVEs_Intel!L41+"$5F&amp;!s&gt;"</f>
        <v>#VALUE!</v>
      </c>
      <c r="EX76" t="e">
        <f>CVEs_Intel!R41+"$5F&amp;!s?"</f>
        <v>#VALUE!</v>
      </c>
      <c r="EY76" t="e">
        <f>CVEs_Intel!S41+"$5F&amp;!s@"</f>
        <v>#VALUE!</v>
      </c>
      <c r="EZ76" t="e">
        <f>CVEs_Intel!T41+"$5F&amp;!sA"</f>
        <v>#VALUE!</v>
      </c>
      <c r="FA76" t="e">
        <f>CVEs_Intel!U41+"$5F&amp;!sB"</f>
        <v>#VALUE!</v>
      </c>
      <c r="FB76" t="e">
        <f>CVEs_Intel!V41+"$5F&amp;!sC"</f>
        <v>#VALUE!</v>
      </c>
      <c r="FC76" t="e">
        <f>CVEs_Intel!W41+"$5F&amp;!sD"</f>
        <v>#VALUE!</v>
      </c>
      <c r="FD76" t="e">
        <f>CVEs_Intel!X41+"$5F&amp;!sE"</f>
        <v>#VALUE!</v>
      </c>
      <c r="FE76" t="e">
        <f>CVEs_Intel!A42+"$5F&amp;!sF"</f>
        <v>#VALUE!</v>
      </c>
      <c r="FF76" t="e">
        <f>CVEs_Intel!B42+"$5F&amp;!sG"</f>
        <v>#VALUE!</v>
      </c>
      <c r="FG76" t="e">
        <f>CVEs_Intel!C42+"$5F&amp;!sH"</f>
        <v>#VALUE!</v>
      </c>
      <c r="FH76" s="57" t="e">
        <f>CVEs_Intel!D42+"$5F&amp;!sI"</f>
        <v>#VALUE!</v>
      </c>
      <c r="FI76" s="58" t="e">
        <f>CVEs_Intel!E42+"$5F&amp;!sJ"</f>
        <v>#VALUE!</v>
      </c>
      <c r="FJ76" s="58" t="e">
        <f>CVEs_Intel!F42+"$5F&amp;!sK"</f>
        <v>#VALUE!</v>
      </c>
      <c r="FK76" s="58" t="e">
        <f>CVEs_Intel!G42+"$5F&amp;!sL"</f>
        <v>#VALUE!</v>
      </c>
      <c r="FL76" t="e">
        <f>CVEs_Intel!H42+"$5F&amp;!sM"</f>
        <v>#VALUE!</v>
      </c>
      <c r="FM76" t="e">
        <f>CVEs_Intel!I42+"$5F&amp;!sN"</f>
        <v>#VALUE!</v>
      </c>
      <c r="FN76" t="e">
        <f>CVEs_Intel!K42+"$5F&amp;!sO"</f>
        <v>#VALUE!</v>
      </c>
      <c r="FO76" t="e">
        <f>CVEs_Intel!L42+"$5F&amp;!sP"</f>
        <v>#VALUE!</v>
      </c>
      <c r="FP76" t="e">
        <f>CVEs_Intel!R42+"$5F&amp;!sQ"</f>
        <v>#VALUE!</v>
      </c>
      <c r="FQ76" t="e">
        <f>CVEs_Intel!S42+"$5F&amp;!sR"</f>
        <v>#VALUE!</v>
      </c>
      <c r="FR76" t="e">
        <f>CVEs_Intel!T42+"$5F&amp;!sS"</f>
        <v>#VALUE!</v>
      </c>
      <c r="FS76" t="e">
        <f>CVEs_Intel!U42+"$5F&amp;!sT"</f>
        <v>#VALUE!</v>
      </c>
      <c r="FT76" t="e">
        <f>CVEs_Intel!V42+"$5F&amp;!sU"</f>
        <v>#VALUE!</v>
      </c>
      <c r="FU76" t="e">
        <f>CVEs_Intel!W42+"$5F&amp;!sV"</f>
        <v>#VALUE!</v>
      </c>
      <c r="FV76" t="e">
        <f>CVEs_Intel!X42+"$5F&amp;!sW"</f>
        <v>#VALUE!</v>
      </c>
      <c r="FW76" t="e">
        <f>Drop_Downs!H39+"$5F&amp;!sX"</f>
        <v>#VALUE!</v>
      </c>
      <c r="FX76" t="e">
        <f>Drop_Downs!I39+"$5F&amp;!sY"</f>
        <v>#VALUE!</v>
      </c>
      <c r="FY76" t="e">
        <f>#REF!-"$5F&amp;!sZ"</f>
        <v>#REF!</v>
      </c>
      <c r="FZ76" t="e">
        <f>#REF!+"$5F&amp;!s["</f>
        <v>#REF!</v>
      </c>
      <c r="GA76" t="e">
        <f>CAPEC!B:B*"$5F&amp;!s\"</f>
        <v>#VALUE!</v>
      </c>
      <c r="GB76" t="e">
        <f>CAPEC!B1+"$5F&amp;!s]"</f>
        <v>#VALUE!</v>
      </c>
      <c r="GC76" t="e">
        <f>CAPEC!B2+"$5F&amp;!s^"</f>
        <v>#VALUE!</v>
      </c>
      <c r="GD76" t="e">
        <f>CAPEC!B3+"$5F&amp;!s_"</f>
        <v>#VALUE!</v>
      </c>
      <c r="GE76" t="e">
        <f>CAPEC!B5+"$5F&amp;!s`"</f>
        <v>#VALUE!</v>
      </c>
      <c r="GF76" t="e">
        <f>CAPEC!B6+"$5F&amp;!sa"</f>
        <v>#VALUE!</v>
      </c>
      <c r="GG76" t="e">
        <f>CAPEC!B7+"$5F&amp;!sb"</f>
        <v>#VALUE!</v>
      </c>
      <c r="GH76" t="e">
        <f>CAPEC!B8+"$5F&amp;!sc"</f>
        <v>#VALUE!</v>
      </c>
      <c r="GI76" t="e">
        <f>CAPEC!B9+"$5F&amp;!sd"</f>
        <v>#VALUE!</v>
      </c>
      <c r="GJ76" t="e">
        <f>CAPEC!B10+"$5F&amp;!se"</f>
        <v>#VALUE!</v>
      </c>
      <c r="GK76" t="e">
        <f>CAPEC!B11+"$5F&amp;!sf"</f>
        <v>#VALUE!</v>
      </c>
      <c r="GL76" t="e">
        <f>CAPEC!B12+"$5F&amp;!sg"</f>
        <v>#VALUE!</v>
      </c>
      <c r="GM76" t="e">
        <f>CAPEC!B13+"$5F&amp;!sh"</f>
        <v>#VALUE!</v>
      </c>
      <c r="GN76" t="e">
        <f>CAPEC!B14+"$5F&amp;!si"</f>
        <v>#VALUE!</v>
      </c>
      <c r="GO76" t="e">
        <f>CAPEC!B15+"$5F&amp;!sj"</f>
        <v>#VALUE!</v>
      </c>
      <c r="GP76" t="e">
        <f>CAPEC!B16+"$5F&amp;!sk"</f>
        <v>#VALUE!</v>
      </c>
      <c r="GQ76" t="e">
        <f>CAPEC!B17+"$5F&amp;!sl"</f>
        <v>#VALUE!</v>
      </c>
      <c r="GR76" t="e">
        <f>CAPEC!B18+"$5F&amp;!sm"</f>
        <v>#VALUE!</v>
      </c>
      <c r="GS76" t="e">
        <f>CAPEC!B19+"$5F&amp;!sn"</f>
        <v>#VALUE!</v>
      </c>
      <c r="GT76" t="e">
        <f>CAPEC!B20+"$5F&amp;!so"</f>
        <v>#VALUE!</v>
      </c>
      <c r="GU76" t="e">
        <f>CAPEC!B21+"$5F&amp;!sp"</f>
        <v>#VALUE!</v>
      </c>
      <c r="GV76" t="e">
        <f>CAPEC!B22+"$5F&amp;!sq"</f>
        <v>#VALUE!</v>
      </c>
      <c r="GW76" t="e">
        <f>CAPEC!B23+"$5F&amp;!sr"</f>
        <v>#VALUE!</v>
      </c>
      <c r="GX76" t="e">
        <f>CAPEC!B24+"$5F&amp;!ss"</f>
        <v>#VALUE!</v>
      </c>
      <c r="GY76" t="e">
        <f>CAPEC!B25+"$5F&amp;!st"</f>
        <v>#VALUE!</v>
      </c>
      <c r="GZ76" t="e">
        <f>CAPEC!B26+"$5F&amp;!su"</f>
        <v>#VALUE!</v>
      </c>
      <c r="HA76" t="e">
        <f>CAPEC!B27+"$5F&amp;!sv"</f>
        <v>#VALUE!</v>
      </c>
      <c r="HB76" t="e">
        <f>CAPEC!B28+"$5F&amp;!sw"</f>
        <v>#VALUE!</v>
      </c>
      <c r="HC76" t="e">
        <f>CAPEC!B29+"$5F&amp;!sx"</f>
        <v>#VALUE!</v>
      </c>
      <c r="HD76" t="e">
        <f>CAPEC!B30+"$5F&amp;!sy"</f>
        <v>#VALUE!</v>
      </c>
      <c r="HE76" t="e">
        <f>CAPEC!B31+"$5F&amp;!sz"</f>
        <v>#VALUE!</v>
      </c>
      <c r="HF76" t="e">
        <f>CAPEC!B32+"$5F&amp;!s{"</f>
        <v>#VALUE!</v>
      </c>
      <c r="HG76" t="e">
        <f>CAPEC!B33+"$5F&amp;!s|"</f>
        <v>#VALUE!</v>
      </c>
      <c r="HH76" t="e">
        <f>CAPEC!B34+"$5F&amp;!s}"</f>
        <v>#VALUE!</v>
      </c>
      <c r="HI76" t="e">
        <f>CAPEC!B35+"$5F&amp;!s~"</f>
        <v>#VALUE!</v>
      </c>
      <c r="HJ76" t="e">
        <f>CAPEC!B36+"$5F&amp;!t#"</f>
        <v>#VALUE!</v>
      </c>
      <c r="HK76" t="e">
        <f>CAPEC!B37+"$5F&amp;!t$"</f>
        <v>#VALUE!</v>
      </c>
      <c r="HL76" t="e">
        <f>CAPEC!B38+"$5F&amp;!t%"</f>
        <v>#VALUE!</v>
      </c>
      <c r="HM76" t="e">
        <f>CAPEC!B39+"$5F&amp;!t&amp;"</f>
        <v>#VALUE!</v>
      </c>
      <c r="HN76" t="e">
        <f>CAPEC!B40+"$5F&amp;!t'"</f>
        <v>#VALUE!</v>
      </c>
      <c r="HO76" t="e">
        <f>CAPEC!B41+"$5F&amp;!t("</f>
        <v>#VALUE!</v>
      </c>
      <c r="HP76" t="e">
        <f>CAPEC!B42+"$5F&amp;!t)"</f>
        <v>#VALUE!</v>
      </c>
      <c r="HQ76" t="e">
        <f>CAPEC!B43+"$5F&amp;!t."</f>
        <v>#VALUE!</v>
      </c>
      <c r="HR76" t="e">
        <f>CAPEC!B44+"$5F&amp;!t/"</f>
        <v>#VALUE!</v>
      </c>
      <c r="HS76" t="e">
        <f>CAPEC!B45+"$5F&amp;!t0"</f>
        <v>#VALUE!</v>
      </c>
      <c r="HT76" t="e">
        <f>CAPEC!B46+"$5F&amp;!t1"</f>
        <v>#VALUE!</v>
      </c>
      <c r="HU76" t="e">
        <f>CAPEC!B47+"$5F&amp;!t2"</f>
        <v>#VALUE!</v>
      </c>
      <c r="HV76" t="e">
        <f>CAPEC!B48+"$5F&amp;!t3"</f>
        <v>#VALUE!</v>
      </c>
      <c r="HW76" t="e">
        <f>CAPEC!B49+"$5F&amp;!t4"</f>
        <v>#VALUE!</v>
      </c>
      <c r="HX76" t="e">
        <f>CAPEC!B50+"$5F&amp;!t5"</f>
        <v>#VALUE!</v>
      </c>
      <c r="HY76" t="e">
        <f>CAPEC!B51+"$5F&amp;!t6"</f>
        <v>#VALUE!</v>
      </c>
      <c r="HZ76" t="e">
        <f>CAPEC!B52+"$5F&amp;!t7"</f>
        <v>#VALUE!</v>
      </c>
      <c r="IA76" t="e">
        <f>CAPEC!B53+"$5F&amp;!t8"</f>
        <v>#VALUE!</v>
      </c>
      <c r="IB76" t="e">
        <f>CAPEC!B54+"$5F&amp;!t9"</f>
        <v>#VALUE!</v>
      </c>
      <c r="IC76" t="e">
        <f>CAPEC!B55+"$5F&amp;!t:"</f>
        <v>#VALUE!</v>
      </c>
      <c r="ID76" t="e">
        <f>CAPEC!B56+"$5F&amp;!t;"</f>
        <v>#VALUE!</v>
      </c>
      <c r="IE76" t="e">
        <f>CAPEC!B57+"$5F&amp;!t&lt;"</f>
        <v>#VALUE!</v>
      </c>
      <c r="IF76" t="e">
        <f>CAPEC!B58+"$5F&amp;!t="</f>
        <v>#VALUE!</v>
      </c>
      <c r="IG76" t="e">
        <f>CAPEC!B59+"$5F&amp;!t&gt;"</f>
        <v>#VALUE!</v>
      </c>
      <c r="IH76" t="e">
        <f>CAPEC!B60+"$5F&amp;!t?"</f>
        <v>#VALUE!</v>
      </c>
      <c r="II76" t="e">
        <f>CAPEC!B61+"$5F&amp;!t@"</f>
        <v>#VALUE!</v>
      </c>
      <c r="IJ76" t="e">
        <f>CAPEC!B62+"$5F&amp;!tA"</f>
        <v>#VALUE!</v>
      </c>
      <c r="IK76" t="e">
        <f>CAPEC!B63+"$5F&amp;!tB"</f>
        <v>#VALUE!</v>
      </c>
      <c r="IL76" t="e">
        <f>CAPEC!B64+"$5F&amp;!tC"</f>
        <v>#VALUE!</v>
      </c>
      <c r="IM76" t="e">
        <f>CAPEC!B65+"$5F&amp;!tD"</f>
        <v>#VALUE!</v>
      </c>
      <c r="IN76" t="e">
        <f>CAPEC!B66+"$5F&amp;!tE"</f>
        <v>#VALUE!</v>
      </c>
      <c r="IO76" t="e">
        <f>CAPEC!B67+"$5F&amp;!tF"</f>
        <v>#VALUE!</v>
      </c>
      <c r="IP76" t="e">
        <f>CAPEC!B68+"$5F&amp;!tG"</f>
        <v>#VALUE!</v>
      </c>
      <c r="IQ76" t="e">
        <f>CAPEC!B69+"$5F&amp;!tH"</f>
        <v>#VALUE!</v>
      </c>
      <c r="IR76" t="e">
        <f>CAPEC!B70+"$5F&amp;!tI"</f>
        <v>#VALUE!</v>
      </c>
      <c r="IS76" t="e">
        <f>CAPEC!B71+"$5F&amp;!tJ"</f>
        <v>#VALUE!</v>
      </c>
      <c r="IT76" t="e">
        <f>CAPEC!B72+"$5F&amp;!tK"</f>
        <v>#VALUE!</v>
      </c>
      <c r="IU76" t="e">
        <f>CAPEC!B73+"$5F&amp;!tL"</f>
        <v>#VALUE!</v>
      </c>
      <c r="IV76" t="e">
        <f>CAPEC!B74+"$5F&amp;!tM"</f>
        <v>#VALUE!</v>
      </c>
    </row>
    <row r="77" spans="6:256" x14ac:dyDescent="0.25">
      <c r="F77" t="e">
        <f>CAPEC!B75+"$5F&amp;!tN"</f>
        <v>#VALUE!</v>
      </c>
      <c r="G77" t="e">
        <f>CAPEC!B76+"$5F&amp;!tO"</f>
        <v>#VALUE!</v>
      </c>
      <c r="H77" t="e">
        <f>CAPEC!B77+"$5F&amp;!tP"</f>
        <v>#VALUE!</v>
      </c>
      <c r="I77" t="e">
        <f>CAPEC!B78+"$5F&amp;!tQ"</f>
        <v>#VALUE!</v>
      </c>
      <c r="J77" t="e">
        <f>CAPEC!B79+"$5F&amp;!tR"</f>
        <v>#VALUE!</v>
      </c>
      <c r="K77" t="e">
        <f>CAPEC!B80+"$5F&amp;!tS"</f>
        <v>#VALUE!</v>
      </c>
      <c r="L77" t="e">
        <f>CAPEC!B81+"$5F&amp;!tT"</f>
        <v>#VALUE!</v>
      </c>
      <c r="M77" t="e">
        <f>CAPEC!B82+"$5F&amp;!tU"</f>
        <v>#VALUE!</v>
      </c>
      <c r="N77" t="e">
        <f>CAPEC!B83+"$5F&amp;!tV"</f>
        <v>#VALUE!</v>
      </c>
      <c r="O77" t="e">
        <f>CAPEC!B84+"$5F&amp;!tW"</f>
        <v>#VALUE!</v>
      </c>
      <c r="P77" t="e">
        <f>CAPEC!B85+"$5F&amp;!tX"</f>
        <v>#VALUE!</v>
      </c>
      <c r="Q77" t="e">
        <f>CAPEC!B86+"$5F&amp;!tY"</f>
        <v>#VALUE!</v>
      </c>
      <c r="R77" t="e">
        <f>CAPEC!B87+"$5F&amp;!tZ"</f>
        <v>#VALUE!</v>
      </c>
      <c r="S77" t="e">
        <f>CAPEC!B88+"$5F&amp;!t["</f>
        <v>#VALUE!</v>
      </c>
      <c r="T77" t="e">
        <f>CAPEC!B89+"$5F&amp;!t\"</f>
        <v>#VALUE!</v>
      </c>
      <c r="U77" t="e">
        <f>CAPEC!B90+"$5F&amp;!t]"</f>
        <v>#VALUE!</v>
      </c>
      <c r="V77" t="e">
        <f>CAPEC!B91+"$5F&amp;!t^"</f>
        <v>#VALUE!</v>
      </c>
      <c r="W77" t="e">
        <f>CAPEC!B92+"$5F&amp;!t_"</f>
        <v>#VALUE!</v>
      </c>
      <c r="X77" t="e">
        <f>CAPEC!B93+"$5F&amp;!t`"</f>
        <v>#VALUE!</v>
      </c>
      <c r="Y77" t="e">
        <f>CAPEC!B94+"$5F&amp;!ta"</f>
        <v>#VALUE!</v>
      </c>
      <c r="Z77" t="e">
        <f>CAPEC!B95+"$5F&amp;!tb"</f>
        <v>#VALUE!</v>
      </c>
      <c r="AA77" t="e">
        <f>CAPEC!B96+"$5F&amp;!tc"</f>
        <v>#VALUE!</v>
      </c>
      <c r="AB77" t="e">
        <f>CAPEC!B97+"$5F&amp;!td"</f>
        <v>#VALUE!</v>
      </c>
      <c r="AC77" t="e">
        <f>CAPEC!B98+"$5F&amp;!te"</f>
        <v>#VALUE!</v>
      </c>
      <c r="AD77" t="e">
        <f>CAPEC!B99+"$5F&amp;!tf"</f>
        <v>#VALUE!</v>
      </c>
      <c r="AE77" t="e">
        <f>CAPEC!B100+"$5F&amp;!tg"</f>
        <v>#VALUE!</v>
      </c>
      <c r="AF77" t="e">
        <f>CAPEC!B101+"$5F&amp;!th"</f>
        <v>#VALUE!</v>
      </c>
      <c r="AG77" t="e">
        <f>CAPEC!B102+"$5F&amp;!ti"</f>
        <v>#VALUE!</v>
      </c>
      <c r="AH77" t="e">
        <f>CAPEC!B103+"$5F&amp;!tj"</f>
        <v>#VALUE!</v>
      </c>
      <c r="AI77" t="e">
        <f>CAPEC!B104+"$5F&amp;!tk"</f>
        <v>#VALUE!</v>
      </c>
      <c r="AJ77" t="e">
        <f>CAPEC!B105+"$5F&amp;!tl"</f>
        <v>#VALUE!</v>
      </c>
      <c r="AK77" t="e">
        <f>CAPEC!B106+"$5F&amp;!tm"</f>
        <v>#VALUE!</v>
      </c>
      <c r="AL77" t="e">
        <f>CAPEC!B107+"$5F&amp;!tn"</f>
        <v>#VALUE!</v>
      </c>
      <c r="AM77" t="e">
        <f>CAPEC!B108+"$5F&amp;!to"</f>
        <v>#VALUE!</v>
      </c>
      <c r="AN77" t="e">
        <f>CAPEC!B109+"$5F&amp;!tp"</f>
        <v>#VALUE!</v>
      </c>
      <c r="AO77" t="e">
        <f>CAPEC!B110+"$5F&amp;!tq"</f>
        <v>#VALUE!</v>
      </c>
      <c r="AP77" t="e">
        <f>CAPEC!B111+"$5F&amp;!tr"</f>
        <v>#VALUE!</v>
      </c>
      <c r="AQ77" t="e">
        <f>CAPEC!B112+"$5F&amp;!ts"</f>
        <v>#VALUE!</v>
      </c>
      <c r="AR77" t="e">
        <f>CAPEC!B113+"$5F&amp;!tt"</f>
        <v>#VALUE!</v>
      </c>
      <c r="AS77" t="e">
        <f>CAPEC!B114+"$5F&amp;!tu"</f>
        <v>#VALUE!</v>
      </c>
      <c r="AT77" t="e">
        <f>CAPEC!B115+"$5F&amp;!tv"</f>
        <v>#VALUE!</v>
      </c>
      <c r="AU77" t="e">
        <f>CAPEC!B116+"$5F&amp;!tw"</f>
        <v>#VALUE!</v>
      </c>
      <c r="AV77" t="e">
        <f>CAPEC!B117+"$5F&amp;!tx"</f>
        <v>#VALUE!</v>
      </c>
      <c r="AW77" t="e">
        <f>CAPEC!B118+"$5F&amp;!ty"</f>
        <v>#VALUE!</v>
      </c>
      <c r="AX77" t="e">
        <f>CAPEC!B119+"$5F&amp;!tz"</f>
        <v>#VALUE!</v>
      </c>
      <c r="AY77" t="e">
        <f>CAPEC!B120+"$5F&amp;!t{"</f>
        <v>#VALUE!</v>
      </c>
      <c r="AZ77" t="e">
        <f>CAPEC!B121+"$5F&amp;!t|"</f>
        <v>#VALUE!</v>
      </c>
      <c r="BA77" t="e">
        <f>CAPEC!B122+"$5F&amp;!t}"</f>
        <v>#VALUE!</v>
      </c>
      <c r="BB77" t="e">
        <f>CAPEC!B123+"$5F&amp;!t~"</f>
        <v>#VALUE!</v>
      </c>
      <c r="BC77" t="e">
        <f>CAPEC!B124+"$5F&amp;!u#"</f>
        <v>#VALUE!</v>
      </c>
      <c r="BD77" t="e">
        <f>CAPEC!B125+"$5F&amp;!u$"</f>
        <v>#VALUE!</v>
      </c>
      <c r="BE77" t="e">
        <f>CAPEC!B126+"$5F&amp;!u%"</f>
        <v>#VALUE!</v>
      </c>
      <c r="BF77" t="e">
        <f>CAPEC!B127+"$5F&amp;!u&amp;"</f>
        <v>#VALUE!</v>
      </c>
      <c r="BG77" t="e">
        <f>CAPEC!B128+"$5F&amp;!u'"</f>
        <v>#VALUE!</v>
      </c>
      <c r="BH77" t="e">
        <f>CAPEC!B129+"$5F&amp;!u("</f>
        <v>#VALUE!</v>
      </c>
      <c r="BI77" t="e">
        <f>CAPEC!B130+"$5F&amp;!u)"</f>
        <v>#VALUE!</v>
      </c>
      <c r="BJ77" t="e">
        <f>CAPEC!B131+"$5F&amp;!u."</f>
        <v>#VALUE!</v>
      </c>
      <c r="BK77" t="e">
        <f>CAPEC!B132+"$5F&amp;!u/"</f>
        <v>#VALUE!</v>
      </c>
      <c r="BL77" t="e">
        <f>CAPEC!B133+"$5F&amp;!u0"</f>
        <v>#VALUE!</v>
      </c>
      <c r="BM77" t="e">
        <f>CAPEC!B134+"$5F&amp;!u1"</f>
        <v>#VALUE!</v>
      </c>
      <c r="BN77" t="e">
        <f>CAPEC!B135+"$5F&amp;!u2"</f>
        <v>#VALUE!</v>
      </c>
      <c r="BO77" t="e">
        <f>CAPEC!B136+"$5F&amp;!u3"</f>
        <v>#VALUE!</v>
      </c>
      <c r="BP77" t="e">
        <f>CAPEC!B137+"$5F&amp;!u4"</f>
        <v>#VALUE!</v>
      </c>
      <c r="BQ77" t="e">
        <f>CAPEC!B138+"$5F&amp;!u5"</f>
        <v>#VALUE!</v>
      </c>
      <c r="BR77" t="e">
        <f>CAPEC!B139+"$5F&amp;!u6"</f>
        <v>#VALUE!</v>
      </c>
      <c r="BS77" t="e">
        <f>CAPEC!B140+"$5F&amp;!u7"</f>
        <v>#VALUE!</v>
      </c>
      <c r="BT77" t="e">
        <f>CAPEC!B141+"$5F&amp;!u8"</f>
        <v>#VALUE!</v>
      </c>
      <c r="BU77" t="e">
        <f>CAPEC!B142+"$5F&amp;!u9"</f>
        <v>#VALUE!</v>
      </c>
      <c r="BV77" t="e">
        <f>CAPEC!B143+"$5F&amp;!u:"</f>
        <v>#VALUE!</v>
      </c>
      <c r="BW77" t="e">
        <f>CAPEC!B144+"$5F&amp;!u;"</f>
        <v>#VALUE!</v>
      </c>
      <c r="BX77" t="e">
        <f>CAPEC!B145+"$5F&amp;!u&lt;"</f>
        <v>#VALUE!</v>
      </c>
      <c r="BY77" t="e">
        <f>CAPEC!B146+"$5F&amp;!u="</f>
        <v>#VALUE!</v>
      </c>
      <c r="BZ77" t="e">
        <f>CAPEC!B147+"$5F&amp;!u&gt;"</f>
        <v>#VALUE!</v>
      </c>
      <c r="CA77" t="e">
        <f>CAPEC!B148+"$5F&amp;!u?"</f>
        <v>#VALUE!</v>
      </c>
      <c r="CB77" t="e">
        <f>CAPEC!B149+"$5F&amp;!u@"</f>
        <v>#VALUE!</v>
      </c>
      <c r="CC77" t="e">
        <f>CAPEC!B150+"$5F&amp;!uA"</f>
        <v>#VALUE!</v>
      </c>
      <c r="CD77" t="e">
        <f>CAPEC!B151+"$5F&amp;!uB"</f>
        <v>#VALUE!</v>
      </c>
      <c r="CE77" t="e">
        <f>CAPEC!B152+"$5F&amp;!uC"</f>
        <v>#VALUE!</v>
      </c>
      <c r="CF77" t="e">
        <f>CAPEC!B153+"$5F&amp;!uD"</f>
        <v>#VALUE!</v>
      </c>
      <c r="CG77" t="e">
        <f>CAPEC!B154+"$5F&amp;!uE"</f>
        <v>#VALUE!</v>
      </c>
      <c r="CH77" t="e">
        <f>CAPEC!B155+"$5F&amp;!uF"</f>
        <v>#VALUE!</v>
      </c>
      <c r="CI77" t="e">
        <f>CAPEC!B156+"$5F&amp;!uG"</f>
        <v>#VALUE!</v>
      </c>
      <c r="CJ77" t="e">
        <f>CAPEC!B157+"$5F&amp;!uH"</f>
        <v>#VALUE!</v>
      </c>
      <c r="CK77" t="e">
        <f>CAPEC!B158+"$5F&amp;!uI"</f>
        <v>#VALUE!</v>
      </c>
      <c r="CL77" t="e">
        <f>CAPEC!B159+"$5F&amp;!uJ"</f>
        <v>#VALUE!</v>
      </c>
      <c r="CM77" t="e">
        <f>CAPEC!B160+"$5F&amp;!uK"</f>
        <v>#VALUE!</v>
      </c>
      <c r="CN77" t="e">
        <f>CAPEC!B161+"$5F&amp;!uL"</f>
        <v>#VALUE!</v>
      </c>
      <c r="CO77" t="e">
        <f>CAPEC!B162+"$5F&amp;!uM"</f>
        <v>#VALUE!</v>
      </c>
      <c r="CP77" t="e">
        <f>CAPEC!B163+"$5F&amp;!uN"</f>
        <v>#VALUE!</v>
      </c>
      <c r="CQ77" t="e">
        <f>CAPEC!B164+"$5F&amp;!uO"</f>
        <v>#VALUE!</v>
      </c>
      <c r="CR77" t="e">
        <f>CAPEC!B165+"$5F&amp;!uP"</f>
        <v>#VALUE!</v>
      </c>
      <c r="CS77" t="e">
        <f>CAPEC!B166+"$5F&amp;!uQ"</f>
        <v>#VALUE!</v>
      </c>
      <c r="CT77" t="e">
        <f>CAPEC!B167+"$5F&amp;!uR"</f>
        <v>#VALUE!</v>
      </c>
      <c r="CU77" t="e">
        <f>CAPEC!B168+"$5F&amp;!uS"</f>
        <v>#VALUE!</v>
      </c>
      <c r="CV77" t="e">
        <f>CAPEC!B169+"$5F&amp;!uT"</f>
        <v>#VALUE!</v>
      </c>
      <c r="CW77" t="e">
        <f>CAPEC!B170+"$5F&amp;!uU"</f>
        <v>#VALUE!</v>
      </c>
      <c r="CX77" t="e">
        <f>CAPEC!B171+"$5F&amp;!uV"</f>
        <v>#VALUE!</v>
      </c>
      <c r="CY77" t="e">
        <f>CAPEC!B172+"$5F&amp;!uW"</f>
        <v>#VALUE!</v>
      </c>
      <c r="CZ77" t="e">
        <f>CAPEC!B173+"$5F&amp;!uX"</f>
        <v>#VALUE!</v>
      </c>
      <c r="DA77" t="e">
        <f>CAPEC!B174+"$5F&amp;!uY"</f>
        <v>#VALUE!</v>
      </c>
      <c r="DB77" t="e">
        <f>CAPEC!B175+"$5F&amp;!uZ"</f>
        <v>#VALUE!</v>
      </c>
      <c r="DC77" t="e">
        <f>CAPEC!B176+"$5F&amp;!u["</f>
        <v>#VALUE!</v>
      </c>
      <c r="DD77" t="e">
        <f>CAPEC!B177+"$5F&amp;!u\"</f>
        <v>#VALUE!</v>
      </c>
      <c r="DE77" t="e">
        <f>CAPEC!B178+"$5F&amp;!u]"</f>
        <v>#VALUE!</v>
      </c>
      <c r="DF77" t="e">
        <f>CAPEC!B179+"$5F&amp;!u^"</f>
        <v>#VALUE!</v>
      </c>
      <c r="DG77" t="e">
        <f>CAPEC!B180+"$5F&amp;!u_"</f>
        <v>#VALUE!</v>
      </c>
      <c r="DH77" t="e">
        <f>CAPEC!B181+"$5F&amp;!u`"</f>
        <v>#VALUE!</v>
      </c>
      <c r="DI77" t="e">
        <f>CAPEC!B182+"$5F&amp;!ua"</f>
        <v>#VALUE!</v>
      </c>
      <c r="DJ77" t="e">
        <f>CAPEC!B183+"$5F&amp;!ub"</f>
        <v>#VALUE!</v>
      </c>
      <c r="DK77" t="e">
        <f>CAPEC!B184+"$5F&amp;!uc"</f>
        <v>#VALUE!</v>
      </c>
      <c r="DL77" t="e">
        <f>CAPEC!B185+"$5F&amp;!ud"</f>
        <v>#VALUE!</v>
      </c>
      <c r="DM77" t="e">
        <f>CAPEC!B186+"$5F&amp;!ue"</f>
        <v>#VALUE!</v>
      </c>
      <c r="DN77" t="e">
        <f>CAPEC!B187+"$5F&amp;!uf"</f>
        <v>#VALUE!</v>
      </c>
      <c r="DO77" t="e">
        <f>CAPEC!B188+"$5F&amp;!ug"</f>
        <v>#VALUE!</v>
      </c>
      <c r="DP77" t="e">
        <f>CAPEC!B189+"$5F&amp;!uh"</f>
        <v>#VALUE!</v>
      </c>
      <c r="DQ77" t="e">
        <f>CAPEC!B190+"$5F&amp;!ui"</f>
        <v>#VALUE!</v>
      </c>
      <c r="DR77" t="e">
        <f>CAPEC!B191+"$5F&amp;!uj"</f>
        <v>#VALUE!</v>
      </c>
      <c r="DS77" t="e">
        <f>CAPEC!B192+"$5F&amp;!uk"</f>
        <v>#VALUE!</v>
      </c>
      <c r="DT77" t="e">
        <f>CAPEC!B193+"$5F&amp;!ul"</f>
        <v>#VALUE!</v>
      </c>
      <c r="DU77" t="e">
        <f>CAPEC!B194+"$5F&amp;!um"</f>
        <v>#VALUE!</v>
      </c>
      <c r="DV77" t="e">
        <f>CAPEC!B195+"$5F&amp;!un"</f>
        <v>#VALUE!</v>
      </c>
      <c r="DW77" t="e">
        <f>CAPEC!B196+"$5F&amp;!uo"</f>
        <v>#VALUE!</v>
      </c>
      <c r="DX77" t="e">
        <f>CAPEC!B197+"$5F&amp;!up"</f>
        <v>#VALUE!</v>
      </c>
      <c r="DY77" t="e">
        <f>CAPEC!B198+"$5F&amp;!uq"</f>
        <v>#VALUE!</v>
      </c>
      <c r="DZ77" t="e">
        <f>CAPEC!B199+"$5F&amp;!ur"</f>
        <v>#VALUE!</v>
      </c>
      <c r="EA77" t="e">
        <f>CAPEC!B200+"$5F&amp;!us"</f>
        <v>#VALUE!</v>
      </c>
      <c r="EB77" t="e">
        <f>CAPEC!B201+"$5F&amp;!ut"</f>
        <v>#VALUE!</v>
      </c>
      <c r="EC77" t="e">
        <f>CAPEC!B202+"$5F&amp;!uu"</f>
        <v>#VALUE!</v>
      </c>
      <c r="ED77" t="e">
        <f>CAPEC!B203+"$5F&amp;!uv"</f>
        <v>#VALUE!</v>
      </c>
      <c r="EE77" t="e">
        <f>CAPEC!B204+"$5F&amp;!uw"</f>
        <v>#VALUE!</v>
      </c>
      <c r="EF77" t="e">
        <f>CAPEC!B205+"$5F&amp;!ux"</f>
        <v>#VALUE!</v>
      </c>
      <c r="EG77" t="e">
        <f>CAPEC!B206+"$5F&amp;!uy"</f>
        <v>#VALUE!</v>
      </c>
      <c r="EH77" t="e">
        <f>CAPEC!B207+"$5F&amp;!uz"</f>
        <v>#VALUE!</v>
      </c>
      <c r="EI77" t="e">
        <f>CAPEC!B208+"$5F&amp;!u{"</f>
        <v>#VALUE!</v>
      </c>
      <c r="EJ77" t="e">
        <f>CAPEC!B209+"$5F&amp;!u|"</f>
        <v>#VALUE!</v>
      </c>
      <c r="EK77" t="e">
        <f>CAPEC!B210+"$5F&amp;!u}"</f>
        <v>#VALUE!</v>
      </c>
      <c r="EL77" t="e">
        <f>CAPEC!B211+"$5F&amp;!u~"</f>
        <v>#VALUE!</v>
      </c>
      <c r="EM77" t="e">
        <f>CAPEC!B212+"$5F&amp;!v#"</f>
        <v>#VALUE!</v>
      </c>
      <c r="EN77" t="e">
        <f>CAPEC!B213+"$5F&amp;!v$"</f>
        <v>#VALUE!</v>
      </c>
      <c r="EO77" t="e">
        <f>CAPEC!B214+"$5F&amp;!v%"</f>
        <v>#VALUE!</v>
      </c>
      <c r="EP77" t="e">
        <f>CAPEC!B215+"$5F&amp;!v&amp;"</f>
        <v>#VALUE!</v>
      </c>
      <c r="EQ77" t="e">
        <f>CAPEC!B216+"$5F&amp;!v'"</f>
        <v>#VALUE!</v>
      </c>
      <c r="ER77" t="e">
        <f>CAPEC!B217+"$5F&amp;!v("</f>
        <v>#VALUE!</v>
      </c>
      <c r="ES77" t="e">
        <f>CAPEC!B218+"$5F&amp;!v)"</f>
        <v>#VALUE!</v>
      </c>
      <c r="ET77" t="e">
        <f>CAPEC!B219+"$5F&amp;!v."</f>
        <v>#VALUE!</v>
      </c>
      <c r="EU77" t="e">
        <f>CAPEC!B220+"$5F&amp;!v/"</f>
        <v>#VALUE!</v>
      </c>
      <c r="EV77" t="e">
        <f>CAPEC!B221+"$5F&amp;!v0"</f>
        <v>#VALUE!</v>
      </c>
      <c r="EW77" t="e">
        <f>CAPEC!B222+"$5F&amp;!v1"</f>
        <v>#VALUE!</v>
      </c>
      <c r="EX77" t="e">
        <f>CAPEC!B223+"$5F&amp;!v2"</f>
        <v>#VALUE!</v>
      </c>
      <c r="EY77" t="e">
        <f>CAPEC!B224+"$5F&amp;!v3"</f>
        <v>#VALUE!</v>
      </c>
      <c r="EZ77" t="e">
        <f>CAPEC!B225+"$5F&amp;!v4"</f>
        <v>#VALUE!</v>
      </c>
      <c r="FA77" t="e">
        <f>CAPEC!B226+"$5F&amp;!v5"</f>
        <v>#VALUE!</v>
      </c>
      <c r="FB77" t="e">
        <f>CAPEC!B227+"$5F&amp;!v6"</f>
        <v>#VALUE!</v>
      </c>
      <c r="FC77" t="e">
        <f>CAPEC!B228+"$5F&amp;!v7"</f>
        <v>#VALUE!</v>
      </c>
      <c r="FD77" t="e">
        <f>CAPEC!B229+"$5F&amp;!v8"</f>
        <v>#VALUE!</v>
      </c>
      <c r="FE77" t="e">
        <f>CAPEC!B230+"$5F&amp;!v9"</f>
        <v>#VALUE!</v>
      </c>
      <c r="FF77" t="e">
        <f>CAPEC!B231+"$5F&amp;!v:"</f>
        <v>#VALUE!</v>
      </c>
      <c r="FG77" t="e">
        <f>CAPEC!B232+"$5F&amp;!v;"</f>
        <v>#VALUE!</v>
      </c>
      <c r="FH77" t="e">
        <f>CAPEC!B233+"$5F&amp;!v&lt;"</f>
        <v>#VALUE!</v>
      </c>
      <c r="FI77" t="e">
        <f>CAPEC!B234+"$5F&amp;!v="</f>
        <v>#VALUE!</v>
      </c>
      <c r="FJ77" t="e">
        <f>CAPEC!B235+"$5F&amp;!v&gt;"</f>
        <v>#VALUE!</v>
      </c>
      <c r="FK77" t="e">
        <f>CAPEC!B236+"$5F&amp;!v?"</f>
        <v>#VALUE!</v>
      </c>
      <c r="FL77" t="e">
        <f>CAPEC!B237+"$5F&amp;!v@"</f>
        <v>#VALUE!</v>
      </c>
      <c r="FM77" t="e">
        <f>CAPEC!B238+"$5F&amp;!vA"</f>
        <v>#VALUE!</v>
      </c>
      <c r="FN77" t="e">
        <f>CAPEC!B239+"$5F&amp;!vB"</f>
        <v>#VALUE!</v>
      </c>
      <c r="FO77" t="e">
        <f>CAPEC!B240+"$5F&amp;!vC"</f>
        <v>#VALUE!</v>
      </c>
      <c r="FP77" t="e">
        <f>CAPEC!B241+"$5F&amp;!vD"</f>
        <v>#VALUE!</v>
      </c>
      <c r="FQ77" t="e">
        <f>CAPEC!B242+"$5F&amp;!vE"</f>
        <v>#VALUE!</v>
      </c>
      <c r="FR77" t="e">
        <f>CAPEC!B243+"$5F&amp;!vF"</f>
        <v>#VALUE!</v>
      </c>
      <c r="FS77" t="e">
        <f>CAPEC!B244+"$5F&amp;!vG"</f>
        <v>#VALUE!</v>
      </c>
      <c r="FT77" t="e">
        <f>CAPEC!B245+"$5F&amp;!vH"</f>
        <v>#VALUE!</v>
      </c>
      <c r="FU77" t="e">
        <f>CAPEC!B246+"$5F&amp;!vI"</f>
        <v>#VALUE!</v>
      </c>
      <c r="FV77" t="e">
        <f>CAPEC!B247+"$5F&amp;!vJ"</f>
        <v>#VALUE!</v>
      </c>
      <c r="FW77" t="e">
        <f>CAPEC!B248+"$5F&amp;!vK"</f>
        <v>#VALUE!</v>
      </c>
      <c r="FX77" t="e">
        <f>CAPEC!B249+"$5F&amp;!vL"</f>
        <v>#VALUE!</v>
      </c>
      <c r="FY77" t="e">
        <f>CAPEC!B250+"$5F&amp;!vM"</f>
        <v>#VALUE!</v>
      </c>
      <c r="FZ77" t="e">
        <f>CAPEC!B251+"$5F&amp;!vN"</f>
        <v>#VALUE!</v>
      </c>
      <c r="GA77" t="e">
        <f>CAPEC!B252+"$5F&amp;!vO"</f>
        <v>#VALUE!</v>
      </c>
      <c r="GB77" t="e">
        <f>CAPEC!B253+"$5F&amp;!vP"</f>
        <v>#VALUE!</v>
      </c>
      <c r="GC77" t="e">
        <f>CAPEC!B254+"$5F&amp;!vQ"</f>
        <v>#VALUE!</v>
      </c>
      <c r="GD77" t="e">
        <f>CAPEC!B255+"$5F&amp;!vR"</f>
        <v>#VALUE!</v>
      </c>
      <c r="GE77" t="e">
        <f>CAPEC!B256+"$5F&amp;!vS"</f>
        <v>#VALUE!</v>
      </c>
      <c r="GF77" t="e">
        <f>CAPEC!B257+"$5F&amp;!vT"</f>
        <v>#VALUE!</v>
      </c>
      <c r="GG77" t="e">
        <f>CAPEC!B258+"$5F&amp;!vU"</f>
        <v>#VALUE!</v>
      </c>
      <c r="GH77" t="e">
        <f>CAPEC!B259+"$5F&amp;!vV"</f>
        <v>#VALUE!</v>
      </c>
      <c r="GI77" t="e">
        <f>CAPEC!B260+"$5F&amp;!vW"</f>
        <v>#VALUE!</v>
      </c>
      <c r="GJ77" t="e">
        <f>CAPEC!B261+"$5F&amp;!vX"</f>
        <v>#VALUE!</v>
      </c>
      <c r="GK77" t="e">
        <f>CAPEC!B262+"$5F&amp;!vY"</f>
        <v>#VALUE!</v>
      </c>
      <c r="GL77" t="e">
        <f>CAPEC!B263+"$5F&amp;!vZ"</f>
        <v>#VALUE!</v>
      </c>
      <c r="GM77" t="e">
        <f>CAPEC!B264+"$5F&amp;!v["</f>
        <v>#VALUE!</v>
      </c>
      <c r="GN77" t="e">
        <f>CAPEC!B265+"$5F&amp;!v\"</f>
        <v>#VALUE!</v>
      </c>
      <c r="GO77" t="e">
        <f>CAPEC!B266+"$5F&amp;!v]"</f>
        <v>#VALUE!</v>
      </c>
      <c r="GP77" t="e">
        <f>CAPEC!B267+"$5F&amp;!v^"</f>
        <v>#VALUE!</v>
      </c>
      <c r="GQ77" t="e">
        <f>CAPEC!B268+"$5F&amp;!v_"</f>
        <v>#VALUE!</v>
      </c>
      <c r="GR77" t="e">
        <f>CAPEC!B269+"$5F&amp;!v`"</f>
        <v>#VALUE!</v>
      </c>
      <c r="GS77" t="e">
        <f>CAPEC!B270+"$5F&amp;!va"</f>
        <v>#VALUE!</v>
      </c>
      <c r="GT77" t="e">
        <f>CAPEC!B271+"$5F&amp;!vb"</f>
        <v>#VALUE!</v>
      </c>
      <c r="GU77" t="e">
        <f>CAPEC!B272+"$5F&amp;!vc"</f>
        <v>#VALUE!</v>
      </c>
      <c r="GV77" t="e">
        <f>CAPEC!B273+"$5F&amp;!vd"</f>
        <v>#VALUE!</v>
      </c>
      <c r="GW77" t="e">
        <f>CAPEC!B274+"$5F&amp;!ve"</f>
        <v>#VALUE!</v>
      </c>
      <c r="GX77" t="e">
        <f>CAPEC!B275+"$5F&amp;!vf"</f>
        <v>#VALUE!</v>
      </c>
      <c r="GY77" t="e">
        <f>CAPEC!B276+"$5F&amp;!vg"</f>
        <v>#VALUE!</v>
      </c>
      <c r="GZ77" t="e">
        <f>CAPEC!B277+"$5F&amp;!vh"</f>
        <v>#VALUE!</v>
      </c>
      <c r="HA77" t="e">
        <f>CAPEC!B278+"$5F&amp;!vi"</f>
        <v>#VALUE!</v>
      </c>
      <c r="HB77" t="e">
        <f>CAPEC!B279+"$5F&amp;!vj"</f>
        <v>#VALUE!</v>
      </c>
      <c r="HC77" t="e">
        <f>CAPEC!B280+"$5F&amp;!vk"</f>
        <v>#VALUE!</v>
      </c>
      <c r="HD77" t="e">
        <f>CAPEC!B281+"$5F&amp;!vl"</f>
        <v>#VALUE!</v>
      </c>
      <c r="HE77" t="e">
        <f>CAPEC!B282+"$5F&amp;!vm"</f>
        <v>#VALUE!</v>
      </c>
      <c r="HF77" t="e">
        <f>CAPEC!B283+"$5F&amp;!vn"</f>
        <v>#VALUE!</v>
      </c>
      <c r="HG77" t="e">
        <f>CAPEC!B284+"$5F&amp;!vo"</f>
        <v>#VALUE!</v>
      </c>
      <c r="HH77" t="e">
        <f>CAPEC!B285+"$5F&amp;!vp"</f>
        <v>#VALUE!</v>
      </c>
      <c r="HI77" t="e">
        <f>CAPEC!B286+"$5F&amp;!vq"</f>
        <v>#VALUE!</v>
      </c>
      <c r="HJ77" t="e">
        <f>CAPEC!B287+"$5F&amp;!vr"</f>
        <v>#VALUE!</v>
      </c>
      <c r="HK77" t="e">
        <f>CAPEC!B288+"$5F&amp;!vs"</f>
        <v>#VALUE!</v>
      </c>
      <c r="HL77" t="e">
        <f>CAPEC!B289+"$5F&amp;!vt"</f>
        <v>#VALUE!</v>
      </c>
      <c r="HM77" t="e">
        <f>CAPEC!B290+"$5F&amp;!vu"</f>
        <v>#VALUE!</v>
      </c>
      <c r="HN77" t="e">
        <f>CAPEC!B291+"$5F&amp;!vv"</f>
        <v>#VALUE!</v>
      </c>
      <c r="HO77" t="e">
        <f>CAPEC!B292+"$5F&amp;!vw"</f>
        <v>#VALUE!</v>
      </c>
      <c r="HP77" t="e">
        <f>CAPEC!B293+"$5F&amp;!vx"</f>
        <v>#VALUE!</v>
      </c>
      <c r="HQ77" t="e">
        <f>CAPEC!B294+"$5F&amp;!vy"</f>
        <v>#VALUE!</v>
      </c>
      <c r="HR77" t="e">
        <f>CAPEC!B295+"$5F&amp;!vz"</f>
        <v>#VALUE!</v>
      </c>
      <c r="HS77" t="e">
        <f>CAPEC!B296+"$5F&amp;!v{"</f>
        <v>#VALUE!</v>
      </c>
      <c r="HT77" t="e">
        <f>CAPEC!B297+"$5F&amp;!v|"</f>
        <v>#VALUE!</v>
      </c>
      <c r="HU77" t="e">
        <f>CAPEC!B298+"$5F&amp;!v}"</f>
        <v>#VALUE!</v>
      </c>
      <c r="HV77" t="e">
        <f>CAPEC!B299+"$5F&amp;!v~"</f>
        <v>#VALUE!</v>
      </c>
      <c r="HW77" t="e">
        <f>CAPEC!B300+"$5F&amp;!w#"</f>
        <v>#VALUE!</v>
      </c>
      <c r="HX77" t="e">
        <f>CAPEC!B301+"$5F&amp;!w$"</f>
        <v>#VALUE!</v>
      </c>
      <c r="HY77" t="e">
        <f>CAPEC!B302+"$5F&amp;!w%"</f>
        <v>#VALUE!</v>
      </c>
      <c r="HZ77" t="e">
        <f>CAPEC!B303+"$5F&amp;!w&amp;"</f>
        <v>#VALUE!</v>
      </c>
      <c r="IA77" t="e">
        <f>CAPEC!B304+"$5F&amp;!w'"</f>
        <v>#VALUE!</v>
      </c>
      <c r="IB77" t="e">
        <f>CAPEC!B305+"$5F&amp;!w("</f>
        <v>#VALUE!</v>
      </c>
      <c r="IC77" t="e">
        <f>CAPEC!B306+"$5F&amp;!w)"</f>
        <v>#VALUE!</v>
      </c>
      <c r="ID77" t="e">
        <f>CAPEC!B307+"$5F&amp;!w."</f>
        <v>#VALUE!</v>
      </c>
      <c r="IE77" t="e">
        <f>CAPEC!B308+"$5F&amp;!w/"</f>
        <v>#VALUE!</v>
      </c>
      <c r="IF77" t="e">
        <f>CAPEC!B309+"$5F&amp;!w0"</f>
        <v>#VALUE!</v>
      </c>
      <c r="IG77" t="e">
        <f>CAPEC!B310+"$5F&amp;!w1"</f>
        <v>#VALUE!</v>
      </c>
      <c r="IH77" t="e">
        <f>CAPEC!B311+"$5F&amp;!w2"</f>
        <v>#VALUE!</v>
      </c>
      <c r="II77" t="e">
        <f>CAPEC!B312+"$5F&amp;!w3"</f>
        <v>#VALUE!</v>
      </c>
      <c r="IJ77" t="e">
        <f>CAPEC!B313+"$5F&amp;!w4"</f>
        <v>#VALUE!</v>
      </c>
      <c r="IK77" t="e">
        <f>CAPEC!B314+"$5F&amp;!w5"</f>
        <v>#VALUE!</v>
      </c>
      <c r="IL77" t="e">
        <f>CAPEC!B315+"$5F&amp;!w6"</f>
        <v>#VALUE!</v>
      </c>
      <c r="IM77" t="e">
        <f>CAPEC!B316+"$5F&amp;!w7"</f>
        <v>#VALUE!</v>
      </c>
      <c r="IN77" t="e">
        <f>CAPEC!B317+"$5F&amp;!w8"</f>
        <v>#VALUE!</v>
      </c>
      <c r="IO77" t="e">
        <f>CAPEC!B318+"$5F&amp;!w9"</f>
        <v>#VALUE!</v>
      </c>
      <c r="IP77" t="e">
        <f>CAPEC!B319+"$5F&amp;!w:"</f>
        <v>#VALUE!</v>
      </c>
      <c r="IQ77" t="e">
        <f>CAPEC!B320+"$5F&amp;!w;"</f>
        <v>#VALUE!</v>
      </c>
      <c r="IR77" t="e">
        <f>CAPEC!B321+"$5F&amp;!w&lt;"</f>
        <v>#VALUE!</v>
      </c>
      <c r="IS77" t="e">
        <f>CAPEC!B322+"$5F&amp;!w="</f>
        <v>#VALUE!</v>
      </c>
      <c r="IT77" t="e">
        <f>CAPEC!B323+"$5F&amp;!w&gt;"</f>
        <v>#VALUE!</v>
      </c>
      <c r="IU77" t="e">
        <f>CAPEC!B324+"$5F&amp;!w?"</f>
        <v>#VALUE!</v>
      </c>
      <c r="IV77" t="e">
        <f>CAPEC!B325+"$5F&amp;!w@"</f>
        <v>#VALUE!</v>
      </c>
    </row>
    <row r="78" spans="6:256" x14ac:dyDescent="0.25">
      <c r="F78" t="e">
        <f>CAPEC!B326+"$5F&amp;!wA"</f>
        <v>#VALUE!</v>
      </c>
      <c r="G78" t="e">
        <f>CAPEC!B327+"$5F&amp;!wB"</f>
        <v>#VALUE!</v>
      </c>
      <c r="H78" t="e">
        <f>CAPEC!B328+"$5F&amp;!wC"</f>
        <v>#VALUE!</v>
      </c>
      <c r="I78" t="e">
        <f>CAPEC!B329+"$5F&amp;!wD"</f>
        <v>#VALUE!</v>
      </c>
      <c r="J78" t="e">
        <f>CAPEC!B330+"$5F&amp;!wE"</f>
        <v>#VALUE!</v>
      </c>
      <c r="K78" t="e">
        <f>CAPEC!B331+"$5F&amp;!wF"</f>
        <v>#VALUE!</v>
      </c>
      <c r="L78" t="e">
        <f>CAPEC!B332+"$5F&amp;!wG"</f>
        <v>#VALUE!</v>
      </c>
      <c r="M78" t="e">
        <f>CAPEC!B333+"$5F&amp;!wH"</f>
        <v>#VALUE!</v>
      </c>
      <c r="N78" t="e">
        <f>CAPEC!B334+"$5F&amp;!wI"</f>
        <v>#VALUE!</v>
      </c>
      <c r="O78" t="e">
        <f>CAPEC!B335+"$5F&amp;!wJ"</f>
        <v>#VALUE!</v>
      </c>
      <c r="P78" t="e">
        <f>CAPEC!B336+"$5F&amp;!wK"</f>
        <v>#VALUE!</v>
      </c>
      <c r="Q78" t="e">
        <f>CAPEC!B337+"$5F&amp;!wL"</f>
        <v>#VALUE!</v>
      </c>
      <c r="R78" t="e">
        <f>CAPEC!B338+"$5F&amp;!wM"</f>
        <v>#VALUE!</v>
      </c>
      <c r="S78" t="e">
        <f>CAPEC!B339+"$5F&amp;!wN"</f>
        <v>#VALUE!</v>
      </c>
      <c r="T78" t="e">
        <f>CAPEC!B340+"$5F&amp;!wO"</f>
        <v>#VALUE!</v>
      </c>
      <c r="U78" t="e">
        <f>CAPEC!B341+"$5F&amp;!wP"</f>
        <v>#VALUE!</v>
      </c>
      <c r="V78" t="e">
        <f>CAPEC!B342+"$5F&amp;!wQ"</f>
        <v>#VALUE!</v>
      </c>
      <c r="W78" t="e">
        <f>CAPEC!B343+"$5F&amp;!wR"</f>
        <v>#VALUE!</v>
      </c>
      <c r="X78" t="e">
        <f>CAPEC!B344+"$5F&amp;!wS"</f>
        <v>#VALUE!</v>
      </c>
      <c r="Y78" t="e">
        <f>CAPEC!B345+"$5F&amp;!wT"</f>
        <v>#VALUE!</v>
      </c>
      <c r="Z78" t="e">
        <f>CAPEC!B346+"$5F&amp;!wU"</f>
        <v>#VALUE!</v>
      </c>
      <c r="AA78" t="e">
        <f>CAPEC!B347+"$5F&amp;!wV"</f>
        <v>#VALUE!</v>
      </c>
      <c r="AB78" t="e">
        <f>CAPEC!B348+"$5F&amp;!wW"</f>
        <v>#VALUE!</v>
      </c>
      <c r="AC78" t="e">
        <f>CAPEC!B349+"$5F&amp;!wX"</f>
        <v>#VALUE!</v>
      </c>
      <c r="AD78" t="e">
        <f>CAPEC!B350+"$5F&amp;!wY"</f>
        <v>#VALUE!</v>
      </c>
      <c r="AE78" t="e">
        <f>CAPEC!B351+"$5F&amp;!wZ"</f>
        <v>#VALUE!</v>
      </c>
      <c r="AF78" t="e">
        <f>CAPEC!B352+"$5F&amp;!w["</f>
        <v>#VALUE!</v>
      </c>
      <c r="AG78" t="e">
        <f>CAPEC!B353+"$5F&amp;!w\"</f>
        <v>#VALUE!</v>
      </c>
      <c r="AH78" t="e">
        <f>CAPEC!B354+"$5F&amp;!w]"</f>
        <v>#VALUE!</v>
      </c>
      <c r="AI78" t="e">
        <f>CAPEC!B355+"$5F&amp;!w^"</f>
        <v>#VALUE!</v>
      </c>
      <c r="AJ78" t="e">
        <f>CAPEC!B356+"$5F&amp;!w_"</f>
        <v>#VALUE!</v>
      </c>
      <c r="AK78" t="e">
        <f>CAPEC!B357+"$5F&amp;!w`"</f>
        <v>#VALUE!</v>
      </c>
      <c r="AL78" t="e">
        <f>CAPEC!B358+"$5F&amp;!wa"</f>
        <v>#VALUE!</v>
      </c>
      <c r="AM78" t="e">
        <f>CAPEC!B359+"$5F&amp;!wb"</f>
        <v>#VALUE!</v>
      </c>
      <c r="AN78" t="e">
        <f>CAPEC!B360+"$5F&amp;!wc"</f>
        <v>#VALUE!</v>
      </c>
      <c r="AO78" t="e">
        <f>CAPEC!B361+"$5F&amp;!wd"</f>
        <v>#VALUE!</v>
      </c>
      <c r="AP78" t="e">
        <f>CAPEC!B362+"$5F&amp;!we"</f>
        <v>#VALUE!</v>
      </c>
      <c r="AQ78" t="e">
        <f>CAPEC!B363+"$5F&amp;!wf"</f>
        <v>#VALUE!</v>
      </c>
      <c r="AR78" t="e">
        <f>CAPEC!B364+"$5F&amp;!wg"</f>
        <v>#VALUE!</v>
      </c>
      <c r="AS78" t="e">
        <f>CAPEC!B365+"$5F&amp;!wh"</f>
        <v>#VALUE!</v>
      </c>
      <c r="AT78" t="e">
        <f>CAPEC!B366+"$5F&amp;!wi"</f>
        <v>#VALUE!</v>
      </c>
      <c r="AU78" t="e">
        <f>CAPEC!B367+"$5F&amp;!wj"</f>
        <v>#VALUE!</v>
      </c>
      <c r="AV78" t="e">
        <f>CAPEC!B368+"$5F&amp;!wk"</f>
        <v>#VALUE!</v>
      </c>
      <c r="AW78" t="e">
        <f>CAPEC!B369+"$5F&amp;!wl"</f>
        <v>#VALUE!</v>
      </c>
      <c r="AX78" t="e">
        <f>CAPEC!B370+"$5F&amp;!wm"</f>
        <v>#VALUE!</v>
      </c>
      <c r="AY78" t="e">
        <f>CAPEC!B371+"$5F&amp;!wn"</f>
        <v>#VALUE!</v>
      </c>
      <c r="AZ78" t="e">
        <f>CAPEC!B372+"$5F&amp;!wo"</f>
        <v>#VALUE!</v>
      </c>
      <c r="BA78" t="e">
        <f>CAPEC!B373+"$5F&amp;!wp"</f>
        <v>#VALUE!</v>
      </c>
      <c r="BB78" t="e">
        <f>CAPEC!B374+"$5F&amp;!wq"</f>
        <v>#VALUE!</v>
      </c>
      <c r="BC78" t="e">
        <f>CAPEC!B375+"$5F&amp;!wr"</f>
        <v>#VALUE!</v>
      </c>
      <c r="BD78" t="e">
        <f>CAPEC!B376+"$5F&amp;!ws"</f>
        <v>#VALUE!</v>
      </c>
      <c r="BE78" t="e">
        <f>CAPEC!B377+"$5F&amp;!wt"</f>
        <v>#VALUE!</v>
      </c>
      <c r="BF78" t="e">
        <f>CAPEC!B378+"$5F&amp;!wu"</f>
        <v>#VALUE!</v>
      </c>
      <c r="BG78" t="e">
        <f>CAPEC!B379+"$5F&amp;!wv"</f>
        <v>#VALUE!</v>
      </c>
      <c r="BH78" t="e">
        <f>CAPEC!B380+"$5F&amp;!ww"</f>
        <v>#VALUE!</v>
      </c>
      <c r="BI78" t="e">
        <f>CAPEC!B381+"$5F&amp;!wx"</f>
        <v>#VALUE!</v>
      </c>
      <c r="BJ78" t="e">
        <f>CAPEC!B382+"$5F&amp;!wy"</f>
        <v>#VALUE!</v>
      </c>
      <c r="BK78" t="e">
        <f>CAPEC!B383+"$5F&amp;!wz"</f>
        <v>#VALUE!</v>
      </c>
      <c r="BL78" t="e">
        <f>CAPEC!B384+"$5F&amp;!w{"</f>
        <v>#VALUE!</v>
      </c>
      <c r="BM78" t="e">
        <f>CAPEC!B385+"$5F&amp;!w|"</f>
        <v>#VALUE!</v>
      </c>
      <c r="BN78" t="e">
        <f>CAPEC!B386+"$5F&amp;!w}"</f>
        <v>#VALUE!</v>
      </c>
      <c r="BO78" t="e">
        <f>CAPEC!B387+"$5F&amp;!w~"</f>
        <v>#VALUE!</v>
      </c>
      <c r="BP78" t="e">
        <f>CAPEC!B388+"$5F&amp;!x#"</f>
        <v>#VALUE!</v>
      </c>
      <c r="BQ78" t="e">
        <f>CAPEC!B389+"$5F&amp;!x$"</f>
        <v>#VALUE!</v>
      </c>
      <c r="BR78" t="e">
        <f>CAPEC!B390+"$5F&amp;!x%"</f>
        <v>#VALUE!</v>
      </c>
      <c r="BS78" t="e">
        <f>CAPEC!B391+"$5F&amp;!x&amp;"</f>
        <v>#VALUE!</v>
      </c>
      <c r="BT78" t="e">
        <f>CAPEC!B392+"$5F&amp;!x'"</f>
        <v>#VALUE!</v>
      </c>
      <c r="BU78" t="e">
        <f>CAPEC!B393+"$5F&amp;!x("</f>
        <v>#VALUE!</v>
      </c>
      <c r="BV78" t="e">
        <f>CAPEC!B394+"$5F&amp;!x)"</f>
        <v>#VALUE!</v>
      </c>
      <c r="BW78" t="e">
        <f>CAPEC!B395+"$5F&amp;!x."</f>
        <v>#VALUE!</v>
      </c>
      <c r="BX78" t="e">
        <f>CAPEC!B396+"$5F&amp;!x/"</f>
        <v>#VALUE!</v>
      </c>
      <c r="BY78" t="e">
        <f>CAPEC!B397+"$5F&amp;!x0"</f>
        <v>#VALUE!</v>
      </c>
      <c r="BZ78" t="e">
        <f>CAPEC!B398+"$5F&amp;!x1"</f>
        <v>#VALUE!</v>
      </c>
      <c r="CA78" t="e">
        <f>CAPEC!B399+"$5F&amp;!x2"</f>
        <v>#VALUE!</v>
      </c>
      <c r="CB78" t="e">
        <f>CAPEC!B400+"$5F&amp;!x3"</f>
        <v>#VALUE!</v>
      </c>
      <c r="CC78" t="e">
        <f>CAPEC!B401+"$5F&amp;!x4"</f>
        <v>#VALUE!</v>
      </c>
      <c r="CD78" t="e">
        <f>CAPEC!B402+"$5F&amp;!x5"</f>
        <v>#VALUE!</v>
      </c>
      <c r="CE78" t="e">
        <f>CAPEC!B403+"$5F&amp;!x6"</f>
        <v>#VALUE!</v>
      </c>
      <c r="CF78" t="e">
        <f>CAPEC!B404+"$5F&amp;!x7"</f>
        <v>#VALUE!</v>
      </c>
      <c r="CG78" t="e">
        <f>CAPEC!B405+"$5F&amp;!x8"</f>
        <v>#VALUE!</v>
      </c>
      <c r="CH78" t="e">
        <f>CAPEC!B406+"$5F&amp;!x9"</f>
        <v>#VALUE!</v>
      </c>
      <c r="CI78" t="e">
        <f>CAPEC!B407+"$5F&amp;!x:"</f>
        <v>#VALUE!</v>
      </c>
      <c r="CJ78" t="e">
        <f>CAPEC!B408+"$5F&amp;!x;"</f>
        <v>#VALUE!</v>
      </c>
      <c r="CK78" t="e">
        <f>CAPEC!B409+"$5F&amp;!x&lt;"</f>
        <v>#VALUE!</v>
      </c>
      <c r="CL78" t="e">
        <f>CAPEC!B410+"$5F&amp;!x="</f>
        <v>#VALUE!</v>
      </c>
      <c r="CM78" t="e">
        <f>CAPEC!B411+"$5F&amp;!x&gt;"</f>
        <v>#VALUE!</v>
      </c>
      <c r="CN78" t="e">
        <f>CAPEC!B412+"$5F&amp;!x?"</f>
        <v>#VALUE!</v>
      </c>
      <c r="CO78" t="e">
        <f>CAPEC!B413+"$5F&amp;!x@"</f>
        <v>#VALUE!</v>
      </c>
      <c r="CP78" t="e">
        <f>CAPEC!B414+"$5F&amp;!xA"</f>
        <v>#VALUE!</v>
      </c>
      <c r="CQ78" t="e">
        <f>CAPEC!B415+"$5F&amp;!xB"</f>
        <v>#VALUE!</v>
      </c>
      <c r="CR78" t="e">
        <f>CAPEC!B416+"$5F&amp;!xC"</f>
        <v>#VALUE!</v>
      </c>
      <c r="CS78" t="e">
        <f>CAPEC!B417+"$5F&amp;!xD"</f>
        <v>#VALUE!</v>
      </c>
      <c r="CT78" t="e">
        <f>CAPEC!B418+"$5F&amp;!xE"</f>
        <v>#VALUE!</v>
      </c>
      <c r="CU78" t="e">
        <f>CAPEC!B419+"$5F&amp;!xF"</f>
        <v>#VALUE!</v>
      </c>
      <c r="CV78" t="e">
        <f>CAPEC!B420+"$5F&amp;!xG"</f>
        <v>#VALUE!</v>
      </c>
      <c r="CW78" t="e">
        <f>CAPEC!B421+"$5F&amp;!xH"</f>
        <v>#VALUE!</v>
      </c>
      <c r="CX78" t="e">
        <f>CAPEC!B422+"$5F&amp;!xI"</f>
        <v>#VALUE!</v>
      </c>
      <c r="CY78" t="e">
        <f>CAPEC!B423+"$5F&amp;!xJ"</f>
        <v>#VALUE!</v>
      </c>
      <c r="CZ78" t="e">
        <f>CAPEC!B424+"$5F&amp;!xK"</f>
        <v>#VALUE!</v>
      </c>
      <c r="DA78" t="e">
        <f>CAPEC!B425+"$5F&amp;!xL"</f>
        <v>#VALUE!</v>
      </c>
      <c r="DB78" t="e">
        <f>CAPEC!B426+"$5F&amp;!xM"</f>
        <v>#VALUE!</v>
      </c>
      <c r="DC78" t="e">
        <f>CAPEC!B427+"$5F&amp;!xN"</f>
        <v>#VALUE!</v>
      </c>
      <c r="DD78" t="e">
        <f>CAPEC!B428+"$5F&amp;!xO"</f>
        <v>#VALUE!</v>
      </c>
      <c r="DE78" t="e">
        <f>CAPEC!B429+"$5F&amp;!xP"</f>
        <v>#VALUE!</v>
      </c>
      <c r="DF78" t="e">
        <f>CAPEC!B430+"$5F&amp;!xQ"</f>
        <v>#VALUE!</v>
      </c>
      <c r="DG78" t="e">
        <f>CAPEC!B431+"$5F&amp;!xR"</f>
        <v>#VALUE!</v>
      </c>
      <c r="DH78" t="e">
        <f>CAPEC!B432+"$5F&amp;!xS"</f>
        <v>#VALUE!</v>
      </c>
      <c r="DI78" t="e">
        <f>CAPEC!B433+"$5F&amp;!xT"</f>
        <v>#VALUE!</v>
      </c>
      <c r="DJ78" t="e">
        <f>CAPEC!B434+"$5F&amp;!xU"</f>
        <v>#VALUE!</v>
      </c>
      <c r="DK78" t="e">
        <f>CAPEC!B435+"$5F&amp;!xV"</f>
        <v>#VALUE!</v>
      </c>
      <c r="DL78" t="e">
        <f>CAPEC!B436+"$5F&amp;!xW"</f>
        <v>#VALUE!</v>
      </c>
      <c r="DM78" t="e">
        <f>CAPEC!B437+"$5F&amp;!xX"</f>
        <v>#VALUE!</v>
      </c>
      <c r="DN78" t="e">
        <f>CAPEC!B438+"$5F&amp;!xY"</f>
        <v>#VALUE!</v>
      </c>
      <c r="DO78" t="e">
        <f>CAPEC!B439+"$5F&amp;!xZ"</f>
        <v>#VALUE!</v>
      </c>
      <c r="DP78" t="e">
        <f>CAPEC!B440+"$5F&amp;!x["</f>
        <v>#VALUE!</v>
      </c>
      <c r="DQ78" t="e">
        <f>CAPEC!B441+"$5F&amp;!x\"</f>
        <v>#VALUE!</v>
      </c>
      <c r="DR78" t="e">
        <f>CAPEC!B442+"$5F&amp;!x]"</f>
        <v>#VALUE!</v>
      </c>
      <c r="DS78" t="e">
        <f>CAPEC!B443+"$5F&amp;!x^"</f>
        <v>#VALUE!</v>
      </c>
      <c r="DT78" t="e">
        <f>CAPEC!B444+"$5F&amp;!x_"</f>
        <v>#VALUE!</v>
      </c>
      <c r="DU78" t="e">
        <f>CAPEC!B445+"$5F&amp;!x`"</f>
        <v>#VALUE!</v>
      </c>
      <c r="DV78" t="e">
        <f>CAPEC!B446+"$5F&amp;!xa"</f>
        <v>#VALUE!</v>
      </c>
      <c r="DW78" t="e">
        <f>CAPEC!B447+"$5F&amp;!xb"</f>
        <v>#VALUE!</v>
      </c>
      <c r="DX78" t="e">
        <f>CAPEC!B448+"$5F&amp;!xc"</f>
        <v>#VALUE!</v>
      </c>
      <c r="DY78" t="e">
        <f>CAPEC!B449+"$5F&amp;!xd"</f>
        <v>#VALUE!</v>
      </c>
      <c r="DZ78" t="e">
        <f>CAPEC!B450+"$5F&amp;!xe"</f>
        <v>#VALUE!</v>
      </c>
      <c r="EA78" t="e">
        <f>CAPEC!B451+"$5F&amp;!xf"</f>
        <v>#VALUE!</v>
      </c>
      <c r="EB78" t="e">
        <f>CAPEC!B452+"$5F&amp;!xg"</f>
        <v>#VALUE!</v>
      </c>
      <c r="EC78" t="e">
        <f>CAPEC!B453+"$5F&amp;!xh"</f>
        <v>#VALUE!</v>
      </c>
      <c r="ED78" t="e">
        <f>CAPEC!B454+"$5F&amp;!xi"</f>
        <v>#VALUE!</v>
      </c>
      <c r="EE78" t="e">
        <f>CAPEC!B455+"$5F&amp;!xj"</f>
        <v>#VALUE!</v>
      </c>
      <c r="EF78" t="e">
        <f>CAPEC!B456+"$5F&amp;!xk"</f>
        <v>#VALUE!</v>
      </c>
      <c r="EG78" t="e">
        <f>CAPEC!B457+"$5F&amp;!xl"</f>
        <v>#VALUE!</v>
      </c>
      <c r="EH78" t="e">
        <f>CAPEC!B458+"$5F&amp;!xm"</f>
        <v>#VALUE!</v>
      </c>
      <c r="EI78" t="e">
        <f>CAPEC!B459+"$5F&amp;!xn"</f>
        <v>#VALUE!</v>
      </c>
      <c r="EJ78" t="e">
        <f>CAPEC!B460+"$5F&amp;!xo"</f>
        <v>#VALUE!</v>
      </c>
      <c r="EK78" t="e">
        <f>CAPEC!B461+"$5F&amp;!xp"</f>
        <v>#VALUE!</v>
      </c>
      <c r="EL78" t="e">
        <f>CAPEC!B462+"$5F&amp;!xq"</f>
        <v>#VALUE!</v>
      </c>
      <c r="EM78" t="e">
        <f>CAPEC!B463+"$5F&amp;!xr"</f>
        <v>#VALUE!</v>
      </c>
      <c r="EN78" t="e">
        <f>CAPEC!B464+"$5F&amp;!xs"</f>
        <v>#VALUE!</v>
      </c>
      <c r="EO78" t="e">
        <f>CAPEC!B465+"$5F&amp;!xt"</f>
        <v>#VALUE!</v>
      </c>
      <c r="EP78" t="e">
        <f>CAPEC!B466+"$5F&amp;!xu"</f>
        <v>#VALUE!</v>
      </c>
      <c r="EQ78" t="e">
        <f>CAPEC!B467+"$5F&amp;!xv"</f>
        <v>#VALUE!</v>
      </c>
      <c r="ER78" t="e">
        <f>CAPEC!B468+"$5F&amp;!xw"</f>
        <v>#VALUE!</v>
      </c>
      <c r="ES78" t="e">
        <f>CAPEC!B469+"$5F&amp;!xx"</f>
        <v>#VALUE!</v>
      </c>
      <c r="ET78" t="e">
        <f>CAPEC!B470+"$5F&amp;!xy"</f>
        <v>#VALUE!</v>
      </c>
      <c r="EU78" t="e">
        <f>CAPEC!B471+"$5F&amp;!xz"</f>
        <v>#VALUE!</v>
      </c>
      <c r="EV78" t="e">
        <f>CAPEC!B472+"$5F&amp;!x{"</f>
        <v>#VALUE!</v>
      </c>
      <c r="EW78" t="e">
        <f>CAPEC!B473+"$5F&amp;!x|"</f>
        <v>#VALUE!</v>
      </c>
      <c r="EX78" t="e">
        <f>CAPEC!B474+"$5F&amp;!x}"</f>
        <v>#VALUE!</v>
      </c>
      <c r="EY78" t="e">
        <f>CAPEC!B475+"$5F&amp;!x~"</f>
        <v>#VALUE!</v>
      </c>
      <c r="EZ78" t="e">
        <f>CAPEC!B476+"$5F&amp;!y#"</f>
        <v>#VALUE!</v>
      </c>
      <c r="FA78" t="e">
        <f>CAPEC!B477+"$5F&amp;!y$"</f>
        <v>#VALUE!</v>
      </c>
      <c r="FB78" t="e">
        <f>CAPEC!B478+"$5F&amp;!y%"</f>
        <v>#VALUE!</v>
      </c>
      <c r="FC78" t="e">
        <f>CAPEC!B479+"$5F&amp;!y&amp;"</f>
        <v>#VALUE!</v>
      </c>
      <c r="FD78" t="e">
        <f>CAPEC!B480+"$5F&amp;!y'"</f>
        <v>#VALUE!</v>
      </c>
      <c r="FE78" t="e">
        <f>CAPEC!C480+"$5F&amp;!y("</f>
        <v>#VALUE!</v>
      </c>
      <c r="FF78" t="e">
        <f>CAPEC!D480+"$5F&amp;!y)"</f>
        <v>#VALUE!</v>
      </c>
      <c r="FG78" t="e">
        <f>CAPEC!E480+"$5F&amp;!y."</f>
        <v>#VALUE!</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E7B93C86D4F49B18E40287FA0C23A" ma:contentTypeVersion="0" ma:contentTypeDescription="Create a new document." ma:contentTypeScope="" ma:versionID="586bce82ea39d588268ac66fa240efdd">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F345A2-5F9B-4854-A4BB-1AA3178C54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EF3DE97-30EC-4806-8F7D-DB483E89782F}">
  <ds:schemaRefs>
    <ds:schemaRef ds:uri="http://schemas.microsoft.com/sharepoint/v3/contenttype/forms"/>
  </ds:schemaRefs>
</ds:datastoreItem>
</file>

<file path=customXml/itemProps3.xml><?xml version="1.0" encoding="utf-8"?>
<ds:datastoreItem xmlns:ds="http://schemas.openxmlformats.org/officeDocument/2006/customXml" ds:itemID="{EB7FF530-0A58-45C1-854A-A50A2B86A048}">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CVEs</vt:lpstr>
      <vt:lpstr>Rules</vt:lpstr>
      <vt:lpstr>Drop_Downs</vt:lpstr>
      <vt:lpstr>CVE Blocks 2016</vt:lpstr>
      <vt:lpstr>CAPEC</vt:lpstr>
      <vt:lpstr>CWE</vt:lpstr>
      <vt:lpstr>CVEs_Intel</vt:lpstr>
      <vt:lpstr>CAPEC!_2000</vt:lpstr>
      <vt:lpstr>ATTACKER</vt:lpstr>
      <vt:lpstr>AUTHOR</vt:lpstr>
      <vt:lpstr>COMPONENT</vt:lpstr>
      <vt:lpstr>IMPACT</vt:lpstr>
      <vt:lpstr>Status</vt:lpstr>
      <vt:lpstr>VECTOR</vt:lpstr>
      <vt:lpstr>VENDOR</vt:lpstr>
      <vt:lpstr>VULNTYPE</vt:lpstr>
      <vt:lpstr>VULNTYPE2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cp:keywords>
  <cp:lastModifiedBy/>
  <dcterms:created xsi:type="dcterms:W3CDTF">2006-09-16T00:00:00Z</dcterms:created>
  <dcterms:modified xsi:type="dcterms:W3CDTF">2019-09-11T13:12:57Z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0x01010063BE7B93C86D4F49B18E40287FA0C23A</vt:lpwstr>
  </property>
  <property fmtid="{D5CDD505-2E9C-101B-9397-08002B2CF9AE}" pid="3" name="Offisync_ServerID">
    <vt:lpwstr>d001a694-7c66-4352-b53b-895ffdce369f</vt:lpwstr>
  </property>
  <property fmtid="{D5CDD505-2E9C-101B-9397-08002B2CF9AE}" pid="4" name="Offisync_ProviderInitializationData">
    <vt:lpwstr>https://soco.intel.com/</vt:lpwstr>
  </property>
  <property fmtid="{D5CDD505-2E9C-101B-9397-08002B2CF9AE}" pid="5" name="Offisync_UpdateToken">
    <vt:lpwstr>19</vt:lpwstr>
  </property>
  <property fmtid="{D5CDD505-2E9C-101B-9397-08002B2CF9AE}" pid="6" name="Jive_PrevVersionNumber">
    <vt:lpwstr>18</vt:lpwstr>
  </property>
  <property fmtid="{D5CDD505-2E9C-101B-9397-08002B2CF9AE}" pid="7" name="Jive_LatestUserAccountName">
    <vt:lpwstr>htoomey</vt:lpwstr>
  </property>
  <property fmtid="{D5CDD505-2E9C-101B-9397-08002B2CF9AE}" pid="8" name="Jive_LatestFileFullName">
    <vt:lpwstr>4de6117b612d03ba9c757436ab55d8c8</vt:lpwstr>
  </property>
  <property fmtid="{D5CDD505-2E9C-101B-9397-08002B2CF9AE}" pid="9" name="Jive_ModifiedButNotPublished">
    <vt:lpwstr>False</vt:lpwstr>
  </property>
  <property fmtid="{D5CDD505-2E9C-101B-9397-08002B2CF9AE}" pid="10" name="Offisync_UniqueId">
    <vt:lpwstr>2212994</vt:lpwstr>
  </property>
  <property fmtid="{D5CDD505-2E9C-101B-9397-08002B2CF9AE}" pid="11" name="Jive_VersionGuid_v2.5">
    <vt:lpwstr>3d798a4d892c41779ea212549d92119b</vt:lpwstr>
  </property>
  <property fmtid="{D5CDD505-2E9C-101B-9397-08002B2CF9AE}" pid="12" name="Jive_VersionGuid">
    <vt:lpwstr>2b1933c2e84a43aabf027670e957cf47</vt:lpwstr>
  </property>
  <property fmtid="{D5CDD505-2E9C-101B-9397-08002B2CF9AE}" pid="13" name="TitusGUID">
    <vt:lpwstr>79b0dfce-dec6-4b02-bd1c-3a43853d146a</vt:lpwstr>
  </property>
  <property fmtid="{D5CDD505-2E9C-101B-9397-08002B2CF9AE}" pid="14" name="CTP_BU">
    <vt:lpwstr>SECURITY CORP PRODUCT GROUP</vt:lpwstr>
  </property>
  <property fmtid="{D5CDD505-2E9C-101B-9397-08002B2CF9AE}" pid="15" name="CTP_TimeStamp">
    <vt:lpwstr>2016-12-20 23:17:22Z</vt:lpwstr>
  </property>
  <property fmtid="{D5CDD505-2E9C-101B-9397-08002B2CF9AE}" pid="16" name="CTPClassification">
    <vt:lpwstr>CTP_IC</vt:lpwstr>
  </property>
</Properties>
</file>