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 Data" sheetId="1" r:id="rId4"/>
    <sheet state="visible" name="Industrys Day Change Worksheet" sheetId="2" r:id="rId5"/>
    <sheet state="visible" name="Value By Industry Worksheet" sheetId="3" r:id="rId6"/>
    <sheet state="visible" name="Final Dashboard" sheetId="4" r:id="rId7"/>
  </sheets>
  <definedNames>
    <definedName hidden="1" localSheetId="0" name="_xlnm._FilterDatabase">'Stock Data'!$A$13:$O$24</definedName>
  </definedNames>
  <calcPr/>
</workbook>
</file>

<file path=xl/sharedStrings.xml><?xml version="1.0" encoding="utf-8"?>
<sst xmlns="http://schemas.openxmlformats.org/spreadsheetml/2006/main" count="46" uniqueCount="41">
  <si>
    <t>Portfolio Holdings</t>
  </si>
  <si>
    <t>Unrealized Gain</t>
  </si>
  <si>
    <t>Unrealized Gain %</t>
  </si>
  <si>
    <t>Yearly Dividend Income</t>
  </si>
  <si>
    <t>Total Cost</t>
  </si>
  <si>
    <t>Total Portfolio Value</t>
  </si>
  <si>
    <t>Symbol</t>
  </si>
  <si>
    <t>Shares</t>
  </si>
  <si>
    <t>Purchase Price</t>
  </si>
  <si>
    <t>Price</t>
  </si>
  <si>
    <t>Costs</t>
  </si>
  <si>
    <t>Market Value</t>
  </si>
  <si>
    <t>Day's Change</t>
  </si>
  <si>
    <t>Dollar Gain</t>
  </si>
  <si>
    <t>Growth</t>
  </si>
  <si>
    <t>Market Cap</t>
  </si>
  <si>
    <t>Dividend</t>
  </si>
  <si>
    <t>Current Dividend Yield</t>
  </si>
  <si>
    <t>Dividend Yield On Cost</t>
  </si>
  <si>
    <t>Dividend Income</t>
  </si>
  <si>
    <t>Industry</t>
  </si>
  <si>
    <t>AAPL</t>
  </si>
  <si>
    <t xml:space="preserve"> </t>
  </si>
  <si>
    <t>LW</t>
  </si>
  <si>
    <t>MSFT</t>
  </si>
  <si>
    <t>TGT</t>
  </si>
  <si>
    <t>MO</t>
  </si>
  <si>
    <t>VZ</t>
  </si>
  <si>
    <t>UNH</t>
  </si>
  <si>
    <t>TSM</t>
  </si>
  <si>
    <t>NVDA</t>
  </si>
  <si>
    <t>RF</t>
  </si>
  <si>
    <t>V</t>
  </si>
  <si>
    <t>Stock Portfolio Dashboard</t>
  </si>
  <si>
    <t>One Year Treadline</t>
  </si>
  <si>
    <t>One Month Treadline</t>
  </si>
  <si>
    <t>Stock</t>
  </si>
  <si>
    <t>52 Week High</t>
  </si>
  <si>
    <t>52 Week Low</t>
  </si>
  <si>
    <t>Day's High</t>
  </si>
  <si>
    <t>Day's 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</si>
</sst>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color rgb="FF000000"/>
      <name val="Arial"/>
      <scheme val="minor"/>
    </font>
    <font>
      <sz val="42.0"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sz val="9.0"/>
      <color rgb="FF000000"/>
      <name val="&quot;Google Sans Mono&quot;"/>
    </font>
    <font>
      <sz val="60.0"/>
      <color theme="1"/>
      <name val="Arial"/>
      <scheme val="minor"/>
    </font>
    <font>
      <b/>
      <sz val="25.0"/>
      <color theme="1"/>
      <name val="Arial"/>
      <scheme val="minor"/>
    </font>
    <font>
      <b/>
      <sz val="24.0"/>
      <color theme="1"/>
      <name val="Arial"/>
      <scheme val="minor"/>
    </font>
    <font>
      <b/>
      <sz val="18.0"/>
      <color theme="1"/>
      <name val="Arial"/>
      <scheme val="minor"/>
    </font>
    <font>
      <sz val="11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0" fontId="3" numFmtId="0" xfId="0" applyAlignment="1" applyBorder="1" applyFont="1">
      <alignment readingOrder="0"/>
    </xf>
    <xf borderId="3" fillId="0" fontId="3" numFmtId="164" xfId="0" applyBorder="1" applyFont="1" applyNumberFormat="1"/>
    <xf borderId="4" fillId="0" fontId="3" numFmtId="0" xfId="0" applyAlignment="1" applyBorder="1" applyFont="1">
      <alignment readingOrder="0"/>
    </xf>
    <xf borderId="5" fillId="0" fontId="3" numFmtId="10" xfId="0" applyBorder="1" applyFont="1" applyNumberFormat="1"/>
    <xf borderId="5" fillId="0" fontId="3" numFmtId="164" xfId="0" applyBorder="1" applyFont="1" applyNumberFormat="1"/>
    <xf borderId="6" fillId="0" fontId="3" numFmtId="0" xfId="0" applyAlignment="1" applyBorder="1" applyFont="1">
      <alignment readingOrder="0"/>
    </xf>
    <xf borderId="8" fillId="0" fontId="3" numFmtId="164" xfId="0" applyBorder="1" applyFont="1" applyNumberFormat="1"/>
    <xf borderId="9" fillId="0" fontId="4" numFmtId="0" xfId="0" applyAlignment="1" applyBorder="1" applyFont="1">
      <alignment readingOrder="0"/>
    </xf>
    <xf borderId="9" fillId="0" fontId="5" numFmtId="0" xfId="0" applyAlignment="1" applyBorder="1" applyFont="1">
      <alignment readingOrder="0"/>
    </xf>
    <xf borderId="9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Font="1"/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1" fillId="3" fontId="3" numFmtId="0" xfId="0" applyBorder="1" applyFill="1" applyFont="1"/>
    <xf borderId="2" fillId="3" fontId="3" numFmtId="0" xfId="0" applyBorder="1" applyFont="1"/>
    <xf borderId="2" fillId="0" fontId="3" numFmtId="10" xfId="0" applyBorder="1" applyFont="1" applyNumberFormat="1"/>
    <xf borderId="2" fillId="0" fontId="3" numFmtId="0" xfId="0" applyBorder="1" applyFont="1"/>
    <xf borderId="3" fillId="3" fontId="3" numFmtId="4" xfId="0" applyBorder="1" applyFont="1" applyNumberFormat="1"/>
    <xf borderId="1" fillId="4" fontId="3" numFmtId="0" xfId="0" applyBorder="1" applyFill="1" applyFont="1"/>
    <xf borderId="2" fillId="4" fontId="3" numFmtId="10" xfId="0" applyBorder="1" applyFont="1" applyNumberFormat="1"/>
    <xf borderId="3" fillId="4" fontId="3" numFmtId="0" xfId="0" applyBorder="1" applyFont="1"/>
    <xf borderId="10" fillId="5" fontId="3" numFmtId="0" xfId="0" applyAlignment="1" applyBorder="1" applyFill="1" applyFont="1">
      <alignment horizontal="center" shrinkToFit="0" wrapText="1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4" fillId="3" fontId="3" numFmtId="0" xfId="0" applyBorder="1" applyFont="1"/>
    <xf borderId="0" fillId="3" fontId="3" numFmtId="0" xfId="0" applyFont="1"/>
    <xf borderId="0" fillId="0" fontId="3" numFmtId="0" xfId="0" applyFont="1"/>
    <xf borderId="0" fillId="0" fontId="3" numFmtId="10" xfId="0" applyFont="1" applyNumberFormat="1"/>
    <xf borderId="5" fillId="3" fontId="3" numFmtId="4" xfId="0" applyBorder="1" applyFont="1" applyNumberFormat="1"/>
    <xf borderId="4" fillId="4" fontId="3" numFmtId="0" xfId="0" applyBorder="1" applyFont="1"/>
    <xf borderId="0" fillId="4" fontId="3" numFmtId="10" xfId="0" applyFont="1" applyNumberFormat="1"/>
    <xf borderId="5" fillId="4" fontId="3" numFmtId="0" xfId="0" applyBorder="1" applyFont="1"/>
    <xf borderId="11" fillId="5" fontId="3" numFmtId="0" xfId="0" applyAlignment="1" applyBorder="1" applyFont="1">
      <alignment horizontal="center" shrinkToFit="0" wrapText="1"/>
    </xf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6" fillId="3" fontId="3" numFmtId="0" xfId="0" applyBorder="1" applyFont="1"/>
    <xf borderId="7" fillId="3" fontId="3" numFmtId="0" xfId="0" applyBorder="1" applyFont="1"/>
    <xf borderId="7" fillId="0" fontId="3" numFmtId="0" xfId="0" applyBorder="1" applyFont="1"/>
    <xf borderId="7" fillId="0" fontId="3" numFmtId="10" xfId="0" applyBorder="1" applyFont="1" applyNumberFormat="1"/>
    <xf borderId="8" fillId="3" fontId="3" numFmtId="4" xfId="0" applyBorder="1" applyFont="1" applyNumberFormat="1"/>
    <xf borderId="6" fillId="4" fontId="3" numFmtId="0" xfId="0" applyBorder="1" applyFont="1"/>
    <xf borderId="7" fillId="4" fontId="3" numFmtId="10" xfId="0" applyBorder="1" applyFont="1" applyNumberFormat="1"/>
    <xf borderId="8" fillId="4" fontId="3" numFmtId="0" xfId="0" applyBorder="1" applyFont="1"/>
    <xf borderId="12" fillId="5" fontId="3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6" fontId="6" numFmtId="0" xfId="0" applyFill="1" applyFont="1"/>
    <xf borderId="0" fillId="6" fontId="6" numFmtId="10" xfId="0" applyFont="1" applyNumberFormat="1"/>
    <xf borderId="0" fillId="7" fontId="3" numFmtId="0" xfId="0" applyFill="1" applyFont="1"/>
    <xf borderId="1" fillId="8" fontId="7" numFmtId="0" xfId="0" applyAlignment="1" applyBorder="1" applyFill="1" applyFont="1">
      <alignment horizontal="center" readingOrder="0"/>
    </xf>
    <xf borderId="1" fillId="9" fontId="8" numFmtId="0" xfId="0" applyAlignment="1" applyBorder="1" applyFill="1" applyFont="1">
      <alignment horizontal="center" readingOrder="0"/>
    </xf>
    <xf borderId="1" fillId="10" fontId="8" numFmtId="0" xfId="0" applyAlignment="1" applyBorder="1" applyFill="1" applyFont="1">
      <alignment horizontal="center" readingOrder="0"/>
    </xf>
    <xf borderId="10" fillId="11" fontId="9" numFmtId="0" xfId="0" applyAlignment="1" applyBorder="1" applyFill="1" applyFont="1">
      <alignment horizontal="center" readingOrder="0"/>
    </xf>
    <xf borderId="10" fillId="11" fontId="10" numFmtId="0" xfId="0" applyAlignment="1" applyBorder="1" applyFont="1">
      <alignment horizontal="center" readingOrder="0"/>
    </xf>
    <xf borderId="1" fillId="12" fontId="3" numFmtId="0" xfId="0" applyBorder="1" applyFill="1" applyFont="1"/>
    <xf borderId="1" fillId="2" fontId="3" numFmtId="0" xfId="0" applyBorder="1" applyFont="1"/>
    <xf borderId="11" fillId="0" fontId="2" numFmtId="0" xfId="0" applyBorder="1" applyFont="1"/>
    <xf borderId="12" fillId="0" fontId="2" numFmtId="0" xfId="0" applyBorder="1" applyFont="1"/>
    <xf borderId="1" fillId="11" fontId="11" numFmtId="0" xfId="0" applyAlignment="1" applyBorder="1" applyFont="1">
      <alignment readingOrder="0"/>
    </xf>
    <xf borderId="3" fillId="11" fontId="3" numFmtId="0" xfId="0" applyBorder="1" applyFont="1"/>
    <xf borderId="4" fillId="11" fontId="11" numFmtId="0" xfId="0" applyAlignment="1" applyBorder="1" applyFont="1">
      <alignment readingOrder="0"/>
    </xf>
    <xf borderId="5" fillId="11" fontId="3" numFmtId="3" xfId="0" applyBorder="1" applyFont="1" applyNumberFormat="1"/>
    <xf borderId="5" fillId="11" fontId="3" numFmtId="0" xfId="0" applyBorder="1" applyFont="1"/>
    <xf borderId="5" fillId="11" fontId="3" numFmtId="0" xfId="0" applyAlignment="1" applyBorder="1" applyFont="1">
      <alignment horizontal="right"/>
    </xf>
    <xf borderId="6" fillId="11" fontId="11" numFmtId="0" xfId="0" applyAlignment="1" applyBorder="1" applyFont="1">
      <alignment readingOrder="0"/>
    </xf>
    <xf borderId="8" fillId="11" fontId="3" numFmtId="0" xfId="0" applyAlignment="1" applyBorder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'Industrys Day Change Worksheet'!$E$1:$E$6</c:f>
            </c:strRef>
          </c:cat>
          <c:val>
            <c:numRef>
              <c:f>'Industrys Day Change Worksheet'!$F$1:$F$6</c:f>
              <c:numCache/>
            </c:numRef>
          </c:val>
        </c:ser>
        <c:axId val="1180990933"/>
        <c:axId val="523577300"/>
      </c:barChart>
      <c:catAx>
        <c:axId val="1180990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577300"/>
      </c:catAx>
      <c:valAx>
        <c:axId val="523577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990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Value By Industry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'Value By Industry Worksheet'!$E$1:$E$6</c:f>
            </c:strRef>
          </c:cat>
          <c:val>
            <c:numRef>
              <c:f>'Value By Industry Worksheet'!$F$1:$F$6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9CB9C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Individual Stock Return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'Stock Data'!$A$14:$A$37</c:f>
            </c:strRef>
          </c:cat>
          <c:val>
            <c:numRef>
              <c:f>'Stock Data'!$I$14:$I$37</c:f>
              <c:numCache/>
            </c:numRef>
          </c:val>
        </c:ser>
        <c:axId val="41714513"/>
        <c:axId val="2091260068"/>
      </c:barChart>
      <c:catAx>
        <c:axId val="41714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260068"/>
      </c:catAx>
      <c:valAx>
        <c:axId val="2091260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14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EAD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Dividend Income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'Stock Data'!$A$14:$A$36</c:f>
            </c:strRef>
          </c:cat>
          <c:val>
            <c:numRef>
              <c:f>'Stock Data'!$N$14:$N$35</c:f>
              <c:numCache/>
            </c:numRef>
          </c:val>
        </c:ser>
        <c:axId val="1129594395"/>
        <c:axId val="1878984327"/>
      </c:areaChart>
      <c:catAx>
        <c:axId val="1129594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984327"/>
      </c:catAx>
      <c:valAx>
        <c:axId val="1878984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594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Stock Day's Change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'Stock Data'!$G$13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'Stock Data'!$A$14:$A$31</c:f>
            </c:strRef>
          </c:cat>
          <c:val>
            <c:numRef>
              <c:f>'Stock Data'!$G$14:$G$31</c:f>
              <c:numCache/>
            </c:numRef>
          </c:val>
        </c:ser>
        <c:axId val="2041131005"/>
        <c:axId val="386895578"/>
      </c:barChart>
      <c:catAx>
        <c:axId val="2041131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Symbol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895578"/>
      </c:catAx>
      <c:valAx>
        <c:axId val="386895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Day's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131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Market Value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'Stock Data'!$A$14:$A$36</c:f>
            </c:strRef>
          </c:cat>
          <c:val>
            <c:numRef>
              <c:f>'Stock Data'!$F$14:$F$36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Value By Industry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'Value By Industry Worksheet'!$E$1:$E$6</c:f>
            </c:strRef>
          </c:cat>
          <c:val>
            <c:numRef>
              <c:f>'Value By Industry Worksheet'!$F$1:$F$6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9CB9C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Industry Day's Change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'Industrys Day Change Worksheet'!$E$1:$E$6</c:f>
            </c:strRef>
          </c:cat>
          <c:val>
            <c:numRef>
              <c:f>'Industrys Day Change Worksheet'!$F$1:$F$6</c:f>
              <c:numCache/>
            </c:numRef>
          </c:val>
        </c:ser>
        <c:axId val="300155477"/>
        <c:axId val="1080257574"/>
      </c:barChart>
      <c:catAx>
        <c:axId val="300155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257574"/>
      </c:catAx>
      <c:valAx>
        <c:axId val="1080257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155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2E9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0</xdr:row>
      <xdr:rowOff>0</xdr:rowOff>
    </xdr:from>
    <xdr:ext cx="6238875" cy="3857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0</xdr:row>
      <xdr:rowOff>0</xdr:rowOff>
    </xdr:from>
    <xdr:ext cx="7686675" cy="5124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22</xdr:row>
      <xdr:rowOff>190500</xdr:rowOff>
    </xdr:from>
    <xdr:ext cx="7686675" cy="5124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523875</xdr:colOff>
      <xdr:row>22</xdr:row>
      <xdr:rowOff>190500</xdr:rowOff>
    </xdr:from>
    <xdr:ext cx="7972425" cy="51244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0</xdr:colOff>
      <xdr:row>22</xdr:row>
      <xdr:rowOff>190500</xdr:rowOff>
    </xdr:from>
    <xdr:ext cx="7620000" cy="51244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9525</xdr:colOff>
      <xdr:row>51</xdr:row>
      <xdr:rowOff>28575</xdr:rowOff>
    </xdr:from>
    <xdr:ext cx="7686675" cy="51244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20</xdr:col>
      <xdr:colOff>9525</xdr:colOff>
      <xdr:row>51</xdr:row>
      <xdr:rowOff>38100</xdr:rowOff>
    </xdr:from>
    <xdr:ext cx="7686675" cy="51244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523875</xdr:colOff>
      <xdr:row>51</xdr:row>
      <xdr:rowOff>28575</xdr:rowOff>
    </xdr:from>
    <xdr:ext cx="7972425" cy="51244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38"/>
    <col customWidth="1" min="10" max="10" width="18.88"/>
    <col customWidth="1" min="12" max="12" width="13.13"/>
    <col customWidth="1" min="15" max="15" width="14.75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>
      <c r="B3" s="4"/>
      <c r="N3" s="5"/>
    </row>
    <row r="4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</row>
    <row r="7">
      <c r="G7" s="9" t="s">
        <v>1</v>
      </c>
      <c r="H7" s="10">
        <f>SUM(H14:H25)</f>
        <v>1550.44</v>
      </c>
    </row>
    <row r="8">
      <c r="G8" s="11" t="s">
        <v>2</v>
      </c>
      <c r="H8" s="12">
        <f>SUM(H7/H10)</f>
        <v>0.03303496664</v>
      </c>
    </row>
    <row r="9">
      <c r="G9" s="11" t="s">
        <v>3</v>
      </c>
      <c r="H9" s="13">
        <f>SUM(N14:N26)</f>
        <v>696.55</v>
      </c>
    </row>
    <row r="10">
      <c r="G10" s="11" t="s">
        <v>4</v>
      </c>
      <c r="H10" s="13">
        <f>SUM(E14:E25)</f>
        <v>46933.3</v>
      </c>
    </row>
    <row r="11">
      <c r="G11" s="14" t="s">
        <v>5</v>
      </c>
      <c r="H11" s="15">
        <f>SUM(F14:F24)</f>
        <v>48483.74</v>
      </c>
    </row>
    <row r="13">
      <c r="A13" s="16" t="s">
        <v>6</v>
      </c>
      <c r="B13" s="16" t="s">
        <v>7</v>
      </c>
      <c r="C13" s="16" t="s">
        <v>8</v>
      </c>
      <c r="D13" s="16" t="s">
        <v>9</v>
      </c>
      <c r="E13" s="16" t="s">
        <v>10</v>
      </c>
      <c r="F13" s="16" t="s">
        <v>11</v>
      </c>
      <c r="G13" s="17" t="s">
        <v>12</v>
      </c>
      <c r="H13" s="16" t="s">
        <v>13</v>
      </c>
      <c r="I13" s="16" t="s">
        <v>14</v>
      </c>
      <c r="J13" s="16" t="s">
        <v>15</v>
      </c>
      <c r="K13" s="16" t="s">
        <v>16</v>
      </c>
      <c r="L13" s="18" t="s">
        <v>17</v>
      </c>
      <c r="M13" s="18" t="s">
        <v>18</v>
      </c>
      <c r="N13" s="18" t="s">
        <v>19</v>
      </c>
      <c r="O13" s="18" t="s">
        <v>20</v>
      </c>
      <c r="P13" s="19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>
      <c r="A14" s="9" t="s">
        <v>21</v>
      </c>
      <c r="B14" s="21">
        <v>42.0</v>
      </c>
      <c r="C14" s="22">
        <v>120.7</v>
      </c>
      <c r="D14" s="23">
        <f>IFERROR(__xludf.DUMMYFUNCTION("GOOGLEFINANCE(A14)"),188.08)</f>
        <v>188.08</v>
      </c>
      <c r="E14" s="24">
        <f t="shared" ref="E14:E24" si="1">B14*C14</f>
        <v>5069.4</v>
      </c>
      <c r="F14" s="24">
        <f t="shared" ref="F14:F24" si="2">B14*D14</f>
        <v>7899.36</v>
      </c>
      <c r="G14" s="25">
        <f>IFERROR(__xludf.DUMMYFUNCTION("GOOGLEFINANCE(A14,""change"")/100"),-0.0053)</f>
        <v>-0.0053</v>
      </c>
      <c r="H14" s="26">
        <f t="shared" ref="H14:H24" si="3">F14-E14</f>
        <v>2829.96</v>
      </c>
      <c r="I14" s="25">
        <f t="shared" ref="I14:I24" si="4">(D14-C14)/C14</f>
        <v>0.5582435791</v>
      </c>
      <c r="J14" s="27">
        <f>IFERROR(__xludf.DUMMYFUNCTION("GOOGLEFINANCE(A14,""marketcap"")"),2.9582539248E12)</f>
        <v>2958253924800</v>
      </c>
      <c r="K14" s="28" t="str">
        <f>IFERROR(__xludf.DUMMYFUNCTION("(SUBSTITUTE(index(importhtml(""http://finviz.com/quote.ashx?t=""&amp;A14,""table"",10),7,2),""*"",""""))"),"0.96")</f>
        <v>0.96</v>
      </c>
      <c r="L14" s="29">
        <f t="shared" ref="L14:L24" si="5">K14/D14</f>
        <v>0.005104210974</v>
      </c>
      <c r="M14" s="29">
        <f t="shared" ref="M14:M24" si="6">K14/C14</f>
        <v>0.007953603977</v>
      </c>
      <c r="N14" s="30">
        <f t="shared" ref="N14:N24" si="7">K14*B14</f>
        <v>40.32</v>
      </c>
      <c r="O14" s="31" t="str">
        <f>IFERROR(__xludf.DUMMYFUNCTION("INDEX(SPLIT(SUBSTITUTE(INDEX(IMPORTHTML(""http://finviz.com/quote.ashx?t=""&amp;A14,""table"",8),2,1),""*"",""""),""|"",true,true),1,1)"),"Technology ")</f>
        <v>Technology </v>
      </c>
      <c r="P14" s="32" t="s">
        <v>22</v>
      </c>
    </row>
    <row r="15">
      <c r="A15" s="11" t="s">
        <v>23</v>
      </c>
      <c r="B15" s="32">
        <v>34.0</v>
      </c>
      <c r="C15" s="33">
        <v>115.6</v>
      </c>
      <c r="D15" s="34">
        <f>IFERROR(__xludf.DUMMYFUNCTION("GOOGLEFINANCE(A15)"),110.51)</f>
        <v>110.51</v>
      </c>
      <c r="E15" s="35">
        <f t="shared" si="1"/>
        <v>3930.4</v>
      </c>
      <c r="F15" s="35">
        <f t="shared" si="2"/>
        <v>3757.34</v>
      </c>
      <c r="G15" s="25">
        <f>IFERROR(__xludf.DUMMYFUNCTION("GOOGLEFINANCE(A15,""change"")/100"),-0.0173)</f>
        <v>-0.0173</v>
      </c>
      <c r="H15" s="36">
        <f t="shared" si="3"/>
        <v>-173.06</v>
      </c>
      <c r="I15" s="37">
        <f t="shared" si="4"/>
        <v>-0.04403114187</v>
      </c>
      <c r="J15" s="38">
        <f>IFERROR(__xludf.DUMMYFUNCTION("GOOGLEFINANCE(A15,""marketcap"")"),1.6101760402E10)</f>
        <v>16101760402</v>
      </c>
      <c r="K15" s="39" t="str">
        <f>IFERROR(__xludf.DUMMYFUNCTION("(SUBSTITUTE(index(importhtml(""http://finviz.com/quote.ashx?t=""&amp;A15,""table"",10),7,2),""*"",""""))"),"1.12")</f>
        <v>1.12</v>
      </c>
      <c r="L15" s="40">
        <f t="shared" si="5"/>
        <v>0.01013482943</v>
      </c>
      <c r="M15" s="40">
        <f t="shared" si="6"/>
        <v>0.009688581315</v>
      </c>
      <c r="N15" s="41">
        <f t="shared" si="7"/>
        <v>38.08</v>
      </c>
      <c r="O15" s="42" t="str">
        <f>IFERROR(__xludf.DUMMYFUNCTION("INDEX(SPLIT(SUBSTITUTE(INDEX(IMPORTHTML(""http://finviz.com/quote.ashx?t=""&amp;A15,""table"",8),2,1),""*"",""""),""|"",true,true),1,1)"),"Consumer Defensive ")</f>
        <v>Consumer Defensive </v>
      </c>
    </row>
    <row r="16">
      <c r="A16" s="11" t="s">
        <v>24</v>
      </c>
      <c r="B16" s="32">
        <v>31.0</v>
      </c>
      <c r="C16" s="33">
        <v>307.2</v>
      </c>
      <c r="D16" s="34">
        <f>IFERROR(__xludf.DUMMYFUNCTION("GOOGLEFINANCE(A16)"),332.47)</f>
        <v>332.47</v>
      </c>
      <c r="E16" s="35">
        <f t="shared" si="1"/>
        <v>9523.2</v>
      </c>
      <c r="F16" s="35">
        <f t="shared" si="2"/>
        <v>10306.57</v>
      </c>
      <c r="G16" s="25">
        <f>IFERROR(__xludf.DUMMYFUNCTION("GOOGLEFINANCE(A16,""change"")/100"),0.0064)</f>
        <v>0.0064</v>
      </c>
      <c r="H16" s="36">
        <f t="shared" si="3"/>
        <v>783.37</v>
      </c>
      <c r="I16" s="37">
        <f t="shared" si="4"/>
        <v>0.08225911458</v>
      </c>
      <c r="J16" s="38">
        <f>IFERROR(__xludf.DUMMYFUNCTION("GOOGLEFINANCE(A16,""marketcap"")"),2.472076371966E12)</f>
        <v>2472076371966</v>
      </c>
      <c r="K16" s="39" t="str">
        <f>IFERROR(__xludf.DUMMYFUNCTION("(SUBSTITUTE(index(importhtml(""http://finviz.com/quote.ashx?t=""&amp;A16,""table"",10),7,2),""*"",""""))"),"2.72")</f>
        <v>2.72</v>
      </c>
      <c r="L16" s="40">
        <f t="shared" si="5"/>
        <v>0.00818118928</v>
      </c>
      <c r="M16" s="40">
        <f t="shared" si="6"/>
        <v>0.008854166667</v>
      </c>
      <c r="N16" s="41">
        <f t="shared" si="7"/>
        <v>84.32</v>
      </c>
      <c r="O16" s="42" t="str">
        <f>IFERROR(__xludf.DUMMYFUNCTION("INDEX(SPLIT(SUBSTITUTE(INDEX(IMPORTHTML(""http://finviz.com/quote.ashx?t=""&amp;A16,""table"",8),2,1),""*"",""""),""|"",true,true),1,1)"),"Technology ")</f>
        <v>Technology </v>
      </c>
    </row>
    <row r="17">
      <c r="A17" s="11" t="s">
        <v>25</v>
      </c>
      <c r="B17" s="32">
        <v>30.0</v>
      </c>
      <c r="C17" s="33">
        <v>200.6</v>
      </c>
      <c r="D17" s="34">
        <f>IFERROR(__xludf.DUMMYFUNCTION("GOOGLEFINANCE(A17)"),133.39)</f>
        <v>133.39</v>
      </c>
      <c r="E17" s="35">
        <f t="shared" si="1"/>
        <v>6018</v>
      </c>
      <c r="F17" s="35">
        <f t="shared" si="2"/>
        <v>4001.7</v>
      </c>
      <c r="G17" s="25">
        <f>IFERROR(__xludf.DUMMYFUNCTION("GOOGLEFINANCE(A17,""change"")/100"),0.0165)</f>
        <v>0.0165</v>
      </c>
      <c r="H17" s="36">
        <f t="shared" si="3"/>
        <v>-2016.3</v>
      </c>
      <c r="I17" s="37">
        <f t="shared" si="4"/>
        <v>-0.3350448654</v>
      </c>
      <c r="J17" s="38">
        <f>IFERROR(__xludf.DUMMYFUNCTION("GOOGLEFINANCE(A17,""marketcap"")"),6.1567434762E10)</f>
        <v>61567434762</v>
      </c>
      <c r="K17" s="39" t="str">
        <f>IFERROR(__xludf.DUMMYFUNCTION("(SUBSTITUTE(index(importhtml(""http://finviz.com/quote.ashx?t=""&amp;A17,""table"",10),7,2),""*"",""""))"),"4.40")</f>
        <v>4.40</v>
      </c>
      <c r="L17" s="40">
        <f t="shared" si="5"/>
        <v>0.03298598096</v>
      </c>
      <c r="M17" s="40">
        <f t="shared" si="6"/>
        <v>0.02193419741</v>
      </c>
      <c r="N17" s="41">
        <f t="shared" si="7"/>
        <v>132</v>
      </c>
      <c r="O17" s="42" t="str">
        <f>IFERROR(__xludf.DUMMYFUNCTION("INDEX(SPLIT(SUBSTITUTE(INDEX(IMPORTHTML(""http://finviz.com/quote.ashx?t=""&amp;A17,""table"",8),2,1),""*"",""""),""|"",true,true),1,1)"),"Consumer Defensive ")</f>
        <v>Consumer Defensive </v>
      </c>
    </row>
    <row r="18">
      <c r="A18" s="11" t="s">
        <v>26</v>
      </c>
      <c r="B18" s="32">
        <v>28.0</v>
      </c>
      <c r="C18" s="33">
        <v>42.8</v>
      </c>
      <c r="D18" s="34">
        <f>IFERROR(__xludf.DUMMYFUNCTION("GOOGLEFINANCE(A18)"),45.64)</f>
        <v>45.64</v>
      </c>
      <c r="E18" s="35">
        <f t="shared" si="1"/>
        <v>1198.4</v>
      </c>
      <c r="F18" s="35">
        <f t="shared" si="2"/>
        <v>1277.92</v>
      </c>
      <c r="G18" s="25">
        <f>IFERROR(__xludf.DUMMYFUNCTION("GOOGLEFINANCE(A18,""change"")/100"),0.0069)</f>
        <v>0.0069</v>
      </c>
      <c r="H18" s="36">
        <f t="shared" si="3"/>
        <v>79.52</v>
      </c>
      <c r="I18" s="37">
        <f t="shared" si="4"/>
        <v>0.06635514019</v>
      </c>
      <c r="J18" s="38">
        <f>IFERROR(__xludf.DUMMYFUNCTION("GOOGLEFINANCE(A18,""marketcap"")"),8.146917887E10)</f>
        <v>81469178870</v>
      </c>
      <c r="K18" s="39" t="str">
        <f>IFERROR(__xludf.DUMMYFUNCTION("(SUBSTITUTE(index(importhtml(""http://finviz.com/quote.ashx?t=""&amp;A18,""table"",10),7,2),""*"",""""))"),"3.76")</f>
        <v>3.76</v>
      </c>
      <c r="L18" s="40">
        <f t="shared" si="5"/>
        <v>0.08238387379</v>
      </c>
      <c r="M18" s="40">
        <f t="shared" si="6"/>
        <v>0.08785046729</v>
      </c>
      <c r="N18" s="41">
        <f t="shared" si="7"/>
        <v>105.28</v>
      </c>
      <c r="O18" s="42" t="str">
        <f>IFERROR(__xludf.DUMMYFUNCTION("INDEX(SPLIT(SUBSTITUTE(INDEX(IMPORTHTML(""http://finviz.com/quote.ashx?t=""&amp;A18,""table"",8),2,1),""*"",""""),""|"",true,true),1,1)"),"Consumer Defensive ")</f>
        <v>Consumer Defensive </v>
      </c>
    </row>
    <row r="19">
      <c r="A19" s="11" t="s">
        <v>27</v>
      </c>
      <c r="B19" s="32">
        <v>27.0</v>
      </c>
      <c r="C19" s="33">
        <v>30.5</v>
      </c>
      <c r="D19" s="34">
        <f>IFERROR(__xludf.DUMMYFUNCTION("GOOGLEFINANCE(A19)"),34.99)</f>
        <v>34.99</v>
      </c>
      <c r="E19" s="35">
        <f t="shared" si="1"/>
        <v>823.5</v>
      </c>
      <c r="F19" s="35">
        <f t="shared" si="2"/>
        <v>944.73</v>
      </c>
      <c r="G19" s="25">
        <f>IFERROR(__xludf.DUMMYFUNCTION("GOOGLEFINANCE(A19,""change"")/100"),-0.0015)</f>
        <v>-0.0015</v>
      </c>
      <c r="H19" s="36">
        <f t="shared" si="3"/>
        <v>121.23</v>
      </c>
      <c r="I19" s="37">
        <f t="shared" si="4"/>
        <v>0.1472131148</v>
      </c>
      <c r="J19" s="38">
        <f>IFERROR(__xludf.DUMMYFUNCTION("GOOGLEFINANCE(A19,""marketcap"")"),1.47097652146E11)</f>
        <v>147097652146</v>
      </c>
      <c r="K19" s="39" t="str">
        <f>IFERROR(__xludf.DUMMYFUNCTION("(SUBSTITUTE(index(importhtml(""http://finviz.com/quote.ashx?t=""&amp;A19,""table"",10),7,2),""*"",""""))"),"2.61")</f>
        <v>2.61</v>
      </c>
      <c r="L19" s="40">
        <f t="shared" si="5"/>
        <v>0.07459274078</v>
      </c>
      <c r="M19" s="40">
        <f t="shared" si="6"/>
        <v>0.08557377049</v>
      </c>
      <c r="N19" s="41">
        <f t="shared" si="7"/>
        <v>70.47</v>
      </c>
      <c r="O19" s="42" t="str">
        <f>IFERROR(__xludf.DUMMYFUNCTION("INDEX(SPLIT(SUBSTITUTE(INDEX(IMPORTHTML(""http://finviz.com/quote.ashx?t=""&amp;A19,""table"",8),2,1),""*"",""""),""|"",true,true),1,1)"),"Communication Services ")</f>
        <v>Communication Services </v>
      </c>
    </row>
    <row r="20">
      <c r="A20" s="11" t="s">
        <v>28</v>
      </c>
      <c r="B20" s="32">
        <v>23.0</v>
      </c>
      <c r="C20" s="33">
        <v>460.3</v>
      </c>
      <c r="D20" s="34">
        <f>IFERROR(__xludf.DUMMYFUNCTION("GOOGLEFINANCE(A20)"),462.89)</f>
        <v>462.89</v>
      </c>
      <c r="E20" s="35">
        <f t="shared" si="1"/>
        <v>10586.9</v>
      </c>
      <c r="F20" s="35">
        <f t="shared" si="2"/>
        <v>10646.47</v>
      </c>
      <c r="G20" s="25">
        <f>IFERROR(__xludf.DUMMYFUNCTION("GOOGLEFINANCE(A20,""change"")/100"),-0.0016)</f>
        <v>-0.0016</v>
      </c>
      <c r="H20" s="36">
        <f t="shared" si="3"/>
        <v>59.57</v>
      </c>
      <c r="I20" s="37">
        <f t="shared" si="4"/>
        <v>0.005626765153</v>
      </c>
      <c r="J20" s="38">
        <f>IFERROR(__xludf.DUMMYFUNCTION("GOOGLEFINANCE(A20,""marketcap"")"),4.30965462407E11)</f>
        <v>430965462407</v>
      </c>
      <c r="K20" s="39" t="str">
        <f>IFERROR(__xludf.DUMMYFUNCTION("(SUBSTITUTE(index(importhtml(""http://finviz.com/quote.ashx?t=""&amp;A20,""table"",10),7,2),""*"",""""))"),"7.52")</f>
        <v>7.52</v>
      </c>
      <c r="L20" s="40">
        <f t="shared" si="5"/>
        <v>0.01624576033</v>
      </c>
      <c r="M20" s="40">
        <f t="shared" si="6"/>
        <v>0.01633717141</v>
      </c>
      <c r="N20" s="41">
        <f t="shared" si="7"/>
        <v>172.96</v>
      </c>
      <c r="O20" s="42" t="str">
        <f>IFERROR(__xludf.DUMMYFUNCTION("INDEX(SPLIT(SUBSTITUTE(INDEX(IMPORTHTML(""http://finviz.com/quote.ashx?t=""&amp;A20,""table"",8),2,1),""*"",""""),""|"",true,true),1,1)"),"Healthcare ")</f>
        <v>Healthcare </v>
      </c>
    </row>
    <row r="21">
      <c r="A21" s="11" t="s">
        <v>29</v>
      </c>
      <c r="B21" s="32">
        <v>16.0</v>
      </c>
      <c r="C21" s="33">
        <v>97.8</v>
      </c>
      <c r="D21" s="34">
        <f>IFERROR(__xludf.DUMMYFUNCTION("GOOGLEFINANCE(A21)"),101.26)</f>
        <v>101.26</v>
      </c>
      <c r="E21" s="35">
        <f t="shared" si="1"/>
        <v>1564.8</v>
      </c>
      <c r="F21" s="35">
        <f t="shared" si="2"/>
        <v>1620.16</v>
      </c>
      <c r="G21" s="25">
        <f>IFERROR(__xludf.DUMMYFUNCTION("GOOGLEFINANCE(A21,""change"")/100"),0.0149)</f>
        <v>0.0149</v>
      </c>
      <c r="H21" s="36">
        <f t="shared" si="3"/>
        <v>55.36</v>
      </c>
      <c r="I21" s="37">
        <f t="shared" si="4"/>
        <v>0.03537832311</v>
      </c>
      <c r="J21" s="38">
        <f>IFERROR(__xludf.DUMMYFUNCTION("GOOGLEFINANCE(A21,""marketcap"")"),4.73306362925E11)</f>
        <v>473306362925</v>
      </c>
      <c r="K21" s="39" t="str">
        <f>IFERROR(__xludf.DUMMYFUNCTION("(SUBSTITUTE(index(importhtml(""http://finviz.com/quote.ashx?t=""&amp;A21,""table"",10),7,2),""*"",""""))"),"1.83")</f>
        <v>1.83</v>
      </c>
      <c r="L21" s="40">
        <f t="shared" si="5"/>
        <v>0.01807228916</v>
      </c>
      <c r="M21" s="40">
        <f t="shared" si="6"/>
        <v>0.01871165644</v>
      </c>
      <c r="N21" s="41">
        <f t="shared" si="7"/>
        <v>29.28</v>
      </c>
      <c r="O21" s="42" t="str">
        <f>IFERROR(__xludf.DUMMYFUNCTION("INDEX(SPLIT(SUBSTITUTE(INDEX(IMPORTHTML(""http://finviz.com/quote.ashx?t=""&amp;A21,""table"",8),2,1),""*"",""""),""|"",true,true),1,1)"),"Technology ")</f>
        <v>Technology </v>
      </c>
    </row>
    <row r="22">
      <c r="A22" s="11" t="s">
        <v>30</v>
      </c>
      <c r="B22" s="32">
        <v>14.0</v>
      </c>
      <c r="C22" s="33">
        <v>430.0</v>
      </c>
      <c r="D22" s="34">
        <f>IFERROR(__xludf.DUMMYFUNCTION("GOOGLEFINANCE(A22)"),424.05)</f>
        <v>424.05</v>
      </c>
      <c r="E22" s="35">
        <f t="shared" si="1"/>
        <v>6020</v>
      </c>
      <c r="F22" s="35">
        <f t="shared" si="2"/>
        <v>5936.7</v>
      </c>
      <c r="G22" s="25">
        <f>IFERROR(__xludf.DUMMYFUNCTION("GOOGLEFINANCE(A22,""change"")/100"),0.0225)</f>
        <v>0.0225</v>
      </c>
      <c r="H22" s="36">
        <f t="shared" si="3"/>
        <v>-83.3</v>
      </c>
      <c r="I22" s="37">
        <f t="shared" si="4"/>
        <v>-0.0138372093</v>
      </c>
      <c r="J22" s="38">
        <f>IFERROR(__xludf.DUMMYFUNCTION("GOOGLEFINANCE(A22,""marketcap"")"),1.047403045798E12)</f>
        <v>1047403045798</v>
      </c>
      <c r="K22" s="39" t="str">
        <f>IFERROR(__xludf.DUMMYFUNCTION("(SUBSTITUTE(index(importhtml(""http://finviz.com/quote.ashx?t=""&amp;A22,""table"",10),7,2),""*"",""""))"),"0.16")</f>
        <v>0.16</v>
      </c>
      <c r="L22" s="40">
        <f t="shared" si="5"/>
        <v>0.000377313996</v>
      </c>
      <c r="M22" s="40">
        <f t="shared" si="6"/>
        <v>0.0003720930233</v>
      </c>
      <c r="N22" s="41">
        <f t="shared" si="7"/>
        <v>2.24</v>
      </c>
      <c r="O22" s="42" t="str">
        <f>IFERROR(__xludf.DUMMYFUNCTION("INDEX(SPLIT(SUBSTITUTE(INDEX(IMPORTHTML(""http://finviz.com/quote.ashx?t=""&amp;A22,""table"",8),2,1),""*"",""""),""|"",true,true),1,1)"),"Technology ")</f>
        <v>Technology </v>
      </c>
    </row>
    <row r="23">
      <c r="A23" s="11" t="s">
        <v>31</v>
      </c>
      <c r="B23" s="32">
        <v>9.0</v>
      </c>
      <c r="C23" s="33">
        <v>25.9</v>
      </c>
      <c r="D23" s="34">
        <f>IFERROR(__xludf.DUMMYFUNCTION("GOOGLEFINANCE(A23)"),18.71)</f>
        <v>18.71</v>
      </c>
      <c r="E23" s="35">
        <f t="shared" si="1"/>
        <v>233.1</v>
      </c>
      <c r="F23" s="35">
        <f t="shared" si="2"/>
        <v>168.39</v>
      </c>
      <c r="G23" s="25">
        <f>IFERROR(__xludf.DUMMYFUNCTION("GOOGLEFINANCE(A23,""change"")/100"),0.0025)</f>
        <v>0.0025</v>
      </c>
      <c r="H23" s="36">
        <f t="shared" si="3"/>
        <v>-64.71</v>
      </c>
      <c r="I23" s="37">
        <f t="shared" si="4"/>
        <v>-0.2776061776</v>
      </c>
      <c r="J23" s="38">
        <f>IFERROR(__xludf.DUMMYFUNCTION("GOOGLEFINANCE(A23,""marketcap"")"),1.7555807305E10)</f>
        <v>17555807305</v>
      </c>
      <c r="K23" s="39" t="str">
        <f>IFERROR(__xludf.DUMMYFUNCTION("(SUBSTITUTE(index(importhtml(""http://finviz.com/quote.ashx?t=""&amp;A23,""table"",10),7,2),""*"",""""))"),"0.80")</f>
        <v>0.80</v>
      </c>
      <c r="L23" s="40">
        <f t="shared" si="5"/>
        <v>0.04275788348</v>
      </c>
      <c r="M23" s="40">
        <f t="shared" si="6"/>
        <v>0.03088803089</v>
      </c>
      <c r="N23" s="41">
        <f t="shared" si="7"/>
        <v>7.2</v>
      </c>
      <c r="O23" s="42" t="str">
        <f>IFERROR(__xludf.DUMMYFUNCTION("INDEX(SPLIT(SUBSTITUTE(INDEX(IMPORTHTML(""http://finviz.com/quote.ashx?t=""&amp;A23,""table"",8),2,1),""*"",""""),""|"",true,true),1,1)"),"Financial ")</f>
        <v>Financial </v>
      </c>
    </row>
    <row r="24">
      <c r="A24" s="14" t="s">
        <v>32</v>
      </c>
      <c r="B24" s="43">
        <v>8.0</v>
      </c>
      <c r="C24" s="44">
        <v>245.7</v>
      </c>
      <c r="D24" s="45">
        <f>IFERROR(__xludf.DUMMYFUNCTION("GOOGLEFINANCE(A24)"),240.55)</f>
        <v>240.55</v>
      </c>
      <c r="E24" s="46">
        <f t="shared" si="1"/>
        <v>1965.6</v>
      </c>
      <c r="F24" s="46">
        <f t="shared" si="2"/>
        <v>1924.4</v>
      </c>
      <c r="G24" s="25">
        <f>IFERROR(__xludf.DUMMYFUNCTION("GOOGLEFINANCE(A24,""change"")/100"),0.0239)</f>
        <v>0.0239</v>
      </c>
      <c r="H24" s="47">
        <f t="shared" si="3"/>
        <v>-41.2</v>
      </c>
      <c r="I24" s="48">
        <f t="shared" si="4"/>
        <v>-0.02096052096</v>
      </c>
      <c r="J24" s="49">
        <f>IFERROR(__xludf.DUMMYFUNCTION("GOOGLEFINANCE(A24,""marketcap"")"),4.92921595453E11)</f>
        <v>492921595453</v>
      </c>
      <c r="K24" s="50" t="str">
        <f>IFERROR(__xludf.DUMMYFUNCTION("(SUBSTITUTE(index(importhtml(""http://finviz.com/quote.ashx?t=""&amp;A24,""table"",10),7,2),""*"",""""))"),"1.80")</f>
        <v>1.80</v>
      </c>
      <c r="L24" s="51">
        <f t="shared" si="5"/>
        <v>0.007482851798</v>
      </c>
      <c r="M24" s="51">
        <f t="shared" si="6"/>
        <v>0.007326007326</v>
      </c>
      <c r="N24" s="52">
        <f t="shared" si="7"/>
        <v>14.4</v>
      </c>
      <c r="O24" s="53" t="str">
        <f>IFERROR(__xludf.DUMMYFUNCTION("INDEX(SPLIT(SUBSTITUTE(INDEX(IMPORTHTML(""http://finviz.com/quote.ashx?t=""&amp;A24,""table"",8),2,1),""*"",""""),""|"",true,true),1,1)"),"Financial ")</f>
        <v>Financial </v>
      </c>
    </row>
    <row r="25">
      <c r="G25" s="25"/>
      <c r="O25" s="54" t="str">
        <f>IFERROR(__xludf.DUMMYFUNCTION("if(A26="""","""",IFERROR(substitute(Index(IMPORTHTML(""https://finviz.com/quote.ashx?t=""&amp;A26,""Table"",8),2,1),""*"",""""),""-""))"),"")</f>
        <v/>
      </c>
    </row>
    <row r="26">
      <c r="O26" s="54" t="str">
        <f>IFERROR(__xludf.DUMMYFUNCTION("if(A27="""","""",IFERROR(substitute(Index(IMPORTHTML(""https://finviz.com/quote.ashx?t=""&amp;A27,""Table"",8),2,1),""*"",""""),""-""))"),"")</f>
        <v/>
      </c>
    </row>
  </sheetData>
  <autoFilter ref="$A$13:$O$24">
    <sortState ref="A13:O24">
      <sortCondition descending="1" ref="B13:B24"/>
      <sortCondition descending="1" ref="I13:I24"/>
      <sortCondition ref="G13:G24"/>
    </sortState>
  </autoFilter>
  <mergeCells count="1">
    <mergeCell ref="B2:N4"/>
  </mergeCells>
  <conditionalFormatting sqref="G14:I24">
    <cfRule type="cellIs" dxfId="0" priority="1" operator="greaterThan">
      <formula>0</formula>
    </cfRule>
  </conditionalFormatting>
  <conditionalFormatting sqref="G14:I24">
    <cfRule type="cellIs" dxfId="1" priority="2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88"/>
    <col customWidth="1" min="4" max="5" width="17.75"/>
  </cols>
  <sheetData>
    <row r="1">
      <c r="A1" s="36" t="str">
        <f>'Stock Data'!A14</f>
        <v>AAPL</v>
      </c>
      <c r="B1" s="37">
        <f>'Stock Data'!G14</f>
        <v>-0.0053</v>
      </c>
      <c r="C1" s="36" t="str">
        <f>'Stock Data'!O14</f>
        <v>Technology </v>
      </c>
      <c r="D1" s="55"/>
      <c r="E1" s="55" t="str">
        <f>IFERROR(__xludf.DUMMYFUNCTION("UNIQUE(C1:C11)"),"Technology ")</f>
        <v>Technology </v>
      </c>
      <c r="F1" s="56">
        <f t="shared" ref="F1:F6" si="1">if(isblank(E1),"",AVERAGEIF($C$1:$C$13,E1,$B$1:$B$13))</f>
        <v>0.009625</v>
      </c>
    </row>
    <row r="2">
      <c r="A2" s="36" t="str">
        <f>'Stock Data'!A15</f>
        <v>LW</v>
      </c>
      <c r="B2" s="37">
        <f>'Stock Data'!G15</f>
        <v>-0.0173</v>
      </c>
      <c r="C2" s="36" t="str">
        <f>'Stock Data'!O15</f>
        <v>Consumer Defensive </v>
      </c>
      <c r="E2" s="36" t="str">
        <f>IFERROR(__xludf.DUMMYFUNCTION("""COMPUTED_VALUE"""),"Consumer Defensive ")</f>
        <v>Consumer Defensive </v>
      </c>
      <c r="F2" s="56">
        <f t="shared" si="1"/>
        <v>0.002033333333</v>
      </c>
    </row>
    <row r="3">
      <c r="A3" s="36" t="str">
        <f>'Stock Data'!A16</f>
        <v>MSFT</v>
      </c>
      <c r="B3" s="37">
        <f>'Stock Data'!G16</f>
        <v>0.0064</v>
      </c>
      <c r="C3" s="36" t="str">
        <f>'Stock Data'!O16</f>
        <v>Technology </v>
      </c>
      <c r="E3" s="36" t="str">
        <f>IFERROR(__xludf.DUMMYFUNCTION("""COMPUTED_VALUE"""),"Communication Services ")</f>
        <v>Communication Services </v>
      </c>
      <c r="F3" s="56">
        <f t="shared" si="1"/>
        <v>-0.0015</v>
      </c>
    </row>
    <row r="4">
      <c r="A4" s="36" t="str">
        <f>'Stock Data'!A17</f>
        <v>TGT</v>
      </c>
      <c r="B4" s="37">
        <f>'Stock Data'!G17</f>
        <v>0.0165</v>
      </c>
      <c r="C4" s="36" t="str">
        <f>'Stock Data'!O17</f>
        <v>Consumer Defensive </v>
      </c>
      <c r="E4" s="36" t="str">
        <f>IFERROR(__xludf.DUMMYFUNCTION("""COMPUTED_VALUE"""),"Healthcare ")</f>
        <v>Healthcare </v>
      </c>
      <c r="F4" s="56">
        <f t="shared" si="1"/>
        <v>-0.0016</v>
      </c>
    </row>
    <row r="5">
      <c r="A5" s="36" t="str">
        <f>'Stock Data'!A18</f>
        <v>MO</v>
      </c>
      <c r="B5" s="37">
        <f>'Stock Data'!G18</f>
        <v>0.0069</v>
      </c>
      <c r="C5" s="36" t="str">
        <f>'Stock Data'!O18</f>
        <v>Consumer Defensive </v>
      </c>
      <c r="E5" s="36" t="str">
        <f>IFERROR(__xludf.DUMMYFUNCTION("""COMPUTED_VALUE"""),"Financial ")</f>
        <v>Financial </v>
      </c>
      <c r="F5" s="56">
        <f t="shared" si="1"/>
        <v>0.0132</v>
      </c>
    </row>
    <row r="6">
      <c r="A6" s="36" t="str">
        <f>'Stock Data'!A19</f>
        <v>VZ</v>
      </c>
      <c r="B6" s="37">
        <f>'Stock Data'!G19</f>
        <v>-0.0015</v>
      </c>
      <c r="C6" s="36" t="str">
        <f>'Stock Data'!O19</f>
        <v>Communication Services </v>
      </c>
      <c r="F6" s="56" t="str">
        <f t="shared" si="1"/>
        <v/>
      </c>
    </row>
    <row r="7">
      <c r="A7" s="36" t="str">
        <f>'Stock Data'!A20</f>
        <v>UNH</v>
      </c>
      <c r="B7" s="37">
        <f>'Stock Data'!G20</f>
        <v>-0.0016</v>
      </c>
      <c r="C7" s="36" t="str">
        <f>'Stock Data'!O20</f>
        <v>Healthcare </v>
      </c>
    </row>
    <row r="8">
      <c r="A8" s="36" t="str">
        <f>'Stock Data'!A21</f>
        <v>TSM</v>
      </c>
      <c r="B8" s="37">
        <f>'Stock Data'!G21</f>
        <v>0.0149</v>
      </c>
      <c r="C8" s="36" t="str">
        <f>'Stock Data'!O21</f>
        <v>Technology </v>
      </c>
    </row>
    <row r="9">
      <c r="A9" s="36" t="str">
        <f>'Stock Data'!A22</f>
        <v>NVDA</v>
      </c>
      <c r="B9" s="37">
        <f>'Stock Data'!G22</f>
        <v>0.0225</v>
      </c>
      <c r="C9" s="36" t="str">
        <f>'Stock Data'!O22</f>
        <v>Technology </v>
      </c>
    </row>
    <row r="10">
      <c r="A10" s="36" t="str">
        <f>'Stock Data'!A23</f>
        <v>RF</v>
      </c>
      <c r="B10" s="37">
        <f>'Stock Data'!G23</f>
        <v>0.0025</v>
      </c>
      <c r="C10" s="36" t="str">
        <f>'Stock Data'!O23</f>
        <v>Financial </v>
      </c>
    </row>
    <row r="11">
      <c r="A11" s="36" t="str">
        <f>'Stock Data'!A24</f>
        <v>V</v>
      </c>
      <c r="B11" s="37">
        <f>'Stock Data'!G24</f>
        <v>0.0239</v>
      </c>
      <c r="C11" s="36" t="str">
        <f>'Stock Data'!O24</f>
        <v>Financial </v>
      </c>
    </row>
    <row r="12">
      <c r="A12" s="36" t="str">
        <f>'Stock Data'!A25</f>
        <v/>
      </c>
    </row>
    <row r="13">
      <c r="A13" s="36" t="str">
        <f>'Stock Data'!A26</f>
        <v/>
      </c>
    </row>
    <row r="14">
      <c r="A14" s="36" t="str">
        <f>'Stock Data'!A27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63"/>
    <col customWidth="1" min="5" max="5" width="20.25"/>
  </cols>
  <sheetData>
    <row r="1">
      <c r="A1" s="36" t="str">
        <f>'Stock Data'!A14</f>
        <v>AAPL</v>
      </c>
      <c r="B1" s="36">
        <f>'Stock Data'!F14</f>
        <v>7899.36</v>
      </c>
      <c r="C1" s="36" t="str">
        <f>'Stock Data'!O14</f>
        <v>Technology </v>
      </c>
      <c r="E1" s="36" t="str">
        <f>IFERROR(__xludf.DUMMYFUNCTION("UNIQUE(C1:C11)"),"Technology ")</f>
        <v>Technology </v>
      </c>
      <c r="F1" s="55">
        <f t="shared" ref="F1:F6" si="1">if(isblank(E1),"",SUMIF($C$1:$C$13,E1,$B$1:$B$13))</f>
        <v>25762.79</v>
      </c>
      <c r="G1" s="57"/>
    </row>
    <row r="2">
      <c r="A2" s="36" t="str">
        <f>'Stock Data'!A15</f>
        <v>LW</v>
      </c>
      <c r="B2" s="36">
        <f>'Stock Data'!F15</f>
        <v>3757.34</v>
      </c>
      <c r="C2" s="36" t="str">
        <f>'Stock Data'!O15</f>
        <v>Consumer Defensive </v>
      </c>
      <c r="E2" s="36" t="str">
        <f>IFERROR(__xludf.DUMMYFUNCTION("""COMPUTED_VALUE"""),"Consumer Defensive ")</f>
        <v>Consumer Defensive </v>
      </c>
      <c r="F2" s="55">
        <f t="shared" si="1"/>
        <v>9036.96</v>
      </c>
    </row>
    <row r="3">
      <c r="A3" s="36" t="str">
        <f>'Stock Data'!A16</f>
        <v>MSFT</v>
      </c>
      <c r="B3" s="36">
        <f>'Stock Data'!F16</f>
        <v>10306.57</v>
      </c>
      <c r="C3" s="36" t="str">
        <f>'Stock Data'!O16</f>
        <v>Technology </v>
      </c>
      <c r="E3" s="36" t="str">
        <f>IFERROR(__xludf.DUMMYFUNCTION("""COMPUTED_VALUE"""),"Communication Services ")</f>
        <v>Communication Services </v>
      </c>
      <c r="F3" s="55">
        <f t="shared" si="1"/>
        <v>944.73</v>
      </c>
    </row>
    <row r="4">
      <c r="A4" s="36" t="str">
        <f>'Stock Data'!A17</f>
        <v>TGT</v>
      </c>
      <c r="B4" s="36">
        <f>'Stock Data'!F17</f>
        <v>4001.7</v>
      </c>
      <c r="C4" s="36" t="str">
        <f>'Stock Data'!O17</f>
        <v>Consumer Defensive </v>
      </c>
      <c r="E4" s="36" t="str">
        <f>IFERROR(__xludf.DUMMYFUNCTION("""COMPUTED_VALUE"""),"Healthcare ")</f>
        <v>Healthcare </v>
      </c>
      <c r="F4" s="55">
        <f t="shared" si="1"/>
        <v>10646.47</v>
      </c>
    </row>
    <row r="5">
      <c r="A5" s="36" t="str">
        <f>'Stock Data'!A18</f>
        <v>MO</v>
      </c>
      <c r="B5" s="36">
        <f>'Stock Data'!F18</f>
        <v>1277.92</v>
      </c>
      <c r="C5" s="36" t="str">
        <f>'Stock Data'!O18</f>
        <v>Consumer Defensive </v>
      </c>
      <c r="E5" s="36" t="str">
        <f>IFERROR(__xludf.DUMMYFUNCTION("""COMPUTED_VALUE"""),"Financial ")</f>
        <v>Financial </v>
      </c>
      <c r="F5" s="55">
        <f t="shared" si="1"/>
        <v>2092.79</v>
      </c>
    </row>
    <row r="6">
      <c r="A6" s="36" t="str">
        <f>'Stock Data'!A19</f>
        <v>VZ</v>
      </c>
      <c r="B6" s="36">
        <f>'Stock Data'!F19</f>
        <v>944.73</v>
      </c>
      <c r="C6" s="36" t="str">
        <f>'Stock Data'!O19</f>
        <v>Communication Services </v>
      </c>
      <c r="F6" s="55" t="str">
        <f t="shared" si="1"/>
        <v/>
      </c>
    </row>
    <row r="7">
      <c r="A7" s="36" t="str">
        <f>'Stock Data'!A20</f>
        <v>UNH</v>
      </c>
      <c r="B7" s="36">
        <f>'Stock Data'!F20</f>
        <v>10646.47</v>
      </c>
      <c r="C7" s="36" t="str">
        <f>'Stock Data'!O20</f>
        <v>Healthcare </v>
      </c>
    </row>
    <row r="8">
      <c r="A8" s="36" t="str">
        <f>'Stock Data'!A21</f>
        <v>TSM</v>
      </c>
      <c r="B8" s="36">
        <f>'Stock Data'!F21</f>
        <v>1620.16</v>
      </c>
      <c r="C8" s="36" t="str">
        <f>'Stock Data'!O21</f>
        <v>Technology </v>
      </c>
    </row>
    <row r="9">
      <c r="A9" s="36" t="str">
        <f>'Stock Data'!A22</f>
        <v>NVDA</v>
      </c>
      <c r="B9" s="36">
        <f>'Stock Data'!F22</f>
        <v>5936.7</v>
      </c>
      <c r="C9" s="36" t="str">
        <f>'Stock Data'!O22</f>
        <v>Technology </v>
      </c>
    </row>
    <row r="10">
      <c r="A10" s="36" t="str">
        <f>'Stock Data'!A23</f>
        <v>RF</v>
      </c>
      <c r="B10" s="36">
        <f>'Stock Data'!F23</f>
        <v>168.39</v>
      </c>
      <c r="C10" s="36" t="str">
        <f>'Stock Data'!O23</f>
        <v>Financial </v>
      </c>
    </row>
    <row r="11">
      <c r="A11" s="36" t="str">
        <f>'Stock Data'!A24</f>
        <v>V</v>
      </c>
      <c r="B11" s="36">
        <f>'Stock Data'!F24</f>
        <v>1924.4</v>
      </c>
      <c r="C11" s="36" t="str">
        <f>'Stock Data'!O24</f>
        <v>Financial </v>
      </c>
    </row>
    <row r="12">
      <c r="A12" s="36" t="str">
        <f>'Stock Data'!A25</f>
        <v/>
      </c>
    </row>
    <row r="13">
      <c r="A13" s="36" t="str">
        <f>'Stock Data'!A26</f>
        <v/>
      </c>
    </row>
    <row r="14">
      <c r="A14" s="36" t="str">
        <f>'Stock Data'!A27</f>
        <v/>
      </c>
    </row>
    <row r="15">
      <c r="A15" s="36" t="str">
        <f>'Stock Data'!A28</f>
        <v/>
      </c>
    </row>
    <row r="16">
      <c r="A16" s="36" t="str">
        <f>'Stock Data'!A29</f>
        <v/>
      </c>
    </row>
    <row r="17">
      <c r="A17" s="36" t="str">
        <f>'Stock Data'!A30</f>
        <v/>
      </c>
    </row>
    <row r="18">
      <c r="A18" s="36" t="str">
        <f>'Stock Data'!A31</f>
        <v/>
      </c>
    </row>
    <row r="19">
      <c r="A19" s="36" t="str">
        <f>'Stock Data'!A32</f>
        <v/>
      </c>
    </row>
    <row r="20">
      <c r="A20" s="36" t="str">
        <f>'Stock Data'!A33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63"/>
  </cols>
  <sheetData>
    <row r="2">
      <c r="C2" s="58" t="s">
        <v>33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C3" s="4"/>
    </row>
    <row r="4">
      <c r="C4" s="4"/>
    </row>
    <row r="5">
      <c r="C5" s="4"/>
    </row>
    <row r="6"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9">
      <c r="E9" s="59" t="s">
        <v>34</v>
      </c>
      <c r="F9" s="2"/>
      <c r="G9" s="2"/>
      <c r="H9" s="2"/>
      <c r="I9" s="2"/>
      <c r="J9" s="2"/>
      <c r="K9" s="2"/>
      <c r="L9" s="2"/>
      <c r="M9" s="2"/>
      <c r="N9" s="2"/>
      <c r="O9" s="2"/>
      <c r="P9" s="3"/>
      <c r="Q9" s="60" t="s">
        <v>35</v>
      </c>
      <c r="R9" s="2"/>
      <c r="S9" s="2"/>
      <c r="T9" s="2"/>
      <c r="U9" s="2"/>
      <c r="V9" s="2"/>
      <c r="W9" s="2"/>
      <c r="X9" s="2"/>
      <c r="Y9" s="2"/>
      <c r="Z9" s="2"/>
      <c r="AA9" s="2"/>
      <c r="AB9" s="3"/>
    </row>
    <row r="10"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8"/>
      <c r="Q10" s="6"/>
      <c r="R10" s="7"/>
      <c r="S10" s="7"/>
      <c r="T10" s="7"/>
      <c r="U10" s="7"/>
      <c r="V10" s="7"/>
      <c r="W10" s="7"/>
      <c r="X10" s="7"/>
      <c r="Y10" s="7"/>
      <c r="Z10" s="7"/>
      <c r="AA10" s="7"/>
      <c r="AB10" s="8"/>
    </row>
    <row r="11">
      <c r="C11" s="61" t="s">
        <v>36</v>
      </c>
      <c r="D11" s="62" t="s">
        <v>21</v>
      </c>
      <c r="E11" s="63" t="str">
        <f>IFERROR(__xludf.DUMMYFUNCTION("sparkline(GOOGLEFINANCE(D11,""price"",today()-364,today()))"),"")</f>
        <v/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  <c r="Q11" s="64" t="str">
        <f>IFERROR(__xludf.DUMMYFUNCTION("sparkline(GOOGLEFINANCE(D11,""price"",today()-30,today()))"),"")</f>
        <v/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</row>
    <row r="12">
      <c r="C12" s="65"/>
      <c r="D12" s="65"/>
      <c r="E12" s="4"/>
      <c r="P12" s="5"/>
      <c r="Q12" s="4"/>
      <c r="AB12" s="5"/>
    </row>
    <row r="13">
      <c r="C13" s="66"/>
      <c r="D13" s="66"/>
      <c r="E13" s="4"/>
      <c r="P13" s="5"/>
      <c r="Q13" s="4"/>
      <c r="AB13" s="5"/>
    </row>
    <row r="14">
      <c r="C14" s="67" t="s">
        <v>9</v>
      </c>
      <c r="D14" s="68">
        <f>IFERROR(__xludf.DUMMYFUNCTION("GOOGLEFINANCE(D11)"),188.08)</f>
        <v>188.08</v>
      </c>
      <c r="E14" s="4"/>
      <c r="P14" s="5"/>
      <c r="Q14" s="4"/>
      <c r="AB14" s="5"/>
    </row>
    <row r="15">
      <c r="C15" s="69" t="s">
        <v>15</v>
      </c>
      <c r="D15" s="70">
        <f>IFERROR(__xludf.DUMMYFUNCTION("GOOGLEFINANCE(D11,""marketcap"")"),2.9582539248E12)</f>
        <v>2958253924800</v>
      </c>
      <c r="E15" s="4"/>
      <c r="P15" s="5"/>
      <c r="Q15" s="4"/>
      <c r="AB15" s="5"/>
    </row>
    <row r="16">
      <c r="C16" s="69" t="s">
        <v>37</v>
      </c>
      <c r="D16" s="71">
        <f>IFERROR(__xludf.DUMMYFUNCTION("GOOGLEFINANCE(D11,""high52"")"),194.48)</f>
        <v>194.48</v>
      </c>
      <c r="E16" s="4"/>
      <c r="P16" s="5"/>
      <c r="Q16" s="4"/>
      <c r="AB16" s="5"/>
    </row>
    <row r="17">
      <c r="C17" s="69" t="s">
        <v>38</v>
      </c>
      <c r="D17" s="71">
        <f>IFERROR(__xludf.DUMMYFUNCTION("GOOGLEFINANCE(D11,""low52"")"),124.17)</f>
        <v>124.17</v>
      </c>
      <c r="E17" s="4"/>
      <c r="P17" s="5"/>
      <c r="Q17" s="4"/>
      <c r="AB17" s="5"/>
    </row>
    <row r="18">
      <c r="C18" s="69" t="s">
        <v>20</v>
      </c>
      <c r="D18" s="72" t="str">
        <f>IFERROR(__xludf.DUMMYFUNCTION("INDEX(SPLIT(SUBSTITUTE(INDEX(IMPORTHTML(""http://finviz.com/quote.ashx?t=""&amp;D11,""table"",8),2,1),""*"",""""),""|"",true,true),1,1)"),"Technology ")</f>
        <v>Technology </v>
      </c>
      <c r="E18" s="4"/>
      <c r="P18" s="5"/>
      <c r="Q18" s="4"/>
      <c r="AB18" s="5"/>
    </row>
    <row r="19">
      <c r="C19" s="69" t="s">
        <v>39</v>
      </c>
      <c r="D19" s="71">
        <f>IFERROR(__xludf.DUMMYFUNCTION("GOOGLEFINANCE(D11,""high"")"),189.3)</f>
        <v>189.3</v>
      </c>
      <c r="E19" s="4"/>
      <c r="P19" s="5"/>
      <c r="Q19" s="4"/>
      <c r="AB19" s="5"/>
    </row>
    <row r="20">
      <c r="C20" s="69" t="s">
        <v>40</v>
      </c>
      <c r="D20" s="71">
        <f>IFERROR(__xludf.DUMMYFUNCTION("GOOGLEFINANCE(D11,""low"")"),186.6)</f>
        <v>186.6</v>
      </c>
      <c r="E20" s="4"/>
      <c r="P20" s="5"/>
      <c r="Q20" s="4"/>
      <c r="AB20" s="5"/>
    </row>
    <row r="21">
      <c r="C21" s="73" t="s">
        <v>16</v>
      </c>
      <c r="D21" s="74" t="str">
        <f>IFERROR(__xludf.DUMMYFUNCTION("(SUBSTITUTE(index(importhtml(""http://finviz.com/quote.ashx?t=""&amp;D11,""table"",10),7,2),""*"",""""))"),"0.96")</f>
        <v>0.96</v>
      </c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8"/>
      <c r="Q21" s="6"/>
      <c r="R21" s="7"/>
      <c r="S21" s="7"/>
      <c r="T21" s="7"/>
      <c r="U21" s="7"/>
      <c r="V21" s="7"/>
      <c r="W21" s="7"/>
      <c r="X21" s="7"/>
      <c r="Y21" s="7"/>
      <c r="Z21" s="7"/>
      <c r="AA21" s="7"/>
      <c r="AB21" s="8"/>
    </row>
  </sheetData>
  <mergeCells count="7">
    <mergeCell ref="C2:AB6"/>
    <mergeCell ref="E9:P10"/>
    <mergeCell ref="Q9:AB10"/>
    <mergeCell ref="C11:C13"/>
    <mergeCell ref="D11:D13"/>
    <mergeCell ref="E11:P21"/>
    <mergeCell ref="Q11:AB21"/>
  </mergeCells>
  <dataValidations>
    <dataValidation type="list" allowBlank="1" showErrorMessage="1" sqref="D11">
      <formula1>'Stock Data'!$A$14:$A$34</formula1>
    </dataValidation>
  </dataValidations>
  <drawing r:id="rId1"/>
</worksheet>
</file>