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-75" windowWidth="15360" windowHeight="8220" tabRatio="800" activeTab="6"/>
  </bookViews>
  <sheets>
    <sheet name="Boys" sheetId="1" r:id="rId1"/>
    <sheet name="Girls" sheetId="2" r:id="rId2"/>
    <sheet name="T10" sheetId="7" r:id="rId3"/>
    <sheet name="Boys Standings" sheetId="3" r:id="rId4"/>
    <sheet name="Girls Standings" sheetId="4" r:id="rId5"/>
    <sheet name="Boys Schedule" sheetId="8" r:id="rId6"/>
    <sheet name="Girls Schedule" sheetId="11" r:id="rId7"/>
    <sheet name="BStat" sheetId="6" r:id="rId8"/>
    <sheet name="GStat" sheetId="5" r:id="rId9"/>
    <sheet name="KVB" sheetId="12" r:id="rId10"/>
    <sheet name="KVG1" sheetId="13" r:id="rId11"/>
    <sheet name="KVG2" sheetId="14" r:id="rId12"/>
    <sheet name="SVB1" sheetId="15" r:id="rId13"/>
    <sheet name="SVG" sheetId="17" r:id="rId14"/>
    <sheet name="WVB1" sheetId="18" r:id="rId15"/>
    <sheet name="WVB2" sheetId="20" r:id="rId16"/>
    <sheet name="WVG1" sheetId="19" r:id="rId17"/>
    <sheet name="WVG2" sheetId="21" r:id="rId18"/>
    <sheet name="15VB" sheetId="22" r:id="rId19"/>
    <sheet name="15VG" sheetId="23" r:id="rId20"/>
  </sheets>
  <calcPr calcId="145621"/>
</workbook>
</file>

<file path=xl/calcChain.xml><?xml version="1.0" encoding="utf-8"?>
<calcChain xmlns="http://schemas.openxmlformats.org/spreadsheetml/2006/main">
  <c r="A12" i="7" l="1"/>
  <c r="A11" i="7"/>
  <c r="A10" i="7"/>
  <c r="O15" i="1"/>
  <c r="P15" i="1"/>
  <c r="Q15" i="1"/>
  <c r="R15" i="1"/>
  <c r="S15" i="1"/>
  <c r="T15" i="1"/>
  <c r="U15" i="1"/>
  <c r="V15" i="1"/>
  <c r="J550" i="11" l="1"/>
  <c r="J549" i="11"/>
  <c r="J546" i="11"/>
  <c r="J545" i="11"/>
  <c r="J551" i="11"/>
  <c r="J547" i="11"/>
  <c r="J548" i="11"/>
  <c r="J542" i="11"/>
  <c r="J541" i="11"/>
  <c r="J543" i="11"/>
  <c r="J544" i="11"/>
  <c r="E11" i="7"/>
  <c r="E12" i="7"/>
  <c r="H12" i="7"/>
  <c r="G12" i="7"/>
  <c r="D12" i="7"/>
  <c r="C12" i="7"/>
  <c r="H11" i="7"/>
  <c r="G11" i="7"/>
  <c r="D11" i="7"/>
  <c r="C11" i="7"/>
  <c r="H10" i="7"/>
  <c r="G10" i="7"/>
  <c r="D10" i="7"/>
  <c r="C10" i="7"/>
  <c r="H9" i="7"/>
  <c r="G9" i="7"/>
  <c r="D9" i="7"/>
  <c r="C9" i="7"/>
  <c r="H8" i="7"/>
  <c r="G8" i="7"/>
  <c r="D8" i="7"/>
  <c r="C8" i="7"/>
  <c r="H7" i="7"/>
  <c r="G7" i="7"/>
  <c r="D7" i="7"/>
  <c r="C7" i="7"/>
  <c r="H6" i="7"/>
  <c r="G6" i="7"/>
  <c r="D6" i="7"/>
  <c r="C6" i="7"/>
  <c r="H5" i="7"/>
  <c r="G5" i="7"/>
  <c r="D5" i="7"/>
  <c r="C5" i="7"/>
  <c r="H4" i="7"/>
  <c r="G4" i="7"/>
  <c r="D4" i="7"/>
  <c r="C4" i="7"/>
  <c r="H3" i="7"/>
  <c r="G3" i="7"/>
  <c r="D3" i="7"/>
  <c r="C3" i="7"/>
  <c r="H2" i="7"/>
  <c r="G2" i="7"/>
  <c r="D2" i="7"/>
  <c r="C2" i="7"/>
  <c r="H1" i="7"/>
  <c r="G1" i="7"/>
  <c r="D1" i="7"/>
  <c r="C1" i="7"/>
  <c r="N15" i="1"/>
  <c r="J545" i="8" l="1"/>
  <c r="J537" i="8"/>
  <c r="J538" i="8"/>
  <c r="J539" i="8"/>
  <c r="J540" i="8"/>
  <c r="J541" i="8"/>
  <c r="J542" i="8"/>
  <c r="J543" i="8"/>
  <c r="J544" i="8"/>
  <c r="J546" i="8"/>
  <c r="J524" i="11"/>
  <c r="J525" i="11"/>
  <c r="J526" i="11"/>
  <c r="J527" i="11"/>
  <c r="J528" i="11"/>
  <c r="J531" i="11"/>
  <c r="J529" i="11"/>
  <c r="J530" i="11"/>
  <c r="J532" i="11"/>
  <c r="J534" i="11"/>
  <c r="J535" i="11"/>
  <c r="J536" i="11"/>
  <c r="J537" i="11"/>
  <c r="J538" i="11"/>
  <c r="J539" i="11"/>
  <c r="J540" i="11"/>
  <c r="J553" i="11"/>
  <c r="J554" i="11"/>
  <c r="J555" i="11"/>
  <c r="J220" i="11" l="1"/>
  <c r="J204" i="11"/>
  <c r="J194" i="11"/>
  <c r="J503" i="11" l="1"/>
  <c r="J502" i="11"/>
  <c r="J527" i="8"/>
  <c r="J524" i="8"/>
  <c r="J521" i="11"/>
  <c r="L2" i="3" l="1"/>
  <c r="P2" i="3"/>
  <c r="L3" i="3"/>
  <c r="P3" i="3"/>
  <c r="L4" i="3"/>
  <c r="P4" i="3"/>
  <c r="L5" i="3"/>
  <c r="P5" i="3"/>
  <c r="L6" i="3"/>
  <c r="P6" i="3"/>
  <c r="L7" i="3"/>
  <c r="P7" i="3"/>
  <c r="L8" i="3"/>
  <c r="P8" i="3"/>
  <c r="L9" i="3"/>
  <c r="P9" i="3"/>
  <c r="L10" i="3"/>
  <c r="P10" i="3"/>
  <c r="L11" i="3"/>
  <c r="P11" i="3"/>
  <c r="L12" i="3"/>
  <c r="P12" i="3"/>
  <c r="L13" i="3"/>
  <c r="P13" i="3"/>
  <c r="L14" i="3"/>
  <c r="P14" i="3"/>
  <c r="L15" i="3"/>
  <c r="P15" i="3"/>
  <c r="L16" i="3"/>
  <c r="P16" i="3"/>
  <c r="L17" i="3"/>
  <c r="P17" i="3"/>
  <c r="L18" i="3"/>
  <c r="P18" i="3"/>
  <c r="L19" i="3"/>
  <c r="P19" i="3"/>
  <c r="L20" i="3"/>
  <c r="P20" i="3"/>
  <c r="L21" i="3"/>
  <c r="P21" i="3"/>
  <c r="L22" i="3"/>
  <c r="P22" i="3"/>
  <c r="L23" i="3"/>
  <c r="P23" i="3"/>
  <c r="L24" i="3"/>
  <c r="P24" i="3"/>
  <c r="L25" i="3"/>
  <c r="P25" i="3"/>
  <c r="L26" i="3"/>
  <c r="P26" i="3"/>
  <c r="L27" i="3"/>
  <c r="P27" i="3"/>
  <c r="L28" i="3"/>
  <c r="P28" i="3"/>
  <c r="L29" i="3"/>
  <c r="P29" i="3"/>
  <c r="L30" i="3"/>
  <c r="P30" i="3"/>
  <c r="L31" i="3"/>
  <c r="P31" i="3"/>
  <c r="L32" i="3"/>
  <c r="P32" i="3"/>
  <c r="L33" i="3"/>
  <c r="P33" i="3"/>
  <c r="L34" i="3"/>
  <c r="P34" i="3"/>
  <c r="L35" i="3"/>
  <c r="P35" i="3"/>
  <c r="L36" i="3"/>
  <c r="P36" i="3"/>
  <c r="L37" i="3"/>
  <c r="P37" i="3"/>
  <c r="L38" i="3"/>
  <c r="P38" i="3"/>
  <c r="L39" i="3"/>
  <c r="P39" i="3"/>
  <c r="J488" i="11"/>
  <c r="J464" i="11"/>
  <c r="J465" i="11"/>
  <c r="J466" i="11"/>
  <c r="J467" i="11"/>
  <c r="J468" i="11"/>
  <c r="J469" i="11"/>
  <c r="J470" i="11"/>
  <c r="J471" i="11"/>
  <c r="J472" i="11"/>
  <c r="J463" i="11" l="1"/>
  <c r="J462" i="11"/>
  <c r="J461" i="11"/>
  <c r="J360" i="8" l="1"/>
  <c r="J347" i="8"/>
  <c r="J342" i="8"/>
  <c r="J337" i="8"/>
  <c r="J450" i="11" l="1"/>
  <c r="J451" i="11"/>
  <c r="J452" i="11"/>
  <c r="J453" i="11"/>
  <c r="J454" i="11"/>
  <c r="J455" i="11"/>
  <c r="J456" i="11"/>
  <c r="J457" i="11"/>
  <c r="J458" i="11"/>
  <c r="J459" i="11"/>
  <c r="J460" i="11"/>
  <c r="M319" i="6" l="1"/>
  <c r="J319" i="6"/>
  <c r="M179" i="6"/>
  <c r="J179" i="6"/>
  <c r="M316" i="6"/>
  <c r="J316" i="6"/>
  <c r="M331" i="6"/>
  <c r="J331" i="6"/>
  <c r="M329" i="6"/>
  <c r="J329" i="6"/>
  <c r="M292" i="6"/>
  <c r="J292" i="6"/>
  <c r="N14" i="1" l="1"/>
  <c r="O14" i="1"/>
  <c r="P14" i="1"/>
  <c r="Q14" i="1"/>
  <c r="R14" i="1"/>
  <c r="S14" i="1"/>
  <c r="T14" i="1"/>
  <c r="U14" i="1"/>
  <c r="V14" i="1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9" i="8"/>
  <c r="J450" i="8"/>
  <c r="J451" i="8"/>
  <c r="J456" i="8"/>
  <c r="J457" i="8"/>
  <c r="J455" i="8"/>
  <c r="J454" i="8"/>
  <c r="J452" i="8"/>
  <c r="J453" i="8"/>
  <c r="J459" i="8"/>
  <c r="J462" i="8"/>
  <c r="J464" i="8"/>
  <c r="J463" i="8"/>
  <c r="J460" i="8"/>
  <c r="J461" i="8"/>
  <c r="J458" i="8"/>
  <c r="J467" i="8"/>
  <c r="J468" i="8"/>
  <c r="J471" i="8"/>
  <c r="J472" i="8"/>
  <c r="J473" i="8"/>
  <c r="J474" i="8"/>
  <c r="J465" i="8"/>
  <c r="J466" i="8"/>
  <c r="J469" i="8"/>
  <c r="J470" i="8"/>
  <c r="J475" i="8"/>
  <c r="J476" i="8"/>
  <c r="J477" i="8"/>
  <c r="J478" i="8"/>
  <c r="J479" i="8"/>
  <c r="J480" i="8"/>
  <c r="J481" i="8"/>
  <c r="J448" i="8"/>
  <c r="J482" i="8"/>
  <c r="J483" i="8"/>
  <c r="J484" i="8"/>
  <c r="J485" i="8"/>
  <c r="J486" i="8"/>
  <c r="J487" i="8"/>
  <c r="J488" i="8"/>
  <c r="J489" i="8"/>
  <c r="J490" i="8"/>
  <c r="J491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7" i="8"/>
  <c r="J508" i="8"/>
  <c r="J509" i="8"/>
  <c r="J529" i="8"/>
  <c r="J530" i="8"/>
  <c r="J522" i="8"/>
  <c r="J523" i="8"/>
  <c r="J517" i="8"/>
  <c r="J528" i="8"/>
  <c r="J518" i="8"/>
  <c r="J519" i="8"/>
  <c r="J520" i="8"/>
  <c r="J521" i="8"/>
  <c r="J525" i="8"/>
  <c r="J526" i="8"/>
  <c r="J531" i="8"/>
  <c r="J532" i="8"/>
  <c r="J534" i="8"/>
  <c r="J535" i="8"/>
  <c r="J536" i="8"/>
  <c r="J417" i="8"/>
  <c r="J403" i="8"/>
  <c r="J418" i="8"/>
  <c r="J561" i="8"/>
  <c r="J562" i="8"/>
  <c r="J563" i="8"/>
  <c r="J432" i="8"/>
  <c r="J414" i="8"/>
  <c r="J379" i="8" l="1"/>
  <c r="J492" i="8"/>
  <c r="J533" i="8"/>
  <c r="J510" i="8"/>
  <c r="J511" i="8"/>
  <c r="J512" i="8"/>
  <c r="J513" i="8"/>
  <c r="J514" i="8"/>
  <c r="J515" i="8"/>
  <c r="J516" i="8"/>
  <c r="J224" i="8"/>
  <c r="J237" i="8"/>
  <c r="J255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402" i="8" l="1"/>
  <c r="O402" i="8"/>
  <c r="P402" i="8"/>
  <c r="Q402" i="8"/>
  <c r="R402" i="8"/>
  <c r="S402" i="8"/>
  <c r="N414" i="8"/>
  <c r="O414" i="8"/>
  <c r="P414" i="8"/>
  <c r="Q414" i="8"/>
  <c r="R414" i="8"/>
  <c r="S414" i="8"/>
  <c r="N415" i="8"/>
  <c r="O415" i="8"/>
  <c r="P415" i="8"/>
  <c r="Q415" i="8"/>
  <c r="R415" i="8"/>
  <c r="S415" i="8"/>
  <c r="N416" i="8"/>
  <c r="O416" i="8"/>
  <c r="P416" i="8"/>
  <c r="Q416" i="8"/>
  <c r="R416" i="8"/>
  <c r="S416" i="8"/>
  <c r="N432" i="8"/>
  <c r="O432" i="8"/>
  <c r="P432" i="8"/>
  <c r="Q432" i="8"/>
  <c r="R432" i="8"/>
  <c r="S432" i="8"/>
  <c r="N433" i="8"/>
  <c r="O433" i="8"/>
  <c r="P433" i="8"/>
  <c r="Q433" i="8"/>
  <c r="R433" i="8"/>
  <c r="S433" i="8"/>
  <c r="N434" i="8"/>
  <c r="O434" i="8"/>
  <c r="P434" i="8"/>
  <c r="Q434" i="8"/>
  <c r="R434" i="8"/>
  <c r="S434" i="8"/>
  <c r="N455" i="8"/>
  <c r="O455" i="8"/>
  <c r="P455" i="8"/>
  <c r="Q455" i="8"/>
  <c r="R455" i="8"/>
  <c r="S455" i="8"/>
  <c r="N454" i="8"/>
  <c r="O454" i="8"/>
  <c r="P454" i="8"/>
  <c r="Q454" i="8"/>
  <c r="R454" i="8"/>
  <c r="S454" i="8"/>
  <c r="N452" i="8"/>
  <c r="O452" i="8"/>
  <c r="P452" i="8"/>
  <c r="Q452" i="8"/>
  <c r="R452" i="8"/>
  <c r="S452" i="8"/>
  <c r="N453" i="8"/>
  <c r="O453" i="8"/>
  <c r="P453" i="8"/>
  <c r="Q453" i="8"/>
  <c r="R453" i="8"/>
  <c r="S453" i="8"/>
  <c r="N463" i="8"/>
  <c r="O463" i="8"/>
  <c r="P463" i="8"/>
  <c r="Q463" i="8"/>
  <c r="R463" i="8"/>
  <c r="S463" i="8"/>
  <c r="N460" i="8"/>
  <c r="O460" i="8"/>
  <c r="P460" i="8"/>
  <c r="Q460" i="8"/>
  <c r="R460" i="8"/>
  <c r="S460" i="8"/>
  <c r="N461" i="8"/>
  <c r="O461" i="8"/>
  <c r="P461" i="8"/>
  <c r="Q461" i="8"/>
  <c r="R461" i="8"/>
  <c r="S461" i="8"/>
  <c r="N458" i="8"/>
  <c r="O458" i="8"/>
  <c r="P458" i="8"/>
  <c r="Q458" i="8"/>
  <c r="R458" i="8"/>
  <c r="S458" i="8"/>
  <c r="N465" i="8"/>
  <c r="O465" i="8"/>
  <c r="P465" i="8"/>
  <c r="Q465" i="8"/>
  <c r="R465" i="8"/>
  <c r="S465" i="8"/>
  <c r="N466" i="8"/>
  <c r="O466" i="8"/>
  <c r="P466" i="8"/>
  <c r="Q466" i="8"/>
  <c r="R466" i="8"/>
  <c r="S466" i="8"/>
  <c r="N469" i="8"/>
  <c r="O469" i="8"/>
  <c r="P469" i="8"/>
  <c r="Q469" i="8"/>
  <c r="R469" i="8"/>
  <c r="S469" i="8"/>
  <c r="N470" i="8"/>
  <c r="O470" i="8"/>
  <c r="P470" i="8"/>
  <c r="Q470" i="8"/>
  <c r="R470" i="8"/>
  <c r="S470" i="8"/>
  <c r="N379" i="8"/>
  <c r="O379" i="8"/>
  <c r="P379" i="8"/>
  <c r="Q379" i="8"/>
  <c r="R379" i="8"/>
  <c r="S379" i="8"/>
  <c r="N437" i="8"/>
  <c r="O437" i="8"/>
  <c r="P437" i="8"/>
  <c r="Q437" i="8"/>
  <c r="R437" i="8"/>
  <c r="S437" i="8"/>
  <c r="N457" i="8"/>
  <c r="O457" i="8"/>
  <c r="P457" i="8"/>
  <c r="Q457" i="8"/>
  <c r="R457" i="8"/>
  <c r="S457" i="8"/>
  <c r="N337" i="8"/>
  <c r="O337" i="8"/>
  <c r="P337" i="8"/>
  <c r="Q337" i="8"/>
  <c r="R337" i="8"/>
  <c r="S337" i="8"/>
  <c r="N342" i="8"/>
  <c r="O342" i="8"/>
  <c r="P342" i="8"/>
  <c r="Q342" i="8"/>
  <c r="R342" i="8"/>
  <c r="S342" i="8"/>
  <c r="N347" i="8"/>
  <c r="O347" i="8"/>
  <c r="P347" i="8"/>
  <c r="Q347" i="8"/>
  <c r="R347" i="8"/>
  <c r="S347" i="8"/>
  <c r="N360" i="8"/>
  <c r="O360" i="8"/>
  <c r="P360" i="8"/>
  <c r="Q360" i="8"/>
  <c r="R360" i="8"/>
  <c r="S360" i="8"/>
  <c r="N527" i="8"/>
  <c r="O527" i="8"/>
  <c r="P527" i="8"/>
  <c r="Q527" i="8"/>
  <c r="R527" i="8"/>
  <c r="S527" i="8"/>
  <c r="N524" i="8"/>
  <c r="O524" i="8"/>
  <c r="P524" i="8"/>
  <c r="Q524" i="8"/>
  <c r="R524" i="8"/>
  <c r="S524" i="8"/>
  <c r="N538" i="8"/>
  <c r="O538" i="8"/>
  <c r="P538" i="8"/>
  <c r="Q538" i="8"/>
  <c r="R538" i="8"/>
  <c r="S538" i="8"/>
  <c r="N539" i="8"/>
  <c r="O539" i="8"/>
  <c r="P539" i="8"/>
  <c r="Q539" i="8"/>
  <c r="R539" i="8"/>
  <c r="S539" i="8"/>
  <c r="N545" i="8"/>
  <c r="O545" i="8"/>
  <c r="P545" i="8"/>
  <c r="Q545" i="8"/>
  <c r="R545" i="8"/>
  <c r="S545" i="8"/>
  <c r="N492" i="8"/>
  <c r="O492" i="8"/>
  <c r="P492" i="8"/>
  <c r="Q492" i="8"/>
  <c r="R492" i="8"/>
  <c r="S492" i="8"/>
  <c r="N533" i="8"/>
  <c r="O533" i="8"/>
  <c r="P533" i="8"/>
  <c r="Q533" i="8"/>
  <c r="R533" i="8"/>
  <c r="S533" i="8"/>
  <c r="N510" i="8"/>
  <c r="O510" i="8"/>
  <c r="P510" i="8"/>
  <c r="Q510" i="8"/>
  <c r="R510" i="8"/>
  <c r="S510" i="8"/>
  <c r="N511" i="8"/>
  <c r="O511" i="8"/>
  <c r="P511" i="8"/>
  <c r="Q511" i="8"/>
  <c r="R511" i="8"/>
  <c r="S511" i="8"/>
  <c r="N512" i="8"/>
  <c r="O512" i="8"/>
  <c r="P512" i="8"/>
  <c r="Q512" i="8"/>
  <c r="R512" i="8"/>
  <c r="S512" i="8"/>
  <c r="N513" i="8"/>
  <c r="O513" i="8"/>
  <c r="P513" i="8"/>
  <c r="Q513" i="8"/>
  <c r="R513" i="8"/>
  <c r="S513" i="8"/>
  <c r="N514" i="8"/>
  <c r="O514" i="8"/>
  <c r="P514" i="8"/>
  <c r="Q514" i="8"/>
  <c r="R514" i="8"/>
  <c r="S514" i="8"/>
  <c r="N515" i="8"/>
  <c r="O515" i="8"/>
  <c r="P515" i="8"/>
  <c r="Q515" i="8"/>
  <c r="R515" i="8"/>
  <c r="S515" i="8"/>
  <c r="N516" i="8"/>
  <c r="O516" i="8"/>
  <c r="P516" i="8"/>
  <c r="Q516" i="8"/>
  <c r="R516" i="8"/>
  <c r="S516" i="8"/>
  <c r="N224" i="8"/>
  <c r="O224" i="8"/>
  <c r="P224" i="8"/>
  <c r="Q224" i="8"/>
  <c r="R224" i="8"/>
  <c r="S224" i="8"/>
  <c r="N237" i="8"/>
  <c r="O237" i="8"/>
  <c r="P237" i="8"/>
  <c r="Q237" i="8"/>
  <c r="R237" i="8"/>
  <c r="S237" i="8"/>
  <c r="N255" i="8"/>
  <c r="O255" i="8"/>
  <c r="P255" i="8"/>
  <c r="Q255" i="8"/>
  <c r="R255" i="8"/>
  <c r="S255" i="8"/>
  <c r="N540" i="8"/>
  <c r="O540" i="8"/>
  <c r="P540" i="8"/>
  <c r="Q540" i="8"/>
  <c r="R540" i="8"/>
  <c r="S540" i="8"/>
  <c r="N547" i="8"/>
  <c r="O547" i="8"/>
  <c r="P547" i="8"/>
  <c r="Q547" i="8"/>
  <c r="R547" i="8"/>
  <c r="S547" i="8"/>
  <c r="N548" i="8"/>
  <c r="O548" i="8"/>
  <c r="P548" i="8"/>
  <c r="Q548" i="8"/>
  <c r="R548" i="8"/>
  <c r="S548" i="8"/>
  <c r="N549" i="8"/>
  <c r="O549" i="8"/>
  <c r="P549" i="8"/>
  <c r="Q549" i="8"/>
  <c r="R549" i="8"/>
  <c r="S549" i="8"/>
  <c r="N550" i="8"/>
  <c r="O550" i="8"/>
  <c r="P550" i="8"/>
  <c r="Q550" i="8"/>
  <c r="R550" i="8"/>
  <c r="S550" i="8"/>
  <c r="N551" i="8"/>
  <c r="O551" i="8"/>
  <c r="P551" i="8"/>
  <c r="Q551" i="8"/>
  <c r="R551" i="8"/>
  <c r="S551" i="8"/>
  <c r="N552" i="8"/>
  <c r="O552" i="8"/>
  <c r="P552" i="8"/>
  <c r="Q552" i="8"/>
  <c r="R552" i="8"/>
  <c r="S552" i="8"/>
  <c r="N553" i="8"/>
  <c r="O553" i="8"/>
  <c r="P553" i="8"/>
  <c r="Q553" i="8"/>
  <c r="R553" i="8"/>
  <c r="S553" i="8"/>
  <c r="N554" i="8"/>
  <c r="O554" i="8"/>
  <c r="P554" i="8"/>
  <c r="Q554" i="8"/>
  <c r="R554" i="8"/>
  <c r="S554" i="8"/>
  <c r="N555" i="8"/>
  <c r="O555" i="8"/>
  <c r="P555" i="8"/>
  <c r="Q555" i="8"/>
  <c r="R555" i="8"/>
  <c r="S555" i="8"/>
  <c r="N556" i="8"/>
  <c r="O556" i="8"/>
  <c r="P556" i="8"/>
  <c r="Q556" i="8"/>
  <c r="R556" i="8"/>
  <c r="S556" i="8"/>
  <c r="N557" i="8"/>
  <c r="O557" i="8"/>
  <c r="P557" i="8"/>
  <c r="Q557" i="8"/>
  <c r="R557" i="8"/>
  <c r="S557" i="8"/>
  <c r="N558" i="8"/>
  <c r="O558" i="8"/>
  <c r="P558" i="8"/>
  <c r="Q558" i="8"/>
  <c r="R558" i="8"/>
  <c r="S558" i="8"/>
  <c r="N559" i="8"/>
  <c r="O559" i="8"/>
  <c r="P559" i="8"/>
  <c r="Q559" i="8"/>
  <c r="R559" i="8"/>
  <c r="S559" i="8"/>
  <c r="N564" i="8"/>
  <c r="O564" i="8"/>
  <c r="P564" i="8"/>
  <c r="Q564" i="8"/>
  <c r="R564" i="8"/>
  <c r="S564" i="8"/>
  <c r="N565" i="8"/>
  <c r="O565" i="8"/>
  <c r="P565" i="8"/>
  <c r="Q565" i="8"/>
  <c r="R565" i="8"/>
  <c r="S565" i="8"/>
  <c r="N566" i="8"/>
  <c r="O566" i="8"/>
  <c r="P566" i="8"/>
  <c r="Q566" i="8"/>
  <c r="R566" i="8"/>
  <c r="S566" i="8"/>
  <c r="N567" i="8"/>
  <c r="O567" i="8"/>
  <c r="P567" i="8"/>
  <c r="Q567" i="8"/>
  <c r="R567" i="8"/>
  <c r="S567" i="8"/>
  <c r="N568" i="8"/>
  <c r="O568" i="8"/>
  <c r="P568" i="8"/>
  <c r="Q568" i="8"/>
  <c r="R568" i="8"/>
  <c r="S568" i="8"/>
  <c r="N569" i="8"/>
  <c r="O569" i="8"/>
  <c r="P569" i="8"/>
  <c r="Q569" i="8"/>
  <c r="R569" i="8"/>
  <c r="S569" i="8"/>
  <c r="N570" i="8"/>
  <c r="O570" i="8"/>
  <c r="P570" i="8"/>
  <c r="Q570" i="8"/>
  <c r="R570" i="8"/>
  <c r="S570" i="8"/>
  <c r="N571" i="8"/>
  <c r="O571" i="8"/>
  <c r="P571" i="8"/>
  <c r="Q571" i="8"/>
  <c r="R571" i="8"/>
  <c r="S571" i="8"/>
  <c r="N572" i="8"/>
  <c r="O572" i="8"/>
  <c r="P572" i="8"/>
  <c r="Q572" i="8"/>
  <c r="R572" i="8"/>
  <c r="S572" i="8"/>
  <c r="N573" i="8"/>
  <c r="O573" i="8"/>
  <c r="P573" i="8"/>
  <c r="Q573" i="8"/>
  <c r="R573" i="8"/>
  <c r="S573" i="8"/>
  <c r="N574" i="8"/>
  <c r="O574" i="8"/>
  <c r="P574" i="8"/>
  <c r="Q574" i="8"/>
  <c r="R574" i="8"/>
  <c r="S574" i="8"/>
  <c r="N575" i="8"/>
  <c r="O575" i="8"/>
  <c r="P575" i="8"/>
  <c r="Q575" i="8"/>
  <c r="R575" i="8"/>
  <c r="S575" i="8"/>
  <c r="N576" i="8"/>
  <c r="O576" i="8"/>
  <c r="P576" i="8"/>
  <c r="Q576" i="8"/>
  <c r="R576" i="8"/>
  <c r="S576" i="8"/>
  <c r="N577" i="8"/>
  <c r="O577" i="8"/>
  <c r="P577" i="8"/>
  <c r="Q577" i="8"/>
  <c r="R577" i="8"/>
  <c r="S577" i="8"/>
  <c r="N578" i="8"/>
  <c r="O578" i="8"/>
  <c r="P578" i="8"/>
  <c r="Q578" i="8"/>
  <c r="R578" i="8"/>
  <c r="S578" i="8"/>
  <c r="N579" i="8"/>
  <c r="O579" i="8"/>
  <c r="P579" i="8"/>
  <c r="Q579" i="8"/>
  <c r="R579" i="8"/>
  <c r="S579" i="8"/>
  <c r="N580" i="8"/>
  <c r="O580" i="8"/>
  <c r="P580" i="8"/>
  <c r="Q580" i="8"/>
  <c r="R580" i="8"/>
  <c r="S580" i="8"/>
  <c r="N581" i="8"/>
  <c r="O581" i="8"/>
  <c r="P581" i="8"/>
  <c r="Q581" i="8"/>
  <c r="R581" i="8"/>
  <c r="S581" i="8"/>
  <c r="N582" i="8"/>
  <c r="O582" i="8"/>
  <c r="P582" i="8"/>
  <c r="Q582" i="8"/>
  <c r="R582" i="8"/>
  <c r="S582" i="8"/>
  <c r="N583" i="8"/>
  <c r="O583" i="8"/>
  <c r="P583" i="8"/>
  <c r="Q583" i="8"/>
  <c r="R583" i="8"/>
  <c r="S583" i="8"/>
  <c r="N584" i="8"/>
  <c r="O584" i="8"/>
  <c r="P584" i="8"/>
  <c r="Q584" i="8"/>
  <c r="R584" i="8"/>
  <c r="S584" i="8"/>
  <c r="N585" i="8"/>
  <c r="O585" i="8"/>
  <c r="P585" i="8"/>
  <c r="Q585" i="8"/>
  <c r="R585" i="8"/>
  <c r="S585" i="8"/>
  <c r="N586" i="8"/>
  <c r="O586" i="8"/>
  <c r="P586" i="8"/>
  <c r="Q586" i="8"/>
  <c r="R586" i="8"/>
  <c r="S586" i="8"/>
  <c r="N587" i="8"/>
  <c r="O587" i="8"/>
  <c r="P587" i="8"/>
  <c r="Q587" i="8"/>
  <c r="R587" i="8"/>
  <c r="S587" i="8"/>
  <c r="N588" i="8"/>
  <c r="O588" i="8"/>
  <c r="P588" i="8"/>
  <c r="Q588" i="8"/>
  <c r="R588" i="8"/>
  <c r="S588" i="8"/>
  <c r="N589" i="8"/>
  <c r="O589" i="8"/>
  <c r="P589" i="8"/>
  <c r="Q589" i="8"/>
  <c r="R589" i="8"/>
  <c r="S589" i="8"/>
  <c r="N590" i="8"/>
  <c r="O590" i="8"/>
  <c r="P590" i="8"/>
  <c r="Q590" i="8"/>
  <c r="R590" i="8"/>
  <c r="S590" i="8"/>
  <c r="N591" i="8"/>
  <c r="O591" i="8"/>
  <c r="P591" i="8"/>
  <c r="Q591" i="8"/>
  <c r="R591" i="8"/>
  <c r="S591" i="8"/>
  <c r="N592" i="8"/>
  <c r="O592" i="8"/>
  <c r="P592" i="8"/>
  <c r="Q592" i="8"/>
  <c r="R592" i="8"/>
  <c r="S592" i="8"/>
  <c r="N593" i="8"/>
  <c r="O593" i="8"/>
  <c r="P593" i="8"/>
  <c r="Q593" i="8"/>
  <c r="R593" i="8"/>
  <c r="S593" i="8"/>
  <c r="N594" i="8"/>
  <c r="O594" i="8"/>
  <c r="P594" i="8"/>
  <c r="Q594" i="8"/>
  <c r="R594" i="8"/>
  <c r="S594" i="8"/>
  <c r="N595" i="8"/>
  <c r="O595" i="8"/>
  <c r="P595" i="8"/>
  <c r="Q595" i="8"/>
  <c r="R595" i="8"/>
  <c r="S595" i="8"/>
  <c r="N596" i="8"/>
  <c r="O596" i="8"/>
  <c r="P596" i="8"/>
  <c r="Q596" i="8"/>
  <c r="R596" i="8"/>
  <c r="S596" i="8"/>
  <c r="N597" i="8"/>
  <c r="O597" i="8"/>
  <c r="P597" i="8"/>
  <c r="Q597" i="8"/>
  <c r="R597" i="8"/>
  <c r="S597" i="8"/>
  <c r="N598" i="8"/>
  <c r="O598" i="8"/>
  <c r="P598" i="8"/>
  <c r="Q598" i="8"/>
  <c r="R598" i="8"/>
  <c r="S598" i="8"/>
  <c r="N599" i="8"/>
  <c r="O599" i="8"/>
  <c r="P599" i="8"/>
  <c r="Q599" i="8"/>
  <c r="R599" i="8"/>
  <c r="S599" i="8"/>
  <c r="N600" i="8"/>
  <c r="O600" i="8"/>
  <c r="P600" i="8"/>
  <c r="Q600" i="8"/>
  <c r="R600" i="8"/>
  <c r="S600" i="8"/>
  <c r="N601" i="8"/>
  <c r="O601" i="8"/>
  <c r="P601" i="8"/>
  <c r="Q601" i="8"/>
  <c r="R601" i="8"/>
  <c r="S601" i="8"/>
  <c r="N602" i="8"/>
  <c r="O602" i="8"/>
  <c r="P602" i="8"/>
  <c r="Q602" i="8"/>
  <c r="R602" i="8"/>
  <c r="S602" i="8"/>
  <c r="N603" i="8"/>
  <c r="O603" i="8"/>
  <c r="P603" i="8"/>
  <c r="Q603" i="8"/>
  <c r="R603" i="8"/>
  <c r="S603" i="8"/>
  <c r="N604" i="8"/>
  <c r="O604" i="8"/>
  <c r="P604" i="8"/>
  <c r="Q604" i="8"/>
  <c r="R604" i="8"/>
  <c r="S604" i="8"/>
  <c r="N605" i="8"/>
  <c r="O605" i="8"/>
  <c r="P605" i="8"/>
  <c r="Q605" i="8"/>
  <c r="R605" i="8"/>
  <c r="S605" i="8"/>
  <c r="N606" i="8"/>
  <c r="O606" i="8"/>
  <c r="P606" i="8"/>
  <c r="Q606" i="8"/>
  <c r="R606" i="8"/>
  <c r="S606" i="8"/>
  <c r="N607" i="8"/>
  <c r="O607" i="8"/>
  <c r="P607" i="8"/>
  <c r="Q607" i="8"/>
  <c r="R607" i="8"/>
  <c r="S607" i="8"/>
  <c r="N608" i="8"/>
  <c r="O608" i="8"/>
  <c r="P608" i="8"/>
  <c r="Q608" i="8"/>
  <c r="R608" i="8"/>
  <c r="S608" i="8"/>
  <c r="N609" i="8"/>
  <c r="O609" i="8"/>
  <c r="P609" i="8"/>
  <c r="Q609" i="8"/>
  <c r="R609" i="8"/>
  <c r="S609" i="8"/>
  <c r="N610" i="8"/>
  <c r="O610" i="8"/>
  <c r="P610" i="8"/>
  <c r="Q610" i="8"/>
  <c r="R610" i="8"/>
  <c r="S610" i="8"/>
  <c r="N611" i="8"/>
  <c r="O611" i="8"/>
  <c r="P611" i="8"/>
  <c r="Q611" i="8"/>
  <c r="R611" i="8"/>
  <c r="S611" i="8"/>
  <c r="N612" i="8"/>
  <c r="O612" i="8"/>
  <c r="P612" i="8"/>
  <c r="Q612" i="8"/>
  <c r="R612" i="8"/>
  <c r="S612" i="8"/>
  <c r="N613" i="8"/>
  <c r="O613" i="8"/>
  <c r="P613" i="8"/>
  <c r="Q613" i="8"/>
  <c r="R613" i="8"/>
  <c r="S613" i="8"/>
  <c r="N614" i="8"/>
  <c r="O614" i="8"/>
  <c r="P614" i="8"/>
  <c r="Q614" i="8"/>
  <c r="R614" i="8"/>
  <c r="S614" i="8"/>
  <c r="N615" i="8"/>
  <c r="O615" i="8"/>
  <c r="P615" i="8"/>
  <c r="Q615" i="8"/>
  <c r="R615" i="8"/>
  <c r="S615" i="8"/>
  <c r="N616" i="8"/>
  <c r="O616" i="8"/>
  <c r="P616" i="8"/>
  <c r="Q616" i="8"/>
  <c r="R616" i="8"/>
  <c r="S616" i="8"/>
  <c r="N617" i="8"/>
  <c r="O617" i="8"/>
  <c r="P617" i="8"/>
  <c r="Q617" i="8"/>
  <c r="R617" i="8"/>
  <c r="S617" i="8"/>
  <c r="N618" i="8"/>
  <c r="O618" i="8"/>
  <c r="P618" i="8"/>
  <c r="Q618" i="8"/>
  <c r="R618" i="8"/>
  <c r="S618" i="8"/>
  <c r="N619" i="8"/>
  <c r="O619" i="8"/>
  <c r="P619" i="8"/>
  <c r="Q619" i="8"/>
  <c r="R619" i="8"/>
  <c r="S619" i="8"/>
  <c r="N620" i="8"/>
  <c r="O620" i="8"/>
  <c r="P620" i="8"/>
  <c r="Q620" i="8"/>
  <c r="R620" i="8"/>
  <c r="S620" i="8"/>
  <c r="N621" i="8"/>
  <c r="O621" i="8"/>
  <c r="P621" i="8"/>
  <c r="Q621" i="8"/>
  <c r="R621" i="8"/>
  <c r="S621" i="8"/>
  <c r="N622" i="8"/>
  <c r="O622" i="8"/>
  <c r="P622" i="8"/>
  <c r="Q622" i="8"/>
  <c r="R622" i="8"/>
  <c r="S622" i="8"/>
  <c r="N623" i="8"/>
  <c r="O623" i="8"/>
  <c r="P623" i="8"/>
  <c r="Q623" i="8"/>
  <c r="R623" i="8"/>
  <c r="S623" i="8"/>
  <c r="N624" i="8"/>
  <c r="O624" i="8"/>
  <c r="P624" i="8"/>
  <c r="Q624" i="8"/>
  <c r="R624" i="8"/>
  <c r="S624" i="8"/>
  <c r="N625" i="8"/>
  <c r="O625" i="8"/>
  <c r="P625" i="8"/>
  <c r="Q625" i="8"/>
  <c r="R625" i="8"/>
  <c r="S625" i="8"/>
  <c r="N626" i="8"/>
  <c r="O626" i="8"/>
  <c r="P626" i="8"/>
  <c r="Q626" i="8"/>
  <c r="R626" i="8"/>
  <c r="S626" i="8"/>
  <c r="N627" i="8"/>
  <c r="O627" i="8"/>
  <c r="P627" i="8"/>
  <c r="Q627" i="8"/>
  <c r="R627" i="8"/>
  <c r="S627" i="8"/>
  <c r="N628" i="8"/>
  <c r="O628" i="8"/>
  <c r="P628" i="8"/>
  <c r="Q628" i="8"/>
  <c r="R628" i="8"/>
  <c r="S628" i="8"/>
  <c r="N629" i="8"/>
  <c r="O629" i="8"/>
  <c r="P629" i="8"/>
  <c r="Q629" i="8"/>
  <c r="R629" i="8"/>
  <c r="S629" i="8"/>
  <c r="N630" i="8"/>
  <c r="O630" i="8"/>
  <c r="P630" i="8"/>
  <c r="Q630" i="8"/>
  <c r="R630" i="8"/>
  <c r="S630" i="8"/>
  <c r="N631" i="8"/>
  <c r="O631" i="8"/>
  <c r="P631" i="8"/>
  <c r="Q631" i="8"/>
  <c r="R631" i="8"/>
  <c r="S631" i="8"/>
  <c r="N632" i="8"/>
  <c r="O632" i="8"/>
  <c r="P632" i="8"/>
  <c r="Q632" i="8"/>
  <c r="R632" i="8"/>
  <c r="S632" i="8"/>
  <c r="N633" i="8"/>
  <c r="O633" i="8"/>
  <c r="P633" i="8"/>
  <c r="Q633" i="8"/>
  <c r="R633" i="8"/>
  <c r="S633" i="8"/>
  <c r="J424" i="8" l="1"/>
  <c r="J419" i="8"/>
  <c r="J409" i="8"/>
  <c r="J404" i="8"/>
  <c r="J398" i="8" l="1"/>
  <c r="J393" i="8"/>
  <c r="J396" i="8"/>
  <c r="J332" i="8"/>
  <c r="J339" i="8"/>
  <c r="J350" i="8"/>
  <c r="J400" i="8"/>
  <c r="J401" i="8"/>
  <c r="J420" i="11"/>
  <c r="J421" i="11"/>
  <c r="J422" i="11"/>
  <c r="J411" i="11"/>
  <c r="J370" i="11"/>
  <c r="J371" i="11"/>
  <c r="J348" i="11"/>
  <c r="J349" i="11"/>
  <c r="J372" i="11"/>
  <c r="J373" i="11"/>
  <c r="J324" i="11"/>
  <c r="J331" i="11"/>
  <c r="J338" i="11"/>
  <c r="J340" i="11"/>
  <c r="J353" i="11"/>
  <c r="J356" i="11"/>
  <c r="J361" i="11"/>
  <c r="J364" i="11"/>
  <c r="J366" i="11"/>
  <c r="J367" i="11"/>
  <c r="J403" i="11"/>
  <c r="J412" i="11"/>
  <c r="J504" i="11"/>
  <c r="J505" i="11"/>
  <c r="J506" i="11"/>
  <c r="J507" i="11"/>
  <c r="J508" i="11"/>
  <c r="J509" i="11"/>
  <c r="J533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319" i="11"/>
  <c r="J320" i="11"/>
  <c r="J321" i="11"/>
  <c r="J322" i="11"/>
  <c r="J323" i="11"/>
  <c r="J325" i="11"/>
  <c r="J327" i="11"/>
  <c r="J328" i="11"/>
  <c r="J329" i="11"/>
  <c r="J330" i="11"/>
  <c r="J332" i="11"/>
  <c r="J333" i="11"/>
  <c r="J335" i="11"/>
  <c r="J336" i="11"/>
  <c r="J337" i="11"/>
  <c r="J339" i="11"/>
  <c r="J341" i="11"/>
  <c r="J326" i="11"/>
  <c r="J342" i="11"/>
  <c r="J343" i="11"/>
  <c r="J344" i="11"/>
  <c r="J345" i="11"/>
  <c r="J346" i="11"/>
  <c r="J347" i="11"/>
  <c r="J350" i="11"/>
  <c r="J351" i="11"/>
  <c r="J354" i="11"/>
  <c r="J355" i="11"/>
  <c r="J334" i="11"/>
  <c r="J357" i="11"/>
  <c r="J358" i="11"/>
  <c r="J359" i="11"/>
  <c r="J360" i="11"/>
  <c r="J362" i="11"/>
  <c r="J363" i="11"/>
  <c r="J365" i="11"/>
  <c r="J368" i="11"/>
  <c r="J369" i="11"/>
  <c r="J352" i="11"/>
  <c r="J374" i="11"/>
  <c r="J375" i="11"/>
  <c r="J376" i="11"/>
  <c r="J377" i="11"/>
  <c r="J378" i="11"/>
  <c r="J379" i="11"/>
  <c r="J380" i="11"/>
  <c r="J381" i="11"/>
  <c r="J382" i="11"/>
  <c r="J383" i="11"/>
  <c r="J433" i="11"/>
  <c r="J384" i="11"/>
  <c r="J385" i="11"/>
  <c r="J386" i="11"/>
  <c r="J387" i="11"/>
  <c r="J501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4" i="11"/>
  <c r="J405" i="11"/>
  <c r="J406" i="11"/>
  <c r="J407" i="11"/>
  <c r="J408" i="11"/>
  <c r="J409" i="11"/>
  <c r="J413" i="11"/>
  <c r="J414" i="11"/>
  <c r="J415" i="11"/>
  <c r="J416" i="11"/>
  <c r="J417" i="11"/>
  <c r="J418" i="11"/>
  <c r="J419" i="11"/>
  <c r="J423" i="11"/>
  <c r="J424" i="11"/>
  <c r="J425" i="11"/>
  <c r="J426" i="11"/>
  <c r="J427" i="11"/>
  <c r="J428" i="11"/>
  <c r="J429" i="11"/>
  <c r="J430" i="11"/>
  <c r="J431" i="11"/>
  <c r="J432" i="11"/>
  <c r="J434" i="11"/>
  <c r="J435" i="11"/>
  <c r="J436" i="11"/>
  <c r="J437" i="11"/>
  <c r="J439" i="11"/>
  <c r="J440" i="11"/>
  <c r="J441" i="11"/>
  <c r="J442" i="11"/>
  <c r="J443" i="11"/>
  <c r="J444" i="11"/>
  <c r="J445" i="11"/>
  <c r="J446" i="11"/>
  <c r="J447" i="11"/>
  <c r="J448" i="11"/>
  <c r="J449" i="11"/>
  <c r="J473" i="11"/>
  <c r="J474" i="11"/>
  <c r="J475" i="11"/>
  <c r="J476" i="11"/>
  <c r="J477" i="11"/>
  <c r="J438" i="11"/>
  <c r="J478" i="11"/>
  <c r="J479" i="11"/>
  <c r="J480" i="11"/>
  <c r="J481" i="11"/>
  <c r="J482" i="11"/>
  <c r="J483" i="11"/>
  <c r="J484" i="11"/>
  <c r="J485" i="11"/>
  <c r="J486" i="11"/>
  <c r="J489" i="11"/>
  <c r="J490" i="11"/>
  <c r="J487" i="11"/>
  <c r="J491" i="11"/>
  <c r="J492" i="11"/>
  <c r="J493" i="11"/>
  <c r="J494" i="11"/>
  <c r="J495" i="11"/>
  <c r="J496" i="11"/>
  <c r="J497" i="11"/>
  <c r="J498" i="11"/>
  <c r="J499" i="11"/>
  <c r="J500" i="11"/>
  <c r="J518" i="11"/>
  <c r="J519" i="11"/>
  <c r="J520" i="11"/>
  <c r="J510" i="11"/>
  <c r="J511" i="11"/>
  <c r="J512" i="11"/>
  <c r="J517" i="11"/>
  <c r="J513" i="11"/>
  <c r="J514" i="11"/>
  <c r="J515" i="11"/>
  <c r="J516" i="11"/>
  <c r="J522" i="11"/>
  <c r="J523" i="11"/>
  <c r="J155" i="8"/>
  <c r="J226" i="8"/>
  <c r="J284" i="8"/>
  <c r="J328" i="8"/>
  <c r="J359" i="8"/>
  <c r="J355" i="8"/>
  <c r="J351" i="8"/>
  <c r="J349" i="8"/>
  <c r="J346" i="8"/>
  <c r="J345" i="8"/>
  <c r="J341" i="8"/>
  <c r="J343" i="8"/>
  <c r="N471" i="8" l="1"/>
  <c r="O471" i="8"/>
  <c r="P471" i="8"/>
  <c r="Q471" i="8"/>
  <c r="R471" i="8"/>
  <c r="S471" i="8"/>
  <c r="N472" i="8"/>
  <c r="O472" i="8"/>
  <c r="P472" i="8"/>
  <c r="Q472" i="8"/>
  <c r="R472" i="8"/>
  <c r="S472" i="8"/>
  <c r="N155" i="8"/>
  <c r="O155" i="8"/>
  <c r="P155" i="8"/>
  <c r="Q155" i="8"/>
  <c r="R155" i="8"/>
  <c r="S155" i="8"/>
  <c r="N226" i="8"/>
  <c r="O226" i="8"/>
  <c r="P226" i="8"/>
  <c r="Q226" i="8"/>
  <c r="R226" i="8"/>
  <c r="S226" i="8"/>
  <c r="N284" i="8"/>
  <c r="O284" i="8"/>
  <c r="P284" i="8"/>
  <c r="Q284" i="8"/>
  <c r="R284" i="8"/>
  <c r="S284" i="8"/>
  <c r="N328" i="8"/>
  <c r="O328" i="8"/>
  <c r="P328" i="8"/>
  <c r="Q328" i="8"/>
  <c r="R328" i="8"/>
  <c r="S328" i="8"/>
  <c r="N398" i="8"/>
  <c r="O398" i="8"/>
  <c r="P398" i="8"/>
  <c r="Q398" i="8"/>
  <c r="R398" i="8"/>
  <c r="S398" i="8"/>
  <c r="N436" i="8"/>
  <c r="O436" i="8"/>
  <c r="P436" i="8"/>
  <c r="Q436" i="8"/>
  <c r="R436" i="8"/>
  <c r="S436" i="8"/>
  <c r="N456" i="8"/>
  <c r="O456" i="8"/>
  <c r="P456" i="8"/>
  <c r="Q456" i="8"/>
  <c r="R456" i="8"/>
  <c r="S456" i="8"/>
  <c r="N491" i="8"/>
  <c r="O491" i="8"/>
  <c r="P491" i="8"/>
  <c r="Q491" i="8"/>
  <c r="R491" i="8"/>
  <c r="S491" i="8"/>
  <c r="N393" i="8"/>
  <c r="O393" i="8"/>
  <c r="P393" i="8"/>
  <c r="Q393" i="8"/>
  <c r="R393" i="8"/>
  <c r="S393" i="8"/>
  <c r="N396" i="8"/>
  <c r="O396" i="8"/>
  <c r="P396" i="8"/>
  <c r="Q396" i="8"/>
  <c r="R396" i="8"/>
  <c r="S396" i="8"/>
  <c r="N404" i="8"/>
  <c r="O404" i="8"/>
  <c r="P404" i="8"/>
  <c r="Q404" i="8"/>
  <c r="R404" i="8"/>
  <c r="S404" i="8"/>
  <c r="N409" i="8"/>
  <c r="O409" i="8"/>
  <c r="P409" i="8"/>
  <c r="Q409" i="8"/>
  <c r="R409" i="8"/>
  <c r="S409" i="8"/>
  <c r="N419" i="8"/>
  <c r="O419" i="8"/>
  <c r="P419" i="8"/>
  <c r="Q419" i="8"/>
  <c r="R419" i="8"/>
  <c r="S419" i="8"/>
  <c r="N424" i="8"/>
  <c r="O424" i="8"/>
  <c r="P424" i="8"/>
  <c r="Q424" i="8"/>
  <c r="R424" i="8"/>
  <c r="S424" i="8"/>
  <c r="N332" i="8"/>
  <c r="O332" i="8"/>
  <c r="P332" i="8"/>
  <c r="Q332" i="8"/>
  <c r="R332" i="8"/>
  <c r="S332" i="8"/>
  <c r="N339" i="8"/>
  <c r="O339" i="8"/>
  <c r="P339" i="8"/>
  <c r="Q339" i="8"/>
  <c r="R339" i="8"/>
  <c r="S339" i="8"/>
  <c r="N350" i="8"/>
  <c r="O350" i="8"/>
  <c r="P350" i="8"/>
  <c r="Q350" i="8"/>
  <c r="R350" i="8"/>
  <c r="S350" i="8"/>
  <c r="N400" i="8"/>
  <c r="O400" i="8"/>
  <c r="P400" i="8"/>
  <c r="Q400" i="8"/>
  <c r="R400" i="8"/>
  <c r="S400" i="8"/>
  <c r="N401" i="8"/>
  <c r="O401" i="8"/>
  <c r="P401" i="8"/>
  <c r="Q401" i="8"/>
  <c r="R401" i="8"/>
  <c r="S401" i="8"/>
  <c r="J425" i="8"/>
  <c r="J392" i="8"/>
  <c r="N423" i="11"/>
  <c r="O423" i="11"/>
  <c r="P423" i="11"/>
  <c r="Q423" i="11"/>
  <c r="R423" i="11"/>
  <c r="S423" i="11"/>
  <c r="N326" i="11"/>
  <c r="O326" i="11"/>
  <c r="P326" i="11"/>
  <c r="Q326" i="11"/>
  <c r="R326" i="11"/>
  <c r="S326" i="11"/>
  <c r="N334" i="11"/>
  <c r="O334" i="11"/>
  <c r="P334" i="11"/>
  <c r="Q334" i="11"/>
  <c r="R334" i="11"/>
  <c r="S334" i="11"/>
  <c r="N352" i="11"/>
  <c r="O352" i="11"/>
  <c r="P352" i="11"/>
  <c r="Q352" i="11"/>
  <c r="R352" i="11"/>
  <c r="S352" i="11"/>
  <c r="N324" i="11"/>
  <c r="O324" i="11"/>
  <c r="P324" i="11"/>
  <c r="Q324" i="11"/>
  <c r="R324" i="11"/>
  <c r="S324" i="11"/>
  <c r="N331" i="11"/>
  <c r="O331" i="11"/>
  <c r="P331" i="11"/>
  <c r="Q331" i="11"/>
  <c r="R331" i="11"/>
  <c r="S331" i="11"/>
  <c r="N338" i="11"/>
  <c r="O338" i="11"/>
  <c r="P338" i="11"/>
  <c r="Q338" i="11"/>
  <c r="R338" i="11"/>
  <c r="S338" i="11"/>
  <c r="N340" i="11"/>
  <c r="O340" i="11"/>
  <c r="P340" i="11"/>
  <c r="Q340" i="11"/>
  <c r="R340" i="11"/>
  <c r="S340" i="11"/>
  <c r="N353" i="11"/>
  <c r="O353" i="11"/>
  <c r="P353" i="11"/>
  <c r="Q353" i="11"/>
  <c r="R353" i="11"/>
  <c r="S353" i="11"/>
  <c r="N356" i="11"/>
  <c r="O356" i="11"/>
  <c r="P356" i="11"/>
  <c r="Q356" i="11"/>
  <c r="R356" i="11"/>
  <c r="S356" i="11"/>
  <c r="N361" i="11"/>
  <c r="O361" i="11"/>
  <c r="P361" i="11"/>
  <c r="Q361" i="11"/>
  <c r="R361" i="11"/>
  <c r="S361" i="11"/>
  <c r="N364" i="11"/>
  <c r="O364" i="11"/>
  <c r="P364" i="11"/>
  <c r="Q364" i="11"/>
  <c r="R364" i="11"/>
  <c r="S364" i="11"/>
  <c r="N366" i="11"/>
  <c r="O366" i="11"/>
  <c r="P366" i="11"/>
  <c r="Q366" i="11"/>
  <c r="R366" i="11"/>
  <c r="S366" i="11"/>
  <c r="N367" i="11"/>
  <c r="O367" i="11"/>
  <c r="P367" i="11"/>
  <c r="Q367" i="11"/>
  <c r="R367" i="11"/>
  <c r="S367" i="11"/>
  <c r="N455" i="11"/>
  <c r="O455" i="11"/>
  <c r="P455" i="11"/>
  <c r="Q455" i="11"/>
  <c r="R455" i="11"/>
  <c r="S455" i="11"/>
  <c r="N456" i="11"/>
  <c r="O456" i="11"/>
  <c r="P456" i="11"/>
  <c r="Q456" i="11"/>
  <c r="R456" i="11"/>
  <c r="S456" i="11"/>
  <c r="N461" i="11"/>
  <c r="O461" i="11"/>
  <c r="P461" i="11"/>
  <c r="Q461" i="11"/>
  <c r="R461" i="11"/>
  <c r="S461" i="11"/>
  <c r="N462" i="11"/>
  <c r="O462" i="11"/>
  <c r="P462" i="11"/>
  <c r="Q462" i="11"/>
  <c r="R462" i="11"/>
  <c r="S462" i="11"/>
  <c r="N463" i="11"/>
  <c r="O463" i="11"/>
  <c r="P463" i="11"/>
  <c r="Q463" i="11"/>
  <c r="R463" i="11"/>
  <c r="S463" i="11"/>
  <c r="N468" i="11"/>
  <c r="O468" i="11"/>
  <c r="P468" i="11"/>
  <c r="Q468" i="11"/>
  <c r="R468" i="11"/>
  <c r="S468" i="11"/>
  <c r="N469" i="11"/>
  <c r="O469" i="11"/>
  <c r="P469" i="11"/>
  <c r="Q469" i="11"/>
  <c r="R469" i="11"/>
  <c r="S469" i="11"/>
  <c r="N450" i="11"/>
  <c r="O450" i="11"/>
  <c r="P450" i="11"/>
  <c r="Q450" i="11"/>
  <c r="R450" i="11"/>
  <c r="S450" i="11"/>
  <c r="N454" i="11"/>
  <c r="O454" i="11"/>
  <c r="P454" i="11"/>
  <c r="Q454" i="11"/>
  <c r="R454" i="11"/>
  <c r="S454" i="11"/>
  <c r="N451" i="11"/>
  <c r="O451" i="11"/>
  <c r="P451" i="11"/>
  <c r="Q451" i="11"/>
  <c r="R451" i="11"/>
  <c r="S451" i="11"/>
  <c r="N452" i="11"/>
  <c r="O452" i="11"/>
  <c r="P452" i="11"/>
  <c r="Q452" i="11"/>
  <c r="R452" i="11"/>
  <c r="S452" i="11"/>
  <c r="N459" i="11"/>
  <c r="O459" i="11"/>
  <c r="P459" i="11"/>
  <c r="Q459" i="11"/>
  <c r="R459" i="11"/>
  <c r="S459" i="11"/>
  <c r="N457" i="11"/>
  <c r="O457" i="11"/>
  <c r="P457" i="11"/>
  <c r="Q457" i="11"/>
  <c r="R457" i="11"/>
  <c r="S457" i="11"/>
  <c r="N460" i="11"/>
  <c r="O460" i="11"/>
  <c r="P460" i="11"/>
  <c r="Q460" i="11"/>
  <c r="R460" i="11"/>
  <c r="S460" i="11"/>
  <c r="N458" i="11"/>
  <c r="O458" i="11"/>
  <c r="P458" i="11"/>
  <c r="Q458" i="11"/>
  <c r="R458" i="11"/>
  <c r="S458" i="11"/>
  <c r="N464" i="11"/>
  <c r="O464" i="11"/>
  <c r="P464" i="11"/>
  <c r="Q464" i="11"/>
  <c r="R464" i="11"/>
  <c r="S464" i="11"/>
  <c r="N465" i="11"/>
  <c r="O465" i="11"/>
  <c r="P465" i="11"/>
  <c r="Q465" i="11"/>
  <c r="R465" i="11"/>
  <c r="S465" i="11"/>
  <c r="N466" i="11"/>
  <c r="O466" i="11"/>
  <c r="P466" i="11"/>
  <c r="Q466" i="11"/>
  <c r="R466" i="11"/>
  <c r="S466" i="11"/>
  <c r="N467" i="11"/>
  <c r="O467" i="11"/>
  <c r="P467" i="11"/>
  <c r="Q467" i="11"/>
  <c r="R467" i="11"/>
  <c r="S467" i="11"/>
  <c r="N453" i="11"/>
  <c r="O453" i="11"/>
  <c r="P453" i="11"/>
  <c r="Q453" i="11"/>
  <c r="R453" i="11"/>
  <c r="S453" i="11"/>
  <c r="N403" i="11"/>
  <c r="O403" i="11"/>
  <c r="P403" i="11"/>
  <c r="Q403" i="11"/>
  <c r="R403" i="11"/>
  <c r="S403" i="11"/>
  <c r="N412" i="11"/>
  <c r="O412" i="11"/>
  <c r="P412" i="11"/>
  <c r="Q412" i="11"/>
  <c r="R412" i="11"/>
  <c r="S412" i="11"/>
  <c r="N521" i="11"/>
  <c r="O521" i="11"/>
  <c r="P521" i="11"/>
  <c r="Q521" i="11"/>
  <c r="R521" i="11"/>
  <c r="S521" i="11"/>
  <c r="N531" i="11"/>
  <c r="O531" i="11"/>
  <c r="P531" i="11"/>
  <c r="Q531" i="11"/>
  <c r="R531" i="11"/>
  <c r="S531" i="11"/>
  <c r="N529" i="11"/>
  <c r="O529" i="11"/>
  <c r="P529" i="11"/>
  <c r="Q529" i="11"/>
  <c r="R529" i="11"/>
  <c r="S529" i="11"/>
  <c r="N540" i="11"/>
  <c r="O540" i="11"/>
  <c r="P540" i="11"/>
  <c r="Q540" i="11"/>
  <c r="R540" i="11"/>
  <c r="S540" i="11"/>
  <c r="N488" i="11"/>
  <c r="O488" i="11"/>
  <c r="P488" i="11"/>
  <c r="Q488" i="11"/>
  <c r="R488" i="11"/>
  <c r="S488" i="11"/>
  <c r="N528" i="11"/>
  <c r="O528" i="11"/>
  <c r="P528" i="11"/>
  <c r="Q528" i="11"/>
  <c r="R528" i="11"/>
  <c r="S528" i="11"/>
  <c r="N502" i="11"/>
  <c r="O502" i="11"/>
  <c r="P502" i="11"/>
  <c r="Q502" i="11"/>
  <c r="R502" i="11"/>
  <c r="S502" i="11"/>
  <c r="N503" i="11"/>
  <c r="O503" i="11"/>
  <c r="P503" i="11"/>
  <c r="Q503" i="11"/>
  <c r="R503" i="11"/>
  <c r="S503" i="11"/>
  <c r="N504" i="11"/>
  <c r="O504" i="11"/>
  <c r="P504" i="11"/>
  <c r="Q504" i="11"/>
  <c r="R504" i="11"/>
  <c r="S504" i="11"/>
  <c r="N505" i="11"/>
  <c r="O505" i="11"/>
  <c r="P505" i="11"/>
  <c r="Q505" i="11"/>
  <c r="R505" i="11"/>
  <c r="S505" i="11"/>
  <c r="N506" i="11"/>
  <c r="O506" i="11"/>
  <c r="P506" i="11"/>
  <c r="Q506" i="11"/>
  <c r="R506" i="11"/>
  <c r="S506" i="11"/>
  <c r="N507" i="11"/>
  <c r="O507" i="11"/>
  <c r="P507" i="11"/>
  <c r="Q507" i="11"/>
  <c r="R507" i="11"/>
  <c r="S507" i="11"/>
  <c r="N508" i="11"/>
  <c r="O508" i="11"/>
  <c r="P508" i="11"/>
  <c r="Q508" i="11"/>
  <c r="R508" i="11"/>
  <c r="S508" i="11"/>
  <c r="N509" i="11"/>
  <c r="O509" i="11"/>
  <c r="P509" i="11"/>
  <c r="Q509" i="11"/>
  <c r="R509" i="11"/>
  <c r="S509" i="11"/>
  <c r="N194" i="11"/>
  <c r="O194" i="11"/>
  <c r="P194" i="11"/>
  <c r="Q194" i="11"/>
  <c r="R194" i="11"/>
  <c r="S194" i="11"/>
  <c r="N204" i="11"/>
  <c r="O204" i="11"/>
  <c r="P204" i="11"/>
  <c r="Q204" i="11"/>
  <c r="R204" i="11"/>
  <c r="S204" i="11"/>
  <c r="N220" i="11"/>
  <c r="O220" i="11"/>
  <c r="P220" i="11"/>
  <c r="Q220" i="11"/>
  <c r="R220" i="11"/>
  <c r="S220" i="11"/>
  <c r="N533" i="11"/>
  <c r="O533" i="11"/>
  <c r="P533" i="11"/>
  <c r="Q533" i="11"/>
  <c r="R533" i="11"/>
  <c r="S533" i="11"/>
  <c r="N544" i="11"/>
  <c r="O544" i="11"/>
  <c r="P544" i="11"/>
  <c r="Q544" i="11"/>
  <c r="R544" i="11"/>
  <c r="S544" i="11"/>
  <c r="N543" i="11"/>
  <c r="O543" i="11"/>
  <c r="P543" i="11"/>
  <c r="Q543" i="11"/>
  <c r="R543" i="11"/>
  <c r="S543" i="11"/>
  <c r="N541" i="11"/>
  <c r="O541" i="11"/>
  <c r="P541" i="11"/>
  <c r="Q541" i="11"/>
  <c r="R541" i="11"/>
  <c r="S541" i="11"/>
  <c r="N542" i="11"/>
  <c r="O542" i="11"/>
  <c r="P542" i="11"/>
  <c r="Q542" i="11"/>
  <c r="R542" i="11"/>
  <c r="S542" i="11"/>
  <c r="N548" i="11"/>
  <c r="O548" i="11"/>
  <c r="P548" i="11"/>
  <c r="Q548" i="11"/>
  <c r="R548" i="11"/>
  <c r="S548" i="11"/>
  <c r="N547" i="11"/>
  <c r="O547" i="11"/>
  <c r="P547" i="11"/>
  <c r="Q547" i="11"/>
  <c r="R547" i="11"/>
  <c r="S547" i="11"/>
  <c r="N545" i="11"/>
  <c r="O545" i="11"/>
  <c r="P545" i="11"/>
  <c r="Q545" i="11"/>
  <c r="R545" i="11"/>
  <c r="S545" i="11"/>
  <c r="N546" i="11"/>
  <c r="O546" i="11"/>
  <c r="P546" i="11"/>
  <c r="Q546" i="11"/>
  <c r="R546" i="11"/>
  <c r="S546" i="11"/>
  <c r="N549" i="11"/>
  <c r="O549" i="11"/>
  <c r="P549" i="11"/>
  <c r="Q549" i="11"/>
  <c r="R549" i="11"/>
  <c r="S549" i="11"/>
  <c r="N550" i="11"/>
  <c r="O550" i="11"/>
  <c r="P550" i="11"/>
  <c r="Q550" i="11"/>
  <c r="R550" i="11"/>
  <c r="S550" i="11"/>
  <c r="N551" i="11"/>
  <c r="O551" i="11"/>
  <c r="P551" i="11"/>
  <c r="Q551" i="11"/>
  <c r="R551" i="11"/>
  <c r="S551" i="11"/>
  <c r="N556" i="11"/>
  <c r="O556" i="11"/>
  <c r="P556" i="11"/>
  <c r="Q556" i="11"/>
  <c r="R556" i="11"/>
  <c r="S556" i="11"/>
  <c r="N557" i="11"/>
  <c r="O557" i="11"/>
  <c r="P557" i="11"/>
  <c r="Q557" i="11"/>
  <c r="R557" i="11"/>
  <c r="S557" i="11"/>
  <c r="N558" i="11"/>
  <c r="O558" i="11"/>
  <c r="P558" i="11"/>
  <c r="Q558" i="11"/>
  <c r="R558" i="11"/>
  <c r="S558" i="11"/>
  <c r="N559" i="11"/>
  <c r="O559" i="11"/>
  <c r="P559" i="11"/>
  <c r="Q559" i="11"/>
  <c r="R559" i="11"/>
  <c r="S559" i="11"/>
  <c r="N560" i="11"/>
  <c r="O560" i="11"/>
  <c r="P560" i="11"/>
  <c r="Q560" i="11"/>
  <c r="R560" i="11"/>
  <c r="S560" i="11"/>
  <c r="N561" i="11"/>
  <c r="O561" i="11"/>
  <c r="P561" i="11"/>
  <c r="Q561" i="11"/>
  <c r="R561" i="11"/>
  <c r="S561" i="11"/>
  <c r="N562" i="11"/>
  <c r="O562" i="11"/>
  <c r="P562" i="11"/>
  <c r="Q562" i="11"/>
  <c r="R562" i="11"/>
  <c r="S562" i="11"/>
  <c r="N563" i="11"/>
  <c r="O563" i="11"/>
  <c r="P563" i="11"/>
  <c r="Q563" i="11"/>
  <c r="R563" i="11"/>
  <c r="S563" i="11"/>
  <c r="N564" i="11"/>
  <c r="O564" i="11"/>
  <c r="P564" i="11"/>
  <c r="Q564" i="11"/>
  <c r="R564" i="11"/>
  <c r="S564" i="11"/>
  <c r="N565" i="11"/>
  <c r="O565" i="11"/>
  <c r="P565" i="11"/>
  <c r="Q565" i="11"/>
  <c r="R565" i="11"/>
  <c r="S565" i="11"/>
  <c r="N566" i="11"/>
  <c r="O566" i="11"/>
  <c r="P566" i="11"/>
  <c r="Q566" i="11"/>
  <c r="R566" i="11"/>
  <c r="S566" i="11"/>
  <c r="N567" i="11"/>
  <c r="O567" i="11"/>
  <c r="P567" i="11"/>
  <c r="Q567" i="11"/>
  <c r="R567" i="11"/>
  <c r="S567" i="11"/>
  <c r="N568" i="11"/>
  <c r="O568" i="11"/>
  <c r="P568" i="11"/>
  <c r="Q568" i="11"/>
  <c r="R568" i="11"/>
  <c r="S568" i="11"/>
  <c r="N569" i="11"/>
  <c r="O569" i="11"/>
  <c r="P569" i="11"/>
  <c r="Q569" i="11"/>
  <c r="R569" i="11"/>
  <c r="S569" i="11"/>
  <c r="N570" i="11"/>
  <c r="O570" i="11"/>
  <c r="P570" i="11"/>
  <c r="Q570" i="11"/>
  <c r="R570" i="11"/>
  <c r="S570" i="11"/>
  <c r="N571" i="11"/>
  <c r="O571" i="11"/>
  <c r="P571" i="11"/>
  <c r="Q571" i="11"/>
  <c r="R571" i="11"/>
  <c r="S571" i="11"/>
  <c r="N572" i="11"/>
  <c r="O572" i="11"/>
  <c r="P572" i="11"/>
  <c r="Q572" i="11"/>
  <c r="R572" i="11"/>
  <c r="S572" i="11"/>
  <c r="N573" i="11"/>
  <c r="O573" i="11"/>
  <c r="P573" i="11"/>
  <c r="Q573" i="11"/>
  <c r="R573" i="11"/>
  <c r="S573" i="11"/>
  <c r="N574" i="11"/>
  <c r="O574" i="11"/>
  <c r="P574" i="11"/>
  <c r="Q574" i="11"/>
  <c r="R574" i="11"/>
  <c r="S574" i="11"/>
  <c r="N575" i="11"/>
  <c r="O575" i="11"/>
  <c r="P575" i="11"/>
  <c r="Q575" i="11"/>
  <c r="R575" i="11"/>
  <c r="S575" i="11"/>
  <c r="N576" i="11"/>
  <c r="O576" i="11"/>
  <c r="P576" i="11"/>
  <c r="Q576" i="11"/>
  <c r="R576" i="11"/>
  <c r="S576" i="11"/>
  <c r="N577" i="11"/>
  <c r="O577" i="11"/>
  <c r="P577" i="11"/>
  <c r="Q577" i="11"/>
  <c r="R577" i="11"/>
  <c r="S577" i="11"/>
  <c r="N578" i="11"/>
  <c r="O578" i="11"/>
  <c r="P578" i="11"/>
  <c r="Q578" i="11"/>
  <c r="R578" i="11"/>
  <c r="S578" i="11"/>
  <c r="N579" i="11"/>
  <c r="O579" i="11"/>
  <c r="P579" i="11"/>
  <c r="Q579" i="11"/>
  <c r="R579" i="11"/>
  <c r="S579" i="11"/>
  <c r="N580" i="11"/>
  <c r="O580" i="11"/>
  <c r="P580" i="11"/>
  <c r="Q580" i="11"/>
  <c r="R580" i="11"/>
  <c r="S580" i="11"/>
  <c r="N581" i="11"/>
  <c r="O581" i="11"/>
  <c r="P581" i="11"/>
  <c r="Q581" i="11"/>
  <c r="R581" i="11"/>
  <c r="S581" i="11"/>
  <c r="N582" i="11"/>
  <c r="O582" i="11"/>
  <c r="P582" i="11"/>
  <c r="Q582" i="11"/>
  <c r="R582" i="11"/>
  <c r="S582" i="11"/>
  <c r="N583" i="11"/>
  <c r="O583" i="11"/>
  <c r="P583" i="11"/>
  <c r="Q583" i="11"/>
  <c r="R583" i="11"/>
  <c r="S583" i="11"/>
  <c r="N584" i="11"/>
  <c r="O584" i="11"/>
  <c r="P584" i="11"/>
  <c r="Q584" i="11"/>
  <c r="R584" i="11"/>
  <c r="S584" i="11"/>
  <c r="N585" i="11"/>
  <c r="O585" i="11"/>
  <c r="P585" i="11"/>
  <c r="Q585" i="11"/>
  <c r="R585" i="11"/>
  <c r="S585" i="11"/>
  <c r="N586" i="11"/>
  <c r="O586" i="11"/>
  <c r="P586" i="11"/>
  <c r="Q586" i="11"/>
  <c r="R586" i="11"/>
  <c r="S586" i="11"/>
  <c r="N587" i="11"/>
  <c r="O587" i="11"/>
  <c r="P587" i="11"/>
  <c r="Q587" i="11"/>
  <c r="R587" i="11"/>
  <c r="S587" i="11"/>
  <c r="N588" i="11"/>
  <c r="O588" i="11"/>
  <c r="P588" i="11"/>
  <c r="Q588" i="11"/>
  <c r="R588" i="11"/>
  <c r="S588" i="11"/>
  <c r="N589" i="11"/>
  <c r="O589" i="11"/>
  <c r="P589" i="11"/>
  <c r="Q589" i="11"/>
  <c r="R589" i="11"/>
  <c r="S589" i="11"/>
  <c r="N590" i="11"/>
  <c r="O590" i="11"/>
  <c r="P590" i="11"/>
  <c r="Q590" i="11"/>
  <c r="R590" i="11"/>
  <c r="S590" i="11"/>
  <c r="N591" i="11"/>
  <c r="O591" i="11"/>
  <c r="P591" i="11"/>
  <c r="Q591" i="11"/>
  <c r="R591" i="11"/>
  <c r="S591" i="11"/>
  <c r="N592" i="11"/>
  <c r="O592" i="11"/>
  <c r="P592" i="11"/>
  <c r="Q592" i="11"/>
  <c r="R592" i="11"/>
  <c r="S592" i="11"/>
  <c r="N593" i="11"/>
  <c r="O593" i="11"/>
  <c r="P593" i="11"/>
  <c r="Q593" i="11"/>
  <c r="R593" i="11"/>
  <c r="S593" i="11"/>
  <c r="N594" i="11"/>
  <c r="O594" i="11"/>
  <c r="P594" i="11"/>
  <c r="Q594" i="11"/>
  <c r="R594" i="11"/>
  <c r="S594" i="11"/>
  <c r="N595" i="11"/>
  <c r="O595" i="11"/>
  <c r="P595" i="11"/>
  <c r="Q595" i="11"/>
  <c r="R595" i="11"/>
  <c r="S595" i="11"/>
  <c r="N596" i="11"/>
  <c r="O596" i="11"/>
  <c r="P596" i="11"/>
  <c r="Q596" i="11"/>
  <c r="R596" i="11"/>
  <c r="S596" i="11"/>
  <c r="N597" i="11"/>
  <c r="O597" i="11"/>
  <c r="P597" i="11"/>
  <c r="Q597" i="11"/>
  <c r="R597" i="11"/>
  <c r="S597" i="11"/>
  <c r="N598" i="11"/>
  <c r="O598" i="11"/>
  <c r="P598" i="11"/>
  <c r="Q598" i="11"/>
  <c r="R598" i="11"/>
  <c r="S598" i="11"/>
  <c r="N599" i="11"/>
  <c r="O599" i="11"/>
  <c r="P599" i="11"/>
  <c r="Q599" i="11"/>
  <c r="R599" i="11"/>
  <c r="S599" i="11"/>
  <c r="N600" i="11"/>
  <c r="O600" i="11"/>
  <c r="P600" i="11"/>
  <c r="Q600" i="11"/>
  <c r="R600" i="11"/>
  <c r="S600" i="11"/>
  <c r="N601" i="11"/>
  <c r="O601" i="11"/>
  <c r="P601" i="11"/>
  <c r="Q601" i="11"/>
  <c r="R601" i="11"/>
  <c r="S601" i="11"/>
  <c r="N602" i="11"/>
  <c r="O602" i="11"/>
  <c r="P602" i="11"/>
  <c r="Q602" i="11"/>
  <c r="R602" i="11"/>
  <c r="S602" i="11"/>
  <c r="N603" i="11"/>
  <c r="O603" i="11"/>
  <c r="P603" i="11"/>
  <c r="Q603" i="11"/>
  <c r="R603" i="11"/>
  <c r="S603" i="11"/>
  <c r="N604" i="11"/>
  <c r="O604" i="11"/>
  <c r="P604" i="11"/>
  <c r="Q604" i="11"/>
  <c r="R604" i="11"/>
  <c r="S604" i="11"/>
  <c r="N605" i="11"/>
  <c r="O605" i="11"/>
  <c r="P605" i="11"/>
  <c r="Q605" i="11"/>
  <c r="R605" i="11"/>
  <c r="S605" i="11"/>
  <c r="N606" i="11"/>
  <c r="O606" i="11"/>
  <c r="P606" i="11"/>
  <c r="Q606" i="11"/>
  <c r="R606" i="11"/>
  <c r="S606" i="11"/>
  <c r="N607" i="11"/>
  <c r="O607" i="11"/>
  <c r="P607" i="11"/>
  <c r="Q607" i="11"/>
  <c r="R607" i="11"/>
  <c r="S607" i="11"/>
  <c r="N608" i="11"/>
  <c r="O608" i="11"/>
  <c r="P608" i="11"/>
  <c r="Q608" i="11"/>
  <c r="R608" i="11"/>
  <c r="S608" i="11"/>
  <c r="N609" i="11"/>
  <c r="O609" i="11"/>
  <c r="P609" i="11"/>
  <c r="Q609" i="11"/>
  <c r="R609" i="11"/>
  <c r="S609" i="11"/>
  <c r="N610" i="11"/>
  <c r="O610" i="11"/>
  <c r="P610" i="11"/>
  <c r="Q610" i="11"/>
  <c r="R610" i="11"/>
  <c r="S610" i="11"/>
  <c r="N611" i="11"/>
  <c r="O611" i="11"/>
  <c r="P611" i="11"/>
  <c r="Q611" i="11"/>
  <c r="R611" i="11"/>
  <c r="S611" i="11"/>
  <c r="N612" i="11"/>
  <c r="O612" i="11"/>
  <c r="P612" i="11"/>
  <c r="Q612" i="11"/>
  <c r="R612" i="11"/>
  <c r="S612" i="11"/>
  <c r="N613" i="11"/>
  <c r="O613" i="11"/>
  <c r="P613" i="11"/>
  <c r="Q613" i="11"/>
  <c r="R613" i="11"/>
  <c r="S613" i="11"/>
  <c r="N614" i="11"/>
  <c r="O614" i="11"/>
  <c r="P614" i="11"/>
  <c r="Q614" i="11"/>
  <c r="R614" i="11"/>
  <c r="S614" i="11"/>
  <c r="N615" i="11"/>
  <c r="O615" i="11"/>
  <c r="P615" i="11"/>
  <c r="Q615" i="11"/>
  <c r="R615" i="11"/>
  <c r="S615" i="11"/>
  <c r="N616" i="11"/>
  <c r="O616" i="11"/>
  <c r="P616" i="11"/>
  <c r="Q616" i="11"/>
  <c r="R616" i="11"/>
  <c r="S616" i="11"/>
  <c r="N617" i="11"/>
  <c r="O617" i="11"/>
  <c r="P617" i="11"/>
  <c r="Q617" i="11"/>
  <c r="R617" i="11"/>
  <c r="S617" i="11"/>
  <c r="N618" i="11"/>
  <c r="O618" i="11"/>
  <c r="P618" i="11"/>
  <c r="Q618" i="11"/>
  <c r="R618" i="11"/>
  <c r="S618" i="11"/>
  <c r="N619" i="11"/>
  <c r="O619" i="11"/>
  <c r="P619" i="11"/>
  <c r="Q619" i="11"/>
  <c r="R619" i="11"/>
  <c r="S619" i="11"/>
  <c r="N620" i="11"/>
  <c r="O620" i="11"/>
  <c r="P620" i="11"/>
  <c r="Q620" i="11"/>
  <c r="R620" i="11"/>
  <c r="S620" i="11"/>
  <c r="N621" i="11"/>
  <c r="O621" i="11"/>
  <c r="P621" i="11"/>
  <c r="Q621" i="11"/>
  <c r="R621" i="11"/>
  <c r="S621" i="11"/>
  <c r="N622" i="11"/>
  <c r="O622" i="11"/>
  <c r="P622" i="11"/>
  <c r="Q622" i="11"/>
  <c r="R622" i="11"/>
  <c r="S622" i="11"/>
  <c r="N623" i="11"/>
  <c r="O623" i="11"/>
  <c r="P623" i="11"/>
  <c r="Q623" i="11"/>
  <c r="R623" i="11"/>
  <c r="S623" i="11"/>
  <c r="M298" i="6" l="1"/>
  <c r="J298" i="6"/>
  <c r="M305" i="6"/>
  <c r="J305" i="6"/>
  <c r="M13" i="6"/>
  <c r="J13" i="6"/>
  <c r="M264" i="6"/>
  <c r="J264" i="6"/>
  <c r="M180" i="6"/>
  <c r="J180" i="6"/>
  <c r="M267" i="6"/>
  <c r="J267" i="6"/>
  <c r="J347" i="6"/>
  <c r="M347" i="6"/>
  <c r="J348" i="6"/>
  <c r="M348" i="6"/>
  <c r="J349" i="6"/>
  <c r="M349" i="6"/>
  <c r="J350" i="6"/>
  <c r="M350" i="6"/>
  <c r="J351" i="6"/>
  <c r="M351" i="6"/>
  <c r="J352" i="6"/>
  <c r="M352" i="6"/>
  <c r="J353" i="6"/>
  <c r="M353" i="6"/>
  <c r="J354" i="6"/>
  <c r="M354" i="6"/>
  <c r="J355" i="6"/>
  <c r="M355" i="6"/>
  <c r="J356" i="6"/>
  <c r="M356" i="6"/>
  <c r="J357" i="6"/>
  <c r="M357" i="6"/>
  <c r="J358" i="6"/>
  <c r="M358" i="6"/>
  <c r="J359" i="6"/>
  <c r="M359" i="6"/>
  <c r="J360" i="6"/>
  <c r="M360" i="6"/>
  <c r="J361" i="6"/>
  <c r="M361" i="6"/>
  <c r="W361" i="6"/>
  <c r="J362" i="6"/>
  <c r="M362" i="6"/>
  <c r="P13" i="1"/>
  <c r="Q13" i="1"/>
  <c r="R13" i="1"/>
  <c r="S13" i="1"/>
  <c r="T13" i="1"/>
  <c r="U13" i="1"/>
  <c r="V13" i="1"/>
  <c r="W348" i="6" l="1"/>
  <c r="W352" i="6"/>
  <c r="W360" i="6"/>
  <c r="W359" i="6"/>
  <c r="W357" i="6"/>
  <c r="W353" i="6"/>
  <c r="W362" i="6"/>
  <c r="W358" i="6"/>
  <c r="W356" i="6"/>
  <c r="W354" i="6"/>
  <c r="W351" i="6"/>
  <c r="W349" i="6"/>
  <c r="W355" i="6"/>
  <c r="W347" i="6"/>
  <c r="W350" i="6"/>
  <c r="J18" i="8"/>
  <c r="J17" i="8"/>
  <c r="J16" i="8"/>
  <c r="J15" i="8"/>
  <c r="J7" i="8"/>
  <c r="J6" i="8"/>
  <c r="V14" i="2" l="1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4" i="2"/>
  <c r="U4" i="2"/>
  <c r="T4" i="2"/>
  <c r="S4" i="2"/>
  <c r="R4" i="2"/>
  <c r="Q4" i="2"/>
  <c r="P4" i="2"/>
  <c r="V3" i="2"/>
  <c r="U3" i="2"/>
  <c r="T3" i="2"/>
  <c r="S3" i="2"/>
  <c r="R3" i="2"/>
  <c r="Q3" i="2"/>
  <c r="P3" i="2"/>
  <c r="V2" i="2"/>
  <c r="U2" i="2"/>
  <c r="T2" i="2"/>
  <c r="S2" i="2"/>
  <c r="R2" i="2"/>
  <c r="Q2" i="2"/>
  <c r="P2" i="2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4" i="1"/>
  <c r="U4" i="1"/>
  <c r="T4" i="1"/>
  <c r="S4" i="1"/>
  <c r="R4" i="1"/>
  <c r="Q4" i="1"/>
  <c r="P4" i="1"/>
  <c r="V3" i="1"/>
  <c r="U3" i="1"/>
  <c r="T3" i="1"/>
  <c r="S3" i="1"/>
  <c r="R3" i="1"/>
  <c r="Q3" i="1"/>
  <c r="P3" i="1"/>
  <c r="V2" i="1"/>
  <c r="U2" i="1"/>
  <c r="T2" i="1"/>
  <c r="S2" i="1"/>
  <c r="R2" i="1"/>
  <c r="Q2" i="1"/>
  <c r="P2" i="1"/>
  <c r="M55" i="6" l="1"/>
  <c r="J55" i="6"/>
  <c r="J195" i="6"/>
  <c r="M154" i="6"/>
  <c r="J154" i="6"/>
  <c r="N13" i="2" l="1"/>
  <c r="O13" i="2"/>
  <c r="N14" i="2"/>
  <c r="O14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V1" i="2"/>
  <c r="U1" i="2"/>
  <c r="T1" i="2"/>
  <c r="S1" i="2"/>
  <c r="R1" i="2"/>
  <c r="Q1" i="2"/>
  <c r="P1" i="2"/>
  <c r="O1" i="2"/>
  <c r="N1" i="2"/>
  <c r="J410" i="11"/>
  <c r="J228" i="11"/>
  <c r="J226" i="11"/>
  <c r="J224" i="11"/>
  <c r="J222" i="11"/>
  <c r="J219" i="11"/>
  <c r="J206" i="11"/>
  <c r="J210" i="11"/>
  <c r="J208" i="11"/>
  <c r="J318" i="11"/>
  <c r="J317" i="11"/>
  <c r="J316" i="11"/>
  <c r="J315" i="11"/>
  <c r="J314" i="11"/>
  <c r="J313" i="11"/>
  <c r="J312" i="11"/>
  <c r="J311" i="11"/>
  <c r="J284" i="11"/>
  <c r="J283" i="11"/>
  <c r="J280" i="11"/>
  <c r="J279" i="11"/>
  <c r="J234" i="11"/>
  <c r="J233" i="11"/>
  <c r="J232" i="11"/>
  <c r="J259" i="8"/>
  <c r="J258" i="8"/>
  <c r="J257" i="8"/>
  <c r="J253" i="8"/>
  <c r="J251" i="8"/>
  <c r="J249" i="8"/>
  <c r="V1" i="1" l="1"/>
  <c r="Q179" i="8" l="1"/>
  <c r="S179" i="8"/>
  <c r="R179" i="8"/>
  <c r="P179" i="8"/>
  <c r="O179" i="8"/>
  <c r="N179" i="8"/>
  <c r="J108" i="8" l="1"/>
  <c r="N108" i="8"/>
  <c r="O108" i="8"/>
  <c r="P108" i="8"/>
  <c r="Q108" i="8"/>
  <c r="R108" i="8"/>
  <c r="S108" i="8"/>
  <c r="S109" i="8"/>
  <c r="R109" i="8"/>
  <c r="Q109" i="8"/>
  <c r="P109" i="8"/>
  <c r="O109" i="8"/>
  <c r="N109" i="8"/>
  <c r="J109" i="8"/>
  <c r="J150" i="8" l="1"/>
  <c r="J152" i="8"/>
  <c r="J153" i="8"/>
  <c r="J154" i="8"/>
  <c r="J160" i="8"/>
  <c r="J163" i="8"/>
  <c r="J168" i="8"/>
  <c r="J165" i="8"/>
  <c r="J177" i="8"/>
  <c r="J178" i="8"/>
  <c r="J183" i="8"/>
  <c r="J186" i="8"/>
  <c r="J151" i="8"/>
  <c r="J161" i="8"/>
  <c r="J180" i="8"/>
  <c r="J187" i="8"/>
  <c r="J228" i="8"/>
  <c r="J229" i="8"/>
  <c r="J230" i="8"/>
  <c r="J231" i="8"/>
  <c r="J241" i="8"/>
  <c r="J242" i="8"/>
  <c r="J243" i="8"/>
  <c r="J244" i="8"/>
  <c r="J261" i="8"/>
  <c r="J262" i="8"/>
  <c r="J263" i="8"/>
  <c r="J264" i="8"/>
  <c r="J340" i="8"/>
  <c r="J344" i="8"/>
  <c r="J338" i="8"/>
  <c r="J348" i="8"/>
  <c r="J352" i="8"/>
  <c r="J353" i="8"/>
  <c r="J354" i="8"/>
  <c r="J356" i="8"/>
  <c r="J357" i="8"/>
  <c r="J358" i="8"/>
  <c r="J232" i="8"/>
  <c r="J234" i="8"/>
  <c r="J238" i="8"/>
  <c r="J299" i="8"/>
  <c r="J300" i="8"/>
  <c r="J302" i="8"/>
  <c r="J303" i="8"/>
  <c r="J304" i="8"/>
  <c r="J305" i="8"/>
  <c r="J240" i="8"/>
  <c r="J260" i="8"/>
  <c r="J245" i="8"/>
  <c r="J246" i="8"/>
  <c r="J247" i="8"/>
  <c r="J248" i="8"/>
  <c r="J265" i="8"/>
  <c r="J266" i="8"/>
  <c r="J267" i="8"/>
  <c r="J268" i="8"/>
  <c r="J269" i="8"/>
  <c r="J270" i="8"/>
  <c r="J271" i="8"/>
  <c r="J208" i="8"/>
  <c r="J377" i="8"/>
  <c r="J506" i="8"/>
  <c r="J391" i="8"/>
  <c r="J361" i="8"/>
  <c r="J362" i="8"/>
  <c r="J363" i="8"/>
  <c r="J364" i="8"/>
  <c r="J331" i="8"/>
  <c r="J333" i="8"/>
  <c r="J334" i="8"/>
  <c r="J336" i="8"/>
  <c r="J143" i="11"/>
  <c r="J144" i="11"/>
  <c r="J146" i="11"/>
  <c r="J150" i="11"/>
  <c r="J151" i="11"/>
  <c r="J152" i="11"/>
  <c r="J153" i="11"/>
  <c r="J159" i="11"/>
  <c r="J160" i="11"/>
  <c r="J161" i="11"/>
  <c r="J162" i="11"/>
  <c r="J198" i="11"/>
  <c r="J201" i="11"/>
  <c r="J197" i="11"/>
  <c r="J203" i="11"/>
  <c r="J205" i="11"/>
  <c r="J207" i="11"/>
  <c r="J209" i="11"/>
  <c r="J211" i="11"/>
  <c r="J221" i="11"/>
  <c r="J223" i="11"/>
  <c r="J225" i="11"/>
  <c r="J227" i="11"/>
  <c r="J276" i="11"/>
  <c r="J286" i="11"/>
  <c r="J287" i="11"/>
  <c r="J147" i="11"/>
  <c r="J148" i="11"/>
  <c r="J149" i="11"/>
  <c r="J156" i="11"/>
  <c r="J157" i="11"/>
  <c r="J158" i="11"/>
  <c r="J166" i="11"/>
  <c r="J167" i="11"/>
  <c r="J168" i="11"/>
  <c r="J212" i="11"/>
  <c r="J213" i="11"/>
  <c r="J214" i="11"/>
  <c r="J215" i="11"/>
  <c r="J229" i="11"/>
  <c r="J230" i="11"/>
  <c r="J231" i="11"/>
  <c r="J216" i="11"/>
  <c r="J217" i="11"/>
  <c r="J272" i="11"/>
  <c r="J273" i="11"/>
  <c r="J307" i="11"/>
  <c r="J308" i="11"/>
  <c r="J309" i="11"/>
  <c r="J310" i="11"/>
  <c r="J270" i="11"/>
  <c r="J271" i="11"/>
  <c r="J274" i="11"/>
  <c r="J275" i="11"/>
  <c r="J277" i="11"/>
  <c r="J278" i="11"/>
  <c r="J281" i="11"/>
  <c r="J282" i="11"/>
  <c r="J285" i="11"/>
  <c r="J195" i="11"/>
  <c r="J196" i="11"/>
  <c r="J199" i="11"/>
  <c r="J202" i="11"/>
  <c r="J16" i="11"/>
  <c r="J17" i="11"/>
  <c r="J26" i="11"/>
  <c r="J27" i="11"/>
  <c r="J28" i="11"/>
  <c r="J29" i="11"/>
  <c r="J218" i="11"/>
  <c r="J235" i="11"/>
  <c r="J236" i="11"/>
  <c r="J145" i="11"/>
  <c r="J200" i="11"/>
  <c r="J253" i="11"/>
  <c r="J306" i="11"/>
  <c r="J101" i="11"/>
  <c r="J102" i="11"/>
  <c r="J103" i="11"/>
  <c r="J184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54" i="11"/>
  <c r="J155" i="11"/>
  <c r="J163" i="11"/>
  <c r="J164" i="11"/>
  <c r="J165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5" i="11"/>
  <c r="J187" i="11"/>
  <c r="J188" i="11"/>
  <c r="J189" i="11"/>
  <c r="J190" i="11"/>
  <c r="J191" i="11"/>
  <c r="J186" i="11"/>
  <c r="J192" i="11"/>
  <c r="J193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4" i="11"/>
  <c r="J255" i="11"/>
  <c r="J256" i="11"/>
  <c r="J257" i="11"/>
  <c r="J258" i="11"/>
  <c r="J259" i="11"/>
  <c r="J260" i="11"/>
  <c r="J261" i="11"/>
  <c r="J262" i="11"/>
  <c r="J264" i="11"/>
  <c r="J265" i="11"/>
  <c r="J266" i="11"/>
  <c r="J267" i="11"/>
  <c r="J268" i="11"/>
  <c r="J269" i="11"/>
  <c r="J288" i="11"/>
  <c r="J289" i="11"/>
  <c r="J290" i="11"/>
  <c r="J291" i="11"/>
  <c r="J292" i="11"/>
  <c r="J293" i="11"/>
  <c r="J294" i="11"/>
  <c r="J295" i="11"/>
  <c r="J296" i="11"/>
  <c r="J297" i="11"/>
  <c r="J299" i="11"/>
  <c r="J300" i="11"/>
  <c r="J301" i="11"/>
  <c r="J302" i="11"/>
  <c r="J303" i="11"/>
  <c r="J305" i="11"/>
  <c r="J298" i="11"/>
  <c r="J105" i="8" l="1"/>
  <c r="J104" i="8"/>
  <c r="J26" i="5" l="1"/>
  <c r="M26" i="5"/>
  <c r="J77" i="5"/>
  <c r="M77" i="5"/>
  <c r="J47" i="5"/>
  <c r="M47" i="5"/>
  <c r="J61" i="5"/>
  <c r="M61" i="5"/>
  <c r="J6" i="5"/>
  <c r="M6" i="5"/>
  <c r="J20" i="5"/>
  <c r="M20" i="5"/>
  <c r="J30" i="5"/>
  <c r="M30" i="5"/>
  <c r="J72" i="5"/>
  <c r="M72" i="5"/>
  <c r="J8" i="5"/>
  <c r="M8" i="5"/>
  <c r="J85" i="5"/>
  <c r="M85" i="5"/>
  <c r="J53" i="5"/>
  <c r="M53" i="5"/>
  <c r="J65" i="5"/>
  <c r="M65" i="5"/>
  <c r="J63" i="5"/>
  <c r="M63" i="5"/>
  <c r="J42" i="5"/>
  <c r="M42" i="5"/>
  <c r="J84" i="5"/>
  <c r="M84" i="5"/>
  <c r="J74" i="5"/>
  <c r="M74" i="5"/>
  <c r="J70" i="5"/>
  <c r="M70" i="5"/>
  <c r="J15" i="5"/>
  <c r="M15" i="5"/>
  <c r="J66" i="5"/>
  <c r="M66" i="5"/>
  <c r="J34" i="5"/>
  <c r="M34" i="5"/>
  <c r="J5" i="5"/>
  <c r="M5" i="5"/>
  <c r="J18" i="5"/>
  <c r="M18" i="5"/>
  <c r="J78" i="5"/>
  <c r="M78" i="5"/>
  <c r="J71" i="5"/>
  <c r="M71" i="5"/>
  <c r="J39" i="5"/>
  <c r="M39" i="5"/>
  <c r="J44" i="5"/>
  <c r="M44" i="5"/>
  <c r="J73" i="5"/>
  <c r="M73" i="5"/>
  <c r="J51" i="5"/>
  <c r="M51" i="5"/>
  <c r="J41" i="5"/>
  <c r="M41" i="5"/>
  <c r="J58" i="5"/>
  <c r="M58" i="5"/>
  <c r="J19" i="5"/>
  <c r="M19" i="5"/>
  <c r="J83" i="5"/>
  <c r="M83" i="5"/>
  <c r="J4" i="5"/>
  <c r="M4" i="5"/>
  <c r="J28" i="5"/>
  <c r="M28" i="5"/>
  <c r="J33" i="5"/>
  <c r="M33" i="5"/>
  <c r="J40" i="5"/>
  <c r="M40" i="5"/>
  <c r="J60" i="5"/>
  <c r="M60" i="5"/>
  <c r="J10" i="5"/>
  <c r="M10" i="5"/>
  <c r="J45" i="5"/>
  <c r="M45" i="5"/>
  <c r="J11" i="5"/>
  <c r="M11" i="5"/>
  <c r="J64" i="5"/>
  <c r="M64" i="5"/>
  <c r="J29" i="5"/>
  <c r="M29" i="5"/>
  <c r="J68" i="5"/>
  <c r="M68" i="5"/>
  <c r="J23" i="5"/>
  <c r="M23" i="5"/>
  <c r="J35" i="5"/>
  <c r="M35" i="5"/>
  <c r="J79" i="5"/>
  <c r="M79" i="5"/>
  <c r="J82" i="5"/>
  <c r="M82" i="5"/>
  <c r="J55" i="5"/>
  <c r="M55" i="5"/>
  <c r="J38" i="5"/>
  <c r="M38" i="5"/>
  <c r="J49" i="5"/>
  <c r="M49" i="5"/>
  <c r="J36" i="5"/>
  <c r="M36" i="5"/>
  <c r="J50" i="5"/>
  <c r="M50" i="5"/>
  <c r="J12" i="5"/>
  <c r="M12" i="5"/>
  <c r="J32" i="5"/>
  <c r="M32" i="5"/>
  <c r="J37" i="5"/>
  <c r="M37" i="5"/>
  <c r="J75" i="5"/>
  <c r="M75" i="5"/>
  <c r="J17" i="5"/>
  <c r="M17" i="5"/>
  <c r="J27" i="5"/>
  <c r="M27" i="5"/>
  <c r="J22" i="5"/>
  <c r="M22" i="5"/>
  <c r="J31" i="5"/>
  <c r="M31" i="5"/>
  <c r="J3" i="5"/>
  <c r="M3" i="5"/>
  <c r="J81" i="5"/>
  <c r="M81" i="5"/>
  <c r="J54" i="5"/>
  <c r="M54" i="5"/>
  <c r="J48" i="5"/>
  <c r="M48" i="5"/>
  <c r="J57" i="5"/>
  <c r="M57" i="5"/>
  <c r="J62" i="5"/>
  <c r="M62" i="5"/>
  <c r="J59" i="5"/>
  <c r="M59" i="5"/>
  <c r="J46" i="5"/>
  <c r="M46" i="5"/>
  <c r="J43" i="5"/>
  <c r="M43" i="5"/>
  <c r="J21" i="5"/>
  <c r="M21" i="5"/>
  <c r="J14" i="5"/>
  <c r="M14" i="5"/>
  <c r="J25" i="5"/>
  <c r="M25" i="5"/>
  <c r="J56" i="5"/>
  <c r="M56" i="5"/>
  <c r="J67" i="5"/>
  <c r="M67" i="5"/>
  <c r="J80" i="5"/>
  <c r="M80" i="5"/>
  <c r="J86" i="5"/>
  <c r="M86" i="5"/>
  <c r="J87" i="5"/>
  <c r="M87" i="5"/>
  <c r="J88" i="5"/>
  <c r="M88" i="5"/>
  <c r="J89" i="5"/>
  <c r="M89" i="5"/>
  <c r="J90" i="5"/>
  <c r="M90" i="5"/>
  <c r="J91" i="5"/>
  <c r="M91" i="5"/>
  <c r="J92" i="5"/>
  <c r="M92" i="5"/>
  <c r="J93" i="5"/>
  <c r="M93" i="5"/>
  <c r="J94" i="5"/>
  <c r="M94" i="5"/>
  <c r="J95" i="5"/>
  <c r="M95" i="5"/>
  <c r="J96" i="5"/>
  <c r="M96" i="5"/>
  <c r="J97" i="5"/>
  <c r="M97" i="5"/>
  <c r="J98" i="5"/>
  <c r="M98" i="5"/>
  <c r="J99" i="5"/>
  <c r="M99" i="5"/>
  <c r="J100" i="5"/>
  <c r="M100" i="5"/>
  <c r="J101" i="5"/>
  <c r="M101" i="5"/>
  <c r="J102" i="5"/>
  <c r="M102" i="5"/>
  <c r="J103" i="5"/>
  <c r="M103" i="5"/>
  <c r="J104" i="5"/>
  <c r="M104" i="5"/>
  <c r="J105" i="5"/>
  <c r="M105" i="5"/>
  <c r="J106" i="5"/>
  <c r="M106" i="5"/>
  <c r="J107" i="5"/>
  <c r="M107" i="5"/>
  <c r="J108" i="5"/>
  <c r="M108" i="5"/>
  <c r="J109" i="5"/>
  <c r="M109" i="5"/>
  <c r="J110" i="5"/>
  <c r="M110" i="5"/>
  <c r="J111" i="5"/>
  <c r="M111" i="5"/>
  <c r="J112" i="5"/>
  <c r="M112" i="5"/>
  <c r="J113" i="5"/>
  <c r="M113" i="5"/>
  <c r="J114" i="5"/>
  <c r="M114" i="5"/>
  <c r="J115" i="5"/>
  <c r="M115" i="5"/>
  <c r="J116" i="5"/>
  <c r="M116" i="5"/>
  <c r="J117" i="5"/>
  <c r="M117" i="5"/>
  <c r="J118" i="5"/>
  <c r="M118" i="5"/>
  <c r="J119" i="5"/>
  <c r="M119" i="5"/>
  <c r="J120" i="5"/>
  <c r="M120" i="5"/>
  <c r="J121" i="5"/>
  <c r="M121" i="5"/>
  <c r="J122" i="5"/>
  <c r="M122" i="5"/>
  <c r="J123" i="5"/>
  <c r="M123" i="5"/>
  <c r="J124" i="5"/>
  <c r="M124" i="5"/>
  <c r="J125" i="5"/>
  <c r="M125" i="5"/>
  <c r="J126" i="5"/>
  <c r="M126" i="5"/>
  <c r="J127" i="5"/>
  <c r="M127" i="5"/>
  <c r="J128" i="5"/>
  <c r="M128" i="5"/>
  <c r="J129" i="5"/>
  <c r="M129" i="5"/>
  <c r="J130" i="5"/>
  <c r="M130" i="5"/>
  <c r="J131" i="5"/>
  <c r="M131" i="5"/>
  <c r="J132" i="5"/>
  <c r="M132" i="5"/>
  <c r="J133" i="5"/>
  <c r="M133" i="5"/>
  <c r="J134" i="5"/>
  <c r="M134" i="5"/>
  <c r="J135" i="5"/>
  <c r="M135" i="5"/>
  <c r="J136" i="5"/>
  <c r="M136" i="5"/>
  <c r="J137" i="5"/>
  <c r="M137" i="5"/>
  <c r="J138" i="5"/>
  <c r="M138" i="5"/>
  <c r="J139" i="5"/>
  <c r="M139" i="5"/>
  <c r="J140" i="5"/>
  <c r="M140" i="5"/>
  <c r="J141" i="5"/>
  <c r="M141" i="5"/>
  <c r="J142" i="5"/>
  <c r="M142" i="5"/>
  <c r="J143" i="5"/>
  <c r="M143" i="5"/>
  <c r="J144" i="5"/>
  <c r="M144" i="5"/>
  <c r="J145" i="5"/>
  <c r="M145" i="5"/>
  <c r="J146" i="5"/>
  <c r="M146" i="5"/>
  <c r="J147" i="5"/>
  <c r="M147" i="5"/>
  <c r="J148" i="5"/>
  <c r="M148" i="5"/>
  <c r="J149" i="5"/>
  <c r="M149" i="5"/>
  <c r="J150" i="5"/>
  <c r="M150" i="5"/>
  <c r="J151" i="5"/>
  <c r="M151" i="5"/>
  <c r="J152" i="5"/>
  <c r="M152" i="5"/>
  <c r="J153" i="5"/>
  <c r="M153" i="5"/>
  <c r="J154" i="5"/>
  <c r="M154" i="5"/>
  <c r="J155" i="5"/>
  <c r="M155" i="5"/>
  <c r="J156" i="5"/>
  <c r="M156" i="5"/>
  <c r="J157" i="5"/>
  <c r="M157" i="5"/>
  <c r="J158" i="5"/>
  <c r="M158" i="5"/>
  <c r="J159" i="5"/>
  <c r="M159" i="5"/>
  <c r="J160" i="5"/>
  <c r="M160" i="5"/>
  <c r="J161" i="5"/>
  <c r="M161" i="5"/>
  <c r="J162" i="5"/>
  <c r="M162" i="5"/>
  <c r="J163" i="5"/>
  <c r="M163" i="5"/>
  <c r="J164" i="5"/>
  <c r="M164" i="5"/>
  <c r="J165" i="5"/>
  <c r="M165" i="5"/>
  <c r="J166" i="5"/>
  <c r="M166" i="5"/>
  <c r="J167" i="5"/>
  <c r="M167" i="5"/>
  <c r="J168" i="5"/>
  <c r="M168" i="5"/>
  <c r="J169" i="5"/>
  <c r="M169" i="5"/>
  <c r="J170" i="5"/>
  <c r="M170" i="5"/>
  <c r="J171" i="5"/>
  <c r="M171" i="5"/>
  <c r="J172" i="5"/>
  <c r="M172" i="5"/>
  <c r="J173" i="5"/>
  <c r="M173" i="5"/>
  <c r="J174" i="5"/>
  <c r="M174" i="5"/>
  <c r="J175" i="5"/>
  <c r="M175" i="5"/>
  <c r="J176" i="5"/>
  <c r="M176" i="5"/>
  <c r="J177" i="5"/>
  <c r="M177" i="5"/>
  <c r="J178" i="5"/>
  <c r="M178" i="5"/>
  <c r="J179" i="5"/>
  <c r="M179" i="5"/>
  <c r="J180" i="5"/>
  <c r="M180" i="5"/>
  <c r="J181" i="5"/>
  <c r="M181" i="5"/>
  <c r="J182" i="5"/>
  <c r="M182" i="5"/>
  <c r="J183" i="5"/>
  <c r="M183" i="5"/>
  <c r="J184" i="5"/>
  <c r="M184" i="5"/>
  <c r="J185" i="5"/>
  <c r="M185" i="5"/>
  <c r="J186" i="5"/>
  <c r="M186" i="5"/>
  <c r="J187" i="5"/>
  <c r="M187" i="5"/>
  <c r="J188" i="5"/>
  <c r="M188" i="5"/>
  <c r="J189" i="5"/>
  <c r="M189" i="5"/>
  <c r="J190" i="5"/>
  <c r="M190" i="5"/>
  <c r="J191" i="5"/>
  <c r="M191" i="5"/>
  <c r="J192" i="5"/>
  <c r="M192" i="5"/>
  <c r="J193" i="5"/>
  <c r="M193" i="5"/>
  <c r="J194" i="5"/>
  <c r="M194" i="5"/>
  <c r="J195" i="5"/>
  <c r="M195" i="5"/>
  <c r="J196" i="5"/>
  <c r="M196" i="5"/>
  <c r="J197" i="5"/>
  <c r="M197" i="5"/>
  <c r="J198" i="5"/>
  <c r="M198" i="5"/>
  <c r="J199" i="5"/>
  <c r="M199" i="5"/>
  <c r="J200" i="5"/>
  <c r="M200" i="5"/>
  <c r="J201" i="5"/>
  <c r="M201" i="5"/>
  <c r="J202" i="5"/>
  <c r="M202" i="5"/>
  <c r="J203" i="5"/>
  <c r="M203" i="5"/>
  <c r="J204" i="5"/>
  <c r="M204" i="5"/>
  <c r="J205" i="5"/>
  <c r="M205" i="5"/>
  <c r="J206" i="5"/>
  <c r="M206" i="5"/>
  <c r="J207" i="5"/>
  <c r="M207" i="5"/>
  <c r="J208" i="5"/>
  <c r="M208" i="5"/>
  <c r="J209" i="5"/>
  <c r="M209" i="5"/>
  <c r="J210" i="5"/>
  <c r="M210" i="5"/>
  <c r="J211" i="5"/>
  <c r="M211" i="5"/>
  <c r="J212" i="5"/>
  <c r="M212" i="5"/>
  <c r="J213" i="5"/>
  <c r="M213" i="5"/>
  <c r="J214" i="5"/>
  <c r="M214" i="5"/>
  <c r="J215" i="5"/>
  <c r="M215" i="5"/>
  <c r="J216" i="5"/>
  <c r="M216" i="5"/>
  <c r="J217" i="5"/>
  <c r="M217" i="5"/>
  <c r="J218" i="5"/>
  <c r="M218" i="5"/>
  <c r="J219" i="5"/>
  <c r="M219" i="5"/>
  <c r="J220" i="5"/>
  <c r="M220" i="5"/>
  <c r="J221" i="5"/>
  <c r="M221" i="5"/>
  <c r="M96" i="6"/>
  <c r="M206" i="6"/>
  <c r="M61" i="6"/>
  <c r="M32" i="6"/>
  <c r="M3" i="6"/>
  <c r="M68" i="6"/>
  <c r="M216" i="6"/>
  <c r="M269" i="6"/>
  <c r="M5" i="6"/>
  <c r="M71" i="6"/>
  <c r="M175" i="6"/>
  <c r="M217" i="6"/>
  <c r="M37" i="6"/>
  <c r="M210" i="6"/>
  <c r="M92" i="6"/>
  <c r="M290" i="6"/>
  <c r="M229" i="6"/>
  <c r="M196" i="6"/>
  <c r="M102" i="6"/>
  <c r="M143" i="6"/>
  <c r="M255" i="6"/>
  <c r="M17" i="6"/>
  <c r="M202" i="6"/>
  <c r="M327" i="6"/>
  <c r="M198" i="6"/>
  <c r="M67" i="6"/>
  <c r="M40" i="6"/>
  <c r="M2" i="6"/>
  <c r="M207" i="6"/>
  <c r="M248" i="6"/>
  <c r="M293" i="6"/>
  <c r="M51" i="6"/>
  <c r="M239" i="6"/>
  <c r="M33" i="6"/>
  <c r="M113" i="6"/>
  <c r="M56" i="6"/>
  <c r="M294" i="6"/>
  <c r="M235" i="6"/>
  <c r="M118" i="6"/>
  <c r="M30" i="6"/>
  <c r="M23" i="6"/>
  <c r="M262" i="6"/>
  <c r="M112" i="6"/>
  <c r="M95" i="6"/>
  <c r="M251" i="6"/>
  <c r="M313" i="6"/>
  <c r="M109" i="6"/>
  <c r="M300" i="6"/>
  <c r="M322" i="6"/>
  <c r="M94" i="6"/>
  <c r="M29" i="6"/>
  <c r="M272" i="6"/>
  <c r="M244" i="6"/>
  <c r="M108" i="6"/>
  <c r="M69" i="6"/>
  <c r="M100" i="6"/>
  <c r="M123" i="6"/>
  <c r="M228" i="6"/>
  <c r="M321" i="6"/>
  <c r="M46" i="6"/>
  <c r="M156" i="6"/>
  <c r="M223" i="6"/>
  <c r="M257" i="6"/>
  <c r="M87" i="6"/>
  <c r="M219" i="6"/>
  <c r="M129" i="6"/>
  <c r="M83" i="6"/>
  <c r="M105" i="6"/>
  <c r="M172" i="6"/>
  <c r="M315" i="6"/>
  <c r="M144" i="6"/>
  <c r="M204" i="6"/>
  <c r="M281" i="6"/>
  <c r="M132" i="6"/>
  <c r="M245" i="6"/>
  <c r="M25" i="6"/>
  <c r="M4" i="6"/>
  <c r="M66" i="6"/>
  <c r="M77" i="6"/>
  <c r="M195" i="6"/>
  <c r="M19" i="6"/>
  <c r="M131" i="6"/>
  <c r="M188" i="6"/>
  <c r="M12" i="6"/>
  <c r="M183" i="6"/>
  <c r="M58" i="6"/>
  <c r="M165" i="6"/>
  <c r="M164" i="6"/>
  <c r="M70" i="6"/>
  <c r="M84" i="6"/>
  <c r="M117" i="6"/>
  <c r="M128" i="6"/>
  <c r="M310" i="6"/>
  <c r="M76" i="6"/>
  <c r="M28" i="6"/>
  <c r="M101" i="6"/>
  <c r="M263" i="6"/>
  <c r="M326" i="6"/>
  <c r="M184" i="6"/>
  <c r="M218" i="6"/>
  <c r="M258" i="6"/>
  <c r="M253" i="6"/>
  <c r="M286" i="6"/>
  <c r="M161" i="6"/>
  <c r="M265" i="6"/>
  <c r="M328" i="6"/>
  <c r="M186" i="6"/>
  <c r="M31" i="6"/>
  <c r="M185" i="6"/>
  <c r="M174" i="6"/>
  <c r="M26" i="6"/>
  <c r="M236" i="6"/>
  <c r="M177" i="6"/>
  <c r="M158" i="6"/>
  <c r="M121" i="6"/>
  <c r="M303" i="6"/>
  <c r="M295" i="6"/>
  <c r="M80" i="6"/>
  <c r="M187" i="6"/>
  <c r="M34" i="6"/>
  <c r="M73" i="6"/>
  <c r="M155" i="6"/>
  <c r="M38" i="6"/>
  <c r="M14" i="6"/>
  <c r="M93" i="6"/>
  <c r="M106" i="6"/>
  <c r="M241" i="6"/>
  <c r="M104" i="6"/>
  <c r="M99" i="6"/>
  <c r="M98" i="6"/>
  <c r="M242" i="6"/>
  <c r="M199" i="6"/>
  <c r="M135" i="6"/>
  <c r="M178" i="6"/>
  <c r="M246" i="6"/>
  <c r="M130" i="6"/>
  <c r="M230" i="6"/>
  <c r="M139" i="6"/>
  <c r="M211" i="6"/>
  <c r="M166" i="6"/>
  <c r="M287" i="6"/>
  <c r="M193" i="6"/>
  <c r="M237" i="6"/>
  <c r="M107" i="6"/>
  <c r="M297" i="6"/>
  <c r="M314" i="6"/>
  <c r="M134" i="6"/>
  <c r="M120" i="6"/>
  <c r="M119" i="6"/>
  <c r="M146" i="6"/>
  <c r="M301" i="6"/>
  <c r="M256" i="6"/>
  <c r="M325" i="6"/>
  <c r="M192" i="6"/>
  <c r="M283" i="6"/>
  <c r="M285" i="6"/>
  <c r="M127" i="6"/>
  <c r="M176" i="6"/>
  <c r="M209" i="6"/>
  <c r="M282" i="6"/>
  <c r="M110" i="6"/>
  <c r="M141" i="6"/>
  <c r="M259" i="6"/>
  <c r="M312" i="6"/>
  <c r="M208" i="6"/>
  <c r="M150" i="6"/>
  <c r="M138" i="6"/>
  <c r="M42" i="6"/>
  <c r="M275" i="6"/>
  <c r="M64" i="6"/>
  <c r="M50" i="6"/>
  <c r="M115" i="6"/>
  <c r="M250" i="6"/>
  <c r="M224" i="6"/>
  <c r="M85" i="6"/>
  <c r="M47" i="6"/>
  <c r="M91" i="6"/>
  <c r="M79" i="6"/>
  <c r="M233" i="6"/>
  <c r="M44" i="6"/>
  <c r="M304" i="6"/>
  <c r="M252" i="6"/>
  <c r="M9" i="6"/>
  <c r="M10" i="6"/>
  <c r="M162" i="6"/>
  <c r="M125" i="6"/>
  <c r="M20" i="6"/>
  <c r="M116" i="6"/>
  <c r="M163" i="6"/>
  <c r="M243" i="6"/>
  <c r="M62" i="6"/>
  <c r="M221" i="6"/>
  <c r="M214" i="6"/>
  <c r="M18" i="6"/>
  <c r="M24" i="6"/>
  <c r="M142" i="6"/>
  <c r="M16" i="6"/>
  <c r="M234" i="6"/>
  <c r="M7" i="6"/>
  <c r="M63" i="6"/>
  <c r="M114" i="6"/>
  <c r="M89" i="6"/>
  <c r="M261" i="6"/>
  <c r="M39" i="6"/>
  <c r="M124" i="6"/>
  <c r="M274" i="6"/>
  <c r="M173" i="6"/>
  <c r="M222" i="6"/>
  <c r="M148" i="6"/>
  <c r="M43" i="6"/>
  <c r="M189" i="6"/>
  <c r="M126" i="6"/>
  <c r="M225" i="6"/>
  <c r="M45" i="6"/>
  <c r="M53" i="6"/>
  <c r="M151" i="6"/>
  <c r="M160" i="6"/>
  <c r="M226" i="6"/>
  <c r="M147" i="6"/>
  <c r="M22" i="6"/>
  <c r="M21" i="6"/>
  <c r="M8" i="6"/>
  <c r="M36" i="6"/>
  <c r="M309" i="6"/>
  <c r="M15" i="6"/>
  <c r="M52" i="6"/>
  <c r="M169" i="6"/>
  <c r="M215" i="6"/>
  <c r="M302" i="6"/>
  <c r="M65" i="6"/>
  <c r="M49" i="6"/>
  <c r="M296" i="6"/>
  <c r="M103" i="6"/>
  <c r="M48" i="6"/>
  <c r="M167" i="6"/>
  <c r="M190" i="6"/>
  <c r="M133" i="6"/>
  <c r="M182" i="6"/>
  <c r="M273" i="6"/>
  <c r="M97" i="6"/>
  <c r="M289" i="6"/>
  <c r="M231" i="6"/>
  <c r="M81" i="6"/>
  <c r="M54" i="6"/>
  <c r="M137" i="6"/>
  <c r="M299" i="6"/>
  <c r="M240" i="6"/>
  <c r="M27" i="6"/>
  <c r="M57" i="6"/>
  <c r="M271" i="6"/>
  <c r="M152" i="6"/>
  <c r="M213" i="6"/>
  <c r="M74" i="6"/>
  <c r="M35" i="6"/>
  <c r="M170" i="6"/>
  <c r="M212" i="6"/>
  <c r="M90" i="6"/>
  <c r="M288" i="6"/>
  <c r="M260" i="6"/>
  <c r="M277" i="6"/>
  <c r="M194" i="6"/>
  <c r="M159" i="6"/>
  <c r="M330" i="6"/>
  <c r="M72" i="6"/>
  <c r="M78" i="6"/>
  <c r="M317" i="6"/>
  <c r="M284" i="6"/>
  <c r="M308" i="6"/>
  <c r="M334" i="6"/>
  <c r="M332" i="6"/>
  <c r="M333" i="6"/>
  <c r="M335" i="6"/>
  <c r="M238" i="6"/>
  <c r="M136" i="6"/>
  <c r="M203" i="6"/>
  <c r="M201" i="6"/>
  <c r="M191" i="6"/>
  <c r="M278" i="6"/>
  <c r="M88" i="6"/>
  <c r="M232" i="6"/>
  <c r="M266" i="6"/>
  <c r="M111" i="6"/>
  <c r="M220" i="6"/>
  <c r="M247" i="6"/>
  <c r="M86" i="6"/>
  <c r="M140" i="6"/>
  <c r="M276" i="6"/>
  <c r="M336" i="6"/>
  <c r="M75" i="6"/>
  <c r="M157" i="6"/>
  <c r="M168" i="6"/>
  <c r="M227" i="6"/>
  <c r="M122" i="6"/>
  <c r="M205" i="6"/>
  <c r="M82" i="6"/>
  <c r="M171" i="6"/>
  <c r="M320" i="6"/>
  <c r="M318" i="6"/>
  <c r="M145" i="6"/>
  <c r="M291" i="6"/>
  <c r="M254" i="6"/>
  <c r="M307" i="6"/>
  <c r="M197" i="6"/>
  <c r="M306" i="6"/>
  <c r="M337" i="6"/>
  <c r="M338" i="6"/>
  <c r="M339" i="6"/>
  <c r="M340" i="6"/>
  <c r="M341" i="6"/>
  <c r="M342" i="6"/>
  <c r="M343" i="6"/>
  <c r="M344" i="6"/>
  <c r="M345" i="6"/>
  <c r="M346" i="6"/>
  <c r="J96" i="6"/>
  <c r="J206" i="6"/>
  <c r="J61" i="6"/>
  <c r="J32" i="6"/>
  <c r="J3" i="6"/>
  <c r="J68" i="6"/>
  <c r="J216" i="6"/>
  <c r="J269" i="6"/>
  <c r="J5" i="6"/>
  <c r="J71" i="6"/>
  <c r="J175" i="6"/>
  <c r="J217" i="6"/>
  <c r="J37" i="6"/>
  <c r="J210" i="6"/>
  <c r="J92" i="6"/>
  <c r="J290" i="6"/>
  <c r="J229" i="6"/>
  <c r="J196" i="6"/>
  <c r="J102" i="6"/>
  <c r="J143" i="6"/>
  <c r="J255" i="6"/>
  <c r="J17" i="6"/>
  <c r="J202" i="6"/>
  <c r="J327" i="6"/>
  <c r="J198" i="6"/>
  <c r="J67" i="6"/>
  <c r="J40" i="6"/>
  <c r="J2" i="6"/>
  <c r="J207" i="6"/>
  <c r="J248" i="6"/>
  <c r="J293" i="6"/>
  <c r="J51" i="6"/>
  <c r="J239" i="6"/>
  <c r="J33" i="6"/>
  <c r="J113" i="6"/>
  <c r="J56" i="6"/>
  <c r="J294" i="6"/>
  <c r="J235" i="6"/>
  <c r="J118" i="6"/>
  <c r="J30" i="6"/>
  <c r="J23" i="6"/>
  <c r="J262" i="6"/>
  <c r="J112" i="6"/>
  <c r="J95" i="6"/>
  <c r="J251" i="6"/>
  <c r="J313" i="6"/>
  <c r="J109" i="6"/>
  <c r="J300" i="6"/>
  <c r="J322" i="6"/>
  <c r="J94" i="6"/>
  <c r="J29" i="6"/>
  <c r="J272" i="6"/>
  <c r="J244" i="6"/>
  <c r="J108" i="6"/>
  <c r="J69" i="6"/>
  <c r="J100" i="6"/>
  <c r="J123" i="6"/>
  <c r="J228" i="6"/>
  <c r="J321" i="6"/>
  <c r="J46" i="6"/>
  <c r="J156" i="6"/>
  <c r="J223" i="6"/>
  <c r="J257" i="6"/>
  <c r="J87" i="6"/>
  <c r="J219" i="6"/>
  <c r="J129" i="6"/>
  <c r="J83" i="6"/>
  <c r="J105" i="6"/>
  <c r="J172" i="6"/>
  <c r="J315" i="6"/>
  <c r="J144" i="6"/>
  <c r="J204" i="6"/>
  <c r="J281" i="6"/>
  <c r="J132" i="6"/>
  <c r="J245" i="6"/>
  <c r="J25" i="6"/>
  <c r="J4" i="6"/>
  <c r="J66" i="6"/>
  <c r="J77" i="6"/>
  <c r="J19" i="6"/>
  <c r="J131" i="6"/>
  <c r="J188" i="6"/>
  <c r="W188" i="6" s="1"/>
  <c r="J12" i="6"/>
  <c r="J183" i="6"/>
  <c r="W183" i="6" s="1"/>
  <c r="J58" i="6"/>
  <c r="J165" i="6"/>
  <c r="J164" i="6"/>
  <c r="J70" i="6"/>
  <c r="J84" i="6"/>
  <c r="J117" i="6"/>
  <c r="J128" i="6"/>
  <c r="J310" i="6"/>
  <c r="J76" i="6"/>
  <c r="J28" i="6"/>
  <c r="J101" i="6"/>
  <c r="J263" i="6"/>
  <c r="J326" i="6"/>
  <c r="J184" i="6"/>
  <c r="J218" i="6"/>
  <c r="J258" i="6"/>
  <c r="J253" i="6"/>
  <c r="J286" i="6"/>
  <c r="J161" i="6"/>
  <c r="J265" i="6"/>
  <c r="J328" i="6"/>
  <c r="J186" i="6"/>
  <c r="J31" i="6"/>
  <c r="J185" i="6"/>
  <c r="J174" i="6"/>
  <c r="J26" i="6"/>
  <c r="J236" i="6"/>
  <c r="J177" i="6"/>
  <c r="J158" i="6"/>
  <c r="J121" i="6"/>
  <c r="J303" i="6"/>
  <c r="J295" i="6"/>
  <c r="J80" i="6"/>
  <c r="W80" i="6" s="1"/>
  <c r="J187" i="6"/>
  <c r="W187" i="6" s="1"/>
  <c r="J34" i="6"/>
  <c r="J73" i="6"/>
  <c r="J155" i="6"/>
  <c r="J38" i="6"/>
  <c r="J14" i="6"/>
  <c r="J93" i="6"/>
  <c r="J106" i="6"/>
  <c r="J241" i="6"/>
  <c r="J104" i="6"/>
  <c r="J99" i="6"/>
  <c r="J98" i="6"/>
  <c r="J242" i="6"/>
  <c r="J199" i="6"/>
  <c r="J135" i="6"/>
  <c r="J178" i="6"/>
  <c r="J246" i="6"/>
  <c r="J130" i="6"/>
  <c r="J230" i="6"/>
  <c r="J139" i="6"/>
  <c r="J211" i="6"/>
  <c r="J166" i="6"/>
  <c r="J287" i="6"/>
  <c r="J193" i="6"/>
  <c r="J237" i="6"/>
  <c r="J107" i="6"/>
  <c r="J297" i="6"/>
  <c r="J314" i="6"/>
  <c r="J134" i="6"/>
  <c r="J120" i="6"/>
  <c r="J119" i="6"/>
  <c r="J146" i="6"/>
  <c r="J301" i="6"/>
  <c r="J256" i="6"/>
  <c r="J325" i="6"/>
  <c r="J192" i="6"/>
  <c r="J283" i="6"/>
  <c r="J285" i="6"/>
  <c r="J127" i="6"/>
  <c r="J176" i="6"/>
  <c r="J209" i="6"/>
  <c r="J282" i="6"/>
  <c r="J110" i="6"/>
  <c r="J141" i="6"/>
  <c r="J259" i="6"/>
  <c r="J312" i="6"/>
  <c r="J208" i="6"/>
  <c r="J150" i="6"/>
  <c r="J138" i="6"/>
  <c r="J42" i="6"/>
  <c r="J275" i="6"/>
  <c r="J64" i="6"/>
  <c r="J50" i="6"/>
  <c r="J115" i="6"/>
  <c r="J250" i="6"/>
  <c r="J224" i="6"/>
  <c r="J85" i="6"/>
  <c r="J47" i="6"/>
  <c r="J91" i="6"/>
  <c r="J79" i="6"/>
  <c r="J233" i="6"/>
  <c r="J44" i="6"/>
  <c r="J304" i="6"/>
  <c r="J252" i="6"/>
  <c r="J9" i="6"/>
  <c r="J10" i="6"/>
  <c r="J162" i="6"/>
  <c r="J125" i="6"/>
  <c r="J20" i="6"/>
  <c r="J116" i="6"/>
  <c r="J163" i="6"/>
  <c r="J243" i="6"/>
  <c r="J62" i="6"/>
  <c r="W163" i="6" s="1"/>
  <c r="J221" i="6"/>
  <c r="J214" i="6"/>
  <c r="J18" i="6"/>
  <c r="J24" i="6"/>
  <c r="J142" i="6"/>
  <c r="J16" i="6"/>
  <c r="J234" i="6"/>
  <c r="J7" i="6"/>
  <c r="J63" i="6"/>
  <c r="J114" i="6"/>
  <c r="J89" i="6"/>
  <c r="J261" i="6"/>
  <c r="J39" i="6"/>
  <c r="J124" i="6"/>
  <c r="J274" i="6"/>
  <c r="J173" i="6"/>
  <c r="J222" i="6"/>
  <c r="J148" i="6"/>
  <c r="J43" i="6"/>
  <c r="J189" i="6"/>
  <c r="J126" i="6"/>
  <c r="J225" i="6"/>
  <c r="J45" i="6"/>
  <c r="J53" i="6"/>
  <c r="J151" i="6"/>
  <c r="J160" i="6"/>
  <c r="J226" i="6"/>
  <c r="J147" i="6"/>
  <c r="J22" i="6"/>
  <c r="J21" i="6"/>
  <c r="J8" i="6"/>
  <c r="J36" i="6"/>
  <c r="J309" i="6"/>
  <c r="J15" i="6"/>
  <c r="J52" i="6"/>
  <c r="J169" i="6"/>
  <c r="J215" i="6"/>
  <c r="J302" i="6"/>
  <c r="J65" i="6"/>
  <c r="J49" i="6"/>
  <c r="J296" i="6"/>
  <c r="W296" i="6" s="1"/>
  <c r="J103" i="6"/>
  <c r="J48" i="6"/>
  <c r="J167" i="6"/>
  <c r="J190" i="6"/>
  <c r="J133" i="6"/>
  <c r="J182" i="6"/>
  <c r="J273" i="6"/>
  <c r="J97" i="6"/>
  <c r="J289" i="6"/>
  <c r="J231" i="6"/>
  <c r="J81" i="6"/>
  <c r="J54" i="6"/>
  <c r="J137" i="6"/>
  <c r="J299" i="6"/>
  <c r="J240" i="6"/>
  <c r="J27" i="6"/>
  <c r="J57" i="6"/>
  <c r="J271" i="6"/>
  <c r="J152" i="6"/>
  <c r="J213" i="6"/>
  <c r="J74" i="6"/>
  <c r="J35" i="6"/>
  <c r="J170" i="6"/>
  <c r="J212" i="6"/>
  <c r="J90" i="6"/>
  <c r="J288" i="6"/>
  <c r="J260" i="6"/>
  <c r="J277" i="6"/>
  <c r="J194" i="6"/>
  <c r="J159" i="6"/>
  <c r="J330" i="6"/>
  <c r="J72" i="6"/>
  <c r="J78" i="6"/>
  <c r="J317" i="6"/>
  <c r="J284" i="6"/>
  <c r="J308" i="6"/>
  <c r="J334" i="6"/>
  <c r="J332" i="6"/>
  <c r="J333" i="6"/>
  <c r="J335" i="6"/>
  <c r="J238" i="6"/>
  <c r="J136" i="6"/>
  <c r="J203" i="6"/>
  <c r="J201" i="6"/>
  <c r="J191" i="6"/>
  <c r="W191" i="6" s="1"/>
  <c r="J278" i="6"/>
  <c r="J88" i="6"/>
  <c r="J232" i="6"/>
  <c r="J266" i="6"/>
  <c r="J111" i="6"/>
  <c r="J220" i="6"/>
  <c r="J247" i="6"/>
  <c r="J86" i="6"/>
  <c r="J140" i="6"/>
  <c r="J276" i="6"/>
  <c r="J336" i="6"/>
  <c r="J75" i="6"/>
  <c r="J157" i="6"/>
  <c r="J168" i="6"/>
  <c r="J227" i="6"/>
  <c r="J122" i="6"/>
  <c r="J205" i="6"/>
  <c r="J82" i="6"/>
  <c r="J171" i="6"/>
  <c r="J320" i="6"/>
  <c r="J318" i="6"/>
  <c r="J145" i="6"/>
  <c r="J291" i="6"/>
  <c r="J254" i="6"/>
  <c r="J307" i="6"/>
  <c r="J197" i="6"/>
  <c r="J306" i="6"/>
  <c r="J337" i="6"/>
  <c r="J338" i="6"/>
  <c r="J339" i="6"/>
  <c r="J340" i="6"/>
  <c r="J341" i="6"/>
  <c r="J342" i="6"/>
  <c r="J343" i="6"/>
  <c r="J344" i="6"/>
  <c r="J345" i="6"/>
  <c r="J346" i="6"/>
  <c r="M153" i="6"/>
  <c r="J153" i="6"/>
  <c r="M59" i="6"/>
  <c r="J59" i="6"/>
  <c r="M2" i="5"/>
  <c r="M9" i="5"/>
  <c r="M16" i="5"/>
  <c r="M76" i="5"/>
  <c r="M24" i="5"/>
  <c r="M7" i="5"/>
  <c r="M69" i="5"/>
  <c r="M52" i="5"/>
  <c r="J2" i="5"/>
  <c r="J9" i="5"/>
  <c r="J16" i="5"/>
  <c r="J76" i="5"/>
  <c r="J24" i="5"/>
  <c r="J7" i="5"/>
  <c r="J69" i="5"/>
  <c r="J52" i="5"/>
  <c r="M13" i="5"/>
  <c r="J13" i="5"/>
  <c r="M11" i="6"/>
  <c r="M270" i="6"/>
  <c r="M249" i="6"/>
  <c r="M6" i="6"/>
  <c r="M311" i="6"/>
  <c r="M181" i="6"/>
  <c r="M60" i="6"/>
  <c r="M279" i="6"/>
  <c r="M268" i="6"/>
  <c r="M200" i="6"/>
  <c r="M324" i="6"/>
  <c r="M280" i="6"/>
  <c r="J11" i="6"/>
  <c r="J270" i="6"/>
  <c r="J249" i="6"/>
  <c r="J6" i="6"/>
  <c r="J311" i="6"/>
  <c r="J181" i="6"/>
  <c r="J60" i="6"/>
  <c r="J279" i="6"/>
  <c r="J268" i="6"/>
  <c r="J200" i="6"/>
  <c r="J324" i="6"/>
  <c r="J280" i="6"/>
  <c r="M149" i="6"/>
  <c r="J149" i="6"/>
  <c r="M323" i="6"/>
  <c r="J323" i="6"/>
  <c r="M41" i="6"/>
  <c r="J41" i="6"/>
  <c r="J111" i="8"/>
  <c r="J110" i="8"/>
  <c r="J107" i="8"/>
  <c r="J106" i="8"/>
  <c r="J103" i="8"/>
  <c r="J97" i="8"/>
  <c r="J102" i="8"/>
  <c r="J96" i="8"/>
  <c r="J93" i="8"/>
  <c r="J92" i="8"/>
  <c r="J91" i="8"/>
  <c r="J90" i="8"/>
  <c r="W150" i="6" l="1"/>
  <c r="W165" i="6"/>
  <c r="W164" i="6"/>
  <c r="W134" i="6"/>
  <c r="W159" i="6"/>
  <c r="W156" i="6"/>
  <c r="W140" i="6"/>
  <c r="S84" i="11"/>
  <c r="R84" i="11"/>
  <c r="Q84" i="11"/>
  <c r="P84" i="11"/>
  <c r="O84" i="11"/>
  <c r="N84" i="11"/>
  <c r="J84" i="11"/>
  <c r="S81" i="11"/>
  <c r="R81" i="11"/>
  <c r="Q81" i="11"/>
  <c r="P81" i="11"/>
  <c r="O81" i="11"/>
  <c r="N81" i="11"/>
  <c r="J81" i="11"/>
  <c r="J6" i="11" l="1"/>
  <c r="J8" i="11"/>
  <c r="J10" i="11"/>
  <c r="J13" i="11"/>
  <c r="J14" i="11"/>
  <c r="J19" i="11"/>
  <c r="J23" i="11"/>
  <c r="J24" i="11"/>
  <c r="J25" i="11"/>
  <c r="J5" i="11"/>
  <c r="J22" i="11"/>
  <c r="J11" i="11"/>
  <c r="J9" i="11"/>
  <c r="J7" i="11"/>
  <c r="J4" i="11"/>
  <c r="J3" i="11"/>
  <c r="J2" i="11"/>
  <c r="J188" i="8" l="1"/>
  <c r="J169" i="8"/>
  <c r="J138" i="8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8" i="11"/>
  <c r="Q19" i="11"/>
  <c r="Q20" i="11"/>
  <c r="Q21" i="11"/>
  <c r="Q22" i="11"/>
  <c r="Q23" i="11"/>
  <c r="Q24" i="11"/>
  <c r="Q25" i="11"/>
  <c r="Q30" i="11"/>
  <c r="Q31" i="11"/>
  <c r="Q32" i="11"/>
  <c r="Q33" i="11"/>
  <c r="Q35" i="11"/>
  <c r="Q37" i="11"/>
  <c r="Q39" i="11"/>
  <c r="Q34" i="11"/>
  <c r="Q38" i="11"/>
  <c r="Q36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5" i="11"/>
  <c r="Q57" i="11"/>
  <c r="Q59" i="11"/>
  <c r="Q54" i="11"/>
  <c r="Q56" i="11"/>
  <c r="Q58" i="11"/>
  <c r="Q60" i="11"/>
  <c r="Q61" i="11"/>
  <c r="Q62" i="11"/>
  <c r="Q63" i="11"/>
  <c r="Q64" i="11"/>
  <c r="Q69" i="11"/>
  <c r="Q71" i="11"/>
  <c r="Q73" i="11"/>
  <c r="Q75" i="11"/>
  <c r="Q70" i="11"/>
  <c r="Q72" i="11"/>
  <c r="Q74" i="11"/>
  <c r="Q76" i="11"/>
  <c r="Q77" i="11"/>
  <c r="Q78" i="11"/>
  <c r="Q79" i="11"/>
  <c r="Q80" i="11"/>
  <c r="Q89" i="11"/>
  <c r="Q90" i="11"/>
  <c r="Q91" i="11"/>
  <c r="Q92" i="11"/>
  <c r="Q93" i="11"/>
  <c r="Q101" i="11"/>
  <c r="Q102" i="11"/>
  <c r="Q184" i="11"/>
  <c r="Q103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6" i="11"/>
  <c r="Q127" i="11"/>
  <c r="Q128" i="11"/>
  <c r="Q129" i="11"/>
  <c r="Q130" i="11"/>
  <c r="Q133" i="11"/>
  <c r="Q134" i="11"/>
  <c r="Q135" i="11"/>
  <c r="Q136" i="11"/>
  <c r="Q137" i="11"/>
  <c r="Q138" i="11"/>
  <c r="Q139" i="11"/>
  <c r="Q140" i="11"/>
  <c r="Q155" i="11"/>
  <c r="Q164" i="11"/>
  <c r="Q165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5" i="11"/>
  <c r="Q478" i="11"/>
  <c r="Q187" i="11"/>
  <c r="Q188" i="11"/>
  <c r="Q189" i="11"/>
  <c r="Q190" i="11"/>
  <c r="Q191" i="11"/>
  <c r="Q186" i="11"/>
  <c r="Q192" i="11"/>
  <c r="Q193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4" i="11"/>
  <c r="Q255" i="11"/>
  <c r="Q256" i="11"/>
  <c r="Q259" i="11"/>
  <c r="Q260" i="11"/>
  <c r="Q261" i="11"/>
  <c r="Q262" i="11"/>
  <c r="Q263" i="11"/>
  <c r="Q264" i="11"/>
  <c r="Q266" i="11"/>
  <c r="Q267" i="11"/>
  <c r="Q268" i="11"/>
  <c r="Q269" i="11"/>
  <c r="Q288" i="11"/>
  <c r="Q289" i="11"/>
  <c r="Q290" i="11"/>
  <c r="Q291" i="11"/>
  <c r="Q292" i="11"/>
  <c r="Q293" i="11"/>
  <c r="Q294" i="11"/>
  <c r="Q295" i="11"/>
  <c r="Q296" i="11"/>
  <c r="Q297" i="11"/>
  <c r="Q299" i="11"/>
  <c r="Q300" i="11"/>
  <c r="Q301" i="11"/>
  <c r="Q302" i="11"/>
  <c r="Q489" i="11"/>
  <c r="Q303" i="11"/>
  <c r="Q325" i="11"/>
  <c r="Q304" i="11"/>
  <c r="Q305" i="11"/>
  <c r="Q319" i="11"/>
  <c r="Q374" i="11"/>
  <c r="Q375" i="11"/>
  <c r="Q376" i="11"/>
  <c r="Q377" i="11"/>
  <c r="Q378" i="11"/>
  <c r="Q379" i="11"/>
  <c r="Q380" i="11"/>
  <c r="Q381" i="11"/>
  <c r="Q382" i="11"/>
  <c r="Q383" i="11"/>
  <c r="Q433" i="11"/>
  <c r="Q384" i="11"/>
  <c r="Q385" i="11"/>
  <c r="Q388" i="11"/>
  <c r="Q389" i="11"/>
  <c r="Q390" i="11"/>
  <c r="Q394" i="11"/>
  <c r="Q395" i="11"/>
  <c r="Q396" i="11"/>
  <c r="Q397" i="11"/>
  <c r="Q398" i="11"/>
  <c r="Q400" i="11"/>
  <c r="Q401" i="11"/>
  <c r="Q393" i="11"/>
  <c r="Q405" i="11"/>
  <c r="Q414" i="11"/>
  <c r="Q415" i="11"/>
  <c r="Q424" i="11"/>
  <c r="Q425" i="11"/>
  <c r="Q426" i="11"/>
  <c r="Q427" i="11"/>
  <c r="Q432" i="11"/>
  <c r="Q435" i="11"/>
  <c r="Q436" i="11"/>
  <c r="Q437" i="11"/>
  <c r="Q441" i="11"/>
  <c r="Q442" i="11"/>
  <c r="Q443" i="11"/>
  <c r="Q444" i="11"/>
  <c r="Q446" i="11"/>
  <c r="Q447" i="11"/>
  <c r="Q448" i="11"/>
  <c r="Q449" i="11"/>
  <c r="Q470" i="11"/>
  <c r="Q471" i="11"/>
  <c r="Q472" i="11"/>
  <c r="Q473" i="11"/>
  <c r="Q474" i="11"/>
  <c r="Q475" i="11"/>
  <c r="Q476" i="11"/>
  <c r="Q477" i="11"/>
  <c r="Q438" i="11"/>
  <c r="Q479" i="11"/>
  <c r="Q480" i="11"/>
  <c r="Q481" i="11"/>
  <c r="Q490" i="11"/>
  <c r="Q487" i="11"/>
  <c r="Q491" i="11"/>
  <c r="Q494" i="11"/>
  <c r="Q298" i="11"/>
  <c r="Q495" i="11"/>
  <c r="Q496" i="11"/>
  <c r="Q498" i="11"/>
  <c r="Q499" i="11"/>
  <c r="Q500" i="11"/>
  <c r="Q518" i="11"/>
  <c r="Q519" i="11"/>
  <c r="Q520" i="11"/>
  <c r="Q510" i="11"/>
  <c r="Q511" i="11"/>
  <c r="Q512" i="11"/>
  <c r="Q517" i="11"/>
  <c r="Q513" i="11"/>
  <c r="Q514" i="11"/>
  <c r="Q515" i="11"/>
  <c r="Q516" i="11"/>
  <c r="Q522" i="11"/>
  <c r="Q523" i="11"/>
  <c r="Q527" i="11"/>
  <c r="Q530" i="11"/>
  <c r="Q526" i="11"/>
  <c r="Q532" i="11"/>
  <c r="Q524" i="11"/>
  <c r="Q525" i="11"/>
  <c r="Q534" i="11"/>
  <c r="Q535" i="11"/>
  <c r="Q538" i="11"/>
  <c r="Q539" i="11"/>
  <c r="Q536" i="11"/>
  <c r="Q537" i="11"/>
  <c r="Q552" i="11"/>
  <c r="Q555" i="11"/>
  <c r="Q553" i="11"/>
  <c r="Q554" i="11"/>
  <c r="Q125" i="11"/>
  <c r="Q154" i="11"/>
  <c r="Q163" i="11"/>
  <c r="Q65" i="11"/>
  <c r="Q66" i="11"/>
  <c r="Q67" i="11"/>
  <c r="Q82" i="11"/>
  <c r="Q83" i="11"/>
  <c r="Q85" i="11"/>
  <c r="Q86" i="11"/>
  <c r="Q68" i="11"/>
  <c r="Q87" i="11"/>
  <c r="Q88" i="11"/>
  <c r="Q370" i="11"/>
  <c r="Q371" i="11"/>
  <c r="Q348" i="11"/>
  <c r="Q349" i="11"/>
  <c r="Q372" i="11"/>
  <c r="Q373" i="11"/>
  <c r="Q122" i="11"/>
  <c r="Q123" i="11"/>
  <c r="Q124" i="11"/>
  <c r="Q131" i="11"/>
  <c r="Q132" i="11"/>
  <c r="Q141" i="11"/>
  <c r="Q181" i="11"/>
  <c r="Q182" i="11"/>
  <c r="Q183" i="11"/>
  <c r="Q250" i="11"/>
  <c r="Q251" i="11"/>
  <c r="Q257" i="11"/>
  <c r="Q258" i="11"/>
  <c r="Q265" i="11"/>
  <c r="Q485" i="11"/>
  <c r="Q94" i="11"/>
  <c r="Q95" i="11"/>
  <c r="Q96" i="11"/>
  <c r="Q97" i="11"/>
  <c r="Q99" i="11"/>
  <c r="Q104" i="11"/>
  <c r="Q100" i="11"/>
  <c r="Q105" i="11"/>
  <c r="Q106" i="11"/>
  <c r="Q107" i="11"/>
  <c r="Q108" i="11"/>
  <c r="Q109" i="11"/>
  <c r="Q98" i="11"/>
  <c r="Q252" i="11"/>
  <c r="Q142" i="11"/>
  <c r="Q143" i="11"/>
  <c r="Q144" i="11"/>
  <c r="Q146" i="11"/>
  <c r="Q150" i="11"/>
  <c r="Q151" i="11"/>
  <c r="Q152" i="11"/>
  <c r="Q153" i="11"/>
  <c r="Q159" i="11"/>
  <c r="Q160" i="11"/>
  <c r="Q161" i="11"/>
  <c r="Q162" i="11"/>
  <c r="Q198" i="11"/>
  <c r="Q201" i="11"/>
  <c r="Q197" i="11"/>
  <c r="Q203" i="11"/>
  <c r="Q205" i="11"/>
  <c r="Q207" i="11"/>
  <c r="Q209" i="11"/>
  <c r="Q211" i="11"/>
  <c r="Q221" i="11"/>
  <c r="Q223" i="11"/>
  <c r="Q225" i="11"/>
  <c r="Q227" i="11"/>
  <c r="Q276" i="11"/>
  <c r="Q286" i="11"/>
  <c r="Q287" i="11"/>
  <c r="Q147" i="11"/>
  <c r="Q148" i="11"/>
  <c r="Q149" i="11"/>
  <c r="Q156" i="11"/>
  <c r="Q157" i="11"/>
  <c r="Q158" i="11"/>
  <c r="Q166" i="11"/>
  <c r="Q167" i="11"/>
  <c r="Q168" i="11"/>
  <c r="Q337" i="11"/>
  <c r="Q341" i="11"/>
  <c r="Q350" i="11"/>
  <c r="Q351" i="11"/>
  <c r="Q359" i="11"/>
  <c r="Q360" i="11"/>
  <c r="Q363" i="11"/>
  <c r="Q212" i="11"/>
  <c r="Q213" i="11"/>
  <c r="Q214" i="11"/>
  <c r="Q215" i="11"/>
  <c r="Q229" i="11"/>
  <c r="Q230" i="11"/>
  <c r="Q231" i="11"/>
  <c r="Q216" i="11"/>
  <c r="Q217" i="11"/>
  <c r="Q232" i="11"/>
  <c r="Q233" i="11"/>
  <c r="Q234" i="11"/>
  <c r="Q272" i="11"/>
  <c r="Q273" i="11"/>
  <c r="Q279" i="11"/>
  <c r="Q280" i="11"/>
  <c r="Q283" i="11"/>
  <c r="Q284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20" i="11"/>
  <c r="Q328" i="11"/>
  <c r="Q332" i="11"/>
  <c r="Q327" i="11"/>
  <c r="Q321" i="11"/>
  <c r="Q333" i="11"/>
  <c r="Q322" i="11"/>
  <c r="Q329" i="11"/>
  <c r="Q335" i="11"/>
  <c r="Q323" i="11"/>
  <c r="Q330" i="11"/>
  <c r="Q336" i="11"/>
  <c r="Q339" i="11"/>
  <c r="Q344" i="11"/>
  <c r="Q342" i="11"/>
  <c r="Q343" i="11"/>
  <c r="Q345" i="11"/>
  <c r="Q346" i="11"/>
  <c r="Q354" i="11"/>
  <c r="Q357" i="11"/>
  <c r="Q355" i="11"/>
  <c r="Q358" i="11"/>
  <c r="Q362" i="11"/>
  <c r="Q365" i="11"/>
  <c r="Q270" i="11"/>
  <c r="Q271" i="11"/>
  <c r="Q274" i="11"/>
  <c r="Q275" i="11"/>
  <c r="Q277" i="11"/>
  <c r="Q278" i="11"/>
  <c r="Q281" i="11"/>
  <c r="Q282" i="11"/>
  <c r="Q285" i="11"/>
  <c r="Q195" i="11"/>
  <c r="Q196" i="11"/>
  <c r="Q199" i="11"/>
  <c r="Q202" i="11"/>
  <c r="Q208" i="11"/>
  <c r="Q210" i="11"/>
  <c r="Q206" i="11"/>
  <c r="Q219" i="11"/>
  <c r="Q222" i="11"/>
  <c r="Q224" i="11"/>
  <c r="Q226" i="11"/>
  <c r="Q228" i="11"/>
  <c r="Q410" i="11"/>
  <c r="Q420" i="11"/>
  <c r="Q421" i="11"/>
  <c r="Q422" i="11"/>
  <c r="Q411" i="11"/>
  <c r="Q16" i="11"/>
  <c r="Q17" i="11"/>
  <c r="Q26" i="11"/>
  <c r="Q27" i="11"/>
  <c r="Q28" i="11"/>
  <c r="Q29" i="11"/>
  <c r="Q218" i="11"/>
  <c r="Q235" i="11"/>
  <c r="Q236" i="11"/>
  <c r="Q145" i="11"/>
  <c r="Q200" i="11"/>
  <c r="Q253" i="11"/>
  <c r="Q306" i="11"/>
  <c r="Q404" i="11"/>
  <c r="Q434" i="11"/>
  <c r="Q486" i="11"/>
  <c r="Q386" i="11"/>
  <c r="Q387" i="11"/>
  <c r="Q501" i="11"/>
  <c r="Q391" i="11"/>
  <c r="Q392" i="11"/>
  <c r="Q399" i="11"/>
  <c r="Q439" i="11"/>
  <c r="Q440" i="11"/>
  <c r="Q445" i="11"/>
  <c r="Q482" i="11"/>
  <c r="Q483" i="11"/>
  <c r="Q484" i="11"/>
  <c r="Q492" i="11"/>
  <c r="Q493" i="11"/>
  <c r="Q497" i="11"/>
  <c r="Q347" i="11"/>
  <c r="Q368" i="11"/>
  <c r="Q369" i="11"/>
  <c r="Q406" i="11"/>
  <c r="Q407" i="11"/>
  <c r="Q408" i="11"/>
  <c r="Q409" i="11"/>
  <c r="Q416" i="11"/>
  <c r="Q417" i="11"/>
  <c r="Q418" i="11"/>
  <c r="Q419" i="11"/>
  <c r="Q428" i="11"/>
  <c r="Q429" i="11"/>
  <c r="Q430" i="11"/>
  <c r="Q431" i="11"/>
  <c r="Q402" i="11"/>
  <c r="Q413" i="11"/>
  <c r="Q3" i="8"/>
  <c r="Q4" i="8"/>
  <c r="Q5" i="8"/>
  <c r="Q8" i="8"/>
  <c r="Q9" i="8"/>
  <c r="Q10" i="8"/>
  <c r="Q11" i="8"/>
  <c r="Q12" i="8"/>
  <c r="Q13" i="8"/>
  <c r="Q14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4" i="8"/>
  <c r="Q101" i="8"/>
  <c r="Q207" i="8"/>
  <c r="Q100" i="8"/>
  <c r="Q114" i="8"/>
  <c r="Q113" i="8"/>
  <c r="Q115" i="8"/>
  <c r="Q112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487" i="8"/>
  <c r="Q131" i="8"/>
  <c r="Q132" i="8"/>
  <c r="Q133" i="8"/>
  <c r="Q139" i="8"/>
  <c r="Q378" i="8"/>
  <c r="Q140" i="8"/>
  <c r="Q141" i="8"/>
  <c r="Q142" i="8"/>
  <c r="Q143" i="8"/>
  <c r="Q144" i="8"/>
  <c r="Q490" i="8"/>
  <c r="Q145" i="8"/>
  <c r="Q146" i="8"/>
  <c r="Q147" i="8"/>
  <c r="Q162" i="8"/>
  <c r="Q164" i="8"/>
  <c r="Q166" i="8"/>
  <c r="Q167" i="8"/>
  <c r="Q174" i="8"/>
  <c r="Q175" i="8"/>
  <c r="Q176" i="8"/>
  <c r="Q181" i="8"/>
  <c r="Q182" i="8"/>
  <c r="Q184" i="8"/>
  <c r="Q185" i="8"/>
  <c r="Q193" i="8"/>
  <c r="Q194" i="8"/>
  <c r="Q195" i="8"/>
  <c r="Q196" i="8"/>
  <c r="Q197" i="8"/>
  <c r="Q198" i="8"/>
  <c r="Q199" i="8"/>
  <c r="Q200" i="8"/>
  <c r="Q201" i="8"/>
  <c r="Q202" i="8"/>
  <c r="Q203" i="8"/>
  <c r="Q210" i="8"/>
  <c r="Q211" i="8"/>
  <c r="Q212" i="8"/>
  <c r="Q213" i="8"/>
  <c r="Q215" i="8"/>
  <c r="Q389" i="8"/>
  <c r="Q216" i="8"/>
  <c r="Q217" i="8"/>
  <c r="Q218" i="8"/>
  <c r="Q220" i="8"/>
  <c r="Q272" i="8"/>
  <c r="Q273" i="8"/>
  <c r="Q274" i="8"/>
  <c r="Q275" i="8"/>
  <c r="Q276" i="8"/>
  <c r="Q277" i="8"/>
  <c r="Q278" i="8"/>
  <c r="Q279" i="8"/>
  <c r="Q280" i="8"/>
  <c r="Q281" i="8"/>
  <c r="Q282" i="8"/>
  <c r="Q286" i="8"/>
  <c r="Q287" i="8"/>
  <c r="Q288" i="8"/>
  <c r="Q289" i="8"/>
  <c r="Q290" i="8"/>
  <c r="Q291" i="8"/>
  <c r="Q292" i="8"/>
  <c r="Q293" i="8"/>
  <c r="Q294" i="8"/>
  <c r="Q295" i="8"/>
  <c r="Q296" i="8"/>
  <c r="Q301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20" i="8"/>
  <c r="Q321" i="8"/>
  <c r="Q322" i="8"/>
  <c r="Q323" i="8"/>
  <c r="Q324" i="8"/>
  <c r="Q325" i="8"/>
  <c r="Q335" i="8"/>
  <c r="Q488" i="8"/>
  <c r="Q326" i="8"/>
  <c r="Q327" i="8"/>
  <c r="Q329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80" i="8"/>
  <c r="Q381" i="8"/>
  <c r="Q382" i="8"/>
  <c r="Q383" i="8"/>
  <c r="Q384" i="8"/>
  <c r="Q385" i="8"/>
  <c r="Q386" i="8"/>
  <c r="Q475" i="8"/>
  <c r="Q387" i="8"/>
  <c r="Q388" i="8"/>
  <c r="Q390" i="8"/>
  <c r="Q397" i="8"/>
  <c r="Q394" i="8"/>
  <c r="Q399" i="8"/>
  <c r="Q395" i="8"/>
  <c r="Q405" i="8"/>
  <c r="Q406" i="8"/>
  <c r="Q410" i="8"/>
  <c r="Q408" i="8"/>
  <c r="Q411" i="8"/>
  <c r="Q420" i="8"/>
  <c r="Q421" i="8"/>
  <c r="Q422" i="8"/>
  <c r="Q423" i="8"/>
  <c r="Q426" i="8"/>
  <c r="Q427" i="8"/>
  <c r="Q438" i="8"/>
  <c r="Q439" i="8"/>
  <c r="Q440" i="8"/>
  <c r="Q441" i="8"/>
  <c r="Q442" i="8"/>
  <c r="Q443" i="8"/>
  <c r="Q444" i="8"/>
  <c r="Q445" i="8"/>
  <c r="Q446" i="8"/>
  <c r="Q447" i="8"/>
  <c r="Q450" i="8"/>
  <c r="Q464" i="8"/>
  <c r="Q473" i="8"/>
  <c r="Q474" i="8"/>
  <c r="Q476" i="8"/>
  <c r="Q477" i="8"/>
  <c r="Q478" i="8"/>
  <c r="Q479" i="8"/>
  <c r="Q480" i="8"/>
  <c r="Q481" i="8"/>
  <c r="Q448" i="8"/>
  <c r="Q482" i="8"/>
  <c r="Q483" i="8"/>
  <c r="Q484" i="8"/>
  <c r="Q493" i="8"/>
  <c r="Q494" i="8"/>
  <c r="Q495" i="8"/>
  <c r="Q496" i="8"/>
  <c r="Q497" i="8"/>
  <c r="Q498" i="8"/>
  <c r="Q499" i="8"/>
  <c r="Q500" i="8"/>
  <c r="Q501" i="8"/>
  <c r="Q502" i="8"/>
  <c r="Q503" i="8"/>
  <c r="Q507" i="8"/>
  <c r="Q508" i="8"/>
  <c r="Q509" i="8"/>
  <c r="Q529" i="8"/>
  <c r="Q530" i="8"/>
  <c r="Q522" i="8"/>
  <c r="Q523" i="8"/>
  <c r="Q517" i="8"/>
  <c r="Q528" i="8"/>
  <c r="Q518" i="8"/>
  <c r="Q519" i="8"/>
  <c r="Q520" i="8"/>
  <c r="Q521" i="8"/>
  <c r="Q525" i="8"/>
  <c r="Q526" i="8"/>
  <c r="Q531" i="8"/>
  <c r="Q532" i="8"/>
  <c r="Q534" i="8"/>
  <c r="Q535" i="8"/>
  <c r="Q536" i="8"/>
  <c r="Q537" i="8"/>
  <c r="Q541" i="8"/>
  <c r="Q542" i="8"/>
  <c r="Q546" i="8"/>
  <c r="Q543" i="8"/>
  <c r="Q544" i="8"/>
  <c r="Q560" i="8"/>
  <c r="Q563" i="8"/>
  <c r="Q561" i="8"/>
  <c r="Q562" i="8"/>
  <c r="Q138" i="8"/>
  <c r="Q169" i="8"/>
  <c r="Q188" i="8"/>
  <c r="Q134" i="8"/>
  <c r="Q204" i="8"/>
  <c r="Q319" i="8"/>
  <c r="Q135" i="8"/>
  <c r="Q136" i="8"/>
  <c r="Q148" i="8"/>
  <c r="Q149" i="8"/>
  <c r="Q205" i="8"/>
  <c r="Q206" i="8"/>
  <c r="Q283" i="8"/>
  <c r="Q297" i="8"/>
  <c r="Q298" i="8"/>
  <c r="Q90" i="8"/>
  <c r="Q91" i="8"/>
  <c r="Q92" i="8"/>
  <c r="Q93" i="8"/>
  <c r="Q96" i="8"/>
  <c r="Q102" i="8"/>
  <c r="Q97" i="8"/>
  <c r="Q103" i="8"/>
  <c r="Q106" i="8"/>
  <c r="Q107" i="8"/>
  <c r="Q110" i="8"/>
  <c r="Q111" i="8"/>
  <c r="Q219" i="8"/>
  <c r="Q221" i="8"/>
  <c r="Q209" i="8"/>
  <c r="Q214" i="8"/>
  <c r="Q223" i="8"/>
  <c r="Q222" i="8"/>
  <c r="Q225" i="8"/>
  <c r="Q227" i="8"/>
  <c r="Q233" i="8"/>
  <c r="Q235" i="8"/>
  <c r="Q236" i="8"/>
  <c r="Q239" i="8"/>
  <c r="Q250" i="8"/>
  <c r="Q252" i="8"/>
  <c r="Q254" i="8"/>
  <c r="Q256" i="8"/>
  <c r="Q156" i="8"/>
  <c r="Q159" i="8"/>
  <c r="Q158" i="8"/>
  <c r="Q157" i="8"/>
  <c r="Q170" i="8"/>
  <c r="Q171" i="8"/>
  <c r="Q172" i="8"/>
  <c r="Q173" i="8"/>
  <c r="Q189" i="8"/>
  <c r="Q190" i="8"/>
  <c r="Q191" i="8"/>
  <c r="Q192" i="8"/>
  <c r="Q412" i="8"/>
  <c r="Q413" i="8"/>
  <c r="Q428" i="8"/>
  <c r="Q429" i="8"/>
  <c r="Q430" i="8"/>
  <c r="Q431" i="8"/>
  <c r="Q95" i="8"/>
  <c r="Q137" i="8"/>
  <c r="Q285" i="8"/>
  <c r="Q330" i="8"/>
  <c r="Q98" i="8"/>
  <c r="Q99" i="8"/>
  <c r="Q104" i="8"/>
  <c r="Q105" i="8"/>
  <c r="Q150" i="8"/>
  <c r="Q152" i="8"/>
  <c r="Q153" i="8"/>
  <c r="Q154" i="8"/>
  <c r="Q160" i="8"/>
  <c r="Q163" i="8"/>
  <c r="Q168" i="8"/>
  <c r="Q165" i="8"/>
  <c r="Q177" i="8"/>
  <c r="Q178" i="8"/>
  <c r="Q183" i="8"/>
  <c r="Q186" i="8"/>
  <c r="Q151" i="8"/>
  <c r="Q161" i="8"/>
  <c r="Q180" i="8"/>
  <c r="Q187" i="8"/>
  <c r="Q228" i="8"/>
  <c r="Q229" i="8"/>
  <c r="Q230" i="8"/>
  <c r="Q231" i="8"/>
  <c r="Q241" i="8"/>
  <c r="Q242" i="8"/>
  <c r="Q243" i="8"/>
  <c r="Q244" i="8"/>
  <c r="Q261" i="8"/>
  <c r="Q262" i="8"/>
  <c r="Q263" i="8"/>
  <c r="Q264" i="8"/>
  <c r="Q340" i="8"/>
  <c r="Q344" i="8"/>
  <c r="Q338" i="8"/>
  <c r="Q348" i="8"/>
  <c r="Q352" i="8"/>
  <c r="Q353" i="8"/>
  <c r="Q354" i="8"/>
  <c r="Q356" i="8"/>
  <c r="Q357" i="8"/>
  <c r="Q358" i="8"/>
  <c r="Q232" i="8"/>
  <c r="Q234" i="8"/>
  <c r="Q238" i="8"/>
  <c r="Q249" i="8"/>
  <c r="Q251" i="8"/>
  <c r="Q253" i="8"/>
  <c r="Q257" i="8"/>
  <c r="Q258" i="8"/>
  <c r="Q259" i="8"/>
  <c r="Q299" i="8"/>
  <c r="Q300" i="8"/>
  <c r="Q302" i="8"/>
  <c r="Q303" i="8"/>
  <c r="Q304" i="8"/>
  <c r="Q305" i="8"/>
  <c r="Q417" i="8"/>
  <c r="Q403" i="8"/>
  <c r="Q418" i="8"/>
  <c r="Q6" i="8"/>
  <c r="Q7" i="8"/>
  <c r="Q15" i="8"/>
  <c r="Q16" i="8"/>
  <c r="Q17" i="8"/>
  <c r="Q18" i="8"/>
  <c r="Q240" i="8"/>
  <c r="Q260" i="8"/>
  <c r="Q245" i="8"/>
  <c r="Q246" i="8"/>
  <c r="Q247" i="8"/>
  <c r="Q248" i="8"/>
  <c r="Q265" i="8"/>
  <c r="Q266" i="8"/>
  <c r="Q267" i="8"/>
  <c r="Q268" i="8"/>
  <c r="Q269" i="8"/>
  <c r="Q270" i="8"/>
  <c r="Q271" i="8"/>
  <c r="Q208" i="8"/>
  <c r="Q489" i="8"/>
  <c r="Q377" i="8"/>
  <c r="Q506" i="8"/>
  <c r="Q391" i="8"/>
  <c r="Q435" i="8"/>
  <c r="Q449" i="8"/>
  <c r="Q451" i="8"/>
  <c r="Q485" i="8"/>
  <c r="Q486" i="8"/>
  <c r="Q504" i="8"/>
  <c r="Q505" i="8"/>
  <c r="Q361" i="8"/>
  <c r="Q362" i="8"/>
  <c r="Q363" i="8"/>
  <c r="Q364" i="8"/>
  <c r="Q392" i="8"/>
  <c r="Q407" i="8"/>
  <c r="Q425" i="8"/>
  <c r="Q343" i="8"/>
  <c r="Q341" i="8"/>
  <c r="Q345" i="8"/>
  <c r="Q346" i="8"/>
  <c r="Q349" i="8"/>
  <c r="Q351" i="8"/>
  <c r="Q355" i="8"/>
  <c r="Q359" i="8"/>
  <c r="Q331" i="8"/>
  <c r="Q333" i="8"/>
  <c r="Q334" i="8"/>
  <c r="Q336" i="8"/>
  <c r="Q459" i="8"/>
  <c r="Q462" i="8"/>
  <c r="Q467" i="8"/>
  <c r="Q468" i="8"/>
  <c r="Q2" i="8"/>
  <c r="T1" i="8" l="1"/>
  <c r="T1" i="11"/>
  <c r="S1" i="11" l="1"/>
  <c r="R1" i="11"/>
  <c r="Q1" i="11"/>
  <c r="P1" i="11"/>
  <c r="O1" i="11"/>
  <c r="N1" i="11"/>
  <c r="P1" i="8"/>
  <c r="R1" i="8"/>
  <c r="O1" i="8"/>
  <c r="N1" i="8"/>
  <c r="J94" i="8" l="1"/>
  <c r="J126" i="8"/>
  <c r="J127" i="8"/>
  <c r="J128" i="8"/>
  <c r="J129" i="8"/>
  <c r="J130" i="8"/>
  <c r="J141" i="8"/>
  <c r="J142" i="8"/>
  <c r="J143" i="8"/>
  <c r="J193" i="8"/>
  <c r="J197" i="8"/>
  <c r="J198" i="8"/>
  <c r="J199" i="8"/>
  <c r="J212" i="8"/>
  <c r="J213" i="8"/>
  <c r="J276" i="8"/>
  <c r="J277" i="8"/>
  <c r="J278" i="8"/>
  <c r="J289" i="8"/>
  <c r="J290" i="8"/>
  <c r="J291" i="8"/>
  <c r="J313" i="8"/>
  <c r="J314" i="8"/>
  <c r="J315" i="8"/>
  <c r="J321" i="8"/>
  <c r="J322" i="8"/>
  <c r="J323" i="8"/>
  <c r="J324" i="8"/>
  <c r="J367" i="8"/>
  <c r="J368" i="8"/>
  <c r="J369" i="8"/>
  <c r="J370" i="8"/>
  <c r="J383" i="8"/>
  <c r="J384" i="8"/>
  <c r="J385" i="8"/>
  <c r="J12" i="11" l="1"/>
  <c r="J15" i="11"/>
  <c r="J18" i="11"/>
  <c r="J20" i="11"/>
  <c r="J21" i="11"/>
  <c r="J33" i="11"/>
  <c r="J35" i="11"/>
  <c r="J34" i="11"/>
  <c r="J37" i="11"/>
  <c r="J40" i="11"/>
  <c r="J36" i="11"/>
  <c r="J38" i="11"/>
  <c r="J39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5" i="11"/>
  <c r="J57" i="11"/>
  <c r="J59" i="11"/>
  <c r="J54" i="11"/>
  <c r="J56" i="11"/>
  <c r="J58" i="11"/>
  <c r="J60" i="11"/>
  <c r="J61" i="11"/>
  <c r="J62" i="11"/>
  <c r="J63" i="11"/>
  <c r="J64" i="11"/>
  <c r="J69" i="11"/>
  <c r="J71" i="11"/>
  <c r="J73" i="11"/>
  <c r="J75" i="11"/>
  <c r="J70" i="11"/>
  <c r="J72" i="11"/>
  <c r="J74" i="11"/>
  <c r="J76" i="11"/>
  <c r="J77" i="11"/>
  <c r="J78" i="11"/>
  <c r="J79" i="11"/>
  <c r="J80" i="11"/>
  <c r="J30" i="11"/>
  <c r="J31" i="11"/>
  <c r="J32" i="11"/>
  <c r="J90" i="11"/>
  <c r="J91" i="11"/>
  <c r="J92" i="11"/>
  <c r="J93" i="11"/>
  <c r="J89" i="11"/>
  <c r="J65" i="11"/>
  <c r="J66" i="11"/>
  <c r="J67" i="11"/>
  <c r="J82" i="11"/>
  <c r="J83" i="11"/>
  <c r="J85" i="11"/>
  <c r="J86" i="11"/>
  <c r="J68" i="11"/>
  <c r="J87" i="11"/>
  <c r="J88" i="11"/>
  <c r="J94" i="11"/>
  <c r="J95" i="11"/>
  <c r="J96" i="11"/>
  <c r="J97" i="11"/>
  <c r="J99" i="11"/>
  <c r="J100" i="11"/>
  <c r="J98" i="11"/>
  <c r="J142" i="11"/>
  <c r="J2" i="8"/>
  <c r="J8" i="8"/>
  <c r="J9" i="8"/>
  <c r="J10" i="8"/>
  <c r="J11" i="8"/>
  <c r="J49" i="8"/>
  <c r="J63" i="8"/>
  <c r="J76" i="8"/>
  <c r="J301" i="8"/>
  <c r="J306" i="8"/>
  <c r="J307" i="8"/>
  <c r="J308" i="8"/>
  <c r="J309" i="8"/>
  <c r="J397" i="8"/>
  <c r="J394" i="8"/>
  <c r="J399" i="8"/>
  <c r="J395" i="8"/>
  <c r="J405" i="8"/>
  <c r="J406" i="8"/>
  <c r="J410" i="8"/>
  <c r="J408" i="8"/>
  <c r="J411" i="8"/>
  <c r="J420" i="8"/>
  <c r="J421" i="8"/>
  <c r="J422" i="8"/>
  <c r="J423" i="8"/>
  <c r="J426" i="8"/>
  <c r="J427" i="8"/>
  <c r="J34" i="8"/>
  <c r="J35" i="8"/>
  <c r="J46" i="8"/>
  <c r="J47" i="8"/>
  <c r="J58" i="8"/>
  <c r="J59" i="8"/>
  <c r="J25" i="8"/>
  <c r="J30" i="8"/>
  <c r="J40" i="8"/>
  <c r="J41" i="8"/>
  <c r="J50" i="8"/>
  <c r="J54" i="8"/>
  <c r="J31" i="8"/>
  <c r="J32" i="8"/>
  <c r="J42" i="8"/>
  <c r="J43" i="8"/>
  <c r="J51" i="8"/>
  <c r="J55" i="8"/>
  <c r="J33" i="8"/>
  <c r="J36" i="8"/>
  <c r="J44" i="8"/>
  <c r="J45" i="8"/>
  <c r="J56" i="8"/>
  <c r="J60" i="8"/>
  <c r="J26" i="8"/>
  <c r="J27" i="8"/>
  <c r="J37" i="8"/>
  <c r="J38" i="8"/>
  <c r="J48" i="8"/>
  <c r="J52" i="8"/>
  <c r="J28" i="8"/>
  <c r="J29" i="8"/>
  <c r="J39" i="8"/>
  <c r="J53" i="8"/>
  <c r="J57" i="8"/>
  <c r="J72" i="8"/>
  <c r="J73" i="8"/>
  <c r="J85" i="8"/>
  <c r="J86" i="8"/>
  <c r="J70" i="8"/>
  <c r="J71" i="8"/>
  <c r="J83" i="8"/>
  <c r="J84" i="8"/>
  <c r="J68" i="8"/>
  <c r="J69" i="8"/>
  <c r="J78" i="8"/>
  <c r="J82" i="8"/>
  <c r="J64" i="8"/>
  <c r="J77" i="8"/>
  <c r="J81" i="8"/>
  <c r="J66" i="8"/>
  <c r="J67" i="8"/>
  <c r="J75" i="8"/>
  <c r="J65" i="8"/>
  <c r="J80" i="8"/>
  <c r="J61" i="8"/>
  <c r="J62" i="8"/>
  <c r="J74" i="8"/>
  <c r="J79" i="8"/>
  <c r="J19" i="8"/>
  <c r="J20" i="8"/>
  <c r="J21" i="8"/>
  <c r="J22" i="8"/>
  <c r="J23" i="8"/>
  <c r="J24" i="8"/>
  <c r="J87" i="8"/>
  <c r="J88" i="8"/>
  <c r="J89" i="8"/>
  <c r="J101" i="8"/>
  <c r="J207" i="8"/>
  <c r="J100" i="8"/>
  <c r="J131" i="8"/>
  <c r="J132" i="8"/>
  <c r="J133" i="8"/>
  <c r="J145" i="8"/>
  <c r="J201" i="8"/>
  <c r="J202" i="8"/>
  <c r="J389" i="8"/>
  <c r="J216" i="8"/>
  <c r="J217" i="8"/>
  <c r="J218" i="8"/>
  <c r="J279" i="8"/>
  <c r="J280" i="8"/>
  <c r="J281" i="8"/>
  <c r="J292" i="8"/>
  <c r="J293" i="8"/>
  <c r="J294" i="8"/>
  <c r="J295" i="8"/>
  <c r="J316" i="8"/>
  <c r="J317" i="8"/>
  <c r="J318" i="8"/>
  <c r="J311" i="8"/>
  <c r="J325" i="8"/>
  <c r="J335" i="8"/>
  <c r="J326" i="8"/>
  <c r="J327" i="8"/>
  <c r="J371" i="8"/>
  <c r="J372" i="8"/>
  <c r="J373" i="8"/>
  <c r="J374" i="8"/>
  <c r="J387" i="8"/>
  <c r="J388" i="8"/>
  <c r="J146" i="8"/>
  <c r="J203" i="8"/>
  <c r="J282" i="8"/>
  <c r="J296" i="8"/>
  <c r="J375" i="8"/>
  <c r="J390" i="8"/>
  <c r="J220" i="8"/>
  <c r="J376" i="8"/>
  <c r="J147" i="8"/>
  <c r="J123" i="8"/>
  <c r="J124" i="8"/>
  <c r="J125" i="8"/>
  <c r="J144" i="8"/>
  <c r="J139" i="8"/>
  <c r="J378" i="8"/>
  <c r="J140" i="8"/>
  <c r="J200" i="8"/>
  <c r="J194" i="8"/>
  <c r="J195" i="8"/>
  <c r="J196" i="8"/>
  <c r="J215" i="8"/>
  <c r="J210" i="8"/>
  <c r="J211" i="8"/>
  <c r="J273" i="8"/>
  <c r="J272" i="8"/>
  <c r="J274" i="8"/>
  <c r="J275" i="8"/>
  <c r="J286" i="8"/>
  <c r="J287" i="8"/>
  <c r="J288" i="8"/>
  <c r="J312" i="8"/>
  <c r="J310" i="8"/>
  <c r="J320" i="8"/>
  <c r="J329" i="8"/>
  <c r="J365" i="8"/>
  <c r="J366" i="8"/>
  <c r="J380" i="8"/>
  <c r="J381" i="8"/>
  <c r="J386" i="8"/>
  <c r="J382" i="8"/>
  <c r="J162" i="8"/>
  <c r="J164" i="8"/>
  <c r="J166" i="8"/>
  <c r="J167" i="8"/>
  <c r="J174" i="8"/>
  <c r="J175" i="8"/>
  <c r="J176" i="8"/>
  <c r="J181" i="8"/>
  <c r="J182" i="8"/>
  <c r="J184" i="8"/>
  <c r="J185" i="8"/>
  <c r="J12" i="8"/>
  <c r="J4" i="8"/>
  <c r="J5" i="8"/>
  <c r="J114" i="8"/>
  <c r="J113" i="8"/>
  <c r="J115" i="8"/>
  <c r="J112" i="8"/>
  <c r="J116" i="8"/>
  <c r="J117" i="8"/>
  <c r="J118" i="8"/>
  <c r="J119" i="8"/>
  <c r="J120" i="8"/>
  <c r="J121" i="8"/>
  <c r="J122" i="8"/>
  <c r="J13" i="8"/>
  <c r="J14" i="8"/>
  <c r="J134" i="8"/>
  <c r="J204" i="8"/>
  <c r="J319" i="8"/>
  <c r="J135" i="8"/>
  <c r="J136" i="8"/>
  <c r="J148" i="8"/>
  <c r="J149" i="8"/>
  <c r="J205" i="8"/>
  <c r="J206" i="8"/>
  <c r="J283" i="8"/>
  <c r="J297" i="8"/>
  <c r="J298" i="8"/>
  <c r="J219" i="8"/>
  <c r="J221" i="8"/>
  <c r="J209" i="8"/>
  <c r="J214" i="8"/>
  <c r="J223" i="8"/>
  <c r="J222" i="8"/>
  <c r="J225" i="8"/>
  <c r="J227" i="8"/>
  <c r="J233" i="8"/>
  <c r="J235" i="8"/>
  <c r="J236" i="8"/>
  <c r="J239" i="8"/>
  <c r="J250" i="8"/>
  <c r="J252" i="8"/>
  <c r="J254" i="8"/>
  <c r="J256" i="8"/>
  <c r="J156" i="8"/>
  <c r="J159" i="8"/>
  <c r="J158" i="8"/>
  <c r="J157" i="8"/>
  <c r="J170" i="8"/>
  <c r="J171" i="8"/>
  <c r="J172" i="8"/>
  <c r="J173" i="8"/>
  <c r="J189" i="8"/>
  <c r="J190" i="8"/>
  <c r="J191" i="8"/>
  <c r="J192" i="8"/>
  <c r="J412" i="8"/>
  <c r="J413" i="8"/>
  <c r="J428" i="8"/>
  <c r="J429" i="8"/>
  <c r="J430" i="8"/>
  <c r="J431" i="8"/>
  <c r="J95" i="8"/>
  <c r="J137" i="8"/>
  <c r="J285" i="8"/>
  <c r="J330" i="8"/>
  <c r="J98" i="8"/>
  <c r="J99" i="8"/>
  <c r="N67" i="8"/>
  <c r="O67" i="8"/>
  <c r="P67" i="8"/>
  <c r="R67" i="8"/>
  <c r="N66" i="8"/>
  <c r="O66" i="8"/>
  <c r="P66" i="8"/>
  <c r="R66" i="8"/>
  <c r="N75" i="8"/>
  <c r="O75" i="8"/>
  <c r="P75" i="8"/>
  <c r="R75" i="8"/>
  <c r="N65" i="8"/>
  <c r="O65" i="8"/>
  <c r="P65" i="8"/>
  <c r="R65" i="8"/>
  <c r="N80" i="8"/>
  <c r="O80" i="8"/>
  <c r="P80" i="8"/>
  <c r="R80" i="8"/>
  <c r="N61" i="8"/>
  <c r="O61" i="8"/>
  <c r="P61" i="8"/>
  <c r="R61" i="8"/>
  <c r="N62" i="8"/>
  <c r="O62" i="8"/>
  <c r="P62" i="8"/>
  <c r="R62" i="8"/>
  <c r="S67" i="8"/>
  <c r="S66" i="8"/>
  <c r="S75" i="8"/>
  <c r="S65" i="8"/>
  <c r="S80" i="8"/>
  <c r="S61" i="8"/>
  <c r="S62" i="8"/>
  <c r="C5" i="18" l="1"/>
  <c r="B10" i="18"/>
  <c r="C7" i="17"/>
  <c r="B7" i="17"/>
  <c r="C9" i="18"/>
  <c r="C11" i="18"/>
  <c r="G16" i="3"/>
  <c r="F16" i="3"/>
  <c r="Q16" i="3" s="1"/>
  <c r="C2" i="23"/>
  <c r="B2" i="23"/>
  <c r="B11" i="18"/>
  <c r="B9" i="18"/>
  <c r="C2" i="18"/>
  <c r="B3" i="22"/>
  <c r="C3" i="22"/>
  <c r="C3" i="23"/>
  <c r="G37" i="4"/>
  <c r="I37" i="4" s="1"/>
  <c r="B3" i="23"/>
  <c r="F37" i="4"/>
  <c r="H37" i="4" s="1"/>
  <c r="C5" i="17"/>
  <c r="B5" i="17"/>
  <c r="B4" i="18"/>
  <c r="B2" i="18"/>
  <c r="C4" i="18"/>
  <c r="C10" i="18"/>
  <c r="D10" i="18" s="1"/>
  <c r="C4" i="14"/>
  <c r="B4" i="14"/>
  <c r="C4" i="19"/>
  <c r="B4" i="19"/>
  <c r="C2" i="17"/>
  <c r="B2" i="17"/>
  <c r="C12" i="21"/>
  <c r="B12" i="21"/>
  <c r="C8" i="21"/>
  <c r="B8" i="21"/>
  <c r="C5" i="13"/>
  <c r="B5" i="13"/>
  <c r="C5" i="14"/>
  <c r="B5" i="14"/>
  <c r="C3" i="14"/>
  <c r="B3" i="14"/>
  <c r="C2" i="21"/>
  <c r="B2" i="21"/>
  <c r="C3" i="19"/>
  <c r="G25" i="4"/>
  <c r="I25" i="4" s="1"/>
  <c r="B3" i="19"/>
  <c r="F25" i="4"/>
  <c r="H25" i="4" s="1"/>
  <c r="C6" i="19"/>
  <c r="B6" i="19"/>
  <c r="C8" i="19"/>
  <c r="B8" i="19"/>
  <c r="C9" i="21"/>
  <c r="B9" i="21"/>
  <c r="C5" i="21"/>
  <c r="B5" i="21"/>
  <c r="C6" i="14"/>
  <c r="B6" i="14"/>
  <c r="C8" i="14"/>
  <c r="B8" i="14"/>
  <c r="C4" i="17"/>
  <c r="B4" i="17"/>
  <c r="C4" i="13"/>
  <c r="B4" i="13"/>
  <c r="C5" i="19"/>
  <c r="B5" i="19"/>
  <c r="C7" i="21"/>
  <c r="B7" i="21"/>
  <c r="C11" i="21"/>
  <c r="B11" i="21"/>
  <c r="C7" i="14"/>
  <c r="B7" i="14"/>
  <c r="C6" i="21"/>
  <c r="B6" i="21"/>
  <c r="C3" i="17"/>
  <c r="C2" i="19"/>
  <c r="B2" i="19"/>
  <c r="B3" i="17"/>
  <c r="C10" i="19"/>
  <c r="B10" i="19"/>
  <c r="C6" i="17"/>
  <c r="B6" i="17"/>
  <c r="C2" i="13"/>
  <c r="B2" i="13"/>
  <c r="C7" i="19"/>
  <c r="B7" i="19"/>
  <c r="C9" i="19"/>
  <c r="B9" i="19"/>
  <c r="C4" i="21"/>
  <c r="B4" i="21"/>
  <c r="C10" i="21"/>
  <c r="B10" i="21"/>
  <c r="C3" i="21"/>
  <c r="B3" i="21"/>
  <c r="C4" i="20"/>
  <c r="B4" i="20"/>
  <c r="C5" i="12"/>
  <c r="B5" i="12"/>
  <c r="B2" i="22"/>
  <c r="C2" i="22"/>
  <c r="C6" i="18"/>
  <c r="B6" i="18"/>
  <c r="C11" i="20"/>
  <c r="B11" i="20"/>
  <c r="C7" i="20"/>
  <c r="B7" i="20"/>
  <c r="C4" i="12"/>
  <c r="B4" i="12"/>
  <c r="C3" i="12"/>
  <c r="B3" i="12"/>
  <c r="B4" i="22"/>
  <c r="F39" i="3"/>
  <c r="C4" i="22"/>
  <c r="G39" i="3"/>
  <c r="I39" i="3" s="1"/>
  <c r="C7" i="18"/>
  <c r="F29" i="3"/>
  <c r="B7" i="18"/>
  <c r="G29" i="3"/>
  <c r="I29" i="3" s="1"/>
  <c r="C3" i="18"/>
  <c r="B3" i="18"/>
  <c r="C3" i="20"/>
  <c r="B3" i="20"/>
  <c r="C5" i="20"/>
  <c r="B5" i="20"/>
  <c r="C8" i="12"/>
  <c r="B8" i="12"/>
  <c r="B5" i="15"/>
  <c r="C5" i="15"/>
  <c r="B2" i="15"/>
  <c r="C2" i="15"/>
  <c r="C10" i="20"/>
  <c r="B10" i="20"/>
  <c r="C10" i="12"/>
  <c r="B10" i="12"/>
  <c r="C9" i="12"/>
  <c r="B9" i="12"/>
  <c r="C3" i="15"/>
  <c r="B3" i="15"/>
  <c r="C8" i="20"/>
  <c r="B8" i="20"/>
  <c r="C7" i="12"/>
  <c r="B7" i="12"/>
  <c r="C11" i="12"/>
  <c r="B11" i="12"/>
  <c r="C12" i="12"/>
  <c r="B12" i="12"/>
  <c r="C6" i="15"/>
  <c r="B6" i="15"/>
  <c r="C2" i="12"/>
  <c r="B2" i="12"/>
  <c r="B5" i="18"/>
  <c r="D5" i="18" s="1"/>
  <c r="C9" i="20"/>
  <c r="B9" i="20"/>
  <c r="C6" i="12"/>
  <c r="B6" i="12"/>
  <c r="C8" i="18"/>
  <c r="B8" i="18"/>
  <c r="C4" i="15"/>
  <c r="B4" i="15"/>
  <c r="C6" i="20"/>
  <c r="C2" i="20"/>
  <c r="B6" i="20"/>
  <c r="B2" i="20"/>
  <c r="H29" i="3" l="1"/>
  <c r="Q29" i="3"/>
  <c r="H39" i="3"/>
  <c r="Q39" i="3"/>
  <c r="D9" i="18"/>
  <c r="D2" i="18"/>
  <c r="D7" i="17"/>
  <c r="D11" i="18"/>
  <c r="D2" i="23"/>
  <c r="H16" i="3"/>
  <c r="B16" i="3" s="1"/>
  <c r="M16" i="3" s="1"/>
  <c r="I16" i="3"/>
  <c r="C16" i="3" s="1"/>
  <c r="N16" i="3" s="1"/>
  <c r="R16" i="3"/>
  <c r="D8" i="20"/>
  <c r="D6" i="15"/>
  <c r="D11" i="12"/>
  <c r="D9" i="12"/>
  <c r="D10" i="20"/>
  <c r="D5" i="20"/>
  <c r="D3" i="18"/>
  <c r="D3" i="22"/>
  <c r="D7" i="14"/>
  <c r="D4" i="13"/>
  <c r="D8" i="14"/>
  <c r="D5" i="21"/>
  <c r="D8" i="19"/>
  <c r="D2" i="13"/>
  <c r="D3" i="23"/>
  <c r="D4" i="18"/>
  <c r="D3" i="17"/>
  <c r="D5" i="19"/>
  <c r="D6" i="14"/>
  <c r="D5" i="17"/>
  <c r="D2" i="12"/>
  <c r="D12" i="12"/>
  <c r="D7" i="12"/>
  <c r="D3" i="15"/>
  <c r="D10" i="12"/>
  <c r="D8" i="12"/>
  <c r="D3" i="20"/>
  <c r="D6" i="21"/>
  <c r="D10" i="19"/>
  <c r="D6" i="17"/>
  <c r="D11" i="21"/>
  <c r="D4" i="17"/>
  <c r="D9" i="21"/>
  <c r="D6" i="19"/>
  <c r="D7" i="21"/>
  <c r="D3" i="19"/>
  <c r="D2" i="21"/>
  <c r="D5" i="14"/>
  <c r="D8" i="21"/>
  <c r="D2" i="17"/>
  <c r="D4" i="14"/>
  <c r="D4" i="19"/>
  <c r="D2" i="19"/>
  <c r="D3" i="14"/>
  <c r="D5" i="13"/>
  <c r="D12" i="21"/>
  <c r="D7" i="19"/>
  <c r="D9" i="19"/>
  <c r="D4" i="21"/>
  <c r="D3" i="21"/>
  <c r="D10" i="21"/>
  <c r="D3" i="12"/>
  <c r="D6" i="18"/>
  <c r="D4" i="22"/>
  <c r="D2" i="22"/>
  <c r="D11" i="20"/>
  <c r="D5" i="12"/>
  <c r="D2" i="20"/>
  <c r="D4" i="15"/>
  <c r="D6" i="12"/>
  <c r="D9" i="20"/>
  <c r="D5" i="15"/>
  <c r="D7" i="18"/>
  <c r="D4" i="12"/>
  <c r="D7" i="20"/>
  <c r="D4" i="20"/>
  <c r="D8" i="18"/>
  <c r="D2" i="15"/>
  <c r="D6" i="20"/>
  <c r="N42" i="11"/>
  <c r="O42" i="11"/>
  <c r="P42" i="11"/>
  <c r="R42" i="11"/>
  <c r="S42" i="11"/>
  <c r="K8" i="1" l="1"/>
  <c r="D16" i="3"/>
  <c r="O16" i="3" s="1"/>
  <c r="S468" i="8"/>
  <c r="R468" i="8"/>
  <c r="P468" i="8"/>
  <c r="O468" i="8"/>
  <c r="N468" i="8"/>
  <c r="S467" i="8"/>
  <c r="R467" i="8"/>
  <c r="P467" i="8"/>
  <c r="O467" i="8"/>
  <c r="N467" i="8"/>
  <c r="S462" i="8"/>
  <c r="R462" i="8"/>
  <c r="P462" i="8"/>
  <c r="O462" i="8"/>
  <c r="N462" i="8"/>
  <c r="S459" i="8"/>
  <c r="R459" i="8"/>
  <c r="P459" i="8"/>
  <c r="O459" i="8"/>
  <c r="N459" i="8"/>
  <c r="S336" i="8"/>
  <c r="R336" i="8"/>
  <c r="P336" i="8"/>
  <c r="O336" i="8"/>
  <c r="N336" i="8"/>
  <c r="S334" i="8"/>
  <c r="R334" i="8"/>
  <c r="P334" i="8"/>
  <c r="O334" i="8"/>
  <c r="N334" i="8"/>
  <c r="S333" i="8"/>
  <c r="R333" i="8"/>
  <c r="P333" i="8"/>
  <c r="O333" i="8"/>
  <c r="N333" i="8"/>
  <c r="S331" i="8"/>
  <c r="R331" i="8"/>
  <c r="P331" i="8"/>
  <c r="O331" i="8"/>
  <c r="N331" i="8"/>
  <c r="S359" i="8"/>
  <c r="R359" i="8"/>
  <c r="P359" i="8"/>
  <c r="O359" i="8"/>
  <c r="N359" i="8"/>
  <c r="S355" i="8"/>
  <c r="R355" i="8"/>
  <c r="P355" i="8"/>
  <c r="O355" i="8"/>
  <c r="N355" i="8"/>
  <c r="S351" i="8"/>
  <c r="R351" i="8"/>
  <c r="P351" i="8"/>
  <c r="O351" i="8"/>
  <c r="N351" i="8"/>
  <c r="S349" i="8"/>
  <c r="R349" i="8"/>
  <c r="P349" i="8"/>
  <c r="O349" i="8"/>
  <c r="N349" i="8"/>
  <c r="S346" i="8"/>
  <c r="R346" i="8"/>
  <c r="P346" i="8"/>
  <c r="O346" i="8"/>
  <c r="N346" i="8"/>
  <c r="S345" i="8"/>
  <c r="R345" i="8"/>
  <c r="P345" i="8"/>
  <c r="O345" i="8"/>
  <c r="N345" i="8"/>
  <c r="S341" i="8"/>
  <c r="R341" i="8"/>
  <c r="P341" i="8"/>
  <c r="O341" i="8"/>
  <c r="N341" i="8"/>
  <c r="S343" i="8"/>
  <c r="R343" i="8"/>
  <c r="P343" i="8"/>
  <c r="O343" i="8"/>
  <c r="N343" i="8"/>
  <c r="S425" i="8"/>
  <c r="R425" i="8"/>
  <c r="P425" i="8"/>
  <c r="O425" i="8"/>
  <c r="N425" i="8"/>
  <c r="S407" i="8"/>
  <c r="R407" i="8"/>
  <c r="P407" i="8"/>
  <c r="O407" i="8"/>
  <c r="N407" i="8"/>
  <c r="S392" i="8"/>
  <c r="R392" i="8"/>
  <c r="P392" i="8"/>
  <c r="O392" i="8"/>
  <c r="N392" i="8"/>
  <c r="S364" i="8"/>
  <c r="R364" i="8"/>
  <c r="P364" i="8"/>
  <c r="O364" i="8"/>
  <c r="N364" i="8"/>
  <c r="S363" i="8"/>
  <c r="R363" i="8"/>
  <c r="P363" i="8"/>
  <c r="O363" i="8"/>
  <c r="N363" i="8"/>
  <c r="S362" i="8"/>
  <c r="R362" i="8"/>
  <c r="P362" i="8"/>
  <c r="O362" i="8"/>
  <c r="N362" i="8"/>
  <c r="S361" i="8"/>
  <c r="R361" i="8"/>
  <c r="P361" i="8"/>
  <c r="O361" i="8"/>
  <c r="N361" i="8"/>
  <c r="S505" i="8"/>
  <c r="R505" i="8"/>
  <c r="P505" i="8"/>
  <c r="O505" i="8"/>
  <c r="N505" i="8"/>
  <c r="S504" i="8"/>
  <c r="R504" i="8"/>
  <c r="P504" i="8"/>
  <c r="O504" i="8"/>
  <c r="N504" i="8"/>
  <c r="S486" i="8"/>
  <c r="R486" i="8"/>
  <c r="P486" i="8"/>
  <c r="O486" i="8"/>
  <c r="N486" i="8"/>
  <c r="S485" i="8"/>
  <c r="R485" i="8"/>
  <c r="P485" i="8"/>
  <c r="O485" i="8"/>
  <c r="N485" i="8"/>
  <c r="S451" i="8"/>
  <c r="R451" i="8"/>
  <c r="P451" i="8"/>
  <c r="O451" i="8"/>
  <c r="N451" i="8"/>
  <c r="S449" i="8"/>
  <c r="R449" i="8"/>
  <c r="P449" i="8"/>
  <c r="O449" i="8"/>
  <c r="N449" i="8"/>
  <c r="S435" i="8"/>
  <c r="R435" i="8"/>
  <c r="P435" i="8"/>
  <c r="O435" i="8"/>
  <c r="N435" i="8"/>
  <c r="S391" i="8"/>
  <c r="R391" i="8"/>
  <c r="P391" i="8"/>
  <c r="O391" i="8"/>
  <c r="N391" i="8"/>
  <c r="S506" i="8"/>
  <c r="R506" i="8"/>
  <c r="P506" i="8"/>
  <c r="O506" i="8"/>
  <c r="N506" i="8"/>
  <c r="S377" i="8"/>
  <c r="R377" i="8"/>
  <c r="P377" i="8"/>
  <c r="O377" i="8"/>
  <c r="N377" i="8"/>
  <c r="S489" i="8"/>
  <c r="R489" i="8"/>
  <c r="P489" i="8"/>
  <c r="O489" i="8"/>
  <c r="N489" i="8"/>
  <c r="S208" i="8"/>
  <c r="R208" i="8"/>
  <c r="P208" i="8"/>
  <c r="O208" i="8"/>
  <c r="N208" i="8"/>
  <c r="S271" i="8"/>
  <c r="R271" i="8"/>
  <c r="P271" i="8"/>
  <c r="O271" i="8"/>
  <c r="N271" i="8"/>
  <c r="S270" i="8"/>
  <c r="R270" i="8"/>
  <c r="P270" i="8"/>
  <c r="O270" i="8"/>
  <c r="N270" i="8"/>
  <c r="S269" i="8"/>
  <c r="R269" i="8"/>
  <c r="P269" i="8"/>
  <c r="O269" i="8"/>
  <c r="N269" i="8"/>
  <c r="S268" i="8"/>
  <c r="R268" i="8"/>
  <c r="P268" i="8"/>
  <c r="O268" i="8"/>
  <c r="N268" i="8"/>
  <c r="S267" i="8"/>
  <c r="R267" i="8"/>
  <c r="P267" i="8"/>
  <c r="O267" i="8"/>
  <c r="N267" i="8"/>
  <c r="S266" i="8"/>
  <c r="R266" i="8"/>
  <c r="P266" i="8"/>
  <c r="O266" i="8"/>
  <c r="N266" i="8"/>
  <c r="S265" i="8"/>
  <c r="R265" i="8"/>
  <c r="P265" i="8"/>
  <c r="O265" i="8"/>
  <c r="N265" i="8"/>
  <c r="S248" i="8"/>
  <c r="R248" i="8"/>
  <c r="P248" i="8"/>
  <c r="O248" i="8"/>
  <c r="N248" i="8"/>
  <c r="S247" i="8"/>
  <c r="R247" i="8"/>
  <c r="P247" i="8"/>
  <c r="O247" i="8"/>
  <c r="N247" i="8"/>
  <c r="S246" i="8"/>
  <c r="R246" i="8"/>
  <c r="P246" i="8"/>
  <c r="O246" i="8"/>
  <c r="N246" i="8"/>
  <c r="S245" i="8"/>
  <c r="R245" i="8"/>
  <c r="P245" i="8"/>
  <c r="O245" i="8"/>
  <c r="N245" i="8"/>
  <c r="S260" i="8"/>
  <c r="R260" i="8"/>
  <c r="P260" i="8"/>
  <c r="O260" i="8"/>
  <c r="N260" i="8"/>
  <c r="S240" i="8"/>
  <c r="R240" i="8"/>
  <c r="P240" i="8"/>
  <c r="O240" i="8"/>
  <c r="N240" i="8"/>
  <c r="S18" i="8"/>
  <c r="R18" i="8"/>
  <c r="P18" i="8"/>
  <c r="O18" i="8"/>
  <c r="N18" i="8"/>
  <c r="S17" i="8"/>
  <c r="R17" i="8"/>
  <c r="P17" i="8"/>
  <c r="O17" i="8"/>
  <c r="N17" i="8"/>
  <c r="S16" i="8"/>
  <c r="R16" i="8"/>
  <c r="P16" i="8"/>
  <c r="O16" i="8"/>
  <c r="N16" i="8"/>
  <c r="S15" i="8"/>
  <c r="R15" i="8"/>
  <c r="P15" i="8"/>
  <c r="O15" i="8"/>
  <c r="N15" i="8"/>
  <c r="S7" i="8"/>
  <c r="R7" i="8"/>
  <c r="P7" i="8"/>
  <c r="O7" i="8"/>
  <c r="N7" i="8"/>
  <c r="S6" i="8"/>
  <c r="R6" i="8"/>
  <c r="P6" i="8"/>
  <c r="O6" i="8"/>
  <c r="N6" i="8"/>
  <c r="S418" i="8"/>
  <c r="R418" i="8"/>
  <c r="P418" i="8"/>
  <c r="O418" i="8"/>
  <c r="N418" i="8"/>
  <c r="S403" i="8"/>
  <c r="R403" i="8"/>
  <c r="P403" i="8"/>
  <c r="O403" i="8"/>
  <c r="N403" i="8"/>
  <c r="S417" i="8"/>
  <c r="R417" i="8"/>
  <c r="P417" i="8"/>
  <c r="O417" i="8"/>
  <c r="N417" i="8"/>
  <c r="S305" i="8"/>
  <c r="R305" i="8"/>
  <c r="P305" i="8"/>
  <c r="O305" i="8"/>
  <c r="N305" i="8"/>
  <c r="S304" i="8"/>
  <c r="R304" i="8"/>
  <c r="P304" i="8"/>
  <c r="O304" i="8"/>
  <c r="N304" i="8"/>
  <c r="S303" i="8"/>
  <c r="R303" i="8"/>
  <c r="P303" i="8"/>
  <c r="O303" i="8"/>
  <c r="N303" i="8"/>
  <c r="S302" i="8"/>
  <c r="R302" i="8"/>
  <c r="P302" i="8"/>
  <c r="O302" i="8"/>
  <c r="N302" i="8"/>
  <c r="S300" i="8"/>
  <c r="R300" i="8"/>
  <c r="P300" i="8"/>
  <c r="O300" i="8"/>
  <c r="N300" i="8"/>
  <c r="S299" i="8"/>
  <c r="R299" i="8"/>
  <c r="P299" i="8"/>
  <c r="O299" i="8"/>
  <c r="N299" i="8"/>
  <c r="S259" i="8"/>
  <c r="R259" i="8"/>
  <c r="P259" i="8"/>
  <c r="O259" i="8"/>
  <c r="N259" i="8"/>
  <c r="S258" i="8"/>
  <c r="R258" i="8"/>
  <c r="P258" i="8"/>
  <c r="O258" i="8"/>
  <c r="N258" i="8"/>
  <c r="S257" i="8"/>
  <c r="R257" i="8"/>
  <c r="P257" i="8"/>
  <c r="O257" i="8"/>
  <c r="N257" i="8"/>
  <c r="S253" i="8"/>
  <c r="R253" i="8"/>
  <c r="P253" i="8"/>
  <c r="O253" i="8"/>
  <c r="N253" i="8"/>
  <c r="S251" i="8"/>
  <c r="R251" i="8"/>
  <c r="P251" i="8"/>
  <c r="O251" i="8"/>
  <c r="N251" i="8"/>
  <c r="S249" i="8"/>
  <c r="R249" i="8"/>
  <c r="P249" i="8"/>
  <c r="O249" i="8"/>
  <c r="N249" i="8"/>
  <c r="S238" i="8"/>
  <c r="R238" i="8"/>
  <c r="P238" i="8"/>
  <c r="O238" i="8"/>
  <c r="N238" i="8"/>
  <c r="S234" i="8"/>
  <c r="R234" i="8"/>
  <c r="P234" i="8"/>
  <c r="O234" i="8"/>
  <c r="N234" i="8"/>
  <c r="S232" i="8"/>
  <c r="R232" i="8"/>
  <c r="P232" i="8"/>
  <c r="O232" i="8"/>
  <c r="N232" i="8"/>
  <c r="S358" i="8"/>
  <c r="R358" i="8"/>
  <c r="P358" i="8"/>
  <c r="O358" i="8"/>
  <c r="N358" i="8"/>
  <c r="S357" i="8"/>
  <c r="R357" i="8"/>
  <c r="P357" i="8"/>
  <c r="O357" i="8"/>
  <c r="N357" i="8"/>
  <c r="S356" i="8"/>
  <c r="R356" i="8"/>
  <c r="P356" i="8"/>
  <c r="O356" i="8"/>
  <c r="N356" i="8"/>
  <c r="S354" i="8"/>
  <c r="R354" i="8"/>
  <c r="P354" i="8"/>
  <c r="O354" i="8"/>
  <c r="N354" i="8"/>
  <c r="S353" i="8"/>
  <c r="R353" i="8"/>
  <c r="P353" i="8"/>
  <c r="O353" i="8"/>
  <c r="N353" i="8"/>
  <c r="S352" i="8"/>
  <c r="R352" i="8"/>
  <c r="P352" i="8"/>
  <c r="O352" i="8"/>
  <c r="N352" i="8"/>
  <c r="S348" i="8"/>
  <c r="R348" i="8"/>
  <c r="P348" i="8"/>
  <c r="O348" i="8"/>
  <c r="N348" i="8"/>
  <c r="S338" i="8"/>
  <c r="R338" i="8"/>
  <c r="P338" i="8"/>
  <c r="O338" i="8"/>
  <c r="N338" i="8"/>
  <c r="S344" i="8"/>
  <c r="R344" i="8"/>
  <c r="P344" i="8"/>
  <c r="O344" i="8"/>
  <c r="N344" i="8"/>
  <c r="S340" i="8"/>
  <c r="R340" i="8"/>
  <c r="P340" i="8"/>
  <c r="O340" i="8"/>
  <c r="N340" i="8"/>
  <c r="S264" i="8"/>
  <c r="R264" i="8"/>
  <c r="P264" i="8"/>
  <c r="O264" i="8"/>
  <c r="N264" i="8"/>
  <c r="S263" i="8"/>
  <c r="R263" i="8"/>
  <c r="P263" i="8"/>
  <c r="O263" i="8"/>
  <c r="N263" i="8"/>
  <c r="S262" i="8"/>
  <c r="R262" i="8"/>
  <c r="P262" i="8"/>
  <c r="O262" i="8"/>
  <c r="N262" i="8"/>
  <c r="S261" i="8"/>
  <c r="R261" i="8"/>
  <c r="P261" i="8"/>
  <c r="O261" i="8"/>
  <c r="N261" i="8"/>
  <c r="S244" i="8"/>
  <c r="R244" i="8"/>
  <c r="P244" i="8"/>
  <c r="O244" i="8"/>
  <c r="N244" i="8"/>
  <c r="S243" i="8"/>
  <c r="R243" i="8"/>
  <c r="P243" i="8"/>
  <c r="O243" i="8"/>
  <c r="N243" i="8"/>
  <c r="S242" i="8"/>
  <c r="R242" i="8"/>
  <c r="P242" i="8"/>
  <c r="O242" i="8"/>
  <c r="N242" i="8"/>
  <c r="S241" i="8"/>
  <c r="R241" i="8"/>
  <c r="P241" i="8"/>
  <c r="O241" i="8"/>
  <c r="N241" i="8"/>
  <c r="S231" i="8"/>
  <c r="R231" i="8"/>
  <c r="P231" i="8"/>
  <c r="O231" i="8"/>
  <c r="N231" i="8"/>
  <c r="S230" i="8"/>
  <c r="R230" i="8"/>
  <c r="P230" i="8"/>
  <c r="O230" i="8"/>
  <c r="N230" i="8"/>
  <c r="S229" i="8"/>
  <c r="R229" i="8"/>
  <c r="P229" i="8"/>
  <c r="O229" i="8"/>
  <c r="N229" i="8"/>
  <c r="S228" i="8"/>
  <c r="R228" i="8"/>
  <c r="P228" i="8"/>
  <c r="O228" i="8"/>
  <c r="N228" i="8"/>
  <c r="S187" i="8"/>
  <c r="R187" i="8"/>
  <c r="P187" i="8"/>
  <c r="O187" i="8"/>
  <c r="N187" i="8"/>
  <c r="S180" i="8"/>
  <c r="R180" i="8"/>
  <c r="P180" i="8"/>
  <c r="O180" i="8"/>
  <c r="N180" i="8"/>
  <c r="S161" i="8"/>
  <c r="R161" i="8"/>
  <c r="P161" i="8"/>
  <c r="O161" i="8"/>
  <c r="N161" i="8"/>
  <c r="S151" i="8"/>
  <c r="R151" i="8"/>
  <c r="P151" i="8"/>
  <c r="O151" i="8"/>
  <c r="N151" i="8"/>
  <c r="S186" i="8"/>
  <c r="R186" i="8"/>
  <c r="P186" i="8"/>
  <c r="O186" i="8"/>
  <c r="N186" i="8"/>
  <c r="S183" i="8"/>
  <c r="R183" i="8"/>
  <c r="P183" i="8"/>
  <c r="O183" i="8"/>
  <c r="N183" i="8"/>
  <c r="S178" i="8"/>
  <c r="R178" i="8"/>
  <c r="P178" i="8"/>
  <c r="O178" i="8"/>
  <c r="N178" i="8"/>
  <c r="S177" i="8"/>
  <c r="R177" i="8"/>
  <c r="P177" i="8"/>
  <c r="O177" i="8"/>
  <c r="N177" i="8"/>
  <c r="S165" i="8"/>
  <c r="R165" i="8"/>
  <c r="P165" i="8"/>
  <c r="O165" i="8"/>
  <c r="N165" i="8"/>
  <c r="S168" i="8"/>
  <c r="R168" i="8"/>
  <c r="P168" i="8"/>
  <c r="O168" i="8"/>
  <c r="N168" i="8"/>
  <c r="S163" i="8"/>
  <c r="R163" i="8"/>
  <c r="P163" i="8"/>
  <c r="O163" i="8"/>
  <c r="N163" i="8"/>
  <c r="S160" i="8"/>
  <c r="R160" i="8"/>
  <c r="P160" i="8"/>
  <c r="O160" i="8"/>
  <c r="N160" i="8"/>
  <c r="S154" i="8"/>
  <c r="R154" i="8"/>
  <c r="P154" i="8"/>
  <c r="O154" i="8"/>
  <c r="N154" i="8"/>
  <c r="S153" i="8"/>
  <c r="R153" i="8"/>
  <c r="P153" i="8"/>
  <c r="O153" i="8"/>
  <c r="N153" i="8"/>
  <c r="S152" i="8"/>
  <c r="R152" i="8"/>
  <c r="P152" i="8"/>
  <c r="O152" i="8"/>
  <c r="N152" i="8"/>
  <c r="S150" i="8"/>
  <c r="R150" i="8"/>
  <c r="P150" i="8"/>
  <c r="O150" i="8"/>
  <c r="N150" i="8"/>
  <c r="S105" i="8"/>
  <c r="R105" i="8"/>
  <c r="P105" i="8"/>
  <c r="O105" i="8"/>
  <c r="N105" i="8"/>
  <c r="S104" i="8"/>
  <c r="R104" i="8"/>
  <c r="P104" i="8"/>
  <c r="O104" i="8"/>
  <c r="N104" i="8"/>
  <c r="S99" i="8"/>
  <c r="R99" i="8"/>
  <c r="P99" i="8"/>
  <c r="O99" i="8"/>
  <c r="N99" i="8"/>
  <c r="S98" i="8"/>
  <c r="R98" i="8"/>
  <c r="P98" i="8"/>
  <c r="O98" i="8"/>
  <c r="N98" i="8"/>
  <c r="S330" i="8"/>
  <c r="R330" i="8"/>
  <c r="P330" i="8"/>
  <c r="O330" i="8"/>
  <c r="N330" i="8"/>
  <c r="S285" i="8"/>
  <c r="R285" i="8"/>
  <c r="P285" i="8"/>
  <c r="O285" i="8"/>
  <c r="N285" i="8"/>
  <c r="S137" i="8"/>
  <c r="R137" i="8"/>
  <c r="P137" i="8"/>
  <c r="O137" i="8"/>
  <c r="N137" i="8"/>
  <c r="S95" i="8"/>
  <c r="R95" i="8"/>
  <c r="P95" i="8"/>
  <c r="O95" i="8"/>
  <c r="N95" i="8"/>
  <c r="S431" i="8"/>
  <c r="R431" i="8"/>
  <c r="P431" i="8"/>
  <c r="O431" i="8"/>
  <c r="N431" i="8"/>
  <c r="S430" i="8"/>
  <c r="R430" i="8"/>
  <c r="P430" i="8"/>
  <c r="O430" i="8"/>
  <c r="N430" i="8"/>
  <c r="S429" i="8"/>
  <c r="R429" i="8"/>
  <c r="P429" i="8"/>
  <c r="O429" i="8"/>
  <c r="N429" i="8"/>
  <c r="S428" i="8"/>
  <c r="R428" i="8"/>
  <c r="P428" i="8"/>
  <c r="O428" i="8"/>
  <c r="N428" i="8"/>
  <c r="S413" i="8"/>
  <c r="R413" i="8"/>
  <c r="P413" i="8"/>
  <c r="O413" i="8"/>
  <c r="N413" i="8"/>
  <c r="S412" i="8"/>
  <c r="R412" i="8"/>
  <c r="P412" i="8"/>
  <c r="O412" i="8"/>
  <c r="N412" i="8"/>
  <c r="S192" i="8"/>
  <c r="R192" i="8"/>
  <c r="P192" i="8"/>
  <c r="O192" i="8"/>
  <c r="N192" i="8"/>
  <c r="S191" i="8"/>
  <c r="R191" i="8"/>
  <c r="P191" i="8"/>
  <c r="O191" i="8"/>
  <c r="N191" i="8"/>
  <c r="S190" i="8"/>
  <c r="R190" i="8"/>
  <c r="P190" i="8"/>
  <c r="O190" i="8"/>
  <c r="N190" i="8"/>
  <c r="S189" i="8"/>
  <c r="R189" i="8"/>
  <c r="P189" i="8"/>
  <c r="O189" i="8"/>
  <c r="N189" i="8"/>
  <c r="S173" i="8"/>
  <c r="R173" i="8"/>
  <c r="P173" i="8"/>
  <c r="O173" i="8"/>
  <c r="N173" i="8"/>
  <c r="S172" i="8"/>
  <c r="R172" i="8"/>
  <c r="P172" i="8"/>
  <c r="O172" i="8"/>
  <c r="N172" i="8"/>
  <c r="S171" i="8"/>
  <c r="R171" i="8"/>
  <c r="P171" i="8"/>
  <c r="O171" i="8"/>
  <c r="N171" i="8"/>
  <c r="S170" i="8"/>
  <c r="R170" i="8"/>
  <c r="P170" i="8"/>
  <c r="O170" i="8"/>
  <c r="N170" i="8"/>
  <c r="S157" i="8"/>
  <c r="R157" i="8"/>
  <c r="P157" i="8"/>
  <c r="O157" i="8"/>
  <c r="N157" i="8"/>
  <c r="S158" i="8"/>
  <c r="R158" i="8"/>
  <c r="P158" i="8"/>
  <c r="O158" i="8"/>
  <c r="N158" i="8"/>
  <c r="S159" i="8"/>
  <c r="R159" i="8"/>
  <c r="P159" i="8"/>
  <c r="O159" i="8"/>
  <c r="N159" i="8"/>
  <c r="S156" i="8"/>
  <c r="R156" i="8"/>
  <c r="P156" i="8"/>
  <c r="O156" i="8"/>
  <c r="N156" i="8"/>
  <c r="S256" i="8"/>
  <c r="R256" i="8"/>
  <c r="P256" i="8"/>
  <c r="O256" i="8"/>
  <c r="N256" i="8"/>
  <c r="S254" i="8"/>
  <c r="R254" i="8"/>
  <c r="P254" i="8"/>
  <c r="O254" i="8"/>
  <c r="N254" i="8"/>
  <c r="S252" i="8"/>
  <c r="R252" i="8"/>
  <c r="P252" i="8"/>
  <c r="O252" i="8"/>
  <c r="N252" i="8"/>
  <c r="S250" i="8"/>
  <c r="R250" i="8"/>
  <c r="P250" i="8"/>
  <c r="O250" i="8"/>
  <c r="N250" i="8"/>
  <c r="S239" i="8"/>
  <c r="R239" i="8"/>
  <c r="P239" i="8"/>
  <c r="O239" i="8"/>
  <c r="N239" i="8"/>
  <c r="S236" i="8"/>
  <c r="R236" i="8"/>
  <c r="P236" i="8"/>
  <c r="O236" i="8"/>
  <c r="N236" i="8"/>
  <c r="S235" i="8"/>
  <c r="R235" i="8"/>
  <c r="P235" i="8"/>
  <c r="O235" i="8"/>
  <c r="N235" i="8"/>
  <c r="S233" i="8"/>
  <c r="R233" i="8"/>
  <c r="P233" i="8"/>
  <c r="O233" i="8"/>
  <c r="N233" i="8"/>
  <c r="S227" i="8"/>
  <c r="R227" i="8"/>
  <c r="P227" i="8"/>
  <c r="O227" i="8"/>
  <c r="N227" i="8"/>
  <c r="S225" i="8"/>
  <c r="R225" i="8"/>
  <c r="P225" i="8"/>
  <c r="O225" i="8"/>
  <c r="N225" i="8"/>
  <c r="S222" i="8"/>
  <c r="R222" i="8"/>
  <c r="P222" i="8"/>
  <c r="O222" i="8"/>
  <c r="N222" i="8"/>
  <c r="S223" i="8"/>
  <c r="R223" i="8"/>
  <c r="P223" i="8"/>
  <c r="O223" i="8"/>
  <c r="N223" i="8"/>
  <c r="S214" i="8"/>
  <c r="R214" i="8"/>
  <c r="P214" i="8"/>
  <c r="O214" i="8"/>
  <c r="N214" i="8"/>
  <c r="S209" i="8"/>
  <c r="R209" i="8"/>
  <c r="P209" i="8"/>
  <c r="O209" i="8"/>
  <c r="N209" i="8"/>
  <c r="S221" i="8"/>
  <c r="R221" i="8"/>
  <c r="P221" i="8"/>
  <c r="O221" i="8"/>
  <c r="N221" i="8"/>
  <c r="S219" i="8"/>
  <c r="R219" i="8"/>
  <c r="P219" i="8"/>
  <c r="O219" i="8"/>
  <c r="N219" i="8"/>
  <c r="S111" i="8"/>
  <c r="R111" i="8"/>
  <c r="P111" i="8"/>
  <c r="O111" i="8"/>
  <c r="N111" i="8"/>
  <c r="S110" i="8"/>
  <c r="R110" i="8"/>
  <c r="P110" i="8"/>
  <c r="O110" i="8"/>
  <c r="N110" i="8"/>
  <c r="S107" i="8"/>
  <c r="R107" i="8"/>
  <c r="P107" i="8"/>
  <c r="O107" i="8"/>
  <c r="N107" i="8"/>
  <c r="S106" i="8"/>
  <c r="R106" i="8"/>
  <c r="P106" i="8"/>
  <c r="O106" i="8"/>
  <c r="N106" i="8"/>
  <c r="S103" i="8"/>
  <c r="R103" i="8"/>
  <c r="P103" i="8"/>
  <c r="O103" i="8"/>
  <c r="N103" i="8"/>
  <c r="S97" i="8"/>
  <c r="R97" i="8"/>
  <c r="P97" i="8"/>
  <c r="O97" i="8"/>
  <c r="N97" i="8"/>
  <c r="S102" i="8"/>
  <c r="R102" i="8"/>
  <c r="P102" i="8"/>
  <c r="O102" i="8"/>
  <c r="N102" i="8"/>
  <c r="S96" i="8"/>
  <c r="R96" i="8"/>
  <c r="P96" i="8"/>
  <c r="O96" i="8"/>
  <c r="N96" i="8"/>
  <c r="S93" i="8"/>
  <c r="R93" i="8"/>
  <c r="P93" i="8"/>
  <c r="O93" i="8"/>
  <c r="N93" i="8"/>
  <c r="S92" i="8"/>
  <c r="R92" i="8"/>
  <c r="P92" i="8"/>
  <c r="O92" i="8"/>
  <c r="N92" i="8"/>
  <c r="S91" i="8"/>
  <c r="R91" i="8"/>
  <c r="P91" i="8"/>
  <c r="O91" i="8"/>
  <c r="N91" i="8"/>
  <c r="S90" i="8"/>
  <c r="R90" i="8"/>
  <c r="P90" i="8"/>
  <c r="O90" i="8"/>
  <c r="N90" i="8"/>
  <c r="S298" i="8"/>
  <c r="R298" i="8"/>
  <c r="P298" i="8"/>
  <c r="O298" i="8"/>
  <c r="N298" i="8"/>
  <c r="S297" i="8"/>
  <c r="R297" i="8"/>
  <c r="P297" i="8"/>
  <c r="O297" i="8"/>
  <c r="N297" i="8"/>
  <c r="S283" i="8"/>
  <c r="R283" i="8"/>
  <c r="P283" i="8"/>
  <c r="O283" i="8"/>
  <c r="N283" i="8"/>
  <c r="S206" i="8"/>
  <c r="R206" i="8"/>
  <c r="P206" i="8"/>
  <c r="O206" i="8"/>
  <c r="N206" i="8"/>
  <c r="S205" i="8"/>
  <c r="R205" i="8"/>
  <c r="P205" i="8"/>
  <c r="O205" i="8"/>
  <c r="N205" i="8"/>
  <c r="S149" i="8"/>
  <c r="R149" i="8"/>
  <c r="P149" i="8"/>
  <c r="O149" i="8"/>
  <c r="N149" i="8"/>
  <c r="S148" i="8"/>
  <c r="R148" i="8"/>
  <c r="P148" i="8"/>
  <c r="O148" i="8"/>
  <c r="N148" i="8"/>
  <c r="S136" i="8"/>
  <c r="R136" i="8"/>
  <c r="P136" i="8"/>
  <c r="O136" i="8"/>
  <c r="N136" i="8"/>
  <c r="S135" i="8"/>
  <c r="R135" i="8"/>
  <c r="P135" i="8"/>
  <c r="O135" i="8"/>
  <c r="N135" i="8"/>
  <c r="S319" i="8"/>
  <c r="R319" i="8"/>
  <c r="P319" i="8"/>
  <c r="O319" i="8"/>
  <c r="N319" i="8"/>
  <c r="S204" i="8"/>
  <c r="R204" i="8"/>
  <c r="P204" i="8"/>
  <c r="O204" i="8"/>
  <c r="N204" i="8"/>
  <c r="S134" i="8"/>
  <c r="R134" i="8"/>
  <c r="P134" i="8"/>
  <c r="O134" i="8"/>
  <c r="N134" i="8"/>
  <c r="S188" i="8"/>
  <c r="R188" i="8"/>
  <c r="P188" i="8"/>
  <c r="O188" i="8"/>
  <c r="N188" i="8"/>
  <c r="S169" i="8"/>
  <c r="R169" i="8"/>
  <c r="P169" i="8"/>
  <c r="O169" i="8"/>
  <c r="N169" i="8"/>
  <c r="S138" i="8"/>
  <c r="R138" i="8"/>
  <c r="P138" i="8"/>
  <c r="O138" i="8"/>
  <c r="N138" i="8"/>
  <c r="S14" i="8"/>
  <c r="R14" i="8"/>
  <c r="P14" i="8"/>
  <c r="O14" i="8"/>
  <c r="N14" i="8"/>
  <c r="S13" i="8"/>
  <c r="R13" i="8"/>
  <c r="P13" i="8"/>
  <c r="O13" i="8"/>
  <c r="N13" i="8"/>
  <c r="S122" i="8"/>
  <c r="R122" i="8"/>
  <c r="P122" i="8"/>
  <c r="O122" i="8"/>
  <c r="N122" i="8"/>
  <c r="S121" i="8"/>
  <c r="R121" i="8"/>
  <c r="P121" i="8"/>
  <c r="O121" i="8"/>
  <c r="N121" i="8"/>
  <c r="S120" i="8"/>
  <c r="R120" i="8"/>
  <c r="P120" i="8"/>
  <c r="O120" i="8"/>
  <c r="N120" i="8"/>
  <c r="S119" i="8"/>
  <c r="R119" i="8"/>
  <c r="P119" i="8"/>
  <c r="O119" i="8"/>
  <c r="N119" i="8"/>
  <c r="S118" i="8"/>
  <c r="R118" i="8"/>
  <c r="P118" i="8"/>
  <c r="O118" i="8"/>
  <c r="N118" i="8"/>
  <c r="S117" i="8"/>
  <c r="R117" i="8"/>
  <c r="P117" i="8"/>
  <c r="O117" i="8"/>
  <c r="N117" i="8"/>
  <c r="S116" i="8"/>
  <c r="R116" i="8"/>
  <c r="P116" i="8"/>
  <c r="O116" i="8"/>
  <c r="N116" i="8"/>
  <c r="S112" i="8"/>
  <c r="R112" i="8"/>
  <c r="P112" i="8"/>
  <c r="O112" i="8"/>
  <c r="N112" i="8"/>
  <c r="S115" i="8"/>
  <c r="R115" i="8"/>
  <c r="P115" i="8"/>
  <c r="O115" i="8"/>
  <c r="N115" i="8"/>
  <c r="S113" i="8"/>
  <c r="R113" i="8"/>
  <c r="P113" i="8"/>
  <c r="O113" i="8"/>
  <c r="N113" i="8"/>
  <c r="S114" i="8"/>
  <c r="R114" i="8"/>
  <c r="P114" i="8"/>
  <c r="O114" i="8"/>
  <c r="N114" i="8"/>
  <c r="S5" i="8"/>
  <c r="R5" i="8"/>
  <c r="P5" i="8"/>
  <c r="O5" i="8"/>
  <c r="N5" i="8"/>
  <c r="S4" i="8"/>
  <c r="R4" i="8"/>
  <c r="P4" i="8"/>
  <c r="O4" i="8"/>
  <c r="N4" i="8"/>
  <c r="S12" i="8"/>
  <c r="R12" i="8"/>
  <c r="P12" i="8"/>
  <c r="O12" i="8"/>
  <c r="N12" i="8"/>
  <c r="S185" i="8"/>
  <c r="R185" i="8"/>
  <c r="P185" i="8"/>
  <c r="O185" i="8"/>
  <c r="N185" i="8"/>
  <c r="S184" i="8"/>
  <c r="R184" i="8"/>
  <c r="P184" i="8"/>
  <c r="O184" i="8"/>
  <c r="N184" i="8"/>
  <c r="S182" i="8"/>
  <c r="R182" i="8"/>
  <c r="P182" i="8"/>
  <c r="O182" i="8"/>
  <c r="N182" i="8"/>
  <c r="S181" i="8"/>
  <c r="R181" i="8"/>
  <c r="P181" i="8"/>
  <c r="O181" i="8"/>
  <c r="N181" i="8"/>
  <c r="S176" i="8"/>
  <c r="R176" i="8"/>
  <c r="P176" i="8"/>
  <c r="O176" i="8"/>
  <c r="N176" i="8"/>
  <c r="S175" i="8"/>
  <c r="R175" i="8"/>
  <c r="P175" i="8"/>
  <c r="O175" i="8"/>
  <c r="N175" i="8"/>
  <c r="S174" i="8"/>
  <c r="R174" i="8"/>
  <c r="P174" i="8"/>
  <c r="O174" i="8"/>
  <c r="N174" i="8"/>
  <c r="S167" i="8"/>
  <c r="R167" i="8"/>
  <c r="P167" i="8"/>
  <c r="O167" i="8"/>
  <c r="N167" i="8"/>
  <c r="S166" i="8"/>
  <c r="R166" i="8"/>
  <c r="P166" i="8"/>
  <c r="O166" i="8"/>
  <c r="N166" i="8"/>
  <c r="S164" i="8"/>
  <c r="R164" i="8"/>
  <c r="P164" i="8"/>
  <c r="O164" i="8"/>
  <c r="N164" i="8"/>
  <c r="S162" i="8"/>
  <c r="R162" i="8"/>
  <c r="P162" i="8"/>
  <c r="O162" i="8"/>
  <c r="N162" i="8"/>
  <c r="S560" i="8"/>
  <c r="R560" i="8"/>
  <c r="P560" i="8"/>
  <c r="O560" i="8"/>
  <c r="N560" i="8"/>
  <c r="S544" i="8"/>
  <c r="R544" i="8"/>
  <c r="P544" i="8"/>
  <c r="O544" i="8"/>
  <c r="N544" i="8"/>
  <c r="S542" i="8"/>
  <c r="R542" i="8"/>
  <c r="P542" i="8"/>
  <c r="O542" i="8"/>
  <c r="N542" i="8"/>
  <c r="S537" i="8"/>
  <c r="R537" i="8"/>
  <c r="P537" i="8"/>
  <c r="O537" i="8"/>
  <c r="N537" i="8"/>
  <c r="S532" i="8"/>
  <c r="R532" i="8"/>
  <c r="P532" i="8"/>
  <c r="O532" i="8"/>
  <c r="N532" i="8"/>
  <c r="S526" i="8"/>
  <c r="R526" i="8"/>
  <c r="P526" i="8"/>
  <c r="O526" i="8"/>
  <c r="N526" i="8"/>
  <c r="S525" i="8"/>
  <c r="R525" i="8"/>
  <c r="P525" i="8"/>
  <c r="O525" i="8"/>
  <c r="N525" i="8"/>
  <c r="S521" i="8"/>
  <c r="R521" i="8"/>
  <c r="P521" i="8"/>
  <c r="O521" i="8"/>
  <c r="N521" i="8"/>
  <c r="S520" i="8"/>
  <c r="R520" i="8"/>
  <c r="P520" i="8"/>
  <c r="O520" i="8"/>
  <c r="N520" i="8"/>
  <c r="S543" i="8"/>
  <c r="R543" i="8"/>
  <c r="P543" i="8"/>
  <c r="O543" i="8"/>
  <c r="N543" i="8"/>
  <c r="S541" i="8"/>
  <c r="R541" i="8"/>
  <c r="P541" i="8"/>
  <c r="O541" i="8"/>
  <c r="N541" i="8"/>
  <c r="S536" i="8"/>
  <c r="R536" i="8"/>
  <c r="P536" i="8"/>
  <c r="O536" i="8"/>
  <c r="N536" i="8"/>
  <c r="S531" i="8"/>
  <c r="R531" i="8"/>
  <c r="P531" i="8"/>
  <c r="O531" i="8"/>
  <c r="N531" i="8"/>
  <c r="S519" i="8"/>
  <c r="R519" i="8"/>
  <c r="P519" i="8"/>
  <c r="O519" i="8"/>
  <c r="N519" i="8"/>
  <c r="S518" i="8"/>
  <c r="R518" i="8"/>
  <c r="P518" i="8"/>
  <c r="O518" i="8"/>
  <c r="N518" i="8"/>
  <c r="S528" i="8"/>
  <c r="R528" i="8"/>
  <c r="P528" i="8"/>
  <c r="O528" i="8"/>
  <c r="N528" i="8"/>
  <c r="S517" i="8"/>
  <c r="R517" i="8"/>
  <c r="P517" i="8"/>
  <c r="O517" i="8"/>
  <c r="N517" i="8"/>
  <c r="S498" i="8"/>
  <c r="R498" i="8"/>
  <c r="P498" i="8"/>
  <c r="O498" i="8"/>
  <c r="N498" i="8"/>
  <c r="S497" i="8"/>
  <c r="R497" i="8"/>
  <c r="P497" i="8"/>
  <c r="O497" i="8"/>
  <c r="N497" i="8"/>
  <c r="S496" i="8"/>
  <c r="R496" i="8"/>
  <c r="P496" i="8"/>
  <c r="O496" i="8"/>
  <c r="N496" i="8"/>
  <c r="S481" i="8"/>
  <c r="R481" i="8"/>
  <c r="P481" i="8"/>
  <c r="O481" i="8"/>
  <c r="N481" i="8"/>
  <c r="S480" i="8"/>
  <c r="R480" i="8"/>
  <c r="P480" i="8"/>
  <c r="O480" i="8"/>
  <c r="N480" i="8"/>
  <c r="S479" i="8"/>
  <c r="R479" i="8"/>
  <c r="P479" i="8"/>
  <c r="O479" i="8"/>
  <c r="N479" i="8"/>
  <c r="S443" i="8"/>
  <c r="R443" i="8"/>
  <c r="P443" i="8"/>
  <c r="O443" i="8"/>
  <c r="N443" i="8"/>
  <c r="S442" i="8"/>
  <c r="R442" i="8"/>
  <c r="P442" i="8"/>
  <c r="O442" i="8"/>
  <c r="N442" i="8"/>
  <c r="S441" i="8"/>
  <c r="R441" i="8"/>
  <c r="P441" i="8"/>
  <c r="O441" i="8"/>
  <c r="N441" i="8"/>
  <c r="S440" i="8"/>
  <c r="R440" i="8"/>
  <c r="P440" i="8"/>
  <c r="O440" i="8"/>
  <c r="N440" i="8"/>
  <c r="S385" i="8"/>
  <c r="R385" i="8"/>
  <c r="P385" i="8"/>
  <c r="O385" i="8"/>
  <c r="N385" i="8"/>
  <c r="S384" i="8"/>
  <c r="R384" i="8"/>
  <c r="P384" i="8"/>
  <c r="O384" i="8"/>
  <c r="N384" i="8"/>
  <c r="S383" i="8"/>
  <c r="R383" i="8"/>
  <c r="P383" i="8"/>
  <c r="O383" i="8"/>
  <c r="N383" i="8"/>
  <c r="S370" i="8"/>
  <c r="R370" i="8"/>
  <c r="P370" i="8"/>
  <c r="O370" i="8"/>
  <c r="N370" i="8"/>
  <c r="S369" i="8"/>
  <c r="R369" i="8"/>
  <c r="P369" i="8"/>
  <c r="O369" i="8"/>
  <c r="N369" i="8"/>
  <c r="S368" i="8"/>
  <c r="R368" i="8"/>
  <c r="P368" i="8"/>
  <c r="O368" i="8"/>
  <c r="N368" i="8"/>
  <c r="S367" i="8"/>
  <c r="R367" i="8"/>
  <c r="P367" i="8"/>
  <c r="O367" i="8"/>
  <c r="N367" i="8"/>
  <c r="S324" i="8"/>
  <c r="R324" i="8"/>
  <c r="P324" i="8"/>
  <c r="O324" i="8"/>
  <c r="N324" i="8"/>
  <c r="S323" i="8"/>
  <c r="R323" i="8"/>
  <c r="P323" i="8"/>
  <c r="O323" i="8"/>
  <c r="N323" i="8"/>
  <c r="S322" i="8"/>
  <c r="R322" i="8"/>
  <c r="P322" i="8"/>
  <c r="O322" i="8"/>
  <c r="N322" i="8"/>
  <c r="S321" i="8"/>
  <c r="R321" i="8"/>
  <c r="P321" i="8"/>
  <c r="O321" i="8"/>
  <c r="N321" i="8"/>
  <c r="S315" i="8"/>
  <c r="R315" i="8"/>
  <c r="P315" i="8"/>
  <c r="O315" i="8"/>
  <c r="N315" i="8"/>
  <c r="S314" i="8"/>
  <c r="R314" i="8"/>
  <c r="P314" i="8"/>
  <c r="O314" i="8"/>
  <c r="N314" i="8"/>
  <c r="S313" i="8"/>
  <c r="R313" i="8"/>
  <c r="P313" i="8"/>
  <c r="O313" i="8"/>
  <c r="N313" i="8"/>
  <c r="S291" i="8"/>
  <c r="R291" i="8"/>
  <c r="P291" i="8"/>
  <c r="O291" i="8"/>
  <c r="N291" i="8"/>
  <c r="S290" i="8"/>
  <c r="R290" i="8"/>
  <c r="P290" i="8"/>
  <c r="O290" i="8"/>
  <c r="N290" i="8"/>
  <c r="S289" i="8"/>
  <c r="R289" i="8"/>
  <c r="P289" i="8"/>
  <c r="O289" i="8"/>
  <c r="N289" i="8"/>
  <c r="S278" i="8"/>
  <c r="R278" i="8"/>
  <c r="P278" i="8"/>
  <c r="O278" i="8"/>
  <c r="N278" i="8"/>
  <c r="S277" i="8"/>
  <c r="R277" i="8"/>
  <c r="P277" i="8"/>
  <c r="O277" i="8"/>
  <c r="N277" i="8"/>
  <c r="S276" i="8"/>
  <c r="R276" i="8"/>
  <c r="P276" i="8"/>
  <c r="O276" i="8"/>
  <c r="N276" i="8"/>
  <c r="S213" i="8"/>
  <c r="R213" i="8"/>
  <c r="P213" i="8"/>
  <c r="O213" i="8"/>
  <c r="N213" i="8"/>
  <c r="S212" i="8"/>
  <c r="R212" i="8"/>
  <c r="P212" i="8"/>
  <c r="O212" i="8"/>
  <c r="N212" i="8"/>
  <c r="S199" i="8"/>
  <c r="R199" i="8"/>
  <c r="P199" i="8"/>
  <c r="O199" i="8"/>
  <c r="N199" i="8"/>
  <c r="S198" i="8"/>
  <c r="R198" i="8"/>
  <c r="P198" i="8"/>
  <c r="O198" i="8"/>
  <c r="N198" i="8"/>
  <c r="S197" i="8"/>
  <c r="R197" i="8"/>
  <c r="P197" i="8"/>
  <c r="O197" i="8"/>
  <c r="N197" i="8"/>
  <c r="S193" i="8"/>
  <c r="R193" i="8"/>
  <c r="P193" i="8"/>
  <c r="O193" i="8"/>
  <c r="N193" i="8"/>
  <c r="S143" i="8"/>
  <c r="R143" i="8"/>
  <c r="P143" i="8"/>
  <c r="O143" i="8"/>
  <c r="N143" i="8"/>
  <c r="S142" i="8"/>
  <c r="R142" i="8"/>
  <c r="P142" i="8"/>
  <c r="O142" i="8"/>
  <c r="N142" i="8"/>
  <c r="S141" i="8"/>
  <c r="R141" i="8"/>
  <c r="P141" i="8"/>
  <c r="O141" i="8"/>
  <c r="N141" i="8"/>
  <c r="S130" i="8"/>
  <c r="R130" i="8"/>
  <c r="P130" i="8"/>
  <c r="O130" i="8"/>
  <c r="N130" i="8"/>
  <c r="S129" i="8"/>
  <c r="R129" i="8"/>
  <c r="P129" i="8"/>
  <c r="O129" i="8"/>
  <c r="N129" i="8"/>
  <c r="S128" i="8"/>
  <c r="R128" i="8"/>
  <c r="P128" i="8"/>
  <c r="O128" i="8"/>
  <c r="N128" i="8"/>
  <c r="S127" i="8"/>
  <c r="R127" i="8"/>
  <c r="P127" i="8"/>
  <c r="O127" i="8"/>
  <c r="N127" i="8"/>
  <c r="S126" i="8"/>
  <c r="R126" i="8"/>
  <c r="P126" i="8"/>
  <c r="O126" i="8"/>
  <c r="N126" i="8"/>
  <c r="S94" i="8"/>
  <c r="R94" i="8"/>
  <c r="P94" i="8"/>
  <c r="O94" i="8"/>
  <c r="N94" i="8"/>
  <c r="S562" i="8"/>
  <c r="R562" i="8"/>
  <c r="P562" i="8"/>
  <c r="O562" i="8"/>
  <c r="N562" i="8"/>
  <c r="S561" i="8"/>
  <c r="R561" i="8"/>
  <c r="P561" i="8"/>
  <c r="O561" i="8"/>
  <c r="N561" i="8"/>
  <c r="S563" i="8"/>
  <c r="R563" i="8"/>
  <c r="P563" i="8"/>
  <c r="O563" i="8"/>
  <c r="N563" i="8"/>
  <c r="S495" i="8"/>
  <c r="R495" i="8"/>
  <c r="P495" i="8"/>
  <c r="O495" i="8"/>
  <c r="N495" i="8"/>
  <c r="S499" i="8"/>
  <c r="R499" i="8"/>
  <c r="P499" i="8"/>
  <c r="O499" i="8"/>
  <c r="N499" i="8"/>
  <c r="S494" i="8"/>
  <c r="R494" i="8"/>
  <c r="P494" i="8"/>
  <c r="O494" i="8"/>
  <c r="N494" i="8"/>
  <c r="S493" i="8"/>
  <c r="R493" i="8"/>
  <c r="P493" i="8"/>
  <c r="O493" i="8"/>
  <c r="N493" i="8"/>
  <c r="S478" i="8"/>
  <c r="R478" i="8"/>
  <c r="P478" i="8"/>
  <c r="O478" i="8"/>
  <c r="N478" i="8"/>
  <c r="S477" i="8"/>
  <c r="R477" i="8"/>
  <c r="P477" i="8"/>
  <c r="O477" i="8"/>
  <c r="N477" i="8"/>
  <c r="S448" i="8"/>
  <c r="R448" i="8"/>
  <c r="P448" i="8"/>
  <c r="O448" i="8"/>
  <c r="N448" i="8"/>
  <c r="S476" i="8"/>
  <c r="R476" i="8"/>
  <c r="P476" i="8"/>
  <c r="O476" i="8"/>
  <c r="N476" i="8"/>
  <c r="S439" i="8"/>
  <c r="R439" i="8"/>
  <c r="P439" i="8"/>
  <c r="O439" i="8"/>
  <c r="N439" i="8"/>
  <c r="S438" i="8"/>
  <c r="R438" i="8"/>
  <c r="P438" i="8"/>
  <c r="O438" i="8"/>
  <c r="N438" i="8"/>
  <c r="S382" i="8"/>
  <c r="R382" i="8"/>
  <c r="P382" i="8"/>
  <c r="O382" i="8"/>
  <c r="N382" i="8"/>
  <c r="S386" i="8"/>
  <c r="R386" i="8"/>
  <c r="P386" i="8"/>
  <c r="O386" i="8"/>
  <c r="N386" i="8"/>
  <c r="S381" i="8"/>
  <c r="R381" i="8"/>
  <c r="P381" i="8"/>
  <c r="O381" i="8"/>
  <c r="N381" i="8"/>
  <c r="S380" i="8"/>
  <c r="R380" i="8"/>
  <c r="P380" i="8"/>
  <c r="O380" i="8"/>
  <c r="N380" i="8"/>
  <c r="S366" i="8"/>
  <c r="R366" i="8"/>
  <c r="P366" i="8"/>
  <c r="O366" i="8"/>
  <c r="N366" i="8"/>
  <c r="S365" i="8"/>
  <c r="R365" i="8"/>
  <c r="P365" i="8"/>
  <c r="O365" i="8"/>
  <c r="N365" i="8"/>
  <c r="S329" i="8"/>
  <c r="R329" i="8"/>
  <c r="P329" i="8"/>
  <c r="O329" i="8"/>
  <c r="N329" i="8"/>
  <c r="S320" i="8"/>
  <c r="R320" i="8"/>
  <c r="P320" i="8"/>
  <c r="O320" i="8"/>
  <c r="N320" i="8"/>
  <c r="S310" i="8"/>
  <c r="R310" i="8"/>
  <c r="P310" i="8"/>
  <c r="O310" i="8"/>
  <c r="N310" i="8"/>
  <c r="S312" i="8"/>
  <c r="R312" i="8"/>
  <c r="P312" i="8"/>
  <c r="O312" i="8"/>
  <c r="N312" i="8"/>
  <c r="S288" i="8"/>
  <c r="R288" i="8"/>
  <c r="P288" i="8"/>
  <c r="O288" i="8"/>
  <c r="N288" i="8"/>
  <c r="S287" i="8"/>
  <c r="R287" i="8"/>
  <c r="P287" i="8"/>
  <c r="O287" i="8"/>
  <c r="N287" i="8"/>
  <c r="S286" i="8"/>
  <c r="R286" i="8"/>
  <c r="P286" i="8"/>
  <c r="O286" i="8"/>
  <c r="N286" i="8"/>
  <c r="S275" i="8"/>
  <c r="R275" i="8"/>
  <c r="P275" i="8"/>
  <c r="O275" i="8"/>
  <c r="N275" i="8"/>
  <c r="S274" i="8"/>
  <c r="R274" i="8"/>
  <c r="P274" i="8"/>
  <c r="O274" i="8"/>
  <c r="N274" i="8"/>
  <c r="S272" i="8"/>
  <c r="R272" i="8"/>
  <c r="P272" i="8"/>
  <c r="O272" i="8"/>
  <c r="N272" i="8"/>
  <c r="S273" i="8"/>
  <c r="R273" i="8"/>
  <c r="P273" i="8"/>
  <c r="O273" i="8"/>
  <c r="N273" i="8"/>
  <c r="S211" i="8"/>
  <c r="R211" i="8"/>
  <c r="P211" i="8"/>
  <c r="O211" i="8"/>
  <c r="N211" i="8"/>
  <c r="S210" i="8"/>
  <c r="R210" i="8"/>
  <c r="P210" i="8"/>
  <c r="O210" i="8"/>
  <c r="N210" i="8"/>
  <c r="S215" i="8"/>
  <c r="R215" i="8"/>
  <c r="P215" i="8"/>
  <c r="O215" i="8"/>
  <c r="N215" i="8"/>
  <c r="S196" i="8"/>
  <c r="R196" i="8"/>
  <c r="P196" i="8"/>
  <c r="O196" i="8"/>
  <c r="N196" i="8"/>
  <c r="S195" i="8"/>
  <c r="R195" i="8"/>
  <c r="P195" i="8"/>
  <c r="O195" i="8"/>
  <c r="N195" i="8"/>
  <c r="S194" i="8"/>
  <c r="R194" i="8"/>
  <c r="P194" i="8"/>
  <c r="O194" i="8"/>
  <c r="N194" i="8"/>
  <c r="S200" i="8"/>
  <c r="R200" i="8"/>
  <c r="P200" i="8"/>
  <c r="O200" i="8"/>
  <c r="N200" i="8"/>
  <c r="S140" i="8"/>
  <c r="R140" i="8"/>
  <c r="P140" i="8"/>
  <c r="O140" i="8"/>
  <c r="N140" i="8"/>
  <c r="S378" i="8"/>
  <c r="R378" i="8"/>
  <c r="P378" i="8"/>
  <c r="O378" i="8"/>
  <c r="N378" i="8"/>
  <c r="S139" i="8"/>
  <c r="R139" i="8"/>
  <c r="P139" i="8"/>
  <c r="O139" i="8"/>
  <c r="N139" i="8"/>
  <c r="S144" i="8"/>
  <c r="R144" i="8"/>
  <c r="P144" i="8"/>
  <c r="O144" i="8"/>
  <c r="N144" i="8"/>
  <c r="S125" i="8"/>
  <c r="R125" i="8"/>
  <c r="P125" i="8"/>
  <c r="O125" i="8"/>
  <c r="N125" i="8"/>
  <c r="S124" i="8"/>
  <c r="R124" i="8"/>
  <c r="P124" i="8"/>
  <c r="O124" i="8"/>
  <c r="N124" i="8"/>
  <c r="S123" i="8"/>
  <c r="R123" i="8"/>
  <c r="P123" i="8"/>
  <c r="O123" i="8"/>
  <c r="N123" i="8"/>
  <c r="S487" i="8"/>
  <c r="R487" i="8"/>
  <c r="P487" i="8"/>
  <c r="O487" i="8"/>
  <c r="N487" i="8"/>
  <c r="S147" i="8"/>
  <c r="R147" i="8"/>
  <c r="P147" i="8"/>
  <c r="O147" i="8"/>
  <c r="N147" i="8"/>
  <c r="S450" i="8"/>
  <c r="R450" i="8"/>
  <c r="P450" i="8"/>
  <c r="O450" i="8"/>
  <c r="N450" i="8"/>
  <c r="S376" i="8"/>
  <c r="R376" i="8"/>
  <c r="P376" i="8"/>
  <c r="O376" i="8"/>
  <c r="N376" i="8"/>
  <c r="S220" i="8"/>
  <c r="R220" i="8"/>
  <c r="P220" i="8"/>
  <c r="O220" i="8"/>
  <c r="N220" i="8"/>
  <c r="S503" i="8"/>
  <c r="R503" i="8"/>
  <c r="P503" i="8"/>
  <c r="O503" i="8"/>
  <c r="N503" i="8"/>
  <c r="S484" i="8"/>
  <c r="R484" i="8"/>
  <c r="P484" i="8"/>
  <c r="O484" i="8"/>
  <c r="N484" i="8"/>
  <c r="S390" i="8"/>
  <c r="R390" i="8"/>
  <c r="P390" i="8"/>
  <c r="O390" i="8"/>
  <c r="N390" i="8"/>
  <c r="S375" i="8"/>
  <c r="R375" i="8"/>
  <c r="P375" i="8"/>
  <c r="O375" i="8"/>
  <c r="N375" i="8"/>
  <c r="S296" i="8"/>
  <c r="R296" i="8"/>
  <c r="P296" i="8"/>
  <c r="O296" i="8"/>
  <c r="N296" i="8"/>
  <c r="S282" i="8"/>
  <c r="R282" i="8"/>
  <c r="P282" i="8"/>
  <c r="O282" i="8"/>
  <c r="N282" i="8"/>
  <c r="S203" i="8"/>
  <c r="R203" i="8"/>
  <c r="P203" i="8"/>
  <c r="O203" i="8"/>
  <c r="N203" i="8"/>
  <c r="S146" i="8"/>
  <c r="R146" i="8"/>
  <c r="P146" i="8"/>
  <c r="O146" i="8"/>
  <c r="N146" i="8"/>
  <c r="S546" i="8"/>
  <c r="R546" i="8"/>
  <c r="P546" i="8"/>
  <c r="O546" i="8"/>
  <c r="N546" i="8"/>
  <c r="S535" i="8"/>
  <c r="R535" i="8"/>
  <c r="P535" i="8"/>
  <c r="O535" i="8"/>
  <c r="N535" i="8"/>
  <c r="S534" i="8"/>
  <c r="R534" i="8"/>
  <c r="P534" i="8"/>
  <c r="O534" i="8"/>
  <c r="N534" i="8"/>
  <c r="S523" i="8"/>
  <c r="R523" i="8"/>
  <c r="P523" i="8"/>
  <c r="O523" i="8"/>
  <c r="N523" i="8"/>
  <c r="S522" i="8"/>
  <c r="R522" i="8"/>
  <c r="P522" i="8"/>
  <c r="O522" i="8"/>
  <c r="N522" i="8"/>
  <c r="S530" i="8"/>
  <c r="R530" i="8"/>
  <c r="P530" i="8"/>
  <c r="O530" i="8"/>
  <c r="N530" i="8"/>
  <c r="S529" i="8"/>
  <c r="R529" i="8"/>
  <c r="P529" i="8"/>
  <c r="O529" i="8"/>
  <c r="N529" i="8"/>
  <c r="S509" i="8"/>
  <c r="R509" i="8"/>
  <c r="P509" i="8"/>
  <c r="O509" i="8"/>
  <c r="N509" i="8"/>
  <c r="S508" i="8"/>
  <c r="R508" i="8"/>
  <c r="P508" i="8"/>
  <c r="O508" i="8"/>
  <c r="N508" i="8"/>
  <c r="S507" i="8"/>
  <c r="R507" i="8"/>
  <c r="P507" i="8"/>
  <c r="O507" i="8"/>
  <c r="N507" i="8"/>
  <c r="S502" i="8"/>
  <c r="R502" i="8"/>
  <c r="P502" i="8"/>
  <c r="O502" i="8"/>
  <c r="N502" i="8"/>
  <c r="S501" i="8"/>
  <c r="R501" i="8"/>
  <c r="P501" i="8"/>
  <c r="O501" i="8"/>
  <c r="N501" i="8"/>
  <c r="S500" i="8"/>
  <c r="R500" i="8"/>
  <c r="P500" i="8"/>
  <c r="O500" i="8"/>
  <c r="N500" i="8"/>
  <c r="S483" i="8"/>
  <c r="R483" i="8"/>
  <c r="P483" i="8"/>
  <c r="O483" i="8"/>
  <c r="N483" i="8"/>
  <c r="S482" i="8"/>
  <c r="R482" i="8"/>
  <c r="P482" i="8"/>
  <c r="O482" i="8"/>
  <c r="N482" i="8"/>
  <c r="S447" i="8"/>
  <c r="R447" i="8"/>
  <c r="P447" i="8"/>
  <c r="O447" i="8"/>
  <c r="N447" i="8"/>
  <c r="S446" i="8"/>
  <c r="R446" i="8"/>
  <c r="P446" i="8"/>
  <c r="O446" i="8"/>
  <c r="N446" i="8"/>
  <c r="S445" i="8"/>
  <c r="R445" i="8"/>
  <c r="P445" i="8"/>
  <c r="O445" i="8"/>
  <c r="N445" i="8"/>
  <c r="S444" i="8"/>
  <c r="R444" i="8"/>
  <c r="P444" i="8"/>
  <c r="O444" i="8"/>
  <c r="N444" i="8"/>
  <c r="S388" i="8"/>
  <c r="R388" i="8"/>
  <c r="P388" i="8"/>
  <c r="O388" i="8"/>
  <c r="N388" i="8"/>
  <c r="S387" i="8"/>
  <c r="R387" i="8"/>
  <c r="P387" i="8"/>
  <c r="O387" i="8"/>
  <c r="N387" i="8"/>
  <c r="S475" i="8"/>
  <c r="R475" i="8"/>
  <c r="P475" i="8"/>
  <c r="O475" i="8"/>
  <c r="N475" i="8"/>
  <c r="S374" i="8"/>
  <c r="R374" i="8"/>
  <c r="P374" i="8"/>
  <c r="O374" i="8"/>
  <c r="N374" i="8"/>
  <c r="S373" i="8"/>
  <c r="R373" i="8"/>
  <c r="P373" i="8"/>
  <c r="O373" i="8"/>
  <c r="N373" i="8"/>
  <c r="S372" i="8"/>
  <c r="R372" i="8"/>
  <c r="P372" i="8"/>
  <c r="O372" i="8"/>
  <c r="N372" i="8"/>
  <c r="S371" i="8"/>
  <c r="R371" i="8"/>
  <c r="P371" i="8"/>
  <c r="O371" i="8"/>
  <c r="N371" i="8"/>
  <c r="S327" i="8"/>
  <c r="R327" i="8"/>
  <c r="P327" i="8"/>
  <c r="O327" i="8"/>
  <c r="N327" i="8"/>
  <c r="S326" i="8"/>
  <c r="R326" i="8"/>
  <c r="P326" i="8"/>
  <c r="O326" i="8"/>
  <c r="N326" i="8"/>
  <c r="S488" i="8"/>
  <c r="R488" i="8"/>
  <c r="P488" i="8"/>
  <c r="O488" i="8"/>
  <c r="N488" i="8"/>
  <c r="S335" i="8"/>
  <c r="R335" i="8"/>
  <c r="P335" i="8"/>
  <c r="O335" i="8"/>
  <c r="N335" i="8"/>
  <c r="S325" i="8"/>
  <c r="R325" i="8"/>
  <c r="P325" i="8"/>
  <c r="O325" i="8"/>
  <c r="N325" i="8"/>
  <c r="S311" i="8"/>
  <c r="R311" i="8"/>
  <c r="P311" i="8"/>
  <c r="O311" i="8"/>
  <c r="N311" i="8"/>
  <c r="S318" i="8"/>
  <c r="R318" i="8"/>
  <c r="P318" i="8"/>
  <c r="O318" i="8"/>
  <c r="N318" i="8"/>
  <c r="S317" i="8"/>
  <c r="R317" i="8"/>
  <c r="P317" i="8"/>
  <c r="O317" i="8"/>
  <c r="N317" i="8"/>
  <c r="S316" i="8"/>
  <c r="R316" i="8"/>
  <c r="P316" i="8"/>
  <c r="O316" i="8"/>
  <c r="N316" i="8"/>
  <c r="S295" i="8"/>
  <c r="R295" i="8"/>
  <c r="P295" i="8"/>
  <c r="O295" i="8"/>
  <c r="N295" i="8"/>
  <c r="S294" i="8"/>
  <c r="R294" i="8"/>
  <c r="P294" i="8"/>
  <c r="O294" i="8"/>
  <c r="N294" i="8"/>
  <c r="S293" i="8"/>
  <c r="R293" i="8"/>
  <c r="P293" i="8"/>
  <c r="O293" i="8"/>
  <c r="N293" i="8"/>
  <c r="S292" i="8"/>
  <c r="R292" i="8"/>
  <c r="P292" i="8"/>
  <c r="O292" i="8"/>
  <c r="N292" i="8"/>
  <c r="S281" i="8"/>
  <c r="R281" i="8"/>
  <c r="P281" i="8"/>
  <c r="O281" i="8"/>
  <c r="N281" i="8"/>
  <c r="S280" i="8"/>
  <c r="R280" i="8"/>
  <c r="P280" i="8"/>
  <c r="O280" i="8"/>
  <c r="N280" i="8"/>
  <c r="S279" i="8"/>
  <c r="R279" i="8"/>
  <c r="P279" i="8"/>
  <c r="O279" i="8"/>
  <c r="N279" i="8"/>
  <c r="S218" i="8"/>
  <c r="R218" i="8"/>
  <c r="P218" i="8"/>
  <c r="O218" i="8"/>
  <c r="N218" i="8"/>
  <c r="S217" i="8"/>
  <c r="R217" i="8"/>
  <c r="P217" i="8"/>
  <c r="O217" i="8"/>
  <c r="N217" i="8"/>
  <c r="S216" i="8"/>
  <c r="R216" i="8"/>
  <c r="P216" i="8"/>
  <c r="O216" i="8"/>
  <c r="N216" i="8"/>
  <c r="S389" i="8"/>
  <c r="R389" i="8"/>
  <c r="P389" i="8"/>
  <c r="O389" i="8"/>
  <c r="N389" i="8"/>
  <c r="S202" i="8"/>
  <c r="R202" i="8"/>
  <c r="P202" i="8"/>
  <c r="O202" i="8"/>
  <c r="N202" i="8"/>
  <c r="S201" i="8"/>
  <c r="R201" i="8"/>
  <c r="P201" i="8"/>
  <c r="O201" i="8"/>
  <c r="N201" i="8"/>
  <c r="S145" i="8"/>
  <c r="R145" i="8"/>
  <c r="P145" i="8"/>
  <c r="O145" i="8"/>
  <c r="N145" i="8"/>
  <c r="S490" i="8"/>
  <c r="R490" i="8"/>
  <c r="P490" i="8"/>
  <c r="O490" i="8"/>
  <c r="N490" i="8"/>
  <c r="S133" i="8"/>
  <c r="R133" i="8"/>
  <c r="P133" i="8"/>
  <c r="O133" i="8"/>
  <c r="N133" i="8"/>
  <c r="S132" i="8"/>
  <c r="R132" i="8"/>
  <c r="P132" i="8"/>
  <c r="O132" i="8"/>
  <c r="N132" i="8"/>
  <c r="S131" i="8"/>
  <c r="R131" i="8"/>
  <c r="P131" i="8"/>
  <c r="O131" i="8"/>
  <c r="N131" i="8"/>
  <c r="S100" i="8"/>
  <c r="R100" i="8"/>
  <c r="P100" i="8"/>
  <c r="O100" i="8"/>
  <c r="N100" i="8"/>
  <c r="S207" i="8"/>
  <c r="R207" i="8"/>
  <c r="P207" i="8"/>
  <c r="O207" i="8"/>
  <c r="N207" i="8"/>
  <c r="S101" i="8"/>
  <c r="R101" i="8"/>
  <c r="P101" i="8"/>
  <c r="O101" i="8"/>
  <c r="N101" i="8"/>
  <c r="S89" i="8"/>
  <c r="R89" i="8"/>
  <c r="P89" i="8"/>
  <c r="O89" i="8"/>
  <c r="N89" i="8"/>
  <c r="S88" i="8"/>
  <c r="R88" i="8"/>
  <c r="P88" i="8"/>
  <c r="O88" i="8"/>
  <c r="N88" i="8"/>
  <c r="S87" i="8"/>
  <c r="R87" i="8"/>
  <c r="P87" i="8"/>
  <c r="O87" i="8"/>
  <c r="N87" i="8"/>
  <c r="S24" i="8"/>
  <c r="R24" i="8"/>
  <c r="P24" i="8"/>
  <c r="O24" i="8"/>
  <c r="N24" i="8"/>
  <c r="S23" i="8"/>
  <c r="R23" i="8"/>
  <c r="P23" i="8"/>
  <c r="O23" i="8"/>
  <c r="N23" i="8"/>
  <c r="S22" i="8"/>
  <c r="R22" i="8"/>
  <c r="P22" i="8"/>
  <c r="O22" i="8"/>
  <c r="N22" i="8"/>
  <c r="S21" i="8"/>
  <c r="R21" i="8"/>
  <c r="P21" i="8"/>
  <c r="O21" i="8"/>
  <c r="N21" i="8"/>
  <c r="S20" i="8"/>
  <c r="R20" i="8"/>
  <c r="P20" i="8"/>
  <c r="O20" i="8"/>
  <c r="N20" i="8"/>
  <c r="S19" i="8"/>
  <c r="R19" i="8"/>
  <c r="P19" i="8"/>
  <c r="O19" i="8"/>
  <c r="N19" i="8"/>
  <c r="S79" i="8"/>
  <c r="R79" i="8"/>
  <c r="P79" i="8"/>
  <c r="O79" i="8"/>
  <c r="N79" i="8"/>
  <c r="S74" i="8"/>
  <c r="R74" i="8"/>
  <c r="P74" i="8"/>
  <c r="O74" i="8"/>
  <c r="N74" i="8"/>
  <c r="S81" i="8"/>
  <c r="R81" i="8"/>
  <c r="P81" i="8"/>
  <c r="O81" i="8"/>
  <c r="N81" i="8"/>
  <c r="S77" i="8"/>
  <c r="R77" i="8"/>
  <c r="P77" i="8"/>
  <c r="O77" i="8"/>
  <c r="N77" i="8"/>
  <c r="S64" i="8"/>
  <c r="R64" i="8"/>
  <c r="P64" i="8"/>
  <c r="O64" i="8"/>
  <c r="N64" i="8"/>
  <c r="S82" i="8"/>
  <c r="R82" i="8"/>
  <c r="P82" i="8"/>
  <c r="O82" i="8"/>
  <c r="N82" i="8"/>
  <c r="S78" i="8"/>
  <c r="R78" i="8"/>
  <c r="P78" i="8"/>
  <c r="O78" i="8"/>
  <c r="N78" i="8"/>
  <c r="S69" i="8"/>
  <c r="R69" i="8"/>
  <c r="P69" i="8"/>
  <c r="O69" i="8"/>
  <c r="N69" i="8"/>
  <c r="S68" i="8"/>
  <c r="R68" i="8"/>
  <c r="P68" i="8"/>
  <c r="O68" i="8"/>
  <c r="N68" i="8"/>
  <c r="S84" i="8"/>
  <c r="R84" i="8"/>
  <c r="P84" i="8"/>
  <c r="O84" i="8"/>
  <c r="N84" i="8"/>
  <c r="S83" i="8"/>
  <c r="R83" i="8"/>
  <c r="P83" i="8"/>
  <c r="O83" i="8"/>
  <c r="N83" i="8"/>
  <c r="S71" i="8"/>
  <c r="R71" i="8"/>
  <c r="P71" i="8"/>
  <c r="O71" i="8"/>
  <c r="N71" i="8"/>
  <c r="S70" i="8"/>
  <c r="R70" i="8"/>
  <c r="P70" i="8"/>
  <c r="O70" i="8"/>
  <c r="N70" i="8"/>
  <c r="S86" i="8"/>
  <c r="R86" i="8"/>
  <c r="P86" i="8"/>
  <c r="O86" i="8"/>
  <c r="N86" i="8"/>
  <c r="S85" i="8"/>
  <c r="R85" i="8"/>
  <c r="P85" i="8"/>
  <c r="O85" i="8"/>
  <c r="N85" i="8"/>
  <c r="S73" i="8"/>
  <c r="R73" i="8"/>
  <c r="P73" i="8"/>
  <c r="O73" i="8"/>
  <c r="N73" i="8"/>
  <c r="S72" i="8"/>
  <c r="R72" i="8"/>
  <c r="P72" i="8"/>
  <c r="O72" i="8"/>
  <c r="N72" i="8"/>
  <c r="S57" i="8"/>
  <c r="R57" i="8"/>
  <c r="P57" i="8"/>
  <c r="O57" i="8"/>
  <c r="N57" i="8"/>
  <c r="S53" i="8"/>
  <c r="R53" i="8"/>
  <c r="P53" i="8"/>
  <c r="O53" i="8"/>
  <c r="N53" i="8"/>
  <c r="S39" i="8"/>
  <c r="R39" i="8"/>
  <c r="P39" i="8"/>
  <c r="O39" i="8"/>
  <c r="N39" i="8"/>
  <c r="S29" i="8"/>
  <c r="R29" i="8"/>
  <c r="P29" i="8"/>
  <c r="O29" i="8"/>
  <c r="N29" i="8"/>
  <c r="S28" i="8"/>
  <c r="R28" i="8"/>
  <c r="P28" i="8"/>
  <c r="O28" i="8"/>
  <c r="N28" i="8"/>
  <c r="S52" i="8"/>
  <c r="R52" i="8"/>
  <c r="P52" i="8"/>
  <c r="O52" i="8"/>
  <c r="N52" i="8"/>
  <c r="S48" i="8"/>
  <c r="R48" i="8"/>
  <c r="P48" i="8"/>
  <c r="O48" i="8"/>
  <c r="N48" i="8"/>
  <c r="S38" i="8"/>
  <c r="R38" i="8"/>
  <c r="P38" i="8"/>
  <c r="O38" i="8"/>
  <c r="N38" i="8"/>
  <c r="S37" i="8"/>
  <c r="R37" i="8"/>
  <c r="P37" i="8"/>
  <c r="O37" i="8"/>
  <c r="N37" i="8"/>
  <c r="S27" i="8"/>
  <c r="R27" i="8"/>
  <c r="P27" i="8"/>
  <c r="O27" i="8"/>
  <c r="N27" i="8"/>
  <c r="S26" i="8"/>
  <c r="R26" i="8"/>
  <c r="P26" i="8"/>
  <c r="O26" i="8"/>
  <c r="N26" i="8"/>
  <c r="S60" i="8"/>
  <c r="R60" i="8"/>
  <c r="P60" i="8"/>
  <c r="O60" i="8"/>
  <c r="N60" i="8"/>
  <c r="S56" i="8"/>
  <c r="R56" i="8"/>
  <c r="P56" i="8"/>
  <c r="O56" i="8"/>
  <c r="N56" i="8"/>
  <c r="S45" i="8"/>
  <c r="R45" i="8"/>
  <c r="P45" i="8"/>
  <c r="O45" i="8"/>
  <c r="N45" i="8"/>
  <c r="S44" i="8"/>
  <c r="R44" i="8"/>
  <c r="P44" i="8"/>
  <c r="O44" i="8"/>
  <c r="N44" i="8"/>
  <c r="S36" i="8"/>
  <c r="R36" i="8"/>
  <c r="P36" i="8"/>
  <c r="O36" i="8"/>
  <c r="N36" i="8"/>
  <c r="S33" i="8"/>
  <c r="R33" i="8"/>
  <c r="P33" i="8"/>
  <c r="O33" i="8"/>
  <c r="N33" i="8"/>
  <c r="S55" i="8"/>
  <c r="R55" i="8"/>
  <c r="P55" i="8"/>
  <c r="O55" i="8"/>
  <c r="N55" i="8"/>
  <c r="S51" i="8"/>
  <c r="R51" i="8"/>
  <c r="P51" i="8"/>
  <c r="O51" i="8"/>
  <c r="N51" i="8"/>
  <c r="S43" i="8"/>
  <c r="R43" i="8"/>
  <c r="P43" i="8"/>
  <c r="O43" i="8"/>
  <c r="N43" i="8"/>
  <c r="S42" i="8"/>
  <c r="R42" i="8"/>
  <c r="P42" i="8"/>
  <c r="O42" i="8"/>
  <c r="N42" i="8"/>
  <c r="S32" i="8"/>
  <c r="R32" i="8"/>
  <c r="P32" i="8"/>
  <c r="O32" i="8"/>
  <c r="N32" i="8"/>
  <c r="S31" i="8"/>
  <c r="R31" i="8"/>
  <c r="P31" i="8"/>
  <c r="O31" i="8"/>
  <c r="N31" i="8"/>
  <c r="S54" i="8"/>
  <c r="R54" i="8"/>
  <c r="P54" i="8"/>
  <c r="O54" i="8"/>
  <c r="N54" i="8"/>
  <c r="S50" i="8"/>
  <c r="R50" i="8"/>
  <c r="P50" i="8"/>
  <c r="O50" i="8"/>
  <c r="N50" i="8"/>
  <c r="S41" i="8"/>
  <c r="R41" i="8"/>
  <c r="P41" i="8"/>
  <c r="O41" i="8"/>
  <c r="N41" i="8"/>
  <c r="S40" i="8"/>
  <c r="R40" i="8"/>
  <c r="P40" i="8"/>
  <c r="O40" i="8"/>
  <c r="N40" i="8"/>
  <c r="S30" i="8"/>
  <c r="R30" i="8"/>
  <c r="P30" i="8"/>
  <c r="O30" i="8"/>
  <c r="N30" i="8"/>
  <c r="S25" i="8"/>
  <c r="R25" i="8"/>
  <c r="P25" i="8"/>
  <c r="O25" i="8"/>
  <c r="N25" i="8"/>
  <c r="S59" i="8"/>
  <c r="R59" i="8"/>
  <c r="P59" i="8"/>
  <c r="O59" i="8"/>
  <c r="N59" i="8"/>
  <c r="S58" i="8"/>
  <c r="R58" i="8"/>
  <c r="P58" i="8"/>
  <c r="O58" i="8"/>
  <c r="N58" i="8"/>
  <c r="S47" i="8"/>
  <c r="R47" i="8"/>
  <c r="P47" i="8"/>
  <c r="O47" i="8"/>
  <c r="N47" i="8"/>
  <c r="S46" i="8"/>
  <c r="R46" i="8"/>
  <c r="P46" i="8"/>
  <c r="O46" i="8"/>
  <c r="N46" i="8"/>
  <c r="S35" i="8"/>
  <c r="R35" i="8"/>
  <c r="P35" i="8"/>
  <c r="O35" i="8"/>
  <c r="N35" i="8"/>
  <c r="S34" i="8"/>
  <c r="R34" i="8"/>
  <c r="P34" i="8"/>
  <c r="O34" i="8"/>
  <c r="N34" i="8"/>
  <c r="S474" i="8"/>
  <c r="R474" i="8"/>
  <c r="P474" i="8"/>
  <c r="O474" i="8"/>
  <c r="N474" i="8"/>
  <c r="S473" i="8"/>
  <c r="R473" i="8"/>
  <c r="P473" i="8"/>
  <c r="O473" i="8"/>
  <c r="N473" i="8"/>
  <c r="S464" i="8"/>
  <c r="R464" i="8"/>
  <c r="P464" i="8"/>
  <c r="O464" i="8"/>
  <c r="N464" i="8"/>
  <c r="S427" i="8"/>
  <c r="R427" i="8"/>
  <c r="P427" i="8"/>
  <c r="O427" i="8"/>
  <c r="N427" i="8"/>
  <c r="S426" i="8"/>
  <c r="R426" i="8"/>
  <c r="P426" i="8"/>
  <c r="O426" i="8"/>
  <c r="N426" i="8"/>
  <c r="S411" i="8"/>
  <c r="R411" i="8"/>
  <c r="P411" i="8"/>
  <c r="O411" i="8"/>
  <c r="N411" i="8"/>
  <c r="S76" i="8"/>
  <c r="R76" i="8"/>
  <c r="P76" i="8"/>
  <c r="O76" i="8"/>
  <c r="N76" i="8"/>
  <c r="S63" i="8"/>
  <c r="R63" i="8"/>
  <c r="P63" i="8"/>
  <c r="O63" i="8"/>
  <c r="N63" i="8"/>
  <c r="S49" i="8"/>
  <c r="R49" i="8"/>
  <c r="P49" i="8"/>
  <c r="O49" i="8"/>
  <c r="N49" i="8"/>
  <c r="S423" i="8"/>
  <c r="R423" i="8"/>
  <c r="P423" i="8"/>
  <c r="O423" i="8"/>
  <c r="N423" i="8"/>
  <c r="S422" i="8"/>
  <c r="R422" i="8"/>
  <c r="P422" i="8"/>
  <c r="O422" i="8"/>
  <c r="N422" i="8"/>
  <c r="S421" i="8"/>
  <c r="R421" i="8"/>
  <c r="P421" i="8"/>
  <c r="O421" i="8"/>
  <c r="N421" i="8"/>
  <c r="S420" i="8"/>
  <c r="R420" i="8"/>
  <c r="P420" i="8"/>
  <c r="O420" i="8"/>
  <c r="N420" i="8"/>
  <c r="S408" i="8"/>
  <c r="R408" i="8"/>
  <c r="P408" i="8"/>
  <c r="O408" i="8"/>
  <c r="N408" i="8"/>
  <c r="S410" i="8"/>
  <c r="R410" i="8"/>
  <c r="P410" i="8"/>
  <c r="O410" i="8"/>
  <c r="N410" i="8"/>
  <c r="S406" i="8"/>
  <c r="R406" i="8"/>
  <c r="P406" i="8"/>
  <c r="O406" i="8"/>
  <c r="N406" i="8"/>
  <c r="S405" i="8"/>
  <c r="R405" i="8"/>
  <c r="P405" i="8"/>
  <c r="O405" i="8"/>
  <c r="N405" i="8"/>
  <c r="S395" i="8"/>
  <c r="R395" i="8"/>
  <c r="P395" i="8"/>
  <c r="O395" i="8"/>
  <c r="N395" i="8"/>
  <c r="S399" i="8"/>
  <c r="R399" i="8"/>
  <c r="P399" i="8"/>
  <c r="O399" i="8"/>
  <c r="N399" i="8"/>
  <c r="S394" i="8"/>
  <c r="R394" i="8"/>
  <c r="P394" i="8"/>
  <c r="O394" i="8"/>
  <c r="N394" i="8"/>
  <c r="S397" i="8"/>
  <c r="R397" i="8"/>
  <c r="P397" i="8"/>
  <c r="O397" i="8"/>
  <c r="N397" i="8"/>
  <c r="S309" i="8"/>
  <c r="R309" i="8"/>
  <c r="P309" i="8"/>
  <c r="O309" i="8"/>
  <c r="N309" i="8"/>
  <c r="S308" i="8"/>
  <c r="R308" i="8"/>
  <c r="P308" i="8"/>
  <c r="O308" i="8"/>
  <c r="N308" i="8"/>
  <c r="S307" i="8"/>
  <c r="R307" i="8"/>
  <c r="P307" i="8"/>
  <c r="O307" i="8"/>
  <c r="N307" i="8"/>
  <c r="S306" i="8"/>
  <c r="R306" i="8"/>
  <c r="P306" i="8"/>
  <c r="O306" i="8"/>
  <c r="N306" i="8"/>
  <c r="S301" i="8"/>
  <c r="R301" i="8"/>
  <c r="P301" i="8"/>
  <c r="O301" i="8"/>
  <c r="N301" i="8"/>
  <c r="S11" i="8"/>
  <c r="R11" i="8"/>
  <c r="P11" i="8"/>
  <c r="O11" i="8"/>
  <c r="N11" i="8"/>
  <c r="S10" i="8"/>
  <c r="R10" i="8"/>
  <c r="P10" i="8"/>
  <c r="O10" i="8"/>
  <c r="N10" i="8"/>
  <c r="S9" i="8"/>
  <c r="R9" i="8"/>
  <c r="P9" i="8"/>
  <c r="O9" i="8"/>
  <c r="N9" i="8"/>
  <c r="S8" i="8"/>
  <c r="R8" i="8"/>
  <c r="P8" i="8"/>
  <c r="O8" i="8"/>
  <c r="N8" i="8"/>
  <c r="S2" i="8"/>
  <c r="R2" i="8"/>
  <c r="P2" i="8"/>
  <c r="O2" i="8"/>
  <c r="N2" i="8"/>
  <c r="S3" i="8"/>
  <c r="R3" i="8"/>
  <c r="P3" i="8"/>
  <c r="O3" i="8"/>
  <c r="N3" i="8"/>
  <c r="S1" i="8"/>
  <c r="Q1" i="8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8" i="11"/>
  <c r="S19" i="11"/>
  <c r="S20" i="11"/>
  <c r="S21" i="11"/>
  <c r="S22" i="11"/>
  <c r="S23" i="11"/>
  <c r="S24" i="11"/>
  <c r="S25" i="11"/>
  <c r="S33" i="11"/>
  <c r="S35" i="11"/>
  <c r="S34" i="11"/>
  <c r="S37" i="11"/>
  <c r="S40" i="11"/>
  <c r="S36" i="11"/>
  <c r="S38" i="11"/>
  <c r="S39" i="11"/>
  <c r="S45" i="11"/>
  <c r="S46" i="11"/>
  <c r="S47" i="11"/>
  <c r="S48" i="11"/>
  <c r="S49" i="11"/>
  <c r="S50" i="11"/>
  <c r="S51" i="11"/>
  <c r="S52" i="11"/>
  <c r="S53" i="11"/>
  <c r="S55" i="11"/>
  <c r="S57" i="11"/>
  <c r="S59" i="11"/>
  <c r="S54" i="11"/>
  <c r="S56" i="11"/>
  <c r="S58" i="11"/>
  <c r="S60" i="11"/>
  <c r="S69" i="11"/>
  <c r="S71" i="11"/>
  <c r="S73" i="11"/>
  <c r="S75" i="11"/>
  <c r="S70" i="11"/>
  <c r="S72" i="11"/>
  <c r="S74" i="11"/>
  <c r="S76" i="11"/>
  <c r="S44" i="11"/>
  <c r="S43" i="11"/>
  <c r="S41" i="11"/>
  <c r="S61" i="11"/>
  <c r="S62" i="11"/>
  <c r="S63" i="11"/>
  <c r="S64" i="11"/>
  <c r="S77" i="11"/>
  <c r="S78" i="11"/>
  <c r="S79" i="11"/>
  <c r="S80" i="11"/>
  <c r="S414" i="11"/>
  <c r="S415" i="11"/>
  <c r="S424" i="11"/>
  <c r="S425" i="11"/>
  <c r="S426" i="11"/>
  <c r="S427" i="11"/>
  <c r="S155" i="11"/>
  <c r="S164" i="11"/>
  <c r="S165" i="11"/>
  <c r="S30" i="11"/>
  <c r="S31" i="11"/>
  <c r="S32" i="11"/>
  <c r="S90" i="11"/>
  <c r="S91" i="11"/>
  <c r="S184" i="11"/>
  <c r="S119" i="11"/>
  <c r="S120" i="11"/>
  <c r="S121" i="11"/>
  <c r="S127" i="11"/>
  <c r="S128" i="11"/>
  <c r="S129" i="11"/>
  <c r="S177" i="11"/>
  <c r="S178" i="11"/>
  <c r="S179" i="11"/>
  <c r="S186" i="11"/>
  <c r="S192" i="11"/>
  <c r="S478" i="11"/>
  <c r="S246" i="11"/>
  <c r="S247" i="11"/>
  <c r="S248" i="11"/>
  <c r="S266" i="11"/>
  <c r="S267" i="11"/>
  <c r="S256" i="11"/>
  <c r="S294" i="11"/>
  <c r="S295" i="11"/>
  <c r="S296" i="11"/>
  <c r="S303" i="11"/>
  <c r="S325" i="11"/>
  <c r="S304" i="11"/>
  <c r="S382" i="11"/>
  <c r="S383" i="11"/>
  <c r="S433" i="11"/>
  <c r="S400" i="11"/>
  <c r="S401" i="11"/>
  <c r="S446" i="11"/>
  <c r="S447" i="11"/>
  <c r="S479" i="11"/>
  <c r="S480" i="11"/>
  <c r="S498" i="11"/>
  <c r="S499" i="11"/>
  <c r="S500" i="11"/>
  <c r="S518" i="11"/>
  <c r="S519" i="11"/>
  <c r="S520" i="11"/>
  <c r="S527" i="11"/>
  <c r="S530" i="11"/>
  <c r="S538" i="11"/>
  <c r="S92" i="11"/>
  <c r="S93" i="11"/>
  <c r="S103" i="11"/>
  <c r="S130" i="11"/>
  <c r="S180" i="11"/>
  <c r="S193" i="11"/>
  <c r="S249" i="11"/>
  <c r="S268" i="11"/>
  <c r="S297" i="11"/>
  <c r="S305" i="11"/>
  <c r="S384" i="11"/>
  <c r="S385" i="11"/>
  <c r="S393" i="11"/>
  <c r="S448" i="11"/>
  <c r="S449" i="11"/>
  <c r="S481" i="11"/>
  <c r="S487" i="11"/>
  <c r="S491" i="11"/>
  <c r="S526" i="11"/>
  <c r="S532" i="11"/>
  <c r="S539" i="11"/>
  <c r="S118" i="11"/>
  <c r="S110" i="11"/>
  <c r="S111" i="11"/>
  <c r="S112" i="11"/>
  <c r="S113" i="11"/>
  <c r="S140" i="11"/>
  <c r="S133" i="11"/>
  <c r="S134" i="11"/>
  <c r="S135" i="11"/>
  <c r="S136" i="11"/>
  <c r="S176" i="11"/>
  <c r="S169" i="11"/>
  <c r="S170" i="11"/>
  <c r="S171" i="11"/>
  <c r="S191" i="11"/>
  <c r="S187" i="11"/>
  <c r="S188" i="11"/>
  <c r="S185" i="11"/>
  <c r="S237" i="11"/>
  <c r="S245" i="11"/>
  <c r="S238" i="11"/>
  <c r="S239" i="11"/>
  <c r="S240" i="11"/>
  <c r="S259" i="11"/>
  <c r="S555" i="11"/>
  <c r="S552" i="11"/>
  <c r="S260" i="11"/>
  <c r="S261" i="11"/>
  <c r="S262" i="11"/>
  <c r="S553" i="11"/>
  <c r="S288" i="11"/>
  <c r="S289" i="11"/>
  <c r="S299" i="11"/>
  <c r="S300" i="11"/>
  <c r="S319" i="11"/>
  <c r="S374" i="11"/>
  <c r="S375" i="11"/>
  <c r="S554" i="11"/>
  <c r="S376" i="11"/>
  <c r="S381" i="11"/>
  <c r="S394" i="11"/>
  <c r="S395" i="11"/>
  <c r="S398" i="11"/>
  <c r="S389" i="11"/>
  <c r="S390" i="11"/>
  <c r="S441" i="11"/>
  <c r="S436" i="11"/>
  <c r="S437" i="11"/>
  <c r="S470" i="11"/>
  <c r="S438" i="11"/>
  <c r="S471" i="11"/>
  <c r="S472" i="11"/>
  <c r="S473" i="11"/>
  <c r="S494" i="11"/>
  <c r="S298" i="11"/>
  <c r="S496" i="11"/>
  <c r="S89" i="11"/>
  <c r="S101" i="11"/>
  <c r="S102" i="11"/>
  <c r="S114" i="11"/>
  <c r="S115" i="11"/>
  <c r="S116" i="11"/>
  <c r="S117" i="11"/>
  <c r="S137" i="11"/>
  <c r="S126" i="11"/>
  <c r="S138" i="11"/>
  <c r="S139" i="11"/>
  <c r="S172" i="11"/>
  <c r="S173" i="11"/>
  <c r="S174" i="11"/>
  <c r="S175" i="11"/>
  <c r="S189" i="11"/>
  <c r="S190" i="11"/>
  <c r="S241" i="11"/>
  <c r="S242" i="11"/>
  <c r="S243" i="11"/>
  <c r="S244" i="11"/>
  <c r="S263" i="11"/>
  <c r="S254" i="11"/>
  <c r="S255" i="11"/>
  <c r="S264" i="11"/>
  <c r="S269" i="11"/>
  <c r="S290" i="11"/>
  <c r="S291" i="11"/>
  <c r="S292" i="11"/>
  <c r="S293" i="11"/>
  <c r="S301" i="11"/>
  <c r="S302" i="11"/>
  <c r="S489" i="11"/>
  <c r="S377" i="11"/>
  <c r="S378" i="11"/>
  <c r="S379" i="11"/>
  <c r="S380" i="11"/>
  <c r="S388" i="11"/>
  <c r="S396" i="11"/>
  <c r="S397" i="11"/>
  <c r="S405" i="11"/>
  <c r="S432" i="11"/>
  <c r="S435" i="11"/>
  <c r="S442" i="11"/>
  <c r="S443" i="11"/>
  <c r="S444" i="11"/>
  <c r="S474" i="11"/>
  <c r="S475" i="11"/>
  <c r="S476" i="11"/>
  <c r="S477" i="11"/>
  <c r="S495" i="11"/>
  <c r="S490" i="11"/>
  <c r="S510" i="11"/>
  <c r="S511" i="11"/>
  <c r="S512" i="11"/>
  <c r="S517" i="11"/>
  <c r="S522" i="11"/>
  <c r="S524" i="11"/>
  <c r="S534" i="11"/>
  <c r="S536" i="11"/>
  <c r="S513" i="11"/>
  <c r="S514" i="11"/>
  <c r="S515" i="11"/>
  <c r="S516" i="11"/>
  <c r="S523" i="11"/>
  <c r="S525" i="11"/>
  <c r="S535" i="11"/>
  <c r="S537" i="11"/>
  <c r="S125" i="11"/>
  <c r="S154" i="11"/>
  <c r="S163" i="11"/>
  <c r="S65" i="11"/>
  <c r="S66" i="11"/>
  <c r="S67" i="11"/>
  <c r="S82" i="11"/>
  <c r="S83" i="11"/>
  <c r="S85" i="11"/>
  <c r="S86" i="11"/>
  <c r="S68" i="11"/>
  <c r="S87" i="11"/>
  <c r="S88" i="11"/>
  <c r="S370" i="11"/>
  <c r="S371" i="11"/>
  <c r="S348" i="11"/>
  <c r="S349" i="11"/>
  <c r="S372" i="11"/>
  <c r="S373" i="11"/>
  <c r="S122" i="11"/>
  <c r="S123" i="11"/>
  <c r="S124" i="11"/>
  <c r="S131" i="11"/>
  <c r="S132" i="11"/>
  <c r="S141" i="11"/>
  <c r="S181" i="11"/>
  <c r="S182" i="11"/>
  <c r="S183" i="11"/>
  <c r="S250" i="11"/>
  <c r="S251" i="11"/>
  <c r="S257" i="11"/>
  <c r="S258" i="11"/>
  <c r="S265" i="11"/>
  <c r="S485" i="11"/>
  <c r="S94" i="11"/>
  <c r="S95" i="11"/>
  <c r="S96" i="11"/>
  <c r="S97" i="11"/>
  <c r="S99" i="11"/>
  <c r="S104" i="11"/>
  <c r="S100" i="11"/>
  <c r="S105" i="11"/>
  <c r="S106" i="11"/>
  <c r="S107" i="11"/>
  <c r="S108" i="11"/>
  <c r="S109" i="11"/>
  <c r="S98" i="11"/>
  <c r="S252" i="11"/>
  <c r="S142" i="11"/>
  <c r="S143" i="11"/>
  <c r="S144" i="11"/>
  <c r="S146" i="11"/>
  <c r="S150" i="11"/>
  <c r="S151" i="11"/>
  <c r="S152" i="11"/>
  <c r="S153" i="11"/>
  <c r="S159" i="11"/>
  <c r="S160" i="11"/>
  <c r="S161" i="11"/>
  <c r="S162" i="11"/>
  <c r="S198" i="11"/>
  <c r="S201" i="11"/>
  <c r="S197" i="11"/>
  <c r="S203" i="11"/>
  <c r="S205" i="11"/>
  <c r="S207" i="11"/>
  <c r="S209" i="11"/>
  <c r="S211" i="11"/>
  <c r="S221" i="11"/>
  <c r="S223" i="11"/>
  <c r="S225" i="11"/>
  <c r="S227" i="11"/>
  <c r="S276" i="11"/>
  <c r="S286" i="11"/>
  <c r="S287" i="11"/>
  <c r="S147" i="11"/>
  <c r="S148" i="11"/>
  <c r="S149" i="11"/>
  <c r="S156" i="11"/>
  <c r="S157" i="11"/>
  <c r="S158" i="11"/>
  <c r="S166" i="11"/>
  <c r="S167" i="11"/>
  <c r="S168" i="11"/>
  <c r="S337" i="11"/>
  <c r="S341" i="11"/>
  <c r="S350" i="11"/>
  <c r="S351" i="11"/>
  <c r="S359" i="11"/>
  <c r="S360" i="11"/>
  <c r="S363" i="11"/>
  <c r="S212" i="11"/>
  <c r="S213" i="11"/>
  <c r="S214" i="11"/>
  <c r="S215" i="11"/>
  <c r="S229" i="11"/>
  <c r="S230" i="11"/>
  <c r="S231" i="11"/>
  <c r="S216" i="11"/>
  <c r="S217" i="11"/>
  <c r="S232" i="11"/>
  <c r="S233" i="11"/>
  <c r="S234" i="11"/>
  <c r="S272" i="11"/>
  <c r="S273" i="11"/>
  <c r="S279" i="11"/>
  <c r="S280" i="11"/>
  <c r="S283" i="11"/>
  <c r="S284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20" i="11"/>
  <c r="S328" i="11"/>
  <c r="S332" i="11"/>
  <c r="S327" i="11"/>
  <c r="S321" i="11"/>
  <c r="S333" i="11"/>
  <c r="S322" i="11"/>
  <c r="S329" i="11"/>
  <c r="S335" i="11"/>
  <c r="S323" i="11"/>
  <c r="S330" i="11"/>
  <c r="S336" i="11"/>
  <c r="S339" i="11"/>
  <c r="S344" i="11"/>
  <c r="S342" i="11"/>
  <c r="S343" i="11"/>
  <c r="S345" i="11"/>
  <c r="S346" i="11"/>
  <c r="S354" i="11"/>
  <c r="S357" i="11"/>
  <c r="S355" i="11"/>
  <c r="S358" i="11"/>
  <c r="S362" i="11"/>
  <c r="S365" i="11"/>
  <c r="S270" i="11"/>
  <c r="S271" i="11"/>
  <c r="S274" i="11"/>
  <c r="S275" i="11"/>
  <c r="S277" i="11"/>
  <c r="S278" i="11"/>
  <c r="S281" i="11"/>
  <c r="S282" i="11"/>
  <c r="S285" i="11"/>
  <c r="S195" i="11"/>
  <c r="S196" i="11"/>
  <c r="S199" i="11"/>
  <c r="S202" i="11"/>
  <c r="S208" i="11"/>
  <c r="S210" i="11"/>
  <c r="S206" i="11"/>
  <c r="S219" i="11"/>
  <c r="S222" i="11"/>
  <c r="S224" i="11"/>
  <c r="S226" i="11"/>
  <c r="S228" i="11"/>
  <c r="S410" i="11"/>
  <c r="S420" i="11"/>
  <c r="S421" i="11"/>
  <c r="S422" i="11"/>
  <c r="S411" i="11"/>
  <c r="S16" i="11"/>
  <c r="S17" i="11"/>
  <c r="S26" i="11"/>
  <c r="S27" i="11"/>
  <c r="S28" i="11"/>
  <c r="S29" i="11"/>
  <c r="S218" i="11"/>
  <c r="S235" i="11"/>
  <c r="S236" i="11"/>
  <c r="S145" i="11"/>
  <c r="S200" i="11"/>
  <c r="S253" i="11"/>
  <c r="S306" i="11"/>
  <c r="S404" i="11"/>
  <c r="S434" i="11"/>
  <c r="S486" i="11"/>
  <c r="S386" i="11"/>
  <c r="S387" i="11"/>
  <c r="S501" i="11"/>
  <c r="S391" i="11"/>
  <c r="S392" i="11"/>
  <c r="S399" i="11"/>
  <c r="S439" i="11"/>
  <c r="S440" i="11"/>
  <c r="S445" i="11"/>
  <c r="S482" i="11"/>
  <c r="S483" i="11"/>
  <c r="S484" i="11"/>
  <c r="S492" i="11"/>
  <c r="S493" i="11"/>
  <c r="S497" i="11"/>
  <c r="S347" i="11"/>
  <c r="S368" i="11"/>
  <c r="S369" i="11"/>
  <c r="S406" i="11"/>
  <c r="S407" i="11"/>
  <c r="S408" i="11"/>
  <c r="S409" i="11"/>
  <c r="S416" i="11"/>
  <c r="S417" i="11"/>
  <c r="S418" i="11"/>
  <c r="S419" i="11"/>
  <c r="S428" i="11"/>
  <c r="S429" i="11"/>
  <c r="S430" i="11"/>
  <c r="S431" i="11"/>
  <c r="S402" i="11"/>
  <c r="S413" i="11"/>
  <c r="S2" i="11"/>
  <c r="N21" i="11"/>
  <c r="O21" i="11"/>
  <c r="P21" i="11"/>
  <c r="R21" i="11"/>
  <c r="F35" i="4" l="1"/>
  <c r="G35" i="4"/>
  <c r="L35" i="4"/>
  <c r="P35" i="4"/>
  <c r="F18" i="3"/>
  <c r="Q18" i="3" s="1"/>
  <c r="G18" i="3"/>
  <c r="R18" i="3" s="1"/>
  <c r="G36" i="4"/>
  <c r="I36" i="4" s="1"/>
  <c r="F36" i="4"/>
  <c r="H36" i="4" s="1"/>
  <c r="G34" i="4"/>
  <c r="I34" i="4" s="1"/>
  <c r="F34" i="4"/>
  <c r="H34" i="4" s="1"/>
  <c r="G33" i="4"/>
  <c r="I33" i="4" s="1"/>
  <c r="F33" i="4"/>
  <c r="H33" i="4" s="1"/>
  <c r="G32" i="4"/>
  <c r="I32" i="4" s="1"/>
  <c r="F32" i="4"/>
  <c r="H32" i="4" s="1"/>
  <c r="G31" i="4"/>
  <c r="I31" i="4" s="1"/>
  <c r="F31" i="4"/>
  <c r="H31" i="4" s="1"/>
  <c r="G29" i="4"/>
  <c r="I29" i="4" s="1"/>
  <c r="F29" i="4"/>
  <c r="H29" i="4" s="1"/>
  <c r="G28" i="4"/>
  <c r="I28" i="4" s="1"/>
  <c r="F28" i="4"/>
  <c r="H28" i="4" s="1"/>
  <c r="G27" i="4"/>
  <c r="I27" i="4" s="1"/>
  <c r="F27" i="4"/>
  <c r="H27" i="4" s="1"/>
  <c r="G26" i="4"/>
  <c r="I26" i="4" s="1"/>
  <c r="F26" i="4"/>
  <c r="H26" i="4" s="1"/>
  <c r="G24" i="4"/>
  <c r="I24" i="4" s="1"/>
  <c r="F24" i="4"/>
  <c r="H24" i="4" s="1"/>
  <c r="G23" i="4"/>
  <c r="I23" i="4" s="1"/>
  <c r="F23" i="4"/>
  <c r="H23" i="4" s="1"/>
  <c r="G22" i="4"/>
  <c r="I22" i="4" s="1"/>
  <c r="F22" i="4"/>
  <c r="H22" i="4" s="1"/>
  <c r="G21" i="4"/>
  <c r="I21" i="4" s="1"/>
  <c r="F21" i="4"/>
  <c r="H21" i="4" s="1"/>
  <c r="G30" i="4"/>
  <c r="I30" i="4" s="1"/>
  <c r="F30" i="4"/>
  <c r="H30" i="4" s="1"/>
  <c r="G20" i="4"/>
  <c r="I20" i="4" s="1"/>
  <c r="F20" i="4"/>
  <c r="H20" i="4" s="1"/>
  <c r="G19" i="4"/>
  <c r="I19" i="4" s="1"/>
  <c r="F19" i="4"/>
  <c r="H19" i="4" s="1"/>
  <c r="G18" i="4"/>
  <c r="I18" i="4" s="1"/>
  <c r="F18" i="4"/>
  <c r="H18" i="4" s="1"/>
  <c r="G17" i="4"/>
  <c r="I17" i="4" s="1"/>
  <c r="F17" i="4"/>
  <c r="H17" i="4" s="1"/>
  <c r="G16" i="4"/>
  <c r="I16" i="4" s="1"/>
  <c r="F16" i="4"/>
  <c r="H16" i="4" s="1"/>
  <c r="G15" i="4"/>
  <c r="I15" i="4" s="1"/>
  <c r="F15" i="4"/>
  <c r="H15" i="4" s="1"/>
  <c r="G14" i="4"/>
  <c r="I14" i="4" s="1"/>
  <c r="F14" i="4"/>
  <c r="H14" i="4" s="1"/>
  <c r="G13" i="4"/>
  <c r="I13" i="4" s="1"/>
  <c r="F13" i="4"/>
  <c r="H13" i="4" s="1"/>
  <c r="G12" i="4"/>
  <c r="I12" i="4" s="1"/>
  <c r="F12" i="4"/>
  <c r="H12" i="4" s="1"/>
  <c r="G11" i="4"/>
  <c r="I11" i="4" s="1"/>
  <c r="F11" i="4"/>
  <c r="H11" i="4" s="1"/>
  <c r="G10" i="4"/>
  <c r="I10" i="4" s="1"/>
  <c r="F10" i="4"/>
  <c r="H10" i="4" s="1"/>
  <c r="G8" i="4"/>
  <c r="I8" i="4" s="1"/>
  <c r="F8" i="4"/>
  <c r="H8" i="4" s="1"/>
  <c r="G7" i="4"/>
  <c r="I7" i="4" s="1"/>
  <c r="F7" i="4"/>
  <c r="H7" i="4" s="1"/>
  <c r="G6" i="4"/>
  <c r="I6" i="4" s="1"/>
  <c r="F6" i="4"/>
  <c r="H6" i="4" s="1"/>
  <c r="G5" i="4"/>
  <c r="I5" i="4" s="1"/>
  <c r="F5" i="4"/>
  <c r="H5" i="4" s="1"/>
  <c r="G9" i="4"/>
  <c r="I9" i="4" s="1"/>
  <c r="F9" i="4"/>
  <c r="H9" i="4" s="1"/>
  <c r="G4" i="4"/>
  <c r="I4" i="4" s="1"/>
  <c r="F4" i="4"/>
  <c r="H4" i="4" s="1"/>
  <c r="G3" i="4"/>
  <c r="I3" i="4" s="1"/>
  <c r="F3" i="4"/>
  <c r="H3" i="4" s="1"/>
  <c r="G2" i="4"/>
  <c r="F2" i="4"/>
  <c r="F7" i="3"/>
  <c r="G7" i="3"/>
  <c r="I7" i="3" s="1"/>
  <c r="F9" i="3"/>
  <c r="G9" i="3"/>
  <c r="I9" i="3" s="1"/>
  <c r="F11" i="3"/>
  <c r="G11" i="3"/>
  <c r="I11" i="3" s="1"/>
  <c r="F12" i="3"/>
  <c r="G12" i="3"/>
  <c r="I12" i="3" s="1"/>
  <c r="F23" i="3"/>
  <c r="G23" i="3"/>
  <c r="I23" i="3" s="1"/>
  <c r="F26" i="3"/>
  <c r="G26" i="3"/>
  <c r="I26" i="3" s="1"/>
  <c r="F20" i="3"/>
  <c r="G20" i="3"/>
  <c r="I20" i="3" s="1"/>
  <c r="F30" i="3"/>
  <c r="G30" i="3"/>
  <c r="I30" i="3" s="1"/>
  <c r="F31" i="3"/>
  <c r="G31" i="3"/>
  <c r="I31" i="3" s="1"/>
  <c r="F22" i="3"/>
  <c r="G22" i="3"/>
  <c r="I22" i="3" s="1"/>
  <c r="F32" i="3"/>
  <c r="G32" i="3"/>
  <c r="I32" i="3" s="1"/>
  <c r="F33" i="3"/>
  <c r="G33" i="3"/>
  <c r="I33" i="3" s="1"/>
  <c r="F28" i="3"/>
  <c r="G28" i="3"/>
  <c r="I28" i="3" s="1"/>
  <c r="J3" i="8"/>
  <c r="F27" i="3"/>
  <c r="G35" i="3"/>
  <c r="I35" i="3" s="1"/>
  <c r="G36" i="3"/>
  <c r="I36" i="3" s="1"/>
  <c r="F25" i="3"/>
  <c r="F15" i="3"/>
  <c r="F34" i="3"/>
  <c r="O3" i="11"/>
  <c r="O4" i="11"/>
  <c r="O5" i="11"/>
  <c r="O9" i="11"/>
  <c r="O10" i="11"/>
  <c r="O11" i="11"/>
  <c r="O12" i="11"/>
  <c r="O18" i="11"/>
  <c r="O19" i="11"/>
  <c r="O20" i="11"/>
  <c r="O33" i="11"/>
  <c r="O35" i="11"/>
  <c r="O34" i="11"/>
  <c r="O37" i="11"/>
  <c r="O40" i="11"/>
  <c r="O36" i="11"/>
  <c r="O38" i="11"/>
  <c r="O39" i="11"/>
  <c r="O7" i="11"/>
  <c r="O6" i="11"/>
  <c r="O8" i="11"/>
  <c r="O13" i="11"/>
  <c r="O14" i="11"/>
  <c r="O15" i="11"/>
  <c r="O22" i="11"/>
  <c r="O23" i="11"/>
  <c r="O24" i="11"/>
  <c r="O25" i="11"/>
  <c r="O45" i="11"/>
  <c r="O46" i="11"/>
  <c r="O47" i="11"/>
  <c r="O48" i="11"/>
  <c r="O49" i="11"/>
  <c r="O50" i="11"/>
  <c r="O51" i="11"/>
  <c r="O52" i="11"/>
  <c r="O53" i="11"/>
  <c r="O55" i="11"/>
  <c r="O57" i="11"/>
  <c r="O59" i="11"/>
  <c r="O54" i="11"/>
  <c r="O56" i="11"/>
  <c r="O58" i="11"/>
  <c r="O60" i="11"/>
  <c r="O69" i="11"/>
  <c r="O71" i="11"/>
  <c r="O73" i="11"/>
  <c r="O75" i="11"/>
  <c r="O70" i="11"/>
  <c r="O72" i="11"/>
  <c r="O74" i="11"/>
  <c r="O76" i="11"/>
  <c r="O44" i="11"/>
  <c r="O43" i="11"/>
  <c r="O41" i="11"/>
  <c r="O61" i="11"/>
  <c r="O62" i="11"/>
  <c r="O63" i="11"/>
  <c r="O64" i="11"/>
  <c r="O77" i="11"/>
  <c r="O78" i="11"/>
  <c r="O79" i="11"/>
  <c r="O80" i="11"/>
  <c r="O414" i="11"/>
  <c r="O415" i="11"/>
  <c r="O424" i="11"/>
  <c r="O425" i="11"/>
  <c r="O426" i="11"/>
  <c r="O427" i="11"/>
  <c r="O155" i="11"/>
  <c r="O164" i="11"/>
  <c r="O165" i="11"/>
  <c r="O30" i="11"/>
  <c r="O31" i="11"/>
  <c r="O32" i="11"/>
  <c r="O90" i="11"/>
  <c r="O91" i="11"/>
  <c r="O184" i="11"/>
  <c r="O119" i="11"/>
  <c r="O120" i="11"/>
  <c r="O121" i="11"/>
  <c r="O127" i="11"/>
  <c r="O128" i="11"/>
  <c r="O129" i="11"/>
  <c r="O177" i="11"/>
  <c r="O178" i="11"/>
  <c r="O179" i="11"/>
  <c r="O186" i="11"/>
  <c r="O192" i="11"/>
  <c r="O478" i="11"/>
  <c r="O246" i="11"/>
  <c r="O247" i="11"/>
  <c r="O248" i="11"/>
  <c r="O266" i="11"/>
  <c r="O267" i="11"/>
  <c r="O256" i="11"/>
  <c r="O294" i="11"/>
  <c r="O295" i="11"/>
  <c r="O296" i="11"/>
  <c r="O303" i="11"/>
  <c r="O325" i="11"/>
  <c r="O304" i="11"/>
  <c r="O382" i="11"/>
  <c r="O383" i="11"/>
  <c r="O433" i="11"/>
  <c r="O400" i="11"/>
  <c r="O401" i="11"/>
  <c r="O446" i="11"/>
  <c r="O447" i="11"/>
  <c r="O479" i="11"/>
  <c r="O480" i="11"/>
  <c r="O498" i="11"/>
  <c r="O499" i="11"/>
  <c r="O500" i="11"/>
  <c r="O518" i="11"/>
  <c r="O519" i="11"/>
  <c r="O520" i="11"/>
  <c r="O527" i="11"/>
  <c r="O530" i="11"/>
  <c r="O538" i="11"/>
  <c r="O92" i="11"/>
  <c r="O93" i="11"/>
  <c r="O103" i="11"/>
  <c r="O130" i="11"/>
  <c r="O180" i="11"/>
  <c r="O193" i="11"/>
  <c r="O249" i="11"/>
  <c r="O268" i="11"/>
  <c r="O297" i="11"/>
  <c r="O305" i="11"/>
  <c r="O384" i="11"/>
  <c r="O385" i="11"/>
  <c r="O393" i="11"/>
  <c r="O448" i="11"/>
  <c r="O449" i="11"/>
  <c r="O481" i="11"/>
  <c r="O487" i="11"/>
  <c r="O491" i="11"/>
  <c r="O526" i="11"/>
  <c r="O532" i="11"/>
  <c r="O539" i="11"/>
  <c r="O118" i="11"/>
  <c r="O110" i="11"/>
  <c r="O111" i="11"/>
  <c r="O112" i="11"/>
  <c r="O113" i="11"/>
  <c r="O140" i="11"/>
  <c r="O133" i="11"/>
  <c r="O134" i="11"/>
  <c r="O135" i="11"/>
  <c r="O136" i="11"/>
  <c r="O176" i="11"/>
  <c r="O169" i="11"/>
  <c r="O170" i="11"/>
  <c r="O171" i="11"/>
  <c r="O191" i="11"/>
  <c r="O187" i="11"/>
  <c r="O188" i="11"/>
  <c r="O185" i="11"/>
  <c r="O237" i="11"/>
  <c r="O245" i="11"/>
  <c r="O238" i="11"/>
  <c r="O239" i="11"/>
  <c r="O240" i="11"/>
  <c r="O259" i="11"/>
  <c r="O555" i="11"/>
  <c r="O552" i="11"/>
  <c r="O260" i="11"/>
  <c r="O261" i="11"/>
  <c r="O262" i="11"/>
  <c r="O553" i="11"/>
  <c r="O288" i="11"/>
  <c r="O289" i="11"/>
  <c r="O299" i="11"/>
  <c r="O300" i="11"/>
  <c r="O319" i="11"/>
  <c r="O374" i="11"/>
  <c r="O375" i="11"/>
  <c r="O554" i="11"/>
  <c r="O376" i="11"/>
  <c r="O381" i="11"/>
  <c r="O394" i="11"/>
  <c r="O395" i="11"/>
  <c r="O398" i="11"/>
  <c r="O389" i="11"/>
  <c r="O390" i="11"/>
  <c r="O441" i="11"/>
  <c r="O436" i="11"/>
  <c r="O437" i="11"/>
  <c r="O470" i="11"/>
  <c r="O438" i="11"/>
  <c r="O471" i="11"/>
  <c r="O472" i="11"/>
  <c r="O473" i="11"/>
  <c r="O494" i="11"/>
  <c r="O298" i="11"/>
  <c r="O496" i="11"/>
  <c r="O89" i="11"/>
  <c r="O101" i="11"/>
  <c r="O102" i="11"/>
  <c r="O114" i="11"/>
  <c r="O115" i="11"/>
  <c r="O116" i="11"/>
  <c r="O117" i="11"/>
  <c r="O137" i="11"/>
  <c r="O126" i="11"/>
  <c r="O138" i="11"/>
  <c r="O139" i="11"/>
  <c r="O172" i="11"/>
  <c r="O173" i="11"/>
  <c r="O174" i="11"/>
  <c r="O175" i="11"/>
  <c r="O189" i="11"/>
  <c r="O190" i="11"/>
  <c r="O241" i="11"/>
  <c r="O242" i="11"/>
  <c r="O243" i="11"/>
  <c r="O244" i="11"/>
  <c r="O263" i="11"/>
  <c r="O254" i="11"/>
  <c r="O255" i="11"/>
  <c r="O264" i="11"/>
  <c r="O269" i="11"/>
  <c r="O290" i="11"/>
  <c r="O291" i="11"/>
  <c r="O292" i="11"/>
  <c r="O293" i="11"/>
  <c r="O301" i="11"/>
  <c r="O302" i="11"/>
  <c r="O489" i="11"/>
  <c r="O377" i="11"/>
  <c r="O378" i="11"/>
  <c r="O379" i="11"/>
  <c r="O380" i="11"/>
  <c r="O388" i="11"/>
  <c r="O396" i="11"/>
  <c r="O397" i="11"/>
  <c r="O405" i="11"/>
  <c r="O432" i="11"/>
  <c r="O435" i="11"/>
  <c r="O442" i="11"/>
  <c r="O443" i="11"/>
  <c r="O444" i="11"/>
  <c r="O474" i="11"/>
  <c r="O475" i="11"/>
  <c r="O476" i="11"/>
  <c r="O477" i="11"/>
  <c r="O495" i="11"/>
  <c r="O490" i="11"/>
  <c r="O510" i="11"/>
  <c r="O511" i="11"/>
  <c r="O512" i="11"/>
  <c r="O517" i="11"/>
  <c r="O522" i="11"/>
  <c r="O524" i="11"/>
  <c r="O534" i="11"/>
  <c r="O536" i="11"/>
  <c r="O513" i="11"/>
  <c r="O514" i="11"/>
  <c r="O515" i="11"/>
  <c r="O516" i="11"/>
  <c r="O523" i="11"/>
  <c r="O525" i="11"/>
  <c r="O535" i="11"/>
  <c r="O537" i="11"/>
  <c r="O125" i="11"/>
  <c r="O154" i="11"/>
  <c r="O163" i="11"/>
  <c r="O65" i="11"/>
  <c r="O66" i="11"/>
  <c r="O67" i="11"/>
  <c r="O82" i="11"/>
  <c r="O83" i="11"/>
  <c r="O85" i="11"/>
  <c r="O86" i="11"/>
  <c r="O68" i="11"/>
  <c r="O87" i="11"/>
  <c r="O88" i="11"/>
  <c r="O370" i="11"/>
  <c r="O371" i="11"/>
  <c r="O348" i="11"/>
  <c r="O349" i="11"/>
  <c r="O372" i="11"/>
  <c r="O373" i="11"/>
  <c r="O122" i="11"/>
  <c r="O123" i="11"/>
  <c r="O124" i="11"/>
  <c r="O131" i="11"/>
  <c r="O132" i="11"/>
  <c r="O141" i="11"/>
  <c r="O181" i="11"/>
  <c r="O182" i="11"/>
  <c r="O183" i="11"/>
  <c r="O250" i="11"/>
  <c r="O251" i="11"/>
  <c r="O257" i="11"/>
  <c r="O258" i="11"/>
  <c r="O265" i="11"/>
  <c r="O485" i="11"/>
  <c r="O94" i="11"/>
  <c r="O95" i="11"/>
  <c r="O96" i="11"/>
  <c r="O97" i="11"/>
  <c r="O99" i="11"/>
  <c r="O104" i="11"/>
  <c r="O100" i="11"/>
  <c r="O105" i="11"/>
  <c r="O106" i="11"/>
  <c r="O107" i="11"/>
  <c r="O108" i="11"/>
  <c r="O109" i="11"/>
  <c r="O98" i="11"/>
  <c r="O252" i="11"/>
  <c r="O142" i="11"/>
  <c r="O143" i="11"/>
  <c r="O144" i="11"/>
  <c r="O146" i="11"/>
  <c r="O150" i="11"/>
  <c r="O151" i="11"/>
  <c r="O152" i="11"/>
  <c r="O153" i="11"/>
  <c r="O159" i="11"/>
  <c r="O160" i="11"/>
  <c r="O161" i="11"/>
  <c r="O162" i="11"/>
  <c r="O198" i="11"/>
  <c r="O201" i="11"/>
  <c r="O197" i="11"/>
  <c r="O203" i="11"/>
  <c r="O205" i="11"/>
  <c r="O207" i="11"/>
  <c r="O209" i="11"/>
  <c r="O211" i="11"/>
  <c r="O221" i="11"/>
  <c r="O223" i="11"/>
  <c r="O225" i="11"/>
  <c r="O227" i="11"/>
  <c r="O276" i="11"/>
  <c r="O286" i="11"/>
  <c r="O287" i="11"/>
  <c r="O147" i="11"/>
  <c r="O148" i="11"/>
  <c r="O149" i="11"/>
  <c r="O156" i="11"/>
  <c r="O157" i="11"/>
  <c r="O158" i="11"/>
  <c r="O166" i="11"/>
  <c r="O167" i="11"/>
  <c r="O168" i="11"/>
  <c r="O337" i="11"/>
  <c r="O341" i="11"/>
  <c r="O350" i="11"/>
  <c r="O351" i="11"/>
  <c r="O359" i="11"/>
  <c r="O360" i="11"/>
  <c r="O363" i="11"/>
  <c r="O212" i="11"/>
  <c r="O213" i="11"/>
  <c r="O214" i="11"/>
  <c r="O215" i="11"/>
  <c r="O229" i="11"/>
  <c r="O230" i="11"/>
  <c r="O231" i="11"/>
  <c r="O216" i="11"/>
  <c r="O217" i="11"/>
  <c r="O232" i="11"/>
  <c r="O233" i="11"/>
  <c r="O234" i="11"/>
  <c r="O272" i="11"/>
  <c r="O273" i="11"/>
  <c r="O279" i="11"/>
  <c r="O280" i="11"/>
  <c r="O283" i="11"/>
  <c r="O284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20" i="11"/>
  <c r="O328" i="11"/>
  <c r="O332" i="11"/>
  <c r="O327" i="11"/>
  <c r="O321" i="11"/>
  <c r="O333" i="11"/>
  <c r="O322" i="11"/>
  <c r="O329" i="11"/>
  <c r="O335" i="11"/>
  <c r="O323" i="11"/>
  <c r="O330" i="11"/>
  <c r="O336" i="11"/>
  <c r="O339" i="11"/>
  <c r="O344" i="11"/>
  <c r="O342" i="11"/>
  <c r="O343" i="11"/>
  <c r="O345" i="11"/>
  <c r="O346" i="11"/>
  <c r="O354" i="11"/>
  <c r="O357" i="11"/>
  <c r="O355" i="11"/>
  <c r="O358" i="11"/>
  <c r="O362" i="11"/>
  <c r="O365" i="11"/>
  <c r="O270" i="11"/>
  <c r="O271" i="11"/>
  <c r="O274" i="11"/>
  <c r="O275" i="11"/>
  <c r="O277" i="11"/>
  <c r="O278" i="11"/>
  <c r="O281" i="11"/>
  <c r="O282" i="11"/>
  <c r="O285" i="11"/>
  <c r="O195" i="11"/>
  <c r="O196" i="11"/>
  <c r="O199" i="11"/>
  <c r="O202" i="11"/>
  <c r="O208" i="11"/>
  <c r="O210" i="11"/>
  <c r="O206" i="11"/>
  <c r="O219" i="11"/>
  <c r="O222" i="11"/>
  <c r="O224" i="11"/>
  <c r="O226" i="11"/>
  <c r="O228" i="11"/>
  <c r="O410" i="11"/>
  <c r="O420" i="11"/>
  <c r="O421" i="11"/>
  <c r="O422" i="11"/>
  <c r="O411" i="11"/>
  <c r="O16" i="11"/>
  <c r="O17" i="11"/>
  <c r="O26" i="11"/>
  <c r="O27" i="11"/>
  <c r="O28" i="11"/>
  <c r="O29" i="11"/>
  <c r="O218" i="11"/>
  <c r="O235" i="11"/>
  <c r="O236" i="11"/>
  <c r="O145" i="11"/>
  <c r="O200" i="11"/>
  <c r="O253" i="11"/>
  <c r="O306" i="11"/>
  <c r="O404" i="11"/>
  <c r="O434" i="11"/>
  <c r="O486" i="11"/>
  <c r="O386" i="11"/>
  <c r="O387" i="11"/>
  <c r="O501" i="11"/>
  <c r="O391" i="11"/>
  <c r="O392" i="11"/>
  <c r="O399" i="11"/>
  <c r="O439" i="11"/>
  <c r="O440" i="11"/>
  <c r="O445" i="11"/>
  <c r="O482" i="11"/>
  <c r="O483" i="11"/>
  <c r="O484" i="11"/>
  <c r="O492" i="11"/>
  <c r="O493" i="11"/>
  <c r="O497" i="11"/>
  <c r="O347" i="11"/>
  <c r="O368" i="11"/>
  <c r="O369" i="11"/>
  <c r="O406" i="11"/>
  <c r="O407" i="11"/>
  <c r="O408" i="11"/>
  <c r="O409" i="11"/>
  <c r="O416" i="11"/>
  <c r="O417" i="11"/>
  <c r="O418" i="11"/>
  <c r="O419" i="11"/>
  <c r="O428" i="11"/>
  <c r="O429" i="11"/>
  <c r="O430" i="11"/>
  <c r="O431" i="11"/>
  <c r="O402" i="11"/>
  <c r="O413" i="11"/>
  <c r="O2" i="11"/>
  <c r="R413" i="11"/>
  <c r="P413" i="11"/>
  <c r="N413" i="11"/>
  <c r="R402" i="11"/>
  <c r="P402" i="11"/>
  <c r="N402" i="11"/>
  <c r="R431" i="11"/>
  <c r="P431" i="11"/>
  <c r="N431" i="11"/>
  <c r="R430" i="11"/>
  <c r="P430" i="11"/>
  <c r="N430" i="11"/>
  <c r="R429" i="11"/>
  <c r="P429" i="11"/>
  <c r="N429" i="11"/>
  <c r="R428" i="11"/>
  <c r="P428" i="11"/>
  <c r="N428" i="11"/>
  <c r="R419" i="11"/>
  <c r="P419" i="11"/>
  <c r="N419" i="11"/>
  <c r="R418" i="11"/>
  <c r="P418" i="11"/>
  <c r="N418" i="11"/>
  <c r="R417" i="11"/>
  <c r="P417" i="11"/>
  <c r="N417" i="11"/>
  <c r="R416" i="11"/>
  <c r="P416" i="11"/>
  <c r="N416" i="11"/>
  <c r="R409" i="11"/>
  <c r="P409" i="11"/>
  <c r="N409" i="11"/>
  <c r="R408" i="11"/>
  <c r="P408" i="11"/>
  <c r="N408" i="11"/>
  <c r="R407" i="11"/>
  <c r="P407" i="11"/>
  <c r="N407" i="11"/>
  <c r="R406" i="11"/>
  <c r="P406" i="11"/>
  <c r="N406" i="11"/>
  <c r="R369" i="11"/>
  <c r="P369" i="11"/>
  <c r="N369" i="11"/>
  <c r="R368" i="11"/>
  <c r="P368" i="11"/>
  <c r="N368" i="11"/>
  <c r="R347" i="11"/>
  <c r="P347" i="11"/>
  <c r="N347" i="11"/>
  <c r="R497" i="11"/>
  <c r="P497" i="11"/>
  <c r="N497" i="11"/>
  <c r="R493" i="11"/>
  <c r="P493" i="11"/>
  <c r="N493" i="11"/>
  <c r="R492" i="11"/>
  <c r="P492" i="11"/>
  <c r="N492" i="11"/>
  <c r="R484" i="11"/>
  <c r="P484" i="11"/>
  <c r="N484" i="11"/>
  <c r="R483" i="11"/>
  <c r="P483" i="11"/>
  <c r="N483" i="11"/>
  <c r="R482" i="11"/>
  <c r="P482" i="11"/>
  <c r="N482" i="11"/>
  <c r="R445" i="11"/>
  <c r="P445" i="11"/>
  <c r="N445" i="11"/>
  <c r="R440" i="11"/>
  <c r="P440" i="11"/>
  <c r="N440" i="11"/>
  <c r="R439" i="11"/>
  <c r="P439" i="11"/>
  <c r="N439" i="11"/>
  <c r="R399" i="11"/>
  <c r="P399" i="11"/>
  <c r="N399" i="11"/>
  <c r="R392" i="11"/>
  <c r="P392" i="11"/>
  <c r="N392" i="11"/>
  <c r="R391" i="11"/>
  <c r="P391" i="11"/>
  <c r="N391" i="11"/>
  <c r="R501" i="11"/>
  <c r="P501" i="11"/>
  <c r="N501" i="11"/>
  <c r="R387" i="11"/>
  <c r="P387" i="11"/>
  <c r="N387" i="11"/>
  <c r="R386" i="11"/>
  <c r="P386" i="11"/>
  <c r="N386" i="11"/>
  <c r="R486" i="11"/>
  <c r="P486" i="11"/>
  <c r="N486" i="11"/>
  <c r="R434" i="11"/>
  <c r="P434" i="11"/>
  <c r="N434" i="11"/>
  <c r="R404" i="11"/>
  <c r="P404" i="11"/>
  <c r="N404" i="11"/>
  <c r="R306" i="11"/>
  <c r="P306" i="11"/>
  <c r="N306" i="11"/>
  <c r="R253" i="11"/>
  <c r="P253" i="11"/>
  <c r="N253" i="11"/>
  <c r="R200" i="11"/>
  <c r="P200" i="11"/>
  <c r="N200" i="11"/>
  <c r="R145" i="11"/>
  <c r="P145" i="11"/>
  <c r="N145" i="11"/>
  <c r="R236" i="11"/>
  <c r="P236" i="11"/>
  <c r="N236" i="11"/>
  <c r="R235" i="11"/>
  <c r="P235" i="11"/>
  <c r="N235" i="11"/>
  <c r="R218" i="11"/>
  <c r="P218" i="11"/>
  <c r="N218" i="11"/>
  <c r="R29" i="11"/>
  <c r="P29" i="11"/>
  <c r="N29" i="11"/>
  <c r="R28" i="11"/>
  <c r="P28" i="11"/>
  <c r="N28" i="11"/>
  <c r="R27" i="11"/>
  <c r="P27" i="11"/>
  <c r="N27" i="11"/>
  <c r="R26" i="11"/>
  <c r="P26" i="11"/>
  <c r="N26" i="11"/>
  <c r="R17" i="11"/>
  <c r="P17" i="11"/>
  <c r="N17" i="11"/>
  <c r="R16" i="11"/>
  <c r="P16" i="11"/>
  <c r="N16" i="11"/>
  <c r="R411" i="11"/>
  <c r="P411" i="11"/>
  <c r="N411" i="11"/>
  <c r="R422" i="11"/>
  <c r="P422" i="11"/>
  <c r="N422" i="11"/>
  <c r="R421" i="11"/>
  <c r="P421" i="11"/>
  <c r="N421" i="11"/>
  <c r="R420" i="11"/>
  <c r="P420" i="11"/>
  <c r="N420" i="11"/>
  <c r="R410" i="11"/>
  <c r="P410" i="11"/>
  <c r="N410" i="11"/>
  <c r="R228" i="11"/>
  <c r="P228" i="11"/>
  <c r="N228" i="11"/>
  <c r="R226" i="11"/>
  <c r="P226" i="11"/>
  <c r="N226" i="11"/>
  <c r="R224" i="11"/>
  <c r="P224" i="11"/>
  <c r="N224" i="11"/>
  <c r="R222" i="11"/>
  <c r="P222" i="11"/>
  <c r="N222" i="11"/>
  <c r="R219" i="11"/>
  <c r="P219" i="11"/>
  <c r="N219" i="11"/>
  <c r="R206" i="11"/>
  <c r="P206" i="11"/>
  <c r="N206" i="11"/>
  <c r="R210" i="11"/>
  <c r="P210" i="11"/>
  <c r="N210" i="11"/>
  <c r="R208" i="11"/>
  <c r="P208" i="11"/>
  <c r="N208" i="11"/>
  <c r="R202" i="11"/>
  <c r="P202" i="11"/>
  <c r="N202" i="11"/>
  <c r="R199" i="11"/>
  <c r="P199" i="11"/>
  <c r="N199" i="11"/>
  <c r="R196" i="11"/>
  <c r="P196" i="11"/>
  <c r="N196" i="11"/>
  <c r="R195" i="11"/>
  <c r="P195" i="11"/>
  <c r="N195" i="11"/>
  <c r="R285" i="11"/>
  <c r="P285" i="11"/>
  <c r="N285" i="11"/>
  <c r="R282" i="11"/>
  <c r="P282" i="11"/>
  <c r="N282" i="11"/>
  <c r="R281" i="11"/>
  <c r="P281" i="11"/>
  <c r="N281" i="11"/>
  <c r="R278" i="11"/>
  <c r="P278" i="11"/>
  <c r="N278" i="11"/>
  <c r="R277" i="11"/>
  <c r="P277" i="11"/>
  <c r="N277" i="11"/>
  <c r="R275" i="11"/>
  <c r="P275" i="11"/>
  <c r="N275" i="11"/>
  <c r="R274" i="11"/>
  <c r="P274" i="11"/>
  <c r="N274" i="11"/>
  <c r="R271" i="11"/>
  <c r="P271" i="11"/>
  <c r="N271" i="11"/>
  <c r="R270" i="11"/>
  <c r="P270" i="11"/>
  <c r="N270" i="11"/>
  <c r="R365" i="11"/>
  <c r="P365" i="11"/>
  <c r="N365" i="11"/>
  <c r="R362" i="11"/>
  <c r="P362" i="11"/>
  <c r="N362" i="11"/>
  <c r="R358" i="11"/>
  <c r="P358" i="11"/>
  <c r="N358" i="11"/>
  <c r="R355" i="11"/>
  <c r="P355" i="11"/>
  <c r="N355" i="11"/>
  <c r="R357" i="11"/>
  <c r="P357" i="11"/>
  <c r="N357" i="11"/>
  <c r="R354" i="11"/>
  <c r="P354" i="11"/>
  <c r="N354" i="11"/>
  <c r="R346" i="11"/>
  <c r="P346" i="11"/>
  <c r="N346" i="11"/>
  <c r="R345" i="11"/>
  <c r="P345" i="11"/>
  <c r="N345" i="11"/>
  <c r="R343" i="11"/>
  <c r="P343" i="11"/>
  <c r="N343" i="11"/>
  <c r="R342" i="11"/>
  <c r="P342" i="11"/>
  <c r="N342" i="11"/>
  <c r="R344" i="11"/>
  <c r="P344" i="11"/>
  <c r="N344" i="11"/>
  <c r="R339" i="11"/>
  <c r="P339" i="11"/>
  <c r="N339" i="11"/>
  <c r="R336" i="11"/>
  <c r="P336" i="11"/>
  <c r="N336" i="11"/>
  <c r="R330" i="11"/>
  <c r="P330" i="11"/>
  <c r="N330" i="11"/>
  <c r="R323" i="11"/>
  <c r="P323" i="11"/>
  <c r="N323" i="11"/>
  <c r="R335" i="11"/>
  <c r="P335" i="11"/>
  <c r="N335" i="11"/>
  <c r="R329" i="11"/>
  <c r="P329" i="11"/>
  <c r="N329" i="11"/>
  <c r="R322" i="11"/>
  <c r="P322" i="11"/>
  <c r="N322" i="11"/>
  <c r="R333" i="11"/>
  <c r="P333" i="11"/>
  <c r="N333" i="11"/>
  <c r="R321" i="11"/>
  <c r="P321" i="11"/>
  <c r="N321" i="11"/>
  <c r="R327" i="11"/>
  <c r="P327" i="11"/>
  <c r="N327" i="11"/>
  <c r="R332" i="11"/>
  <c r="P332" i="11"/>
  <c r="N332" i="11"/>
  <c r="R328" i="11"/>
  <c r="P328" i="11"/>
  <c r="N328" i="11"/>
  <c r="R320" i="11"/>
  <c r="P320" i="11"/>
  <c r="N320" i="11"/>
  <c r="R318" i="11"/>
  <c r="P318" i="11"/>
  <c r="N318" i="11"/>
  <c r="R317" i="11"/>
  <c r="P317" i="11"/>
  <c r="N317" i="11"/>
  <c r="R316" i="11"/>
  <c r="P316" i="11"/>
  <c r="N316" i="11"/>
  <c r="R315" i="11"/>
  <c r="P315" i="11"/>
  <c r="N315" i="11"/>
  <c r="R314" i="11"/>
  <c r="P314" i="11"/>
  <c r="N314" i="11"/>
  <c r="R313" i="11"/>
  <c r="P313" i="11"/>
  <c r="N313" i="11"/>
  <c r="R312" i="11"/>
  <c r="P312" i="11"/>
  <c r="N312" i="11"/>
  <c r="R311" i="11"/>
  <c r="P311" i="11"/>
  <c r="N311" i="11"/>
  <c r="R310" i="11"/>
  <c r="P310" i="11"/>
  <c r="N310" i="11"/>
  <c r="R309" i="11"/>
  <c r="P309" i="11"/>
  <c r="N309" i="11"/>
  <c r="R308" i="11"/>
  <c r="P308" i="11"/>
  <c r="N308" i="11"/>
  <c r="R307" i="11"/>
  <c r="P307" i="11"/>
  <c r="N307" i="11"/>
  <c r="R284" i="11"/>
  <c r="P284" i="11"/>
  <c r="N284" i="11"/>
  <c r="R283" i="11"/>
  <c r="P283" i="11"/>
  <c r="N283" i="11"/>
  <c r="R280" i="11"/>
  <c r="P280" i="11"/>
  <c r="N280" i="11"/>
  <c r="R279" i="11"/>
  <c r="P279" i="11"/>
  <c r="N279" i="11"/>
  <c r="R273" i="11"/>
  <c r="P273" i="11"/>
  <c r="N273" i="11"/>
  <c r="R272" i="11"/>
  <c r="P272" i="11"/>
  <c r="N272" i="11"/>
  <c r="R234" i="11"/>
  <c r="P234" i="11"/>
  <c r="N234" i="11"/>
  <c r="R233" i="11"/>
  <c r="P233" i="11"/>
  <c r="N233" i="11"/>
  <c r="R232" i="11"/>
  <c r="P232" i="11"/>
  <c r="N232" i="11"/>
  <c r="R217" i="11"/>
  <c r="P217" i="11"/>
  <c r="N217" i="11"/>
  <c r="R216" i="11"/>
  <c r="P216" i="11"/>
  <c r="N216" i="11"/>
  <c r="R231" i="11"/>
  <c r="P231" i="11"/>
  <c r="N231" i="11"/>
  <c r="R230" i="11"/>
  <c r="P230" i="11"/>
  <c r="N230" i="11"/>
  <c r="R229" i="11"/>
  <c r="P229" i="11"/>
  <c r="N229" i="11"/>
  <c r="R215" i="11"/>
  <c r="P215" i="11"/>
  <c r="N215" i="11"/>
  <c r="R214" i="11"/>
  <c r="P214" i="11"/>
  <c r="N214" i="11"/>
  <c r="R213" i="11"/>
  <c r="P213" i="11"/>
  <c r="N213" i="11"/>
  <c r="R212" i="11"/>
  <c r="P212" i="11"/>
  <c r="N212" i="11"/>
  <c r="R363" i="11"/>
  <c r="P363" i="11"/>
  <c r="N363" i="11"/>
  <c r="R360" i="11"/>
  <c r="P360" i="11"/>
  <c r="N360" i="11"/>
  <c r="R359" i="11"/>
  <c r="P359" i="11"/>
  <c r="N359" i="11"/>
  <c r="R351" i="11"/>
  <c r="P351" i="11"/>
  <c r="N351" i="11"/>
  <c r="R350" i="11"/>
  <c r="P350" i="11"/>
  <c r="N350" i="11"/>
  <c r="R341" i="11"/>
  <c r="P341" i="11"/>
  <c r="N341" i="11"/>
  <c r="R337" i="11"/>
  <c r="P337" i="11"/>
  <c r="N337" i="11"/>
  <c r="R168" i="11"/>
  <c r="P168" i="11"/>
  <c r="N168" i="11"/>
  <c r="R167" i="11"/>
  <c r="P167" i="11"/>
  <c r="N167" i="11"/>
  <c r="R166" i="11"/>
  <c r="P166" i="11"/>
  <c r="N166" i="11"/>
  <c r="R158" i="11"/>
  <c r="P158" i="11"/>
  <c r="N158" i="11"/>
  <c r="R157" i="11"/>
  <c r="P157" i="11"/>
  <c r="N157" i="11"/>
  <c r="R156" i="11"/>
  <c r="P156" i="11"/>
  <c r="N156" i="11"/>
  <c r="R149" i="11"/>
  <c r="P149" i="11"/>
  <c r="N149" i="11"/>
  <c r="R148" i="11"/>
  <c r="P148" i="11"/>
  <c r="N148" i="11"/>
  <c r="R147" i="11"/>
  <c r="P147" i="11"/>
  <c r="N147" i="11"/>
  <c r="R287" i="11"/>
  <c r="P287" i="11"/>
  <c r="N287" i="11"/>
  <c r="R286" i="11"/>
  <c r="P286" i="11"/>
  <c r="N286" i="11"/>
  <c r="R276" i="11"/>
  <c r="P276" i="11"/>
  <c r="N276" i="11"/>
  <c r="R227" i="11"/>
  <c r="P227" i="11"/>
  <c r="N227" i="11"/>
  <c r="R225" i="11"/>
  <c r="P225" i="11"/>
  <c r="N225" i="11"/>
  <c r="R223" i="11"/>
  <c r="P223" i="11"/>
  <c r="N223" i="11"/>
  <c r="R221" i="11"/>
  <c r="P221" i="11"/>
  <c r="N221" i="11"/>
  <c r="R211" i="11"/>
  <c r="P211" i="11"/>
  <c r="N211" i="11"/>
  <c r="R209" i="11"/>
  <c r="P209" i="11"/>
  <c r="N209" i="11"/>
  <c r="R207" i="11"/>
  <c r="P207" i="11"/>
  <c r="N207" i="11"/>
  <c r="R205" i="11"/>
  <c r="P205" i="11"/>
  <c r="N205" i="11"/>
  <c r="R203" i="11"/>
  <c r="P203" i="11"/>
  <c r="N203" i="11"/>
  <c r="R197" i="11"/>
  <c r="P197" i="11"/>
  <c r="N197" i="11"/>
  <c r="R201" i="11"/>
  <c r="P201" i="11"/>
  <c r="N201" i="11"/>
  <c r="R198" i="11"/>
  <c r="P198" i="11"/>
  <c r="N198" i="11"/>
  <c r="R162" i="11"/>
  <c r="P162" i="11"/>
  <c r="N162" i="11"/>
  <c r="R161" i="11"/>
  <c r="P161" i="11"/>
  <c r="N161" i="11"/>
  <c r="R160" i="11"/>
  <c r="P160" i="11"/>
  <c r="N160" i="11"/>
  <c r="R159" i="11"/>
  <c r="P159" i="11"/>
  <c r="N159" i="11"/>
  <c r="R153" i="11"/>
  <c r="P153" i="11"/>
  <c r="N153" i="11"/>
  <c r="R152" i="11"/>
  <c r="P152" i="11"/>
  <c r="N152" i="11"/>
  <c r="R151" i="11"/>
  <c r="P151" i="11"/>
  <c r="N151" i="11"/>
  <c r="R150" i="11"/>
  <c r="P150" i="11"/>
  <c r="N150" i="11"/>
  <c r="R146" i="11"/>
  <c r="P146" i="11"/>
  <c r="N146" i="11"/>
  <c r="R144" i="11"/>
  <c r="P144" i="11"/>
  <c r="N144" i="11"/>
  <c r="R143" i="11"/>
  <c r="P143" i="11"/>
  <c r="N143" i="11"/>
  <c r="R142" i="11"/>
  <c r="P142" i="11"/>
  <c r="N142" i="11"/>
  <c r="R252" i="11"/>
  <c r="P252" i="11"/>
  <c r="N252" i="11"/>
  <c r="R98" i="11"/>
  <c r="P98" i="11"/>
  <c r="N98" i="11"/>
  <c r="R109" i="11"/>
  <c r="P109" i="11"/>
  <c r="N109" i="11"/>
  <c r="R108" i="11"/>
  <c r="P108" i="11"/>
  <c r="N108" i="11"/>
  <c r="R107" i="11"/>
  <c r="P107" i="11"/>
  <c r="N107" i="11"/>
  <c r="R106" i="11"/>
  <c r="P106" i="11"/>
  <c r="N106" i="11"/>
  <c r="R105" i="11"/>
  <c r="P105" i="11"/>
  <c r="N105" i="11"/>
  <c r="R100" i="11"/>
  <c r="P100" i="11"/>
  <c r="N100" i="11"/>
  <c r="R104" i="11"/>
  <c r="P104" i="11"/>
  <c r="N104" i="11"/>
  <c r="R99" i="11"/>
  <c r="P99" i="11"/>
  <c r="N99" i="11"/>
  <c r="R97" i="11"/>
  <c r="P97" i="11"/>
  <c r="N97" i="11"/>
  <c r="R96" i="11"/>
  <c r="P96" i="11"/>
  <c r="N96" i="11"/>
  <c r="R95" i="11"/>
  <c r="P95" i="11"/>
  <c r="N95" i="11"/>
  <c r="R94" i="11"/>
  <c r="P94" i="11"/>
  <c r="N94" i="11"/>
  <c r="R485" i="11"/>
  <c r="P485" i="11"/>
  <c r="N485" i="11"/>
  <c r="R265" i="11"/>
  <c r="P265" i="11"/>
  <c r="N265" i="11"/>
  <c r="R258" i="11"/>
  <c r="P258" i="11"/>
  <c r="N258" i="11"/>
  <c r="R257" i="11"/>
  <c r="P257" i="11"/>
  <c r="N257" i="11"/>
  <c r="R251" i="11"/>
  <c r="P251" i="11"/>
  <c r="N251" i="11"/>
  <c r="R250" i="11"/>
  <c r="P250" i="11"/>
  <c r="N250" i="11"/>
  <c r="R183" i="11"/>
  <c r="P183" i="11"/>
  <c r="N183" i="11"/>
  <c r="R182" i="11"/>
  <c r="P182" i="11"/>
  <c r="N182" i="11"/>
  <c r="R181" i="11"/>
  <c r="P181" i="11"/>
  <c r="N181" i="11"/>
  <c r="R141" i="11"/>
  <c r="P141" i="11"/>
  <c r="N141" i="11"/>
  <c r="R132" i="11"/>
  <c r="P132" i="11"/>
  <c r="N132" i="11"/>
  <c r="R131" i="11"/>
  <c r="P131" i="11"/>
  <c r="N131" i="11"/>
  <c r="R124" i="11"/>
  <c r="P124" i="11"/>
  <c r="N124" i="11"/>
  <c r="R123" i="11"/>
  <c r="P123" i="11"/>
  <c r="N123" i="11"/>
  <c r="R122" i="11"/>
  <c r="P122" i="11"/>
  <c r="N122" i="11"/>
  <c r="R373" i="11"/>
  <c r="P373" i="11"/>
  <c r="N373" i="11"/>
  <c r="R372" i="11"/>
  <c r="P372" i="11"/>
  <c r="N372" i="11"/>
  <c r="R349" i="11"/>
  <c r="P349" i="11"/>
  <c r="N349" i="11"/>
  <c r="R348" i="11"/>
  <c r="P348" i="11"/>
  <c r="N348" i="11"/>
  <c r="R371" i="11"/>
  <c r="P371" i="11"/>
  <c r="N371" i="11"/>
  <c r="R370" i="11"/>
  <c r="P370" i="11"/>
  <c r="N370" i="11"/>
  <c r="R88" i="11"/>
  <c r="P88" i="11"/>
  <c r="N88" i="11"/>
  <c r="R87" i="11"/>
  <c r="P87" i="11"/>
  <c r="N87" i="11"/>
  <c r="R68" i="11"/>
  <c r="P68" i="11"/>
  <c r="N68" i="11"/>
  <c r="R86" i="11"/>
  <c r="P86" i="11"/>
  <c r="N86" i="11"/>
  <c r="R85" i="11"/>
  <c r="P85" i="11"/>
  <c r="N85" i="11"/>
  <c r="R83" i="11"/>
  <c r="P83" i="11"/>
  <c r="N83" i="11"/>
  <c r="R82" i="11"/>
  <c r="P82" i="11"/>
  <c r="N82" i="11"/>
  <c r="R67" i="11"/>
  <c r="P67" i="11"/>
  <c r="N67" i="11"/>
  <c r="R66" i="11"/>
  <c r="P66" i="11"/>
  <c r="N66" i="11"/>
  <c r="R65" i="11"/>
  <c r="P65" i="11"/>
  <c r="N65" i="11"/>
  <c r="R163" i="11"/>
  <c r="P163" i="11"/>
  <c r="N163" i="11"/>
  <c r="R154" i="11"/>
  <c r="P154" i="11"/>
  <c r="N154" i="11"/>
  <c r="R125" i="11"/>
  <c r="P125" i="11"/>
  <c r="N125" i="11"/>
  <c r="R537" i="11"/>
  <c r="P537" i="11"/>
  <c r="N537" i="11"/>
  <c r="R535" i="11"/>
  <c r="P535" i="11"/>
  <c r="N535" i="11"/>
  <c r="R525" i="11"/>
  <c r="P525" i="11"/>
  <c r="N525" i="11"/>
  <c r="R523" i="11"/>
  <c r="P523" i="11"/>
  <c r="N523" i="11"/>
  <c r="R516" i="11"/>
  <c r="P516" i="11"/>
  <c r="N516" i="11"/>
  <c r="R515" i="11"/>
  <c r="P515" i="11"/>
  <c r="N515" i="11"/>
  <c r="R514" i="11"/>
  <c r="P514" i="11"/>
  <c r="N514" i="11"/>
  <c r="R513" i="11"/>
  <c r="P513" i="11"/>
  <c r="N513" i="11"/>
  <c r="R536" i="11"/>
  <c r="P536" i="11"/>
  <c r="N536" i="11"/>
  <c r="R534" i="11"/>
  <c r="P534" i="11"/>
  <c r="N534" i="11"/>
  <c r="R524" i="11"/>
  <c r="P524" i="11"/>
  <c r="N524" i="11"/>
  <c r="R522" i="11"/>
  <c r="P522" i="11"/>
  <c r="N522" i="11"/>
  <c r="R517" i="11"/>
  <c r="P517" i="11"/>
  <c r="N517" i="11"/>
  <c r="R512" i="11"/>
  <c r="P512" i="11"/>
  <c r="N512" i="11"/>
  <c r="R511" i="11"/>
  <c r="P511" i="11"/>
  <c r="N511" i="11"/>
  <c r="R510" i="11"/>
  <c r="P510" i="11"/>
  <c r="N510" i="11"/>
  <c r="R490" i="11"/>
  <c r="P490" i="11"/>
  <c r="N490" i="11"/>
  <c r="R495" i="11"/>
  <c r="P495" i="11"/>
  <c r="N495" i="11"/>
  <c r="R477" i="11"/>
  <c r="P477" i="11"/>
  <c r="N477" i="11"/>
  <c r="R476" i="11"/>
  <c r="P476" i="11"/>
  <c r="N476" i="11"/>
  <c r="R475" i="11"/>
  <c r="P475" i="11"/>
  <c r="N475" i="11"/>
  <c r="R474" i="11"/>
  <c r="P474" i="11"/>
  <c r="N474" i="11"/>
  <c r="R444" i="11"/>
  <c r="P444" i="11"/>
  <c r="N444" i="11"/>
  <c r="R443" i="11"/>
  <c r="P443" i="11"/>
  <c r="N443" i="11"/>
  <c r="R442" i="11"/>
  <c r="P442" i="11"/>
  <c r="N442" i="11"/>
  <c r="R435" i="11"/>
  <c r="P435" i="11"/>
  <c r="N435" i="11"/>
  <c r="R432" i="11"/>
  <c r="P432" i="11"/>
  <c r="N432" i="11"/>
  <c r="R405" i="11"/>
  <c r="P405" i="11"/>
  <c r="N405" i="11"/>
  <c r="R397" i="11"/>
  <c r="P397" i="11"/>
  <c r="N397" i="11"/>
  <c r="R396" i="11"/>
  <c r="P396" i="11"/>
  <c r="N396" i="11"/>
  <c r="R388" i="11"/>
  <c r="P388" i="11"/>
  <c r="N388" i="11"/>
  <c r="R380" i="11"/>
  <c r="P380" i="11"/>
  <c r="N380" i="11"/>
  <c r="R379" i="11"/>
  <c r="P379" i="11"/>
  <c r="N379" i="11"/>
  <c r="R378" i="11"/>
  <c r="P378" i="11"/>
  <c r="N378" i="11"/>
  <c r="R377" i="11"/>
  <c r="P377" i="11"/>
  <c r="N377" i="11"/>
  <c r="R489" i="11"/>
  <c r="P489" i="11"/>
  <c r="N489" i="11"/>
  <c r="R302" i="11"/>
  <c r="P302" i="11"/>
  <c r="N302" i="11"/>
  <c r="R301" i="11"/>
  <c r="P301" i="11"/>
  <c r="N301" i="11"/>
  <c r="R293" i="11"/>
  <c r="P293" i="11"/>
  <c r="N293" i="11"/>
  <c r="R292" i="11"/>
  <c r="P292" i="11"/>
  <c r="N292" i="11"/>
  <c r="R291" i="11"/>
  <c r="P291" i="11"/>
  <c r="N291" i="11"/>
  <c r="R290" i="11"/>
  <c r="P290" i="11"/>
  <c r="N290" i="11"/>
  <c r="R269" i="11"/>
  <c r="P269" i="11"/>
  <c r="N269" i="11"/>
  <c r="R264" i="11"/>
  <c r="P264" i="11"/>
  <c r="N264" i="11"/>
  <c r="R255" i="11"/>
  <c r="P255" i="11"/>
  <c r="N255" i="11"/>
  <c r="R254" i="11"/>
  <c r="P254" i="11"/>
  <c r="N254" i="11"/>
  <c r="R263" i="11"/>
  <c r="P263" i="11"/>
  <c r="N263" i="11"/>
  <c r="R244" i="11"/>
  <c r="P244" i="11"/>
  <c r="N244" i="11"/>
  <c r="R243" i="11"/>
  <c r="P243" i="11"/>
  <c r="N243" i="11"/>
  <c r="R242" i="11"/>
  <c r="P242" i="11"/>
  <c r="N242" i="11"/>
  <c r="R241" i="11"/>
  <c r="P241" i="11"/>
  <c r="N241" i="11"/>
  <c r="R190" i="11"/>
  <c r="P190" i="11"/>
  <c r="N190" i="11"/>
  <c r="R189" i="11"/>
  <c r="P189" i="11"/>
  <c r="N189" i="11"/>
  <c r="R175" i="11"/>
  <c r="P175" i="11"/>
  <c r="N175" i="11"/>
  <c r="R174" i="11"/>
  <c r="P174" i="11"/>
  <c r="N174" i="11"/>
  <c r="R173" i="11"/>
  <c r="P173" i="11"/>
  <c r="N173" i="11"/>
  <c r="R172" i="11"/>
  <c r="P172" i="11"/>
  <c r="N172" i="11"/>
  <c r="R139" i="11"/>
  <c r="P139" i="11"/>
  <c r="N139" i="11"/>
  <c r="R138" i="11"/>
  <c r="P138" i="11"/>
  <c r="N138" i="11"/>
  <c r="R126" i="11"/>
  <c r="P126" i="11"/>
  <c r="N126" i="11"/>
  <c r="R137" i="11"/>
  <c r="P137" i="11"/>
  <c r="N137" i="11"/>
  <c r="R117" i="11"/>
  <c r="P117" i="11"/>
  <c r="N117" i="11"/>
  <c r="R116" i="11"/>
  <c r="P116" i="11"/>
  <c r="N116" i="11"/>
  <c r="R115" i="11"/>
  <c r="P115" i="11"/>
  <c r="N115" i="11"/>
  <c r="R114" i="11"/>
  <c r="P114" i="11"/>
  <c r="N114" i="11"/>
  <c r="R102" i="11"/>
  <c r="P102" i="11"/>
  <c r="N102" i="11"/>
  <c r="R101" i="11"/>
  <c r="P101" i="11"/>
  <c r="N101" i="11"/>
  <c r="R89" i="11"/>
  <c r="P89" i="11"/>
  <c r="N89" i="11"/>
  <c r="R496" i="11"/>
  <c r="P496" i="11"/>
  <c r="N496" i="11"/>
  <c r="R298" i="11"/>
  <c r="P298" i="11"/>
  <c r="N298" i="11"/>
  <c r="R494" i="11"/>
  <c r="P494" i="11"/>
  <c r="N494" i="11"/>
  <c r="R473" i="11"/>
  <c r="P473" i="11"/>
  <c r="N473" i="11"/>
  <c r="R472" i="11"/>
  <c r="P472" i="11"/>
  <c r="N472" i="11"/>
  <c r="R471" i="11"/>
  <c r="P471" i="11"/>
  <c r="N471" i="11"/>
  <c r="R438" i="11"/>
  <c r="P438" i="11"/>
  <c r="N438" i="11"/>
  <c r="R470" i="11"/>
  <c r="P470" i="11"/>
  <c r="N470" i="11"/>
  <c r="R437" i="11"/>
  <c r="P437" i="11"/>
  <c r="N437" i="11"/>
  <c r="R436" i="11"/>
  <c r="P436" i="11"/>
  <c r="N436" i="11"/>
  <c r="R441" i="11"/>
  <c r="P441" i="11"/>
  <c r="N441" i="11"/>
  <c r="R390" i="11"/>
  <c r="P390" i="11"/>
  <c r="N390" i="11"/>
  <c r="R389" i="11"/>
  <c r="P389" i="11"/>
  <c r="N389" i="11"/>
  <c r="R398" i="11"/>
  <c r="P398" i="11"/>
  <c r="N398" i="11"/>
  <c r="R395" i="11"/>
  <c r="P395" i="11"/>
  <c r="N395" i="11"/>
  <c r="R394" i="11"/>
  <c r="P394" i="11"/>
  <c r="N394" i="11"/>
  <c r="R381" i="11"/>
  <c r="P381" i="11"/>
  <c r="N381" i="11"/>
  <c r="R376" i="11"/>
  <c r="P376" i="11"/>
  <c r="N376" i="11"/>
  <c r="R554" i="11"/>
  <c r="P554" i="11"/>
  <c r="N554" i="11"/>
  <c r="R375" i="11"/>
  <c r="P375" i="11"/>
  <c r="N375" i="11"/>
  <c r="R374" i="11"/>
  <c r="P374" i="11"/>
  <c r="N374" i="11"/>
  <c r="R319" i="11"/>
  <c r="P319" i="11"/>
  <c r="N319" i="11"/>
  <c r="R300" i="11"/>
  <c r="P300" i="11"/>
  <c r="N300" i="11"/>
  <c r="R299" i="11"/>
  <c r="P299" i="11"/>
  <c r="N299" i="11"/>
  <c r="R289" i="11"/>
  <c r="P289" i="11"/>
  <c r="N289" i="11"/>
  <c r="R288" i="11"/>
  <c r="P288" i="11"/>
  <c r="N288" i="11"/>
  <c r="R553" i="11"/>
  <c r="P553" i="11"/>
  <c r="N553" i="11"/>
  <c r="R262" i="11"/>
  <c r="P262" i="11"/>
  <c r="N262" i="11"/>
  <c r="R261" i="11"/>
  <c r="P261" i="11"/>
  <c r="N261" i="11"/>
  <c r="R260" i="11"/>
  <c r="P260" i="11"/>
  <c r="N260" i="11"/>
  <c r="R552" i="11"/>
  <c r="P552" i="11"/>
  <c r="N552" i="11"/>
  <c r="R555" i="11"/>
  <c r="P555" i="11"/>
  <c r="N555" i="11"/>
  <c r="R259" i="11"/>
  <c r="P259" i="11"/>
  <c r="N259" i="11"/>
  <c r="R240" i="11"/>
  <c r="P240" i="11"/>
  <c r="N240" i="11"/>
  <c r="R239" i="11"/>
  <c r="P239" i="11"/>
  <c r="N239" i="11"/>
  <c r="R238" i="11"/>
  <c r="P238" i="11"/>
  <c r="N238" i="11"/>
  <c r="R245" i="11"/>
  <c r="P245" i="11"/>
  <c r="N245" i="11"/>
  <c r="R237" i="11"/>
  <c r="P237" i="11"/>
  <c r="N237" i="11"/>
  <c r="R185" i="11"/>
  <c r="P185" i="11"/>
  <c r="N185" i="11"/>
  <c r="R188" i="11"/>
  <c r="P188" i="11"/>
  <c r="N188" i="11"/>
  <c r="R187" i="11"/>
  <c r="P187" i="11"/>
  <c r="N187" i="11"/>
  <c r="R191" i="11"/>
  <c r="P191" i="11"/>
  <c r="N191" i="11"/>
  <c r="R171" i="11"/>
  <c r="P171" i="11"/>
  <c r="N171" i="11"/>
  <c r="R170" i="11"/>
  <c r="P170" i="11"/>
  <c r="N170" i="11"/>
  <c r="R169" i="11"/>
  <c r="P169" i="11"/>
  <c r="N169" i="11"/>
  <c r="R176" i="11"/>
  <c r="P176" i="11"/>
  <c r="N176" i="11"/>
  <c r="R136" i="11"/>
  <c r="P136" i="11"/>
  <c r="N136" i="11"/>
  <c r="R135" i="11"/>
  <c r="P135" i="11"/>
  <c r="N135" i="11"/>
  <c r="R134" i="11"/>
  <c r="P134" i="11"/>
  <c r="N134" i="11"/>
  <c r="R133" i="11"/>
  <c r="P133" i="11"/>
  <c r="N133" i="11"/>
  <c r="R140" i="11"/>
  <c r="P140" i="11"/>
  <c r="N140" i="11"/>
  <c r="R113" i="11"/>
  <c r="P113" i="11"/>
  <c r="N113" i="11"/>
  <c r="R112" i="11"/>
  <c r="P112" i="11"/>
  <c r="N112" i="11"/>
  <c r="R111" i="11"/>
  <c r="P111" i="11"/>
  <c r="N111" i="11"/>
  <c r="R110" i="11"/>
  <c r="P110" i="11"/>
  <c r="N110" i="11"/>
  <c r="R118" i="11"/>
  <c r="P118" i="11"/>
  <c r="N118" i="11"/>
  <c r="R539" i="11"/>
  <c r="P539" i="11"/>
  <c r="N539" i="11"/>
  <c r="R532" i="11"/>
  <c r="P532" i="11"/>
  <c r="N532" i="11"/>
  <c r="R526" i="11"/>
  <c r="P526" i="11"/>
  <c r="N526" i="11"/>
  <c r="R491" i="11"/>
  <c r="P491" i="11"/>
  <c r="N491" i="11"/>
  <c r="R487" i="11"/>
  <c r="P487" i="11"/>
  <c r="N487" i="11"/>
  <c r="R481" i="11"/>
  <c r="P481" i="11"/>
  <c r="N481" i="11"/>
  <c r="R449" i="11"/>
  <c r="P449" i="11"/>
  <c r="N449" i="11"/>
  <c r="R448" i="11"/>
  <c r="P448" i="11"/>
  <c r="N448" i="11"/>
  <c r="R393" i="11"/>
  <c r="P393" i="11"/>
  <c r="N393" i="11"/>
  <c r="R385" i="11"/>
  <c r="P385" i="11"/>
  <c r="N385" i="11"/>
  <c r="R384" i="11"/>
  <c r="P384" i="11"/>
  <c r="N384" i="11"/>
  <c r="R305" i="11"/>
  <c r="P305" i="11"/>
  <c r="N305" i="11"/>
  <c r="R297" i="11"/>
  <c r="P297" i="11"/>
  <c r="N297" i="11"/>
  <c r="R268" i="11"/>
  <c r="P268" i="11"/>
  <c r="N268" i="11"/>
  <c r="R249" i="11"/>
  <c r="P249" i="11"/>
  <c r="N249" i="11"/>
  <c r="R193" i="11"/>
  <c r="P193" i="11"/>
  <c r="N193" i="11"/>
  <c r="R180" i="11"/>
  <c r="P180" i="11"/>
  <c r="N180" i="11"/>
  <c r="R130" i="11"/>
  <c r="P130" i="11"/>
  <c r="N130" i="11"/>
  <c r="R103" i="11"/>
  <c r="P103" i="11"/>
  <c r="N103" i="11"/>
  <c r="R93" i="11"/>
  <c r="P93" i="11"/>
  <c r="N93" i="11"/>
  <c r="R92" i="11"/>
  <c r="P92" i="11"/>
  <c r="N92" i="11"/>
  <c r="R538" i="11"/>
  <c r="P538" i="11"/>
  <c r="N538" i="11"/>
  <c r="R530" i="11"/>
  <c r="P530" i="11"/>
  <c r="N530" i="11"/>
  <c r="R527" i="11"/>
  <c r="P527" i="11"/>
  <c r="N527" i="11"/>
  <c r="R520" i="11"/>
  <c r="P520" i="11"/>
  <c r="N520" i="11"/>
  <c r="R519" i="11"/>
  <c r="P519" i="11"/>
  <c r="N519" i="11"/>
  <c r="R518" i="11"/>
  <c r="P518" i="11"/>
  <c r="N518" i="11"/>
  <c r="R500" i="11"/>
  <c r="P500" i="11"/>
  <c r="N500" i="11"/>
  <c r="R499" i="11"/>
  <c r="P499" i="11"/>
  <c r="N499" i="11"/>
  <c r="R498" i="11"/>
  <c r="P498" i="11"/>
  <c r="N498" i="11"/>
  <c r="R480" i="11"/>
  <c r="P480" i="11"/>
  <c r="N480" i="11"/>
  <c r="R479" i="11"/>
  <c r="P479" i="11"/>
  <c r="N479" i="11"/>
  <c r="R447" i="11"/>
  <c r="P447" i="11"/>
  <c r="N447" i="11"/>
  <c r="R446" i="11"/>
  <c r="P446" i="11"/>
  <c r="N446" i="11"/>
  <c r="R401" i="11"/>
  <c r="P401" i="11"/>
  <c r="N401" i="11"/>
  <c r="R400" i="11"/>
  <c r="P400" i="11"/>
  <c r="N400" i="11"/>
  <c r="R433" i="11"/>
  <c r="P433" i="11"/>
  <c r="N433" i="11"/>
  <c r="R383" i="11"/>
  <c r="P383" i="11"/>
  <c r="N383" i="11"/>
  <c r="R382" i="11"/>
  <c r="P382" i="11"/>
  <c r="N382" i="11"/>
  <c r="R304" i="11"/>
  <c r="P304" i="11"/>
  <c r="N304" i="11"/>
  <c r="R325" i="11"/>
  <c r="P325" i="11"/>
  <c r="N325" i="11"/>
  <c r="R303" i="11"/>
  <c r="P303" i="11"/>
  <c r="N303" i="11"/>
  <c r="R296" i="11"/>
  <c r="P296" i="11"/>
  <c r="N296" i="11"/>
  <c r="R295" i="11"/>
  <c r="P295" i="11"/>
  <c r="N295" i="11"/>
  <c r="R294" i="11"/>
  <c r="P294" i="11"/>
  <c r="N294" i="11"/>
  <c r="R256" i="11"/>
  <c r="P256" i="11"/>
  <c r="N256" i="11"/>
  <c r="R267" i="11"/>
  <c r="P267" i="11"/>
  <c r="N267" i="11"/>
  <c r="R266" i="11"/>
  <c r="P266" i="11"/>
  <c r="N266" i="11"/>
  <c r="R248" i="11"/>
  <c r="P248" i="11"/>
  <c r="N248" i="11"/>
  <c r="R247" i="11"/>
  <c r="P247" i="11"/>
  <c r="N247" i="11"/>
  <c r="R246" i="11"/>
  <c r="P246" i="11"/>
  <c r="N246" i="11"/>
  <c r="R478" i="11"/>
  <c r="P478" i="11"/>
  <c r="N478" i="11"/>
  <c r="R192" i="11"/>
  <c r="P192" i="11"/>
  <c r="N192" i="11"/>
  <c r="R186" i="11"/>
  <c r="P186" i="11"/>
  <c r="N186" i="11"/>
  <c r="R179" i="11"/>
  <c r="P179" i="11"/>
  <c r="N179" i="11"/>
  <c r="R178" i="11"/>
  <c r="P178" i="11"/>
  <c r="N178" i="11"/>
  <c r="R177" i="11"/>
  <c r="P177" i="11"/>
  <c r="N177" i="11"/>
  <c r="R129" i="11"/>
  <c r="P129" i="11"/>
  <c r="N129" i="11"/>
  <c r="R128" i="11"/>
  <c r="P128" i="11"/>
  <c r="N128" i="11"/>
  <c r="R127" i="11"/>
  <c r="P127" i="11"/>
  <c r="N127" i="11"/>
  <c r="R121" i="11"/>
  <c r="P121" i="11"/>
  <c r="N121" i="11"/>
  <c r="R120" i="11"/>
  <c r="P120" i="11"/>
  <c r="N120" i="11"/>
  <c r="R119" i="11"/>
  <c r="P119" i="11"/>
  <c r="N119" i="11"/>
  <c r="R184" i="11"/>
  <c r="P184" i="11"/>
  <c r="N184" i="11"/>
  <c r="R91" i="11"/>
  <c r="P91" i="11"/>
  <c r="N91" i="11"/>
  <c r="R90" i="11"/>
  <c r="P90" i="11"/>
  <c r="N90" i="11"/>
  <c r="R32" i="11"/>
  <c r="P32" i="11"/>
  <c r="N32" i="11"/>
  <c r="R31" i="11"/>
  <c r="P31" i="11"/>
  <c r="N31" i="11"/>
  <c r="R30" i="11"/>
  <c r="P30" i="11"/>
  <c r="N30" i="11"/>
  <c r="R165" i="11"/>
  <c r="P165" i="11"/>
  <c r="N165" i="11"/>
  <c r="R164" i="11"/>
  <c r="P164" i="11"/>
  <c r="N164" i="11"/>
  <c r="R155" i="11"/>
  <c r="P155" i="11"/>
  <c r="N155" i="11"/>
  <c r="R427" i="11"/>
  <c r="P427" i="11"/>
  <c r="N427" i="11"/>
  <c r="R426" i="11"/>
  <c r="P426" i="11"/>
  <c r="N426" i="11"/>
  <c r="R425" i="11"/>
  <c r="P425" i="11"/>
  <c r="N425" i="11"/>
  <c r="R424" i="11"/>
  <c r="P424" i="11"/>
  <c r="N424" i="11"/>
  <c r="R415" i="11"/>
  <c r="P415" i="11"/>
  <c r="N415" i="11"/>
  <c r="R414" i="11"/>
  <c r="P414" i="11"/>
  <c r="N414" i="11"/>
  <c r="R80" i="11"/>
  <c r="P80" i="11"/>
  <c r="N80" i="11"/>
  <c r="R79" i="11"/>
  <c r="P79" i="11"/>
  <c r="N79" i="11"/>
  <c r="R78" i="11"/>
  <c r="P78" i="11"/>
  <c r="N78" i="11"/>
  <c r="R77" i="11"/>
  <c r="P77" i="11"/>
  <c r="N77" i="11"/>
  <c r="R64" i="11"/>
  <c r="P64" i="11"/>
  <c r="N64" i="11"/>
  <c r="R63" i="11"/>
  <c r="P63" i="11"/>
  <c r="N63" i="11"/>
  <c r="R62" i="11"/>
  <c r="P62" i="11"/>
  <c r="N62" i="11"/>
  <c r="R61" i="11"/>
  <c r="P61" i="11"/>
  <c r="N61" i="11"/>
  <c r="R41" i="11"/>
  <c r="P41" i="11"/>
  <c r="N41" i="11"/>
  <c r="R43" i="11"/>
  <c r="P43" i="11"/>
  <c r="N43" i="11"/>
  <c r="R44" i="11"/>
  <c r="P44" i="11"/>
  <c r="N44" i="11"/>
  <c r="R76" i="11"/>
  <c r="P76" i="11"/>
  <c r="N76" i="11"/>
  <c r="R74" i="11"/>
  <c r="P74" i="11"/>
  <c r="N74" i="11"/>
  <c r="R72" i="11"/>
  <c r="P72" i="11"/>
  <c r="N72" i="11"/>
  <c r="R70" i="11"/>
  <c r="P70" i="11"/>
  <c r="N70" i="11"/>
  <c r="R75" i="11"/>
  <c r="P75" i="11"/>
  <c r="N75" i="11"/>
  <c r="R73" i="11"/>
  <c r="P73" i="11"/>
  <c r="N73" i="11"/>
  <c r="R71" i="11"/>
  <c r="P71" i="11"/>
  <c r="N71" i="11"/>
  <c r="R69" i="11"/>
  <c r="P69" i="11"/>
  <c r="N69" i="11"/>
  <c r="R60" i="11"/>
  <c r="P60" i="11"/>
  <c r="N60" i="11"/>
  <c r="R58" i="11"/>
  <c r="P58" i="11"/>
  <c r="N58" i="11"/>
  <c r="R56" i="11"/>
  <c r="P56" i="11"/>
  <c r="N56" i="11"/>
  <c r="R54" i="11"/>
  <c r="P54" i="11"/>
  <c r="N54" i="11"/>
  <c r="R59" i="11"/>
  <c r="P59" i="11"/>
  <c r="N59" i="11"/>
  <c r="R57" i="11"/>
  <c r="P57" i="11"/>
  <c r="N57" i="11"/>
  <c r="R55" i="11"/>
  <c r="P55" i="11"/>
  <c r="N55" i="11"/>
  <c r="R53" i="11"/>
  <c r="P53" i="11"/>
  <c r="N53" i="11"/>
  <c r="R52" i="11"/>
  <c r="P52" i="11"/>
  <c r="N52" i="11"/>
  <c r="R51" i="11"/>
  <c r="P51" i="11"/>
  <c r="N51" i="11"/>
  <c r="R50" i="11"/>
  <c r="P50" i="11"/>
  <c r="N50" i="11"/>
  <c r="R49" i="11"/>
  <c r="P49" i="11"/>
  <c r="N49" i="11"/>
  <c r="R48" i="11"/>
  <c r="P48" i="11"/>
  <c r="N48" i="11"/>
  <c r="R47" i="11"/>
  <c r="P47" i="11"/>
  <c r="N47" i="11"/>
  <c r="R46" i="11"/>
  <c r="P46" i="11"/>
  <c r="N46" i="11"/>
  <c r="R45" i="11"/>
  <c r="P45" i="11"/>
  <c r="N45" i="11"/>
  <c r="R25" i="11"/>
  <c r="P25" i="11"/>
  <c r="N25" i="11"/>
  <c r="R24" i="11"/>
  <c r="P24" i="11"/>
  <c r="N24" i="11"/>
  <c r="R23" i="11"/>
  <c r="P23" i="11"/>
  <c r="N23" i="11"/>
  <c r="R22" i="11"/>
  <c r="P22" i="11"/>
  <c r="N22" i="11"/>
  <c r="R15" i="11"/>
  <c r="P15" i="11"/>
  <c r="N15" i="11"/>
  <c r="R14" i="11"/>
  <c r="P14" i="11"/>
  <c r="N14" i="11"/>
  <c r="R13" i="11"/>
  <c r="P13" i="11"/>
  <c r="N13" i="11"/>
  <c r="R8" i="11"/>
  <c r="P8" i="11"/>
  <c r="N8" i="11"/>
  <c r="R6" i="11"/>
  <c r="P6" i="11"/>
  <c r="N6" i="11"/>
  <c r="R7" i="11"/>
  <c r="P7" i="11"/>
  <c r="N7" i="11"/>
  <c r="R39" i="11"/>
  <c r="P39" i="11"/>
  <c r="N39" i="11"/>
  <c r="R38" i="11"/>
  <c r="P38" i="11"/>
  <c r="N38" i="11"/>
  <c r="R36" i="11"/>
  <c r="P36" i="11"/>
  <c r="N36" i="11"/>
  <c r="R40" i="11"/>
  <c r="P40" i="11"/>
  <c r="N40" i="11"/>
  <c r="R37" i="11"/>
  <c r="P37" i="11"/>
  <c r="N37" i="11"/>
  <c r="R34" i="11"/>
  <c r="P34" i="11"/>
  <c r="N34" i="11"/>
  <c r="R35" i="11"/>
  <c r="P35" i="11"/>
  <c r="N35" i="11"/>
  <c r="R33" i="11"/>
  <c r="P33" i="11"/>
  <c r="N33" i="11"/>
  <c r="R20" i="11"/>
  <c r="P20" i="11"/>
  <c r="N20" i="11"/>
  <c r="R19" i="11"/>
  <c r="P19" i="11"/>
  <c r="N19" i="11"/>
  <c r="R18" i="11"/>
  <c r="P18" i="11"/>
  <c r="N18" i="11"/>
  <c r="R12" i="11"/>
  <c r="P12" i="11"/>
  <c r="N12" i="11"/>
  <c r="R11" i="11"/>
  <c r="P11" i="11"/>
  <c r="N11" i="11"/>
  <c r="R10" i="11"/>
  <c r="P10" i="11"/>
  <c r="N10" i="11"/>
  <c r="R9" i="11"/>
  <c r="P9" i="11"/>
  <c r="N9" i="11"/>
  <c r="R5" i="11"/>
  <c r="P5" i="11"/>
  <c r="N5" i="11"/>
  <c r="R4" i="11"/>
  <c r="P4" i="11"/>
  <c r="N4" i="11"/>
  <c r="R3" i="11"/>
  <c r="P3" i="11"/>
  <c r="N3" i="11"/>
  <c r="R2" i="11"/>
  <c r="Q2" i="11"/>
  <c r="P2" i="11"/>
  <c r="N2" i="11"/>
  <c r="H34" i="3" l="1"/>
  <c r="Q34" i="3"/>
  <c r="H15" i="3"/>
  <c r="Q15" i="3"/>
  <c r="H25" i="3"/>
  <c r="Q25" i="3"/>
  <c r="H27" i="3"/>
  <c r="Q27" i="3"/>
  <c r="H28" i="3"/>
  <c r="Q28" i="3"/>
  <c r="H33" i="3"/>
  <c r="Q33" i="3"/>
  <c r="H32" i="3"/>
  <c r="Q32" i="3"/>
  <c r="H22" i="3"/>
  <c r="Q22" i="3"/>
  <c r="H31" i="3"/>
  <c r="Q31" i="3"/>
  <c r="H30" i="3"/>
  <c r="Q30" i="3"/>
  <c r="H20" i="3"/>
  <c r="Q20" i="3"/>
  <c r="H26" i="3"/>
  <c r="Q26" i="3"/>
  <c r="H23" i="3"/>
  <c r="Q23" i="3"/>
  <c r="H12" i="3"/>
  <c r="Q12" i="3"/>
  <c r="H11" i="3"/>
  <c r="Q11" i="3"/>
  <c r="H9" i="3"/>
  <c r="Q9" i="3"/>
  <c r="H7" i="3"/>
  <c r="Q7" i="3"/>
  <c r="H2" i="4"/>
  <c r="F38" i="4"/>
  <c r="I2" i="4"/>
  <c r="G38" i="4"/>
  <c r="C3" i="13"/>
  <c r="B3" i="13"/>
  <c r="C2" i="14"/>
  <c r="B2" i="14"/>
  <c r="F19" i="3"/>
  <c r="F38" i="3"/>
  <c r="G25" i="3"/>
  <c r="I25" i="3" s="1"/>
  <c r="G15" i="3"/>
  <c r="I15" i="3" s="1"/>
  <c r="F24" i="3"/>
  <c r="G8" i="3"/>
  <c r="I8" i="3" s="1"/>
  <c r="F37" i="3"/>
  <c r="G34" i="3"/>
  <c r="I34" i="3" s="1"/>
  <c r="G38" i="3"/>
  <c r="I38" i="3" s="1"/>
  <c r="F17" i="3"/>
  <c r="F3" i="3"/>
  <c r="Q3" i="3" s="1"/>
  <c r="G24" i="3"/>
  <c r="I24" i="3" s="1"/>
  <c r="G3" i="3"/>
  <c r="G13" i="3"/>
  <c r="I13" i="3" s="1"/>
  <c r="F6" i="3"/>
  <c r="G4" i="3"/>
  <c r="I4" i="3" s="1"/>
  <c r="F4" i="3"/>
  <c r="F8" i="3"/>
  <c r="G5" i="3"/>
  <c r="I5" i="3" s="1"/>
  <c r="G2" i="3"/>
  <c r="F14" i="3"/>
  <c r="F36" i="3"/>
  <c r="G21" i="3"/>
  <c r="I21" i="3" s="1"/>
  <c r="F21" i="3"/>
  <c r="G37" i="3"/>
  <c r="R37" i="3" s="1"/>
  <c r="F13" i="3"/>
  <c r="F5" i="3"/>
  <c r="G27" i="3"/>
  <c r="I27" i="3" s="1"/>
  <c r="F35" i="3"/>
  <c r="F10" i="3"/>
  <c r="G17" i="3"/>
  <c r="I17" i="3" s="1"/>
  <c r="G6" i="3"/>
  <c r="I6" i="3" s="1"/>
  <c r="F2" i="3"/>
  <c r="Q2" i="3" s="1"/>
  <c r="G14" i="3"/>
  <c r="I14" i="3" s="1"/>
  <c r="G19" i="3"/>
  <c r="I19" i="3" s="1"/>
  <c r="G10" i="3"/>
  <c r="I10" i="3" s="1"/>
  <c r="Q35" i="4"/>
  <c r="I35" i="4"/>
  <c r="C35" i="4" s="1"/>
  <c r="N35" i="4" s="1"/>
  <c r="R35" i="4"/>
  <c r="H35" i="4"/>
  <c r="B35" i="4" s="1"/>
  <c r="I18" i="3"/>
  <c r="C18" i="3" s="1"/>
  <c r="N18" i="3" s="1"/>
  <c r="H18" i="3"/>
  <c r="B18" i="3" s="1"/>
  <c r="M18" i="3" s="1"/>
  <c r="I37" i="3" l="1"/>
  <c r="C37" i="3" s="1"/>
  <c r="N37" i="3" s="1"/>
  <c r="H10" i="3"/>
  <c r="Q10" i="3"/>
  <c r="H35" i="3"/>
  <c r="Q35" i="3"/>
  <c r="H5" i="3"/>
  <c r="Q5" i="3"/>
  <c r="H13" i="3"/>
  <c r="Q13" i="3"/>
  <c r="H21" i="3"/>
  <c r="Q21" i="3"/>
  <c r="H36" i="3"/>
  <c r="Q36" i="3"/>
  <c r="H14" i="3"/>
  <c r="Q14" i="3"/>
  <c r="H8" i="3"/>
  <c r="Q8" i="3"/>
  <c r="H4" i="3"/>
  <c r="Q4" i="3"/>
  <c r="H6" i="3"/>
  <c r="Q6" i="3"/>
  <c r="H17" i="3"/>
  <c r="Q17" i="3"/>
  <c r="H37" i="3"/>
  <c r="B37" i="3" s="1"/>
  <c r="Q37" i="3"/>
  <c r="H24" i="3"/>
  <c r="Q24" i="3"/>
  <c r="H38" i="3"/>
  <c r="Q38" i="3"/>
  <c r="H19" i="3"/>
  <c r="B19" i="3" s="1"/>
  <c r="M19" i="3" s="1"/>
  <c r="Q19" i="3"/>
  <c r="H2" i="3"/>
  <c r="B2" i="3" s="1"/>
  <c r="M2" i="3" s="1"/>
  <c r="F40" i="3"/>
  <c r="I2" i="3"/>
  <c r="G40" i="3"/>
  <c r="I38" i="4"/>
  <c r="C38" i="4" s="1"/>
  <c r="H38" i="4"/>
  <c r="B38" i="4" s="1"/>
  <c r="I3" i="3"/>
  <c r="H3" i="3"/>
  <c r="D2" i="14"/>
  <c r="D3" i="13"/>
  <c r="D37" i="3"/>
  <c r="O37" i="3" s="1"/>
  <c r="D35" i="4"/>
  <c r="O35" i="4" s="1"/>
  <c r="M35" i="4"/>
  <c r="D18" i="3"/>
  <c r="O18" i="3" s="1"/>
  <c r="R19" i="3"/>
  <c r="C19" i="3"/>
  <c r="N19" i="3" s="1"/>
  <c r="B18" i="4"/>
  <c r="C18" i="4"/>
  <c r="M37" i="3" l="1"/>
  <c r="K13" i="1"/>
  <c r="K11" i="2"/>
  <c r="H40" i="3"/>
  <c r="B40" i="3" s="1"/>
  <c r="I40" i="3"/>
  <c r="C40" i="3" s="1"/>
  <c r="D38" i="4"/>
  <c r="D19" i="3"/>
  <c r="O19" i="3" s="1"/>
  <c r="D18" i="4"/>
  <c r="D40" i="3" l="1"/>
  <c r="E10" i="7"/>
  <c r="E9" i="7"/>
  <c r="E8" i="7"/>
  <c r="E7" i="7"/>
  <c r="E6" i="7"/>
  <c r="E5" i="7"/>
  <c r="E4" i="7"/>
  <c r="E3" i="7"/>
  <c r="E2" i="7"/>
  <c r="E1" i="7"/>
  <c r="A9" i="7" l="1"/>
  <c r="A8" i="7"/>
  <c r="A7" i="7"/>
  <c r="A6" i="7"/>
  <c r="A5" i="7"/>
  <c r="A4" i="7"/>
  <c r="A3" i="7"/>
  <c r="A2" i="7"/>
  <c r="A1" i="7"/>
  <c r="W121" i="5" l="1"/>
  <c r="W110" i="5"/>
  <c r="W103" i="5"/>
  <c r="W109" i="5" l="1"/>
  <c r="W27" i="5"/>
  <c r="W106" i="5"/>
  <c r="W100" i="5"/>
  <c r="W108" i="5"/>
  <c r="W113" i="5"/>
  <c r="W164" i="5"/>
  <c r="W104" i="5"/>
  <c r="W197" i="5"/>
  <c r="W127" i="5"/>
  <c r="W196" i="5"/>
  <c r="W107" i="5"/>
  <c r="W125" i="5"/>
  <c r="W214" i="5"/>
  <c r="W163" i="5"/>
  <c r="W166" i="5"/>
  <c r="W199" i="5"/>
  <c r="W160" i="5"/>
  <c r="W219" i="5"/>
  <c r="W221" i="5"/>
  <c r="W157" i="5"/>
  <c r="W342" i="6"/>
  <c r="W88" i="6"/>
  <c r="W169" i="6"/>
  <c r="W33" i="6"/>
  <c r="W128" i="6"/>
  <c r="W193" i="6"/>
  <c r="W67" i="6"/>
  <c r="W124" i="6"/>
  <c r="W36" i="6"/>
  <c r="W197" i="6"/>
  <c r="W186" i="6"/>
  <c r="W177" i="6" l="1"/>
  <c r="W181" i="6"/>
  <c r="W178" i="6"/>
  <c r="W343" i="6"/>
  <c r="W39" i="6"/>
  <c r="W345" i="6"/>
  <c r="W189" i="6"/>
  <c r="W179" i="6"/>
  <c r="W82" i="6"/>
  <c r="W20" i="6"/>
  <c r="W340" i="6"/>
  <c r="W276" i="6"/>
  <c r="W46" i="6"/>
  <c r="W75" i="6"/>
  <c r="W331" i="6"/>
  <c r="W13" i="6"/>
  <c r="W335" i="6"/>
  <c r="W341" i="6"/>
  <c r="W344" i="6"/>
  <c r="W89" i="6"/>
  <c r="W29" i="6"/>
  <c r="W194" i="6"/>
  <c r="W52" i="6"/>
  <c r="W138" i="6"/>
  <c r="W201" i="6"/>
  <c r="W339" i="6"/>
  <c r="W346" i="6"/>
  <c r="W209" i="6"/>
  <c r="W333" i="6"/>
  <c r="W38" i="6"/>
  <c r="W41" i="6"/>
  <c r="W204" i="6"/>
  <c r="W338" i="6"/>
  <c r="W337" i="6"/>
  <c r="W332" i="6"/>
  <c r="W334" i="6"/>
  <c r="W336" i="6"/>
  <c r="W51" i="6"/>
  <c r="W91" i="6"/>
  <c r="W195" i="6"/>
  <c r="W19" i="6"/>
  <c r="W44" i="6"/>
  <c r="W50" i="6"/>
  <c r="W192" i="6"/>
  <c r="W148" i="6"/>
  <c r="W9" i="6"/>
  <c r="W6" i="6"/>
  <c r="W43" i="6"/>
  <c r="W45" i="6"/>
  <c r="W53" i="6"/>
  <c r="W93" i="6"/>
  <c r="W330" i="6"/>
  <c r="W171" i="6"/>
  <c r="W136" i="6"/>
  <c r="W4" i="6"/>
  <c r="W81" i="6"/>
  <c r="W85" i="6"/>
  <c r="W322" i="6"/>
  <c r="W300" i="6"/>
  <c r="W69" i="6"/>
  <c r="W3" i="6"/>
  <c r="W7" i="6"/>
  <c r="W10" i="6"/>
  <c r="W34" i="6"/>
  <c r="W185" i="6"/>
  <c r="W11" i="6"/>
  <c r="W143" i="6"/>
  <c r="W25" i="6"/>
  <c r="W31" i="6"/>
  <c r="W77" i="6"/>
  <c r="W176" i="6"/>
  <c r="W319" i="6"/>
  <c r="W72" i="6"/>
  <c r="W71" i="6"/>
  <c r="W86" i="6"/>
  <c r="W196" i="6"/>
  <c r="W202" i="6"/>
  <c r="W22" i="6"/>
  <c r="W286" i="6"/>
  <c r="W47" i="6"/>
  <c r="W144" i="6"/>
  <c r="W146" i="6"/>
  <c r="W166" i="6"/>
  <c r="W175" i="6"/>
  <c r="W83" i="6"/>
  <c r="W326" i="6"/>
  <c r="W145" i="6"/>
  <c r="W266" i="6"/>
  <c r="W49" i="6"/>
  <c r="W170" i="6"/>
  <c r="W16" i="6"/>
  <c r="W12" i="6"/>
  <c r="W74" i="6"/>
  <c r="W84" i="6"/>
  <c r="W167" i="6"/>
  <c r="W161" i="6"/>
  <c r="W95" i="6"/>
  <c r="W18" i="6"/>
  <c r="W5" i="6"/>
  <c r="W297" i="6"/>
  <c r="W158" i="6"/>
  <c r="W132" i="6"/>
  <c r="W62" i="6"/>
  <c r="W26" i="6"/>
  <c r="W30" i="6"/>
  <c r="W35" i="6"/>
  <c r="W279" i="6"/>
  <c r="W271" i="6"/>
  <c r="W283" i="6"/>
  <c r="W151" i="6"/>
  <c r="W257" i="6"/>
  <c r="W76" i="6"/>
  <c r="W65" i="6"/>
  <c r="W228" i="6"/>
  <c r="W232" i="6"/>
  <c r="W135" i="6"/>
  <c r="W119" i="6"/>
  <c r="W142" i="6"/>
  <c r="W8" i="6"/>
  <c r="W14" i="6"/>
  <c r="W17" i="6"/>
  <c r="W275" i="6"/>
  <c r="W295" i="6"/>
  <c r="W126" i="6"/>
  <c r="W229" i="6"/>
  <c r="W68" i="6"/>
  <c r="W87" i="6"/>
  <c r="W301" i="6"/>
  <c r="W64" i="6"/>
  <c r="W23" i="6"/>
  <c r="W101" i="6"/>
  <c r="W299" i="6"/>
  <c r="W131" i="6"/>
  <c r="W230" i="6"/>
  <c r="W59" i="6"/>
  <c r="W268" i="6"/>
  <c r="W305" i="6"/>
  <c r="W270" i="6"/>
  <c r="W267" i="6"/>
  <c r="W139" i="6"/>
  <c r="W288" i="6"/>
  <c r="W292" i="6"/>
  <c r="W219" i="6"/>
  <c r="W15" i="6"/>
  <c r="W155" i="6"/>
  <c r="W180" i="6"/>
  <c r="W32" i="6"/>
  <c r="W137" i="6"/>
  <c r="W154" i="6"/>
  <c r="W265" i="6"/>
  <c r="W182" i="6"/>
  <c r="W78" i="6"/>
  <c r="W42" i="6"/>
  <c r="W302" i="6"/>
  <c r="W315" i="6"/>
  <c r="W48" i="6"/>
  <c r="W90" i="6"/>
  <c r="W272" i="6"/>
  <c r="W123" i="6"/>
  <c r="W293" i="6"/>
  <c r="W294" i="6"/>
  <c r="W262" i="6"/>
  <c r="W174" i="6"/>
  <c r="W130" i="6"/>
  <c r="W298" i="6"/>
  <c r="W314" i="6"/>
  <c r="W329" i="6"/>
  <c r="W291" i="6"/>
  <c r="W280" i="6"/>
  <c r="W313" i="6"/>
  <c r="W324" i="6"/>
  <c r="W79" i="6"/>
  <c r="W173" i="6"/>
  <c r="W308" i="6"/>
  <c r="W321" i="6"/>
  <c r="W57" i="6"/>
  <c r="W190" i="6"/>
  <c r="W264" i="6"/>
  <c r="W127" i="6"/>
  <c r="W309" i="6"/>
  <c r="W323" i="6"/>
  <c r="W274" i="6"/>
  <c r="W73" i="6"/>
  <c r="W129" i="6"/>
  <c r="W37" i="6"/>
  <c r="W27" i="6"/>
  <c r="W54" i="6"/>
  <c r="W162" i="6"/>
  <c r="W92" i="6"/>
  <c r="W304" i="6"/>
  <c r="W317" i="6"/>
  <c r="W307" i="6"/>
  <c r="W320" i="6"/>
  <c r="W152" i="6"/>
  <c r="W184" i="6"/>
  <c r="W312" i="6"/>
  <c r="W328" i="6"/>
  <c r="W303" i="6"/>
  <c r="W316" i="6"/>
  <c r="W311" i="6"/>
  <c r="W327" i="6"/>
  <c r="W310" i="6"/>
  <c r="W325" i="6"/>
  <c r="W306" i="6"/>
  <c r="W318" i="6"/>
  <c r="W133" i="6"/>
  <c r="W94" i="6"/>
  <c r="W28" i="6"/>
  <c r="W56" i="6"/>
  <c r="W99" i="6"/>
  <c r="W40" i="6"/>
  <c r="W252" i="6"/>
  <c r="W147" i="6"/>
  <c r="W207" i="6"/>
  <c r="W168" i="6"/>
  <c r="W120" i="6"/>
  <c r="W277" i="6"/>
  <c r="W125" i="6"/>
  <c r="W285" i="6"/>
  <c r="W114" i="6"/>
  <c r="W110" i="6"/>
  <c r="W97" i="6"/>
  <c r="W103" i="6"/>
  <c r="W24" i="6"/>
  <c r="W55" i="6"/>
  <c r="W222" i="6"/>
  <c r="W149" i="6"/>
  <c r="W261" i="6"/>
  <c r="W141" i="6"/>
  <c r="W104" i="6"/>
  <c r="W100" i="6"/>
  <c r="W251" i="6"/>
  <c r="W250" i="6"/>
  <c r="W118" i="6"/>
  <c r="W244" i="6"/>
  <c r="W109" i="6"/>
  <c r="W260" i="6"/>
  <c r="W210" i="6"/>
  <c r="W223" i="6"/>
  <c r="W253" i="6"/>
  <c r="W269" i="6"/>
  <c r="W239" i="6"/>
  <c r="W107" i="6"/>
  <c r="W60" i="6"/>
  <c r="W63" i="6"/>
  <c r="W66" i="6"/>
  <c r="W245" i="6"/>
  <c r="W247" i="6"/>
  <c r="W96" i="6"/>
  <c r="W249" i="6"/>
  <c r="W217" i="6"/>
  <c r="W115" i="6"/>
  <c r="W213" i="6"/>
  <c r="W198" i="6"/>
  <c r="W203" i="6"/>
  <c r="W216" i="6"/>
  <c r="W218" i="6"/>
  <c r="W221" i="6"/>
  <c r="W117" i="6"/>
  <c r="W254" i="6"/>
  <c r="W21" i="6"/>
  <c r="W61" i="6"/>
  <c r="W235" i="6"/>
  <c r="W106" i="6"/>
  <c r="W246" i="6"/>
  <c r="W240" i="6"/>
  <c r="W112" i="6"/>
  <c r="W108" i="6"/>
  <c r="W212" i="6"/>
  <c r="W102" i="6"/>
  <c r="W258" i="6"/>
  <c r="W113" i="6"/>
  <c r="W284" i="6"/>
  <c r="W121" i="6"/>
  <c r="W153" i="6"/>
  <c r="W208" i="6"/>
  <c r="W157" i="6"/>
  <c r="W243" i="6"/>
  <c r="W172" i="6"/>
  <c r="W233" i="6"/>
  <c r="W224" i="6"/>
  <c r="W200" i="6"/>
  <c r="W206" i="6"/>
  <c r="W215" i="6"/>
  <c r="W225" i="6"/>
  <c r="W287" i="6"/>
  <c r="W290" i="6"/>
  <c r="W263" i="6"/>
  <c r="W227" i="6"/>
  <c r="W289" i="6"/>
  <c r="W273" i="6"/>
  <c r="W281" i="6"/>
  <c r="W98" i="6"/>
  <c r="W238" i="6"/>
  <c r="W105" i="6"/>
  <c r="W58" i="6"/>
  <c r="W259" i="6"/>
  <c r="W220" i="6"/>
  <c r="W242" i="6"/>
  <c r="W116" i="6"/>
  <c r="W70" i="6"/>
  <c r="W211" i="6"/>
  <c r="W282" i="6"/>
  <c r="W111" i="6"/>
  <c r="W231" i="6"/>
  <c r="W122" i="6"/>
  <c r="W226" i="6"/>
  <c r="W234" i="6"/>
  <c r="W248" i="6"/>
  <c r="W160" i="6"/>
  <c r="W199" i="6"/>
  <c r="W241" i="6"/>
  <c r="W214" i="6"/>
  <c r="W205" i="6"/>
  <c r="W278" i="6"/>
  <c r="W236" i="6"/>
  <c r="W256" i="6"/>
  <c r="W237" i="6"/>
  <c r="W255" i="6"/>
  <c r="W167" i="5"/>
  <c r="W165" i="5"/>
  <c r="W130" i="5"/>
  <c r="W101" i="5"/>
  <c r="W169" i="5"/>
  <c r="W161" i="5"/>
  <c r="W143" i="5"/>
  <c r="W102" i="5"/>
  <c r="W99" i="5"/>
  <c r="W105" i="5"/>
  <c r="W144" i="5"/>
  <c r="W58" i="5"/>
  <c r="W154" i="5"/>
  <c r="W194" i="5"/>
  <c r="W119" i="5"/>
  <c r="W211" i="5"/>
  <c r="W168" i="5"/>
  <c r="W78" i="5"/>
  <c r="W159" i="5"/>
  <c r="W162" i="5"/>
  <c r="W171" i="5"/>
  <c r="W42" i="5"/>
  <c r="W14" i="5"/>
  <c r="W15" i="5"/>
  <c r="W2" i="6"/>
  <c r="W186" i="5" l="1"/>
  <c r="W111" i="5"/>
  <c r="W128" i="5"/>
  <c r="W189" i="5"/>
  <c r="W195" i="5"/>
  <c r="W198" i="5"/>
  <c r="W6" i="5"/>
  <c r="W210" i="5"/>
  <c r="W220" i="5"/>
  <c r="W116" i="5"/>
  <c r="W181" i="5"/>
  <c r="W185" i="5"/>
  <c r="W205" i="5"/>
  <c r="W146" i="5"/>
  <c r="W152" i="5"/>
  <c r="W184" i="5"/>
  <c r="W206" i="5"/>
  <c r="W149" i="5"/>
  <c r="W98" i="5"/>
  <c r="W208" i="5"/>
  <c r="W133" i="5"/>
  <c r="W132" i="5"/>
  <c r="W192" i="5"/>
  <c r="W215" i="5"/>
  <c r="W151" i="5"/>
  <c r="W120" i="5"/>
  <c r="W153" i="5"/>
  <c r="W34" i="5"/>
  <c r="W201" i="5"/>
  <c r="W112" i="5"/>
  <c r="W207" i="5"/>
  <c r="W193" i="5"/>
  <c r="W216" i="5"/>
  <c r="W204" i="5"/>
  <c r="W183" i="5"/>
  <c r="W150" i="5"/>
  <c r="W129" i="5"/>
  <c r="W33" i="5"/>
  <c r="W57" i="5"/>
  <c r="W47" i="5"/>
  <c r="W203" i="5"/>
  <c r="W156" i="5"/>
  <c r="W114" i="5"/>
  <c r="W182" i="5"/>
  <c r="W176" i="5"/>
  <c r="W147" i="5"/>
  <c r="W136" i="5"/>
  <c r="W53" i="5"/>
  <c r="W138" i="5"/>
  <c r="W202" i="5"/>
  <c r="W155" i="5"/>
  <c r="W141" i="5"/>
  <c r="W191" i="5"/>
  <c r="W94" i="5"/>
  <c r="W142" i="5"/>
  <c r="W96" i="5"/>
  <c r="W32" i="5"/>
  <c r="W174" i="5"/>
  <c r="W135" i="5"/>
  <c r="W179" i="5"/>
  <c r="W24" i="5"/>
  <c r="W139" i="5"/>
  <c r="W36" i="5"/>
  <c r="W178" i="5"/>
  <c r="W180" i="5"/>
  <c r="W45" i="5"/>
  <c r="W122" i="5"/>
  <c r="W70" i="5"/>
  <c r="W41" i="5"/>
  <c r="W134" i="5"/>
  <c r="W43" i="5"/>
  <c r="W190" i="5"/>
  <c r="W38" i="5"/>
  <c r="W95" i="5"/>
  <c r="W7" i="5"/>
  <c r="W31" i="5"/>
  <c r="W117" i="5"/>
  <c r="W172" i="5"/>
  <c r="W21" i="5"/>
  <c r="W173" i="5"/>
  <c r="W54" i="5"/>
  <c r="W148" i="5"/>
  <c r="W209" i="5"/>
  <c r="W90" i="5"/>
  <c r="W212" i="5"/>
  <c r="W124" i="5"/>
  <c r="W213" i="5"/>
  <c r="W28" i="5"/>
  <c r="W118" i="5"/>
  <c r="W140" i="5"/>
  <c r="W188" i="5"/>
  <c r="W115" i="5"/>
  <c r="W218" i="5"/>
  <c r="W158" i="5"/>
  <c r="W137" i="5"/>
  <c r="W61" i="5"/>
  <c r="W170" i="5"/>
  <c r="W71" i="5"/>
  <c r="W177" i="5"/>
  <c r="W49" i="5"/>
  <c r="W200" i="5"/>
  <c r="W68" i="5"/>
  <c r="W175" i="5"/>
  <c r="W126" i="5"/>
  <c r="W29" i="5"/>
  <c r="W131" i="5"/>
  <c r="W187" i="5"/>
  <c r="W217" i="5"/>
  <c r="W145" i="5"/>
  <c r="W97" i="5"/>
  <c r="W123" i="5"/>
  <c r="W52" i="5"/>
  <c r="W2" i="5"/>
  <c r="W25" i="5"/>
  <c r="W55" i="5"/>
  <c r="W75" i="5"/>
  <c r="W11" i="5"/>
  <c r="W16" i="5"/>
  <c r="W66" i="5"/>
  <c r="W91" i="5"/>
  <c r="W37" i="5"/>
  <c r="W48" i="5"/>
  <c r="W51" i="5"/>
  <c r="W3" i="5"/>
  <c r="W64" i="5"/>
  <c r="W20" i="5"/>
  <c r="W26" i="5"/>
  <c r="W10" i="5"/>
  <c r="W79" i="5"/>
  <c r="W87" i="5"/>
  <c r="W86" i="5"/>
  <c r="W69" i="5"/>
  <c r="W62" i="5"/>
  <c r="W19" i="5"/>
  <c r="W89" i="5"/>
  <c r="W39" i="5"/>
  <c r="W92" i="5"/>
  <c r="W84" i="5"/>
  <c r="W77" i="5"/>
  <c r="W85" i="5"/>
  <c r="W82" i="5"/>
  <c r="W4" i="5"/>
  <c r="W18" i="5"/>
  <c r="W23" i="5"/>
  <c r="W81" i="5"/>
  <c r="W35" i="5"/>
  <c r="W30" i="5"/>
  <c r="W40" i="5"/>
  <c r="W46" i="5"/>
  <c r="W60" i="5"/>
  <c r="W76" i="5"/>
  <c r="W80" i="5"/>
  <c r="W59" i="5"/>
  <c r="W12" i="5"/>
  <c r="W88" i="5"/>
  <c r="W44" i="5"/>
  <c r="W56" i="5"/>
  <c r="W93" i="5"/>
  <c r="W83" i="5"/>
  <c r="W50" i="5"/>
  <c r="W17" i="5"/>
  <c r="W8" i="5"/>
  <c r="W63" i="5"/>
  <c r="W67" i="5"/>
  <c r="W72" i="5"/>
  <c r="W13" i="5"/>
  <c r="W65" i="5"/>
  <c r="W74" i="5"/>
  <c r="W9" i="5"/>
  <c r="W5" i="5"/>
  <c r="W22" i="5"/>
  <c r="W73" i="5"/>
  <c r="B3" i="3"/>
  <c r="M3" i="3" s="1"/>
  <c r="C3" i="3"/>
  <c r="N3" i="3" s="1"/>
  <c r="B4" i="3"/>
  <c r="M4" i="3" s="1"/>
  <c r="C4" i="3"/>
  <c r="N4" i="3" s="1"/>
  <c r="B5" i="3"/>
  <c r="M5" i="3" s="1"/>
  <c r="C5" i="3"/>
  <c r="N5" i="3" s="1"/>
  <c r="B6" i="3"/>
  <c r="M6" i="3" s="1"/>
  <c r="C6" i="3"/>
  <c r="N6" i="3" s="1"/>
  <c r="B7" i="3"/>
  <c r="M7" i="3" s="1"/>
  <c r="C7" i="3"/>
  <c r="N7" i="3" s="1"/>
  <c r="B8" i="3"/>
  <c r="M8" i="3" s="1"/>
  <c r="C8" i="3"/>
  <c r="N8" i="3" s="1"/>
  <c r="B9" i="3"/>
  <c r="M9" i="3" s="1"/>
  <c r="C9" i="3"/>
  <c r="N9" i="3" s="1"/>
  <c r="B10" i="3"/>
  <c r="M10" i="3" s="1"/>
  <c r="C10" i="3"/>
  <c r="N10" i="3" s="1"/>
  <c r="B11" i="3"/>
  <c r="M11" i="3" s="1"/>
  <c r="C11" i="3"/>
  <c r="N11" i="3" s="1"/>
  <c r="B12" i="3"/>
  <c r="M12" i="3" s="1"/>
  <c r="C12" i="3"/>
  <c r="N12" i="3" s="1"/>
  <c r="B13" i="3"/>
  <c r="M13" i="3" s="1"/>
  <c r="C13" i="3"/>
  <c r="N13" i="3" s="1"/>
  <c r="B14" i="3"/>
  <c r="M14" i="3" s="1"/>
  <c r="C14" i="3"/>
  <c r="N14" i="3" s="1"/>
  <c r="B15" i="3"/>
  <c r="M15" i="3" s="1"/>
  <c r="C15" i="3"/>
  <c r="N15" i="3" s="1"/>
  <c r="B17" i="3"/>
  <c r="M17" i="3" s="1"/>
  <c r="C17" i="3"/>
  <c r="N17" i="3" s="1"/>
  <c r="B21" i="3"/>
  <c r="M21" i="3" s="1"/>
  <c r="C21" i="3"/>
  <c r="N21" i="3" s="1"/>
  <c r="B23" i="3"/>
  <c r="M23" i="3" s="1"/>
  <c r="C23" i="3"/>
  <c r="N23" i="3" s="1"/>
  <c r="B24" i="3"/>
  <c r="M24" i="3" s="1"/>
  <c r="C24" i="3"/>
  <c r="N24" i="3" s="1"/>
  <c r="B25" i="3"/>
  <c r="M25" i="3" s="1"/>
  <c r="C25" i="3"/>
  <c r="N25" i="3" s="1"/>
  <c r="B26" i="3"/>
  <c r="M26" i="3" s="1"/>
  <c r="C26" i="3"/>
  <c r="N26" i="3" s="1"/>
  <c r="B27" i="3"/>
  <c r="M27" i="3" s="1"/>
  <c r="C27" i="3"/>
  <c r="N27" i="3" s="1"/>
  <c r="B29" i="3"/>
  <c r="M29" i="3" s="1"/>
  <c r="C29" i="3"/>
  <c r="N29" i="3" s="1"/>
  <c r="B20" i="3"/>
  <c r="M20" i="3" s="1"/>
  <c r="C20" i="3"/>
  <c r="N20" i="3" s="1"/>
  <c r="B30" i="3"/>
  <c r="M30" i="3" s="1"/>
  <c r="C30" i="3"/>
  <c r="N30" i="3" s="1"/>
  <c r="B31" i="3"/>
  <c r="M31" i="3" s="1"/>
  <c r="C31" i="3"/>
  <c r="N31" i="3" s="1"/>
  <c r="B22" i="3"/>
  <c r="M22" i="3" s="1"/>
  <c r="C22" i="3"/>
  <c r="N22" i="3" s="1"/>
  <c r="B32" i="3"/>
  <c r="M32" i="3" s="1"/>
  <c r="C32" i="3"/>
  <c r="N32" i="3" s="1"/>
  <c r="B33" i="3"/>
  <c r="M33" i="3" s="1"/>
  <c r="C33" i="3"/>
  <c r="N33" i="3" s="1"/>
  <c r="B34" i="3"/>
  <c r="M34" i="3" s="1"/>
  <c r="C34" i="3"/>
  <c r="N34" i="3" s="1"/>
  <c r="B28" i="3"/>
  <c r="M28" i="3" s="1"/>
  <c r="C28" i="3"/>
  <c r="N28" i="3" s="1"/>
  <c r="B35" i="3"/>
  <c r="M35" i="3" s="1"/>
  <c r="C35" i="3"/>
  <c r="N35" i="3" s="1"/>
  <c r="B36" i="3"/>
  <c r="M36" i="3" s="1"/>
  <c r="C36" i="3"/>
  <c r="N36" i="3" s="1"/>
  <c r="B38" i="3"/>
  <c r="M38" i="3" s="1"/>
  <c r="C38" i="3"/>
  <c r="N38" i="3" s="1"/>
  <c r="B39" i="3"/>
  <c r="M39" i="3" s="1"/>
  <c r="C39" i="3"/>
  <c r="N39" i="3" s="1"/>
  <c r="C2" i="3"/>
  <c r="C37" i="4"/>
  <c r="B37" i="4"/>
  <c r="C36" i="4"/>
  <c r="B36" i="4"/>
  <c r="K13" i="2" s="1"/>
  <c r="F12" i="7" s="1"/>
  <c r="C34" i="4"/>
  <c r="B34" i="4"/>
  <c r="C33" i="4"/>
  <c r="B33" i="4"/>
  <c r="C32" i="4"/>
  <c r="B32" i="4"/>
  <c r="C31" i="4"/>
  <c r="B31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30" i="4"/>
  <c r="B30" i="4"/>
  <c r="C20" i="4"/>
  <c r="B20" i="4"/>
  <c r="C19" i="4"/>
  <c r="B19" i="4"/>
  <c r="C17" i="4"/>
  <c r="B17" i="4"/>
  <c r="C16" i="4"/>
  <c r="B16" i="4"/>
  <c r="C15" i="4"/>
  <c r="B15" i="4"/>
  <c r="C14" i="4"/>
  <c r="B14" i="4"/>
  <c r="K12" i="2" s="1"/>
  <c r="F11" i="7" s="1"/>
  <c r="C13" i="4"/>
  <c r="B13" i="4"/>
  <c r="C12" i="4"/>
  <c r="B12" i="4"/>
  <c r="C11" i="4"/>
  <c r="B11" i="4"/>
  <c r="C10" i="4"/>
  <c r="B10" i="4"/>
  <c r="C8" i="4"/>
  <c r="B8" i="4"/>
  <c r="C7" i="4"/>
  <c r="B7" i="4"/>
  <c r="C6" i="4"/>
  <c r="B6" i="4"/>
  <c r="C5" i="4"/>
  <c r="B5" i="4"/>
  <c r="C9" i="4"/>
  <c r="B9" i="4"/>
  <c r="C4" i="4"/>
  <c r="B4" i="4"/>
  <c r="C3" i="4"/>
  <c r="B3" i="4"/>
  <c r="C2" i="4"/>
  <c r="B2" i="4"/>
  <c r="K4" i="1" l="1"/>
  <c r="N2" i="3"/>
  <c r="K10" i="1"/>
  <c r="K5" i="1"/>
  <c r="K11" i="1"/>
  <c r="K6" i="1"/>
  <c r="K9" i="1"/>
  <c r="K14" i="1"/>
  <c r="K7" i="1"/>
  <c r="K3" i="1"/>
  <c r="K2" i="1"/>
  <c r="B1" i="7" s="1"/>
  <c r="K12" i="1"/>
  <c r="K15" i="1"/>
  <c r="K7" i="2"/>
  <c r="K4" i="2"/>
  <c r="K14" i="2"/>
  <c r="K2" i="2"/>
  <c r="F1" i="7" s="1"/>
  <c r="K6" i="2"/>
  <c r="K9" i="2"/>
  <c r="K8" i="2"/>
  <c r="K5" i="2"/>
  <c r="K10" i="2"/>
  <c r="K3" i="2"/>
  <c r="D2" i="3"/>
  <c r="O2" i="3" s="1"/>
  <c r="B3" i="7"/>
  <c r="D38" i="3"/>
  <c r="O38" i="3" s="1"/>
  <c r="D35" i="3"/>
  <c r="O35" i="3" s="1"/>
  <c r="D34" i="3"/>
  <c r="O34" i="3" s="1"/>
  <c r="D32" i="3"/>
  <c r="O32" i="3" s="1"/>
  <c r="D31" i="3"/>
  <c r="O31" i="3" s="1"/>
  <c r="D20" i="3"/>
  <c r="O20" i="3" s="1"/>
  <c r="D27" i="3"/>
  <c r="O27" i="3" s="1"/>
  <c r="D25" i="3"/>
  <c r="O25" i="3" s="1"/>
  <c r="D23" i="3"/>
  <c r="O23" i="3" s="1"/>
  <c r="D17" i="3"/>
  <c r="O17" i="3" s="1"/>
  <c r="D14" i="3"/>
  <c r="O14" i="3" s="1"/>
  <c r="D3" i="4"/>
  <c r="D9" i="4"/>
  <c r="D6" i="4"/>
  <c r="D12" i="3"/>
  <c r="O12" i="3" s="1"/>
  <c r="D10" i="3"/>
  <c r="O10" i="3" s="1"/>
  <c r="D8" i="3"/>
  <c r="O8" i="3" s="1"/>
  <c r="D6" i="3"/>
  <c r="O6" i="3" s="1"/>
  <c r="D4" i="3"/>
  <c r="O4" i="3" s="1"/>
  <c r="D8" i="4"/>
  <c r="D11" i="4"/>
  <c r="D13" i="4"/>
  <c r="D15" i="4"/>
  <c r="D17" i="4"/>
  <c r="D20" i="4"/>
  <c r="D27" i="4"/>
  <c r="D29" i="4"/>
  <c r="D32" i="4"/>
  <c r="D34" i="4"/>
  <c r="D37" i="4"/>
  <c r="D21" i="4"/>
  <c r="D23" i="4"/>
  <c r="D25" i="4"/>
  <c r="D33" i="4"/>
  <c r="D36" i="4"/>
  <c r="D2" i="4"/>
  <c r="D4" i="4"/>
  <c r="D5" i="4"/>
  <c r="D7" i="4"/>
  <c r="D10" i="4"/>
  <c r="D12" i="4"/>
  <c r="D14" i="4"/>
  <c r="D16" i="4"/>
  <c r="D19" i="4"/>
  <c r="D30" i="4"/>
  <c r="D22" i="4"/>
  <c r="D24" i="4"/>
  <c r="D26" i="4"/>
  <c r="D28" i="4"/>
  <c r="D31" i="4"/>
  <c r="D39" i="3"/>
  <c r="O39" i="3" s="1"/>
  <c r="D28" i="3"/>
  <c r="O28" i="3" s="1"/>
  <c r="D33" i="3"/>
  <c r="O33" i="3" s="1"/>
  <c r="D22" i="3"/>
  <c r="O22" i="3" s="1"/>
  <c r="D30" i="3"/>
  <c r="O30" i="3" s="1"/>
  <c r="D29" i="3"/>
  <c r="O29" i="3" s="1"/>
  <c r="D26" i="3"/>
  <c r="O26" i="3" s="1"/>
  <c r="D24" i="3"/>
  <c r="O24" i="3" s="1"/>
  <c r="D21" i="3"/>
  <c r="O21" i="3" s="1"/>
  <c r="D15" i="3"/>
  <c r="O15" i="3" s="1"/>
  <c r="D13" i="3"/>
  <c r="O13" i="3" s="1"/>
  <c r="D11" i="3"/>
  <c r="O11" i="3" s="1"/>
  <c r="D9" i="3"/>
  <c r="O9" i="3" s="1"/>
  <c r="D7" i="3"/>
  <c r="O7" i="3" s="1"/>
  <c r="D5" i="3"/>
  <c r="O5" i="3" s="1"/>
  <c r="D3" i="3"/>
  <c r="O3" i="3" s="1"/>
  <c r="D36" i="3"/>
  <c r="O36" i="3" s="1"/>
  <c r="B12" i="7" l="1"/>
  <c r="B11" i="7"/>
  <c r="F3" i="7"/>
  <c r="F9" i="7"/>
  <c r="F10" i="7"/>
  <c r="F8" i="7"/>
  <c r="B10" i="7"/>
  <c r="F6" i="7"/>
  <c r="F4" i="7"/>
  <c r="B2" i="7"/>
  <c r="B7" i="7"/>
  <c r="B9" i="7"/>
  <c r="F2" i="7"/>
  <c r="F5" i="7"/>
  <c r="F7" i="7"/>
  <c r="B6" i="7"/>
  <c r="B8" i="7"/>
  <c r="B4" i="7"/>
  <c r="B5" i="7"/>
  <c r="O27" i="4"/>
  <c r="R37" i="4"/>
  <c r="Q37" i="4"/>
  <c r="P37" i="4"/>
  <c r="N37" i="4"/>
  <c r="M37" i="4"/>
  <c r="L37" i="4"/>
  <c r="O37" i="4"/>
  <c r="R36" i="4"/>
  <c r="Q36" i="4"/>
  <c r="P36" i="4"/>
  <c r="N36" i="4"/>
  <c r="M36" i="4"/>
  <c r="L36" i="4"/>
  <c r="O36" i="4"/>
  <c r="R26" i="4"/>
  <c r="Q26" i="4"/>
  <c r="P26" i="4"/>
  <c r="N26" i="4"/>
  <c r="M26" i="4"/>
  <c r="L26" i="4"/>
  <c r="O26" i="4"/>
  <c r="R34" i="4"/>
  <c r="Q34" i="4"/>
  <c r="P34" i="4"/>
  <c r="N34" i="4"/>
  <c r="M34" i="4"/>
  <c r="L34" i="4"/>
  <c r="O34" i="4"/>
  <c r="R24" i="4"/>
  <c r="Q24" i="4"/>
  <c r="P24" i="4"/>
  <c r="N24" i="4"/>
  <c r="M24" i="4"/>
  <c r="L24" i="4"/>
  <c r="O24" i="4"/>
  <c r="R33" i="4"/>
  <c r="Q33" i="4"/>
  <c r="P33" i="4"/>
  <c r="N33" i="4"/>
  <c r="M33" i="4"/>
  <c r="L33" i="4"/>
  <c r="O33" i="4"/>
  <c r="R32" i="4"/>
  <c r="Q32" i="4"/>
  <c r="P32" i="4"/>
  <c r="N32" i="4"/>
  <c r="M32" i="4"/>
  <c r="L32" i="4"/>
  <c r="O32" i="4"/>
  <c r="R31" i="4"/>
  <c r="Q31" i="4"/>
  <c r="P31" i="4"/>
  <c r="N31" i="4"/>
  <c r="M31" i="4"/>
  <c r="L31" i="4"/>
  <c r="O31" i="4"/>
  <c r="R29" i="4"/>
  <c r="Q29" i="4"/>
  <c r="P29" i="4"/>
  <c r="N29" i="4"/>
  <c r="M29" i="4"/>
  <c r="L29" i="4"/>
  <c r="O29" i="4"/>
  <c r="R28" i="4"/>
  <c r="Q28" i="4"/>
  <c r="P28" i="4"/>
  <c r="N28" i="4"/>
  <c r="M28" i="4"/>
  <c r="L28" i="4"/>
  <c r="O28" i="4"/>
  <c r="R27" i="4"/>
  <c r="Q27" i="4"/>
  <c r="P27" i="4"/>
  <c r="N27" i="4"/>
  <c r="M27" i="4"/>
  <c r="L27" i="4"/>
  <c r="R18" i="4"/>
  <c r="Q18" i="4"/>
  <c r="P18" i="4"/>
  <c r="N18" i="4"/>
  <c r="M18" i="4"/>
  <c r="L18" i="4"/>
  <c r="O18" i="4"/>
  <c r="R25" i="4"/>
  <c r="Q25" i="4"/>
  <c r="P25" i="4"/>
  <c r="N25" i="4"/>
  <c r="M25" i="4"/>
  <c r="L25" i="4"/>
  <c r="O25" i="4"/>
  <c r="R23" i="4"/>
  <c r="Q23" i="4"/>
  <c r="P23" i="4"/>
  <c r="N23" i="4"/>
  <c r="M23" i="4"/>
  <c r="L23" i="4"/>
  <c r="O23" i="4"/>
  <c r="R22" i="4"/>
  <c r="Q22" i="4"/>
  <c r="P22" i="4"/>
  <c r="N22" i="4"/>
  <c r="M22" i="4"/>
  <c r="L22" i="4"/>
  <c r="O22" i="4"/>
  <c r="R21" i="4"/>
  <c r="Q21" i="4"/>
  <c r="P21" i="4"/>
  <c r="N21" i="4"/>
  <c r="M21" i="4"/>
  <c r="L21" i="4"/>
  <c r="O21" i="4"/>
  <c r="R30" i="4"/>
  <c r="Q30" i="4"/>
  <c r="P30" i="4"/>
  <c r="N30" i="4"/>
  <c r="M30" i="4"/>
  <c r="L30" i="4"/>
  <c r="O30" i="4"/>
  <c r="R20" i="4"/>
  <c r="Q20" i="4"/>
  <c r="P20" i="4"/>
  <c r="N20" i="4"/>
  <c r="M20" i="4"/>
  <c r="L20" i="4"/>
  <c r="O20" i="4"/>
  <c r="R19" i="4"/>
  <c r="Q19" i="4"/>
  <c r="P19" i="4"/>
  <c r="N19" i="4"/>
  <c r="M19" i="4"/>
  <c r="L19" i="4"/>
  <c r="O19" i="4"/>
  <c r="R17" i="4"/>
  <c r="Q17" i="4"/>
  <c r="P17" i="4"/>
  <c r="N17" i="4"/>
  <c r="M17" i="4"/>
  <c r="L17" i="4"/>
  <c r="O17" i="4"/>
  <c r="R13" i="4"/>
  <c r="Q13" i="4"/>
  <c r="P13" i="4"/>
  <c r="N13" i="4"/>
  <c r="M13" i="4"/>
  <c r="L13" i="4"/>
  <c r="O13" i="4"/>
  <c r="R16" i="4"/>
  <c r="Q16" i="4"/>
  <c r="P16" i="4"/>
  <c r="N16" i="4"/>
  <c r="M16" i="4"/>
  <c r="L16" i="4"/>
  <c r="O16" i="4"/>
  <c r="R15" i="4"/>
  <c r="Q15" i="4"/>
  <c r="P15" i="4"/>
  <c r="N15" i="4"/>
  <c r="M15" i="4"/>
  <c r="L15" i="4"/>
  <c r="O15" i="4"/>
  <c r="R14" i="4"/>
  <c r="Q14" i="4"/>
  <c r="P14" i="4"/>
  <c r="N14" i="4"/>
  <c r="M14" i="4"/>
  <c r="L14" i="4"/>
  <c r="O14" i="4"/>
  <c r="R12" i="4"/>
  <c r="Q12" i="4"/>
  <c r="P12" i="4"/>
  <c r="N12" i="4"/>
  <c r="M12" i="4"/>
  <c r="L12" i="4"/>
  <c r="O12" i="4"/>
  <c r="R11" i="4"/>
  <c r="Q11" i="4"/>
  <c r="P11" i="4"/>
  <c r="N11" i="4"/>
  <c r="M11" i="4"/>
  <c r="L11" i="4"/>
  <c r="O11" i="4"/>
  <c r="R10" i="4"/>
  <c r="Q10" i="4"/>
  <c r="P10" i="4"/>
  <c r="N10" i="4"/>
  <c r="M10" i="4"/>
  <c r="L10" i="4"/>
  <c r="O10" i="4"/>
  <c r="R5" i="4"/>
  <c r="Q5" i="4"/>
  <c r="P5" i="4"/>
  <c r="N5" i="4"/>
  <c r="M5" i="4"/>
  <c r="L5" i="4"/>
  <c r="O5" i="4"/>
  <c r="R9" i="4"/>
  <c r="Q9" i="4"/>
  <c r="P9" i="4"/>
  <c r="N9" i="4"/>
  <c r="M9" i="4"/>
  <c r="L9" i="4"/>
  <c r="O9" i="4"/>
  <c r="R8" i="4"/>
  <c r="Q8" i="4"/>
  <c r="P8" i="4"/>
  <c r="N8" i="4"/>
  <c r="M8" i="4"/>
  <c r="L8" i="4"/>
  <c r="O8" i="4"/>
  <c r="R4" i="4"/>
  <c r="Q4" i="4"/>
  <c r="P4" i="4"/>
  <c r="N4" i="4"/>
  <c r="M4" i="4"/>
  <c r="L4" i="4"/>
  <c r="O4" i="4"/>
  <c r="R7" i="4"/>
  <c r="Q7" i="4"/>
  <c r="P7" i="4"/>
  <c r="N7" i="4"/>
  <c r="M7" i="4"/>
  <c r="L7" i="4"/>
  <c r="O7" i="4"/>
  <c r="R6" i="4"/>
  <c r="Q6" i="4"/>
  <c r="P6" i="4"/>
  <c r="N6" i="4"/>
  <c r="M6" i="4"/>
  <c r="L6" i="4"/>
  <c r="O6" i="4"/>
  <c r="R3" i="4"/>
  <c r="Q3" i="4"/>
  <c r="P3" i="4"/>
  <c r="N3" i="4"/>
  <c r="M3" i="4"/>
  <c r="L3" i="4"/>
  <c r="O3" i="4"/>
  <c r="R2" i="4"/>
  <c r="Q2" i="4"/>
  <c r="P2" i="4"/>
  <c r="N2" i="4"/>
  <c r="M2" i="4"/>
  <c r="L2" i="4"/>
  <c r="O2" i="4"/>
  <c r="R10" i="3"/>
  <c r="R3" i="3"/>
  <c r="R4" i="3"/>
  <c r="R5" i="3"/>
  <c r="R6" i="3"/>
  <c r="R7" i="3"/>
  <c r="R8" i="3"/>
  <c r="R9" i="3"/>
  <c r="R11" i="3"/>
  <c r="R12" i="3"/>
  <c r="R13" i="3"/>
  <c r="R14" i="3"/>
  <c r="R15" i="3"/>
  <c r="R17" i="3"/>
  <c r="R21" i="3"/>
  <c r="R23" i="3"/>
  <c r="R24" i="3"/>
  <c r="R25" i="3"/>
  <c r="R26" i="3"/>
  <c r="R27" i="3"/>
  <c r="R29" i="3"/>
  <c r="R20" i="3"/>
  <c r="R30" i="3"/>
  <c r="R31" i="3"/>
  <c r="R22" i="3"/>
  <c r="R32" i="3"/>
  <c r="R33" i="3"/>
  <c r="R34" i="3"/>
  <c r="R28" i="3"/>
  <c r="R35" i="3"/>
  <c r="R36" i="3"/>
  <c r="R38" i="3"/>
  <c r="R39" i="3"/>
  <c r="R2" i="3"/>
  <c r="N1" i="1" l="1"/>
  <c r="U1" i="1"/>
  <c r="T1" i="1"/>
  <c r="S1" i="1"/>
  <c r="R1" i="1"/>
  <c r="Q1" i="1"/>
  <c r="P1" i="1"/>
  <c r="O1" i="1"/>
</calcChain>
</file>

<file path=xl/sharedStrings.xml><?xml version="1.0" encoding="utf-8"?>
<sst xmlns="http://schemas.openxmlformats.org/spreadsheetml/2006/main" count="8159" uniqueCount="834">
  <si>
    <t>Team</t>
  </si>
  <si>
    <t>Oak Park</t>
  </si>
  <si>
    <t>Kildonan-East</t>
  </si>
  <si>
    <t>St. Paul's</t>
  </si>
  <si>
    <t>Garden City</t>
  </si>
  <si>
    <t>Glenlawn</t>
  </si>
  <si>
    <t>John Taylor</t>
  </si>
  <si>
    <t>MBCI</t>
  </si>
  <si>
    <t>Dakota</t>
  </si>
  <si>
    <t>Sisler</t>
  </si>
  <si>
    <t>Kelvin</t>
  </si>
  <si>
    <t>Miles Macdonell</t>
  </si>
  <si>
    <t>Selkirk</t>
  </si>
  <si>
    <t>Westwood</t>
  </si>
  <si>
    <t>Sturgeon Heights</t>
  </si>
  <si>
    <t>Fort Richmond</t>
  </si>
  <si>
    <t>Maples</t>
  </si>
  <si>
    <t>Murdoch MacKay</t>
  </si>
  <si>
    <t>River East</t>
  </si>
  <si>
    <t>Transcona</t>
  </si>
  <si>
    <t>West Kildonan</t>
  </si>
  <si>
    <t>J.H. Bruns</t>
  </si>
  <si>
    <t>Steinbach</t>
  </si>
  <si>
    <t>Vincent Massey</t>
  </si>
  <si>
    <t>Daniel McIntyre</t>
  </si>
  <si>
    <t>Elmwood</t>
  </si>
  <si>
    <t>Gordon Bell</t>
  </si>
  <si>
    <t>Grant Park</t>
  </si>
  <si>
    <t>Portage</t>
  </si>
  <si>
    <t>Shaftesbury</t>
  </si>
  <si>
    <t>St. John's</t>
  </si>
  <si>
    <t>Tec Voc</t>
  </si>
  <si>
    <t>Crocus Plains</t>
  </si>
  <si>
    <t>Wins</t>
  </si>
  <si>
    <t>Losses</t>
  </si>
  <si>
    <t>Pct.</t>
  </si>
  <si>
    <t>Conference</t>
  </si>
  <si>
    <t>KPAC</t>
  </si>
  <si>
    <t>WWAC-WAC-1</t>
  </si>
  <si>
    <t>WWAC-WAC-2</t>
  </si>
  <si>
    <t>Zone 15</t>
  </si>
  <si>
    <t>GCC</t>
  </si>
  <si>
    <t>Fighting Gophers</t>
  </si>
  <si>
    <t>KEC</t>
  </si>
  <si>
    <t>Reivers</t>
  </si>
  <si>
    <t>MC</t>
  </si>
  <si>
    <t>Marauders</t>
  </si>
  <si>
    <t>Hawks</t>
  </si>
  <si>
    <t>MMC</t>
  </si>
  <si>
    <t>Buckeyes</t>
  </si>
  <si>
    <t>MMCI</t>
  </si>
  <si>
    <t>Clansmen</t>
  </si>
  <si>
    <t>REC</t>
  </si>
  <si>
    <t>Kodiaks</t>
  </si>
  <si>
    <t>LS</t>
  </si>
  <si>
    <t>Royals</t>
  </si>
  <si>
    <t>TCI</t>
  </si>
  <si>
    <t>Titans</t>
  </si>
  <si>
    <t>WKC</t>
  </si>
  <si>
    <t>Wolverines</t>
  </si>
  <si>
    <t>DCI</t>
  </si>
  <si>
    <t>Lancers</t>
  </si>
  <si>
    <t>GCI</t>
  </si>
  <si>
    <t>Lions</t>
  </si>
  <si>
    <t>JHB</t>
  </si>
  <si>
    <t>Broncos</t>
  </si>
  <si>
    <t>SRSS</t>
  </si>
  <si>
    <t>Sabres</t>
  </si>
  <si>
    <t>FRC</t>
  </si>
  <si>
    <t>Centurions</t>
  </si>
  <si>
    <t>JTC</t>
  </si>
  <si>
    <t>Pipers</t>
  </si>
  <si>
    <t>KHS</t>
  </si>
  <si>
    <t>Clippers</t>
  </si>
  <si>
    <t>OPHS</t>
  </si>
  <si>
    <t>Raiders</t>
  </si>
  <si>
    <t>SiHS</t>
  </si>
  <si>
    <t>Spartans</t>
  </si>
  <si>
    <t>SPHS</t>
  </si>
  <si>
    <t>Crusaders</t>
  </si>
  <si>
    <t>VMC</t>
  </si>
  <si>
    <t>Trojans</t>
  </si>
  <si>
    <t>DMCI</t>
  </si>
  <si>
    <t>Maroons</t>
  </si>
  <si>
    <t>EHS</t>
  </si>
  <si>
    <t>Giants</t>
  </si>
  <si>
    <t>GBHS</t>
  </si>
  <si>
    <t>Panthers</t>
  </si>
  <si>
    <t>GPHS</t>
  </si>
  <si>
    <t>Pirates</t>
  </si>
  <si>
    <t>PCI</t>
  </si>
  <si>
    <t>ShHS</t>
  </si>
  <si>
    <t>SJHS</t>
  </si>
  <si>
    <t>Tigers</t>
  </si>
  <si>
    <t>SHC</t>
  </si>
  <si>
    <t>Huskies</t>
  </si>
  <si>
    <t>TVHS</t>
  </si>
  <si>
    <t>Hornets</t>
  </si>
  <si>
    <t>WWC</t>
  </si>
  <si>
    <t>Warriors</t>
  </si>
  <si>
    <t>CPRS</t>
  </si>
  <si>
    <t>Plainsmen</t>
  </si>
  <si>
    <t>VMHS</t>
  </si>
  <si>
    <t>Vikings</t>
  </si>
  <si>
    <t>Springfield</t>
  </si>
  <si>
    <t>SCI</t>
  </si>
  <si>
    <t>KPAC-1</t>
  </si>
  <si>
    <t>KPAC-2</t>
  </si>
  <si>
    <t>Jeanne-Sauv&amp;eacute;</t>
  </si>
  <si>
    <t>CJS</t>
  </si>
  <si>
    <t>Olympiens</t>
  </si>
  <si>
    <t>St. Mary's</t>
  </si>
  <si>
    <t>SMA</t>
  </si>
  <si>
    <t>Flames</t>
  </si>
  <si>
    <t>Non-Conf</t>
  </si>
  <si>
    <t>##</t>
  </si>
  <si>
    <t>Name</t>
  </si>
  <si>
    <t>G</t>
  </si>
  <si>
    <t>FGM</t>
  </si>
  <si>
    <t>FGA</t>
  </si>
  <si>
    <t>3PM</t>
  </si>
  <si>
    <t>3PA</t>
  </si>
  <si>
    <t>FTM</t>
  </si>
  <si>
    <t>FTA</t>
  </si>
  <si>
    <t>PTS</t>
  </si>
  <si>
    <t>ORB</t>
  </si>
  <si>
    <t>DRB</t>
  </si>
  <si>
    <t>TR</t>
  </si>
  <si>
    <t>PF</t>
  </si>
  <si>
    <t>AST</t>
  </si>
  <si>
    <t>TO</t>
  </si>
  <si>
    <t>BS</t>
  </si>
  <si>
    <t>ST</t>
  </si>
  <si>
    <t>DA</t>
  </si>
  <si>
    <t>MIN</t>
  </si>
  <si>
    <t>Northlands Parkway</t>
  </si>
  <si>
    <t>NPC</t>
  </si>
  <si>
    <t>Nighthawks</t>
  </si>
  <si>
    <t>Jan. 5</t>
  </si>
  <si>
    <t>Jan. 12</t>
  </si>
  <si>
    <t>Jan. 19</t>
  </si>
  <si>
    <t>Jan. 26</t>
  </si>
  <si>
    <t>Feb. 2</t>
  </si>
  <si>
    <t>Feb. 9</t>
  </si>
  <si>
    <t>Feb. 16</t>
  </si>
  <si>
    <t>Feb. 23</t>
  </si>
  <si>
    <t>Date</t>
  </si>
  <si>
    <t>Time</t>
  </si>
  <si>
    <t>Visitor</t>
  </si>
  <si>
    <t>Score</t>
  </si>
  <si>
    <t>Home</t>
  </si>
  <si>
    <t>Event</t>
  </si>
  <si>
    <t>VisCode</t>
  </si>
  <si>
    <t>HomeCode</t>
  </si>
  <si>
    <t>R. Season</t>
  </si>
  <si>
    <t>OT</t>
  </si>
  <si>
    <t>W</t>
  </si>
  <si>
    <t>R.D. Parker</t>
  </si>
  <si>
    <t>CS2 winner</t>
  </si>
  <si>
    <t>CS1 winner</t>
  </si>
  <si>
    <t>Semi 2 loser</t>
  </si>
  <si>
    <t>Semi 1 loser</t>
  </si>
  <si>
    <t>Garden Valley</t>
  </si>
  <si>
    <t>Zone 4</t>
  </si>
  <si>
    <t>GVC</t>
  </si>
  <si>
    <t>Zodiacs</t>
  </si>
  <si>
    <t>Sanford</t>
  </si>
  <si>
    <t>Gray</t>
  </si>
  <si>
    <t>Pembina Trails Classic</t>
  </si>
  <si>
    <t>Campbell</t>
  </si>
  <si>
    <t>St. Boniface</t>
  </si>
  <si>
    <t>Churchill</t>
  </si>
  <si>
    <t>Matchup</t>
  </si>
  <si>
    <t>Quarterfinal 1</t>
  </si>
  <si>
    <t>Quarterfinal 2</t>
  </si>
  <si>
    <t>Quarterfinal 3</t>
  </si>
  <si>
    <t>Quarterfinal 4</t>
  </si>
  <si>
    <t>Consolation Semi 1</t>
  </si>
  <si>
    <t>Consolation Semi 2</t>
  </si>
  <si>
    <t>Semifinal 1</t>
  </si>
  <si>
    <t>Semifinal 2</t>
  </si>
  <si>
    <t>7th Place</t>
  </si>
  <si>
    <t>Consolation Final</t>
  </si>
  <si>
    <t>3rd Place</t>
  </si>
  <si>
    <t>Championship</t>
  </si>
  <si>
    <t>Garden City Invitational</t>
  </si>
  <si>
    <t>Rick Symonds</t>
  </si>
  <si>
    <t>Sanford EarlyCat</t>
  </si>
  <si>
    <t>Consolation QF 1</t>
  </si>
  <si>
    <t>Consolation QF 2</t>
  </si>
  <si>
    <t>Consolation QF 3</t>
  </si>
  <si>
    <t>Consolation QF 4</t>
  </si>
  <si>
    <t>15th Place</t>
  </si>
  <si>
    <t>13th Place</t>
  </si>
  <si>
    <t>11th Place</t>
  </si>
  <si>
    <t>9th Place</t>
  </si>
  <si>
    <t>Tec Voc Invitational</t>
  </si>
  <si>
    <t>Quarterfinal</t>
  </si>
  <si>
    <t>Windsor Park</t>
  </si>
  <si>
    <t>St. Vital Invitational</t>
  </si>
  <si>
    <t>St. Norbert</t>
  </si>
  <si>
    <t>Edward Schreyer</t>
  </si>
  <si>
    <t>Barons Earlybird</t>
  </si>
  <si>
    <t>13th Semi 1</t>
  </si>
  <si>
    <t>13th Semi 2</t>
  </si>
  <si>
    <t>9th Semi 1</t>
  </si>
  <si>
    <t>9th Semi 2</t>
  </si>
  <si>
    <t>Centurion Classic</t>
  </si>
  <si>
    <t>Linden Christian</t>
  </si>
  <si>
    <t>Mac Attack</t>
  </si>
  <si>
    <t>BSSI</t>
  </si>
  <si>
    <t>Pool A</t>
  </si>
  <si>
    <t>Pool B</t>
  </si>
  <si>
    <t>St. John's-Ravenscourt</t>
  </si>
  <si>
    <t>Pool C</t>
  </si>
  <si>
    <t>Pool D</t>
  </si>
  <si>
    <t>Pool F</t>
  </si>
  <si>
    <t>Beaver Brae</t>
  </si>
  <si>
    <t>Stonewall</t>
  </si>
  <si>
    <t>Pool H</t>
  </si>
  <si>
    <t>Swan Valley</t>
  </si>
  <si>
    <t>BSSI Victoria Inn</t>
  </si>
  <si>
    <t>5th Place Semi 1</t>
  </si>
  <si>
    <t>5th Place Semi 2</t>
  </si>
  <si>
    <t>5th Place</t>
  </si>
  <si>
    <t>9th Place Semi 1</t>
  </si>
  <si>
    <t>9th Place Semi 2</t>
  </si>
  <si>
    <t>BSSI Tri-Star</t>
  </si>
  <si>
    <t>Regular Season</t>
  </si>
  <si>
    <t>*</t>
  </si>
  <si>
    <t>First Round Game 1</t>
  </si>
  <si>
    <t>First Round Game 2</t>
  </si>
  <si>
    <t>First Round Game 3</t>
  </si>
  <si>
    <t>KPAC Tier 2</t>
  </si>
  <si>
    <t>KPAC Tier 1</t>
  </si>
  <si>
    <t>Louis-Riel</t>
  </si>
  <si>
    <t>SCAC Tier 2</t>
  </si>
  <si>
    <t>Westgate</t>
  </si>
  <si>
    <t>L&amp;eacute;o-R&amp;eacute;millard</t>
  </si>
  <si>
    <t>Pierre-Elliott-Trudeau</t>
  </si>
  <si>
    <t>Nelson McIntyre</t>
  </si>
  <si>
    <t>SCAC-2</t>
  </si>
  <si>
    <t>SCAC-1</t>
  </si>
  <si>
    <t>1st Round Game 1</t>
  </si>
  <si>
    <t>1st Round Game 2</t>
  </si>
  <si>
    <t>1st Round Game 3</t>
  </si>
  <si>
    <t>1st Round Game 4</t>
  </si>
  <si>
    <t>1st Round Game 5</t>
  </si>
  <si>
    <t>1st Round Game 6</t>
  </si>
  <si>
    <t>1st Round Game 7</t>
  </si>
  <si>
    <t>1st Round Game 8</t>
  </si>
  <si>
    <t>WWAC-WAC Tier 1</t>
  </si>
  <si>
    <t>WWAC-WAC Tier 2</t>
  </si>
  <si>
    <t>St. James</t>
  </si>
  <si>
    <t>L</t>
  </si>
  <si>
    <t>PCT</t>
  </si>
  <si>
    <t>Neelin</t>
  </si>
  <si>
    <t>WWAC/WAC Tier 2</t>
  </si>
  <si>
    <t>WWAC/WAC Tier 1</t>
  </si>
  <si>
    <t>Other Teams</t>
  </si>
  <si>
    <t>Bronco Invitational</t>
  </si>
  <si>
    <t>This</t>
  </si>
  <si>
    <t>is</t>
  </si>
  <si>
    <t>empty</t>
  </si>
  <si>
    <t>to</t>
  </si>
  <si>
    <t>separate</t>
  </si>
  <si>
    <t>teams</t>
  </si>
  <si>
    <t>from</t>
  </si>
  <si>
    <t>others</t>
  </si>
  <si>
    <t>Reiver Tip-Off</t>
  </si>
  <si>
    <t>Wesmen Classic</t>
  </si>
  <si>
    <t>St. Ignatius</t>
  </si>
  <si>
    <t>Lorette</t>
  </si>
  <si>
    <t>Ste. Anne</t>
  </si>
  <si>
    <t>Saints Early Bird</t>
  </si>
  <si>
    <t>Shevchenko</t>
  </si>
  <si>
    <t>Grandview</t>
  </si>
  <si>
    <t>Winnipegosis</t>
  </si>
  <si>
    <t>Bill McDonald Memorial</t>
  </si>
  <si>
    <t>Hoops for Hope</t>
  </si>
  <si>
    <t>Faith</t>
  </si>
  <si>
    <t>SCAC Tier 1</t>
  </si>
  <si>
    <t>Exhibition</t>
  </si>
  <si>
    <t>13th Place Game 1</t>
  </si>
  <si>
    <t>13th Place Game 2</t>
  </si>
  <si>
    <t>13th Place Game 3</t>
  </si>
  <si>
    <t>Neelin JV</t>
  </si>
  <si>
    <t>Killarney</t>
  </si>
  <si>
    <t>Lloydminster</t>
  </si>
  <si>
    <t>Glenboro</t>
  </si>
  <si>
    <t>2OT</t>
  </si>
  <si>
    <t>Treherne</t>
  </si>
  <si>
    <t>U of W Collegiate</t>
  </si>
  <si>
    <t>Westpark</t>
  </si>
  <si>
    <t>Hapnot</t>
  </si>
  <si>
    <t>Carpenter</t>
  </si>
  <si>
    <t>DMIT</t>
  </si>
  <si>
    <t>WIT</t>
  </si>
  <si>
    <t>Consolation Quarter 1</t>
  </si>
  <si>
    <t>Sir Winston Churchill</t>
  </si>
  <si>
    <t>Third Event Semi</t>
  </si>
  <si>
    <t>Consolation Quarter 2</t>
  </si>
  <si>
    <t>Buckeye Classic</t>
  </si>
  <si>
    <t>Virden</t>
  </si>
  <si>
    <t>Portage Classic</t>
  </si>
  <si>
    <t>Margaret Barbour</t>
  </si>
  <si>
    <t>Cam MacNeil</t>
  </si>
  <si>
    <t>Huy Luu</t>
  </si>
  <si>
    <t>Shakur Harris</t>
  </si>
  <si>
    <t>Wyatt Tait</t>
  </si>
  <si>
    <t>Bruce Chen</t>
  </si>
  <si>
    <t>William Nulian</t>
  </si>
  <si>
    <t>Jerome Wuidar</t>
  </si>
  <si>
    <t>Enrico Arecga</t>
  </si>
  <si>
    <t>Cole Adamson</t>
  </si>
  <si>
    <t>Chris Chang</t>
  </si>
  <si>
    <t>Jay Dangerfield</t>
  </si>
  <si>
    <t>Adam Bocian</t>
  </si>
  <si>
    <t>Ryan Wolfe</t>
  </si>
  <si>
    <t>Thomas Devlin</t>
  </si>
  <si>
    <t>Jordan Mayo</t>
  </si>
  <si>
    <t>Christian De Leon</t>
  </si>
  <si>
    <t>Terence Wilson</t>
  </si>
  <si>
    <t>JC Aaron</t>
  </si>
  <si>
    <t>Jordan Kashton</t>
  </si>
  <si>
    <t>Dylan Tagle</t>
  </si>
  <si>
    <t>Cole Penner</t>
  </si>
  <si>
    <t>Trezon Morcilla</t>
  </si>
  <si>
    <t>Miguel Guevarra</t>
  </si>
  <si>
    <t>Riley Francey</t>
  </si>
  <si>
    <t>Brandon Lavallee</t>
  </si>
  <si>
    <t>Marcel Arruda-Welch</t>
  </si>
  <si>
    <t>Brian Carmona</t>
  </si>
  <si>
    <t>Nathan Smith</t>
  </si>
  <si>
    <t>Laurence Bisquerra</t>
  </si>
  <si>
    <t>Mathew Hebert</t>
  </si>
  <si>
    <t>Jordan Thomas</t>
  </si>
  <si>
    <t>John Quidoles</t>
  </si>
  <si>
    <t>Nathaniel Laurea</t>
  </si>
  <si>
    <t>Mathew Kirby</t>
  </si>
  <si>
    <t>John Vasili</t>
  </si>
  <si>
    <t>Carl Bacasmas</t>
  </si>
  <si>
    <t>Aaron Balmaceda</t>
  </si>
  <si>
    <t>Alex Martin</t>
  </si>
  <si>
    <t>Hanny Meskel</t>
  </si>
  <si>
    <t>Isaiah Dizon-Deguzman</t>
  </si>
  <si>
    <t>Trent Favoni-Grossart</t>
  </si>
  <si>
    <t>Zach Knight</t>
  </si>
  <si>
    <t>Kelvin Liang</t>
  </si>
  <si>
    <t>Colby Kyliuk</t>
  </si>
  <si>
    <t>Redeemed Kabashiki</t>
  </si>
  <si>
    <t>Markos Bockru</t>
  </si>
  <si>
    <t>Ankit Raturi</t>
  </si>
  <si>
    <t>Jas Rehal</t>
  </si>
  <si>
    <t>Matt Klysh</t>
  </si>
  <si>
    <t>Carter Butterfield</t>
  </si>
  <si>
    <t>Dini Ahmed</t>
  </si>
  <si>
    <t>Connor Kyliuk</t>
  </si>
  <si>
    <t>Zeru Kindie</t>
  </si>
  <si>
    <t>Seth Black</t>
  </si>
  <si>
    <t>Colby Goos</t>
  </si>
  <si>
    <t>Matt Olive</t>
  </si>
  <si>
    <t>Riley Schaus</t>
  </si>
  <si>
    <t>Mike Olive</t>
  </si>
  <si>
    <t>David Sadler</t>
  </si>
  <si>
    <t>Theo Bolme</t>
  </si>
  <si>
    <t>Ben Janzen</t>
  </si>
  <si>
    <t>Nathan Williamson</t>
  </si>
  <si>
    <t>Cameron McPhail</t>
  </si>
  <si>
    <t>Steven Fawcett</t>
  </si>
  <si>
    <t>Bryce McDonald-Norman</t>
  </si>
  <si>
    <t>Cyril Hernandez</t>
  </si>
  <si>
    <t>Walid Khoudeda</t>
  </si>
  <si>
    <t>Tristan Francis</t>
  </si>
  <si>
    <t>Renaer Villapane</t>
  </si>
  <si>
    <t>Kieran Hall</t>
  </si>
  <si>
    <t>Mo Sesay</t>
  </si>
  <si>
    <t>Mehr Rakhshani</t>
  </si>
  <si>
    <t>Michael Raaflaub</t>
  </si>
  <si>
    <t>Nico San Jose</t>
  </si>
  <si>
    <t>Luke Lintz</t>
  </si>
  <si>
    <t>Thomas Kanu</t>
  </si>
  <si>
    <t>Nicolas Kasmik</t>
  </si>
  <si>
    <t>Ben Anderson</t>
  </si>
  <si>
    <t>Brendan Paukovic</t>
  </si>
  <si>
    <t>Bobby Matuszewski</t>
  </si>
  <si>
    <t>Travis Klassen</t>
  </si>
  <si>
    <t>Keegan Hildebrand</t>
  </si>
  <si>
    <t>Tiago Oliveira</t>
  </si>
  <si>
    <t>Isaiah Friesen</t>
  </si>
  <si>
    <t>Tom Prazak</t>
  </si>
  <si>
    <t>Carson Nickel</t>
  </si>
  <si>
    <t>Joey Wilson</t>
  </si>
  <si>
    <t>Christian Andrade</t>
  </si>
  <si>
    <t>Ryan Bueckert</t>
  </si>
  <si>
    <t>Noah Friesen</t>
  </si>
  <si>
    <t>Mark Asino</t>
  </si>
  <si>
    <t>T.J. Sidhu</t>
  </si>
  <si>
    <t>Miles Lisan</t>
  </si>
  <si>
    <t>Eric Braganza</t>
  </si>
  <si>
    <t>Mike Grivicic</t>
  </si>
  <si>
    <t>Nicholson Dela Pena</t>
  </si>
  <si>
    <t>A.J. Cabanlong</t>
  </si>
  <si>
    <t>Brian Casimiro</t>
  </si>
  <si>
    <t>Psalm Arnuco</t>
  </si>
  <si>
    <t>Norman Sigua</t>
  </si>
  <si>
    <t>Tiernan Marshall</t>
  </si>
  <si>
    <t>Chandeep Brar</t>
  </si>
  <si>
    <t>Matthew Peters</t>
  </si>
  <si>
    <t>Muneer Mohammoud</t>
  </si>
  <si>
    <t>Kahvi Dennis</t>
  </si>
  <si>
    <t>Rouj Malok</t>
  </si>
  <si>
    <t>Shemar Omar</t>
  </si>
  <si>
    <t>Jared Wiens</t>
  </si>
  <si>
    <t>Tong Deng</t>
  </si>
  <si>
    <t>Adrian Uliczko</t>
  </si>
  <si>
    <t>Shub Khosa</t>
  </si>
  <si>
    <t>David Mugugu</t>
  </si>
  <si>
    <t>Seth McKenzie</t>
  </si>
  <si>
    <t>Jerry Ezekwem</t>
  </si>
  <si>
    <t>CJ Knelsen</t>
  </si>
  <si>
    <t>AJ Ballares</t>
  </si>
  <si>
    <t>Nick Klassen</t>
  </si>
  <si>
    <t>Jaden Martens</t>
  </si>
  <si>
    <t>Thomas Ware</t>
  </si>
  <si>
    <t>TJ Sawatzky</t>
  </si>
  <si>
    <t>Tinufe Fola-Bolumole</t>
  </si>
  <si>
    <t>Jonas Neufeld</t>
  </si>
  <si>
    <t>Keegan Teetaert</t>
  </si>
  <si>
    <t>Scott Funk</t>
  </si>
  <si>
    <t>Eric Loeppky</t>
  </si>
  <si>
    <t>Ezra Winter</t>
  </si>
  <si>
    <t>Lucas Thiessen</t>
  </si>
  <si>
    <t>Taylor Templeton</t>
  </si>
  <si>
    <t>Aaron Sackey</t>
  </si>
  <si>
    <t>Enoch Odoleye</t>
  </si>
  <si>
    <t>Terrell Feakes</t>
  </si>
  <si>
    <t>Aaron Mitchell-Dueck</t>
  </si>
  <si>
    <t>Shazil Ghourri</t>
  </si>
  <si>
    <t>Neelansh Visen</t>
  </si>
  <si>
    <t>Jerome Manguba</t>
  </si>
  <si>
    <t>Zachary Feakes</t>
  </si>
  <si>
    <t>Tim Guillou</t>
  </si>
  <si>
    <t>Andreas Dueck</t>
  </si>
  <si>
    <t>Evan Abram</t>
  </si>
  <si>
    <t>Julian Burtniak</t>
  </si>
  <si>
    <t>Bryden Bukich</t>
  </si>
  <si>
    <t>Justin Baldwin</t>
  </si>
  <si>
    <t>Dylan Sutherland</t>
  </si>
  <si>
    <t>Joel Engel</t>
  </si>
  <si>
    <t>Miggy Sian</t>
  </si>
  <si>
    <t>Josh Horsa</t>
  </si>
  <si>
    <t>Joel Fisseha</t>
  </si>
  <si>
    <t>Cory Dysart-Moody</t>
  </si>
  <si>
    <t>Hanak Zerihun</t>
  </si>
  <si>
    <t>Matt Robinson</t>
  </si>
  <si>
    <t>Dagem Tedele</t>
  </si>
  <si>
    <t>Brandon McKenzie</t>
  </si>
  <si>
    <t>Tyler Colquhoun</t>
  </si>
  <si>
    <t>Liam Doherty</t>
  </si>
  <si>
    <t>Jun Hang Yang</t>
  </si>
  <si>
    <t>Joshua Nowosad</t>
  </si>
  <si>
    <t>Nok Hang Choy</t>
  </si>
  <si>
    <t>Austin Ducharme</t>
  </si>
  <si>
    <t>Brendan O'Dowda</t>
  </si>
  <si>
    <t>Bryce Wells</t>
  </si>
  <si>
    <t>Ethan Duncan</t>
  </si>
  <si>
    <t>Nic Doerksen</t>
  </si>
  <si>
    <t>Jayden Rodych</t>
  </si>
  <si>
    <t>Andrew Gillingham</t>
  </si>
  <si>
    <t>Aidan Murphy</t>
  </si>
  <si>
    <t>Junior Zaki</t>
  </si>
  <si>
    <t>Blake Bauer</t>
  </si>
  <si>
    <t>Jason Tran</t>
  </si>
  <si>
    <t>Alex Guertin</t>
  </si>
  <si>
    <t>Josh Magri</t>
  </si>
  <si>
    <t>Matt Pyo</t>
  </si>
  <si>
    <t>Kelsey Winsor</t>
  </si>
  <si>
    <t>Aaron Cripps</t>
  </si>
  <si>
    <t>Jordan Magri</t>
  </si>
  <si>
    <t>Seth Cathers</t>
  </si>
  <si>
    <t>Stephan Labossiere</t>
  </si>
  <si>
    <t>Riley Unrau</t>
  </si>
  <si>
    <t>Domenic Horvath</t>
  </si>
  <si>
    <t>Enoch Eshetu</t>
  </si>
  <si>
    <t>Manny Stewart</t>
  </si>
  <si>
    <t>Liam Gerus</t>
  </si>
  <si>
    <t>Mathew Luo</t>
  </si>
  <si>
    <t>Devin Campbell</t>
  </si>
  <si>
    <t>Logan Gerus</t>
  </si>
  <si>
    <t>Nicholas Blandford</t>
  </si>
  <si>
    <t>Cheik Basse</t>
  </si>
  <si>
    <t>Bamelak Tadele</t>
  </si>
  <si>
    <t>Colin Schroeder</t>
  </si>
  <si>
    <t>Kevin Ireland</t>
  </si>
  <si>
    <t>Evan Krausher</t>
  </si>
  <si>
    <t>Devine Osabutey</t>
  </si>
  <si>
    <t>Jordan Lalonde</t>
  </si>
  <si>
    <t>Dolapo Ogungbemi</t>
  </si>
  <si>
    <t>Aaron Mitchell</t>
  </si>
  <si>
    <t>Darnell Wyke</t>
  </si>
  <si>
    <t>Elliot Radford</t>
  </si>
  <si>
    <t>Adam Rush</t>
  </si>
  <si>
    <t>Michele Killge</t>
  </si>
  <si>
    <t>Kyle Berzuk</t>
  </si>
  <si>
    <t>Michael Rempel Boschman</t>
  </si>
  <si>
    <t>Mitchell Hologroski</t>
  </si>
  <si>
    <t>Owen Kornelson</t>
  </si>
  <si>
    <t>Brandon Dyck</t>
  </si>
  <si>
    <t>Luc Ottenbreit</t>
  </si>
  <si>
    <t>Justin Lange</t>
  </si>
  <si>
    <t>Owen Fischer</t>
  </si>
  <si>
    <t>Tim Roller</t>
  </si>
  <si>
    <t>Harneil Aulakh</t>
  </si>
  <si>
    <t>Angus Peng</t>
  </si>
  <si>
    <t>Emmanuel Thomas</t>
  </si>
  <si>
    <t>Sam Greenberg</t>
  </si>
  <si>
    <t>Testimony Aregbesola</t>
  </si>
  <si>
    <t>Daniel Thiessen</t>
  </si>
  <si>
    <t>Julian Avila</t>
  </si>
  <si>
    <t>Shane Jaggard</t>
  </si>
  <si>
    <t>Steven Cross</t>
  </si>
  <si>
    <t>Andrew Harder</t>
  </si>
  <si>
    <t>Josh Jamieson</t>
  </si>
  <si>
    <t>David Zaffar</t>
  </si>
  <si>
    <t>Alan Leung</t>
  </si>
  <si>
    <t>Josh Ajibola</t>
  </si>
  <si>
    <t>Xizhe Hu</t>
  </si>
  <si>
    <t>Foebas dela Paz</t>
  </si>
  <si>
    <t>Emmanuel Adesida</t>
  </si>
  <si>
    <t>Zephy Ochieng</t>
  </si>
  <si>
    <t>Jaden Harms</t>
  </si>
  <si>
    <t>Aman Chahal</t>
  </si>
  <si>
    <t>Suvig Dua</t>
  </si>
  <si>
    <t>Shreyas Chaudhari</t>
  </si>
  <si>
    <t>Rodney Mutaasa</t>
  </si>
  <si>
    <t>Nick Bueno</t>
  </si>
  <si>
    <t>T.J. Bassan</t>
  </si>
  <si>
    <t>Bobby Aulakh</t>
  </si>
  <si>
    <t>Tyler Minarik</t>
  </si>
  <si>
    <t>SJR</t>
  </si>
  <si>
    <t>Eagles</t>
  </si>
  <si>
    <t>Nathan Kroft</t>
  </si>
  <si>
    <t>Anoush Sepheri</t>
  </si>
  <si>
    <t>Ryan Eisbrenner</t>
  </si>
  <si>
    <t>Sandeep Brar</t>
  </si>
  <si>
    <t>Manny Wood</t>
  </si>
  <si>
    <t>Charn Brar</t>
  </si>
  <si>
    <t>Jagman Brar</t>
  </si>
  <si>
    <t>Vaelan Sriranjan</t>
  </si>
  <si>
    <t>St. James Holiday Classic</t>
  </si>
  <si>
    <t>Piper Classic</t>
  </si>
  <si>
    <t>Bedford Road</t>
  </si>
  <si>
    <t>Bedford Road Invitational</t>
  </si>
  <si>
    <t>Game 1</t>
  </si>
  <si>
    <t>W.C. Miller</t>
  </si>
  <si>
    <t>Trojans Classic</t>
  </si>
  <si>
    <t>Roseau Valley</t>
  </si>
  <si>
    <t>Warren</t>
  </si>
  <si>
    <t>Vincent Massey (WPG)</t>
  </si>
  <si>
    <t>Record</t>
  </si>
  <si>
    <t>Sisler Classic</t>
  </si>
  <si>
    <t>3rd Pool A</t>
  </si>
  <si>
    <t>2nd Pool A</t>
  </si>
  <si>
    <t>LeBoldus</t>
  </si>
  <si>
    <t>NR</t>
  </si>
  <si>
    <t>Transcona Optimist</t>
  </si>
  <si>
    <t>Zodiac Invitational</t>
  </si>
  <si>
    <t>Dryden</t>
  </si>
  <si>
    <t>Zodiacs Invitational</t>
  </si>
  <si>
    <t>Garden Valley JV</t>
  </si>
  <si>
    <t>Reiver Invitational</t>
  </si>
  <si>
    <t>NIT</t>
  </si>
  <si>
    <t>Boissevain</t>
  </si>
  <si>
    <t>Dauphin</t>
  </si>
  <si>
    <t>St. Mary's Invitational</t>
  </si>
  <si>
    <t>Java Jam</t>
  </si>
  <si>
    <t>Neepawa</t>
  </si>
  <si>
    <t>3rd Pool D</t>
  </si>
  <si>
    <t>2nd Pool D</t>
  </si>
  <si>
    <t>Royal Rumble</t>
  </si>
  <si>
    <t>Ross L. Gray</t>
  </si>
  <si>
    <t>Round Robin</t>
  </si>
  <si>
    <t>Teulon</t>
  </si>
  <si>
    <t>Louis Riel</t>
  </si>
  <si>
    <t/>
  </si>
  <si>
    <t>Annaka Webber</t>
  </si>
  <si>
    <t>Deidre Bartlett</t>
  </si>
  <si>
    <t>Lauren Bartlett</t>
  </si>
  <si>
    <t>Laura Wall</t>
  </si>
  <si>
    <t>Tess Poulton</t>
  </si>
  <si>
    <t>Kirsten Balness</t>
  </si>
  <si>
    <t>Jessica Dyck</t>
  </si>
  <si>
    <t>Abby Wilcoxson</t>
  </si>
  <si>
    <t>Breanna Slobak</t>
  </si>
  <si>
    <t>Bettina Shyllon</t>
  </si>
  <si>
    <t>Alicia Prociuk</t>
  </si>
  <si>
    <t>Rachel Singleton</t>
  </si>
  <si>
    <t>Sarah Herms</t>
  </si>
  <si>
    <t>Jessica Marx-Houndle</t>
  </si>
  <si>
    <t>Shemenu Dayassa</t>
  </si>
  <si>
    <t>Meagan Cancilla</t>
  </si>
  <si>
    <t>Brynn Todd</t>
  </si>
  <si>
    <t>Brianna Hayward</t>
  </si>
  <si>
    <t>Chelsea Zapotochny</t>
  </si>
  <si>
    <t>Melissa McColl</t>
  </si>
  <si>
    <t>Denice Linag</t>
  </si>
  <si>
    <t>Jada Gibbs</t>
  </si>
  <si>
    <t>Charisse Ahmad</t>
  </si>
  <si>
    <t>Gem Magnaye</t>
  </si>
  <si>
    <t>Mae Concepcion</t>
  </si>
  <si>
    <t>Sompong Sana</t>
  </si>
  <si>
    <t>Jayvee Altasin</t>
  </si>
  <si>
    <t>Angela Tabion</t>
  </si>
  <si>
    <t>Bianca Lingal</t>
  </si>
  <si>
    <t>Liyanah Serapio</t>
  </si>
  <si>
    <t>Jasmine Fauni</t>
  </si>
  <si>
    <t>Nimo Yussuf</t>
  </si>
  <si>
    <t>Kim Miniano</t>
  </si>
  <si>
    <t>Abigail Ramos</t>
  </si>
  <si>
    <t>Sage Starkell</t>
  </si>
  <si>
    <t>Haley White</t>
  </si>
  <si>
    <t>Ansa Chaudhary</t>
  </si>
  <si>
    <t>Danica Dekleva</t>
  </si>
  <si>
    <t>Raisa Reyes</t>
  </si>
  <si>
    <t>Amina Mohammed</t>
  </si>
  <si>
    <t>Sarah Smith</t>
  </si>
  <si>
    <t>Emerson Martin</t>
  </si>
  <si>
    <t>Averi Bollenbach</t>
  </si>
  <si>
    <t>Hanna Buhr</t>
  </si>
  <si>
    <t>Chelsea Munro</t>
  </si>
  <si>
    <t>Erin Clarke</t>
  </si>
  <si>
    <t>Shanelle Haliuk</t>
  </si>
  <si>
    <t>Erynn Buhr</t>
  </si>
  <si>
    <t>Paige Donald</t>
  </si>
  <si>
    <t>Alyssa Norman</t>
  </si>
  <si>
    <t>Sydney Mclean</t>
  </si>
  <si>
    <t>Destiny Maluga</t>
  </si>
  <si>
    <t>Faith Clearsky</t>
  </si>
  <si>
    <t>Bryanna Sutlic</t>
  </si>
  <si>
    <t>Emily Speiss</t>
  </si>
  <si>
    <t>Tyra Procure</t>
  </si>
  <si>
    <t>Richelle Recksiedler</t>
  </si>
  <si>
    <t>Jessica King</t>
  </si>
  <si>
    <t>Stephenie Moore</t>
  </si>
  <si>
    <t>Morgan Raposo</t>
  </si>
  <si>
    <t>Danika Thorvaldson</t>
  </si>
  <si>
    <t>Jillian Tompkins</t>
  </si>
  <si>
    <t>Carlee Barylski</t>
  </si>
  <si>
    <t>Callista Howard</t>
  </si>
  <si>
    <t>Tamara Fedorchuk</t>
  </si>
  <si>
    <t>Danielle Hallson</t>
  </si>
  <si>
    <t>Aseon Cho</t>
  </si>
  <si>
    <t>Jade Sharpe</t>
  </si>
  <si>
    <t>Vanessa Hogue</t>
  </si>
  <si>
    <t>Sienna Miller</t>
  </si>
  <si>
    <t>Tayler Skervjan</t>
  </si>
  <si>
    <t>Katia Messnar</t>
  </si>
  <si>
    <t>Kiana Sharpe</t>
  </si>
  <si>
    <t>Madelline Ward</t>
  </si>
  <si>
    <t>Madison McCall</t>
  </si>
  <si>
    <t>Pam Stoyko</t>
  </si>
  <si>
    <t>Sara Fergus</t>
  </si>
  <si>
    <t>Quianna Kumar</t>
  </si>
  <si>
    <t>Jeanelle Hauser</t>
  </si>
  <si>
    <t>Katarina Gomes</t>
  </si>
  <si>
    <t>Nardos Omer</t>
  </si>
  <si>
    <t>Emily Tham</t>
  </si>
  <si>
    <t>Leoni Byblow</t>
  </si>
  <si>
    <t>Darla Pokraut</t>
  </si>
  <si>
    <t>Mason Robillard</t>
  </si>
  <si>
    <t>Cole Lacap</t>
  </si>
  <si>
    <t>Neil Cruz</t>
  </si>
  <si>
    <t>Emmanuel Hakizimana</t>
  </si>
  <si>
    <t>Elijah Ochogi</t>
  </si>
  <si>
    <t>Trevor Tran</t>
  </si>
  <si>
    <t>Bryan Cabigao</t>
  </si>
  <si>
    <t>Rayn Brooks</t>
  </si>
  <si>
    <t>Joseph Smith</t>
  </si>
  <si>
    <t>Keishawn Mitchell</t>
  </si>
  <si>
    <t>Nathan Leitao</t>
  </si>
  <si>
    <t>Lennard Hipolito</t>
  </si>
  <si>
    <t>Chol Majur</t>
  </si>
  <si>
    <t>Carlo Supan</t>
  </si>
  <si>
    <t>Gabriel Pembele</t>
  </si>
  <si>
    <t>Zion Notice</t>
  </si>
  <si>
    <t>Nathaniel Alnas</t>
  </si>
  <si>
    <t>Jonah Gall</t>
  </si>
  <si>
    <t>Pete Huletey</t>
  </si>
  <si>
    <t>Nick Laping</t>
  </si>
  <si>
    <t>Milo Karahalios</t>
  </si>
  <si>
    <t>Aaron Sawbo</t>
  </si>
  <si>
    <t>Tommy Semchyshyn</t>
  </si>
  <si>
    <t>Ryan Johnson</t>
  </si>
  <si>
    <t>Joel Adu Quaye</t>
  </si>
  <si>
    <t>Bryce Stubbings</t>
  </si>
  <si>
    <t>Matt Yaworsky</t>
  </si>
  <si>
    <t>Stephen Crew</t>
  </si>
  <si>
    <t>Cam O'Hara</t>
  </si>
  <si>
    <t>Ethan Cardinal</t>
  </si>
  <si>
    <t>Austin Mattes</t>
  </si>
  <si>
    <t>Andrew Ly</t>
  </si>
  <si>
    <t>Louis Makot</t>
  </si>
  <si>
    <t>Tristan Patson</t>
  </si>
  <si>
    <t>Jason Quaiser</t>
  </si>
  <si>
    <t>Zack Giesbrecht</t>
  </si>
  <si>
    <t>Robel Feneshion</t>
  </si>
  <si>
    <t>Josh Gandier</t>
  </si>
  <si>
    <t>Tae Won Kim</t>
  </si>
  <si>
    <t>Riki Zimbakov</t>
  </si>
  <si>
    <t>James Wagner</t>
  </si>
  <si>
    <t>Jared Muise</t>
  </si>
  <si>
    <t>Kanen Ling</t>
  </si>
  <si>
    <t>Brett Armstrong</t>
  </si>
  <si>
    <t>Pajack Obeing</t>
  </si>
  <si>
    <t>Ben Allarie</t>
  </si>
  <si>
    <t>Devon Michelle</t>
  </si>
  <si>
    <t>Hunter Coates</t>
  </si>
  <si>
    <t>Bishop J. Mahoney</t>
  </si>
  <si>
    <t>Arch. O'Leary</t>
  </si>
  <si>
    <t>Kelvin Preseason</t>
  </si>
  <si>
    <t>King's</t>
  </si>
  <si>
    <t>AMC of Notre Dame</t>
  </si>
  <si>
    <t>Springs Christian</t>
  </si>
  <si>
    <t>Lady Mac Attack</t>
  </si>
  <si>
    <t>0F</t>
  </si>
  <si>
    <t>H</t>
  </si>
  <si>
    <t>Dennis Cook</t>
  </si>
  <si>
    <t>Jerome Restar</t>
  </si>
  <si>
    <t>Marc Arabe</t>
  </si>
  <si>
    <t>Tristan Doctora</t>
  </si>
  <si>
    <t>Gian Tullao</t>
  </si>
  <si>
    <t>Knu Justine Vedua</t>
  </si>
  <si>
    <t>Jeremy Cruzada</t>
  </si>
  <si>
    <t>Carlo Cabradilla</t>
  </si>
  <si>
    <t>Jayden Bannerman</t>
  </si>
  <si>
    <t>Elson Bocalan</t>
  </si>
  <si>
    <t>Carl Alfonso</t>
  </si>
  <si>
    <t>Errol Manimtim</t>
  </si>
  <si>
    <t>Selestine Niyongabo</t>
  </si>
  <si>
    <t>Joseph Licopa</t>
  </si>
  <si>
    <t>James Lucero</t>
  </si>
  <si>
    <t>Alec Canteras</t>
  </si>
  <si>
    <t>Don Dayrit</t>
  </si>
  <si>
    <t>Andrei Sansano</t>
  </si>
  <si>
    <t>Jerome Santoyo</t>
  </si>
  <si>
    <t>Matthew Medina</t>
  </si>
  <si>
    <t>Guy Hooke</t>
  </si>
  <si>
    <t>Michael Saceda</t>
  </si>
  <si>
    <t>Noah Horobetz-Simpson</t>
  </si>
  <si>
    <t>Sahibdeep Sekhon</t>
  </si>
  <si>
    <t>Rey Jr. Liberato</t>
  </si>
  <si>
    <t>Janssen Paguio</t>
  </si>
  <si>
    <t>Partap Hothi</t>
  </si>
  <si>
    <t>Cam Marcelleno</t>
  </si>
  <si>
    <t>Nic Chojczak</t>
  </si>
  <si>
    <t>Alex Stefanko</t>
  </si>
  <si>
    <t>Vikram Sandhu</t>
  </si>
  <si>
    <t>Balraj Hothi</t>
  </si>
  <si>
    <t>Asad Shariff</t>
  </si>
  <si>
    <t>Morden</t>
  </si>
  <si>
    <t>Rosenort</t>
  </si>
  <si>
    <t>Morris</t>
  </si>
  <si>
    <t>SCAC</t>
  </si>
  <si>
    <t>Souris</t>
  </si>
  <si>
    <t>Niverville</t>
  </si>
  <si>
    <t>Sanford Classic</t>
  </si>
  <si>
    <t>Sisler Invitational</t>
  </si>
  <si>
    <t>Green Valley</t>
  </si>
  <si>
    <t>Paul Kane</t>
  </si>
  <si>
    <t>Ainlay Tri-Prov</t>
  </si>
  <si>
    <t>(AB) St. Mary's</t>
  </si>
  <si>
    <t>Redhawks Invitational</t>
  </si>
  <si>
    <t>Laping Memorial</t>
  </si>
  <si>
    <t>Nighthawks Invitational</t>
  </si>
  <si>
    <t>Luther Invitational</t>
  </si>
  <si>
    <t>Luther</t>
  </si>
  <si>
    <t>Campbell Invitational</t>
  </si>
  <si>
    <t>Riffel</t>
  </si>
  <si>
    <t>St. Joseph</t>
  </si>
  <si>
    <t>Consolation</t>
  </si>
  <si>
    <t>Invitational</t>
  </si>
  <si>
    <t>Evan Hardy</t>
  </si>
  <si>
    <t>Raymond</t>
  </si>
  <si>
    <t>Chestermere</t>
  </si>
  <si>
    <t>Holy Cross</t>
  </si>
  <si>
    <t>Gordon Bell Invitational</t>
  </si>
  <si>
    <t>North-South Showdown</t>
  </si>
  <si>
    <t>TB</t>
  </si>
  <si>
    <t>Kniel Sullera</t>
  </si>
  <si>
    <t>Ali Bangura</t>
  </si>
  <si>
    <t>Willem Labun</t>
  </si>
  <si>
    <t>Evan Warnock</t>
  </si>
  <si>
    <t>Birhanu Yitna</t>
  </si>
  <si>
    <t>Alasdair DeKoning</t>
  </si>
  <si>
    <t>Semifinal</t>
  </si>
  <si>
    <t>Zone 15 Championship</t>
  </si>
  <si>
    <t>Ross Sheppard</t>
  </si>
  <si>
    <t>Harry Ainlay</t>
  </si>
  <si>
    <t>St. Albert</t>
  </si>
  <si>
    <t>Marion Graham</t>
  </si>
  <si>
    <t>Cardston</t>
  </si>
  <si>
    <t>Steinbach Christian</t>
  </si>
  <si>
    <t>Gordon Bell JV</t>
  </si>
  <si>
    <t>St. Laurent</t>
  </si>
  <si>
    <t>Ryan Hassar</t>
  </si>
  <si>
    <t>Frank Rukundo</t>
  </si>
  <si>
    <t>Beruk Weldearguy</t>
  </si>
  <si>
    <t>Hameid Sofizada</t>
  </si>
  <si>
    <t>Gary Regis</t>
  </si>
  <si>
    <t>James Diaz</t>
  </si>
  <si>
    <t>Calvin Christian</t>
  </si>
  <si>
    <t>Centennial</t>
  </si>
  <si>
    <t>Marauder Invitational</t>
  </si>
  <si>
    <t>Melfort</t>
  </si>
  <si>
    <t>Sheldon-Williams</t>
  </si>
  <si>
    <t>Balfour</t>
  </si>
  <si>
    <t>St. Maurice</t>
  </si>
  <si>
    <t>Carman</t>
  </si>
  <si>
    <t>Game 2</t>
  </si>
  <si>
    <t>Game 3</t>
  </si>
  <si>
    <t>Triple Crown</t>
  </si>
  <si>
    <t>Zone Challenge</t>
  </si>
  <si>
    <t>McNaughton</t>
  </si>
  <si>
    <t>Guardian Invitational Tournament</t>
  </si>
  <si>
    <t>Legacy</t>
  </si>
  <si>
    <t>(SK) St. Mary's</t>
  </si>
  <si>
    <t>Zone 4/15</t>
  </si>
  <si>
    <t>Mar. 5</t>
  </si>
  <si>
    <t>AAAA Provincials</t>
  </si>
  <si>
    <t>Wildcard Play-in</t>
  </si>
  <si>
    <t>First Round Game 4</t>
  </si>
  <si>
    <t>SF2 winner</t>
  </si>
  <si>
    <t>SF1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</si>
</sst>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]h:mm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Protection="1">
      <protection locked="0"/>
    </xf>
    <xf numFmtId="1" fontId="0" fillId="0" borderId="0" xfId="0" quotePrefix="1" applyNumberFormat="1" applyProtection="1">
      <protection locked="0"/>
    </xf>
    <xf numFmtId="49" fontId="0" fillId="0" borderId="0" xfId="0" applyNumberFormat="1"/>
    <xf numFmtId="1" fontId="0" fillId="0" borderId="0" xfId="0" applyNumberFormat="1" applyProtection="1"/>
    <xf numFmtId="0" fontId="0" fillId="0" borderId="0" xfId="0" applyProtection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3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5"/>
  <sheetViews>
    <sheetView workbookViewId="0">
      <selection activeCell="V15" sqref="V15"/>
    </sheetView>
  </sheetViews>
  <sheetFormatPr defaultRowHeight="15" x14ac:dyDescent="0.25"/>
  <cols>
    <col min="1" max="1" width="5.85546875" bestFit="1" customWidth="1"/>
    <col min="2" max="2" width="6.28515625" bestFit="1" customWidth="1"/>
    <col min="3" max="3" width="7.28515625" bestFit="1" customWidth="1"/>
    <col min="4" max="4" width="5.85546875" bestFit="1" customWidth="1"/>
    <col min="5" max="7" width="6.85546875" bestFit="1" customWidth="1"/>
    <col min="8" max="9" width="6.28515625" bestFit="1" customWidth="1"/>
    <col min="10" max="10" width="7.28515625" style="2" bestFit="1" customWidth="1"/>
    <col min="11" max="11" width="7.28515625" bestFit="1" customWidth="1"/>
  </cols>
  <sheetData>
    <row r="1" spans="1:22" x14ac:dyDescent="0.25">
      <c r="A1" t="s">
        <v>0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s="2" t="s">
        <v>828</v>
      </c>
      <c r="K1" s="14" t="s">
        <v>560</v>
      </c>
      <c r="N1" t="str">
        <f>"&lt;tr&gt;&lt;th&gt;"&amp;A1&amp;"&lt;/th&gt;"</f>
        <v>&lt;tr&gt;&lt;th&gt;Team&lt;/th&gt;</v>
      </c>
      <c r="O1" t="str">
        <f>"&lt;th&gt;"&amp;B1&amp;"&lt;/th&gt;"</f>
        <v>&lt;th&gt;Jan. 5&lt;/th&gt;</v>
      </c>
      <c r="P1" t="str">
        <f t="shared" ref="P1:U1" si="0">"&lt;th&gt;"&amp;C1&amp;"&lt;/th&gt;"</f>
        <v>&lt;th&gt;Jan. 12&lt;/th&gt;</v>
      </c>
      <c r="Q1" t="str">
        <f t="shared" si="0"/>
        <v>&lt;th&gt;Jan. 19&lt;/th&gt;</v>
      </c>
      <c r="R1" t="str">
        <f t="shared" si="0"/>
        <v>&lt;th&gt;Jan. 26&lt;/th&gt;</v>
      </c>
      <c r="S1" t="str">
        <f t="shared" si="0"/>
        <v>&lt;th&gt;Feb. 2&lt;/th&gt;</v>
      </c>
      <c r="T1" t="str">
        <f t="shared" si="0"/>
        <v>&lt;th&gt;Feb. 9&lt;/th&gt;</v>
      </c>
      <c r="U1" t="str">
        <f t="shared" si="0"/>
        <v>&lt;th&gt;Feb. 16&lt;/th&gt;</v>
      </c>
      <c r="V1" t="str">
        <f>"&lt;th&gt;"&amp;I1&amp;"&lt;/th&gt;&lt;/tr&gt;"</f>
        <v>&lt;th&gt;Feb. 23&lt;/th&gt;&lt;/tr&gt;</v>
      </c>
    </row>
    <row r="2" spans="1:22" x14ac:dyDescent="0.25">
      <c r="A2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s="2">
        <v>1</v>
      </c>
      <c r="K2" s="2" t="str">
        <f>'Boys Standings'!B23&amp;"-"&amp;'Boys Standings'!C23&amp;" ("&amp;'Boys Standings'!F23&amp;"-"&amp;'Boys Standings'!G23&amp;")"</f>
        <v>24-1 (9-0)</v>
      </c>
      <c r="N2" t="str">
        <f t="shared" ref="N2:N13" si="1">"&lt;tr&gt;&lt;td&gt;"&amp;A2&amp;"&lt;/td&gt;"</f>
        <v>&lt;tr&gt;&lt;td&gt;John Taylor&lt;/td&gt;</v>
      </c>
      <c r="O2" t="str">
        <f t="shared" ref="O2:O12" si="2">"&lt;td&gt;"&amp;B2&amp;"&lt;/td&gt;"</f>
        <v>&lt;td&gt;1&lt;/td&gt;</v>
      </c>
      <c r="P2" t="str">
        <f t="shared" ref="P2:P12" si="3">IF(OR(AND(C2&gt;B2,NOT(B2="")),AND(C2="",B2&gt;0,NOT(SUM(C$2:C$10)=0))),"&lt;td class=""down""&gt;",IF(OR(AND(C2&gt;B2,B2=""),AND(C2&lt;B2,NOT(C2=""))),"&lt;td class=""up""&gt;",IF(OR(C2="",C2=B2),"&lt;td&gt;")))&amp;C2&amp;"&lt;/td&gt;"</f>
        <v>&lt;td&gt;1&lt;/td&gt;</v>
      </c>
      <c r="Q2" t="str">
        <f t="shared" ref="Q2:Q12" si="4">IF(OR(AND(D2&gt;C2,NOT(C2="")),AND(D2="",C2&gt;0,NOT(SUM(D$2:D$10)=0))),"&lt;td class=""down""&gt;",IF(OR(AND(D2&gt;C2,C2=""),AND(D2&lt;C2,NOT(D2=""))),"&lt;td class=""up""&gt;",IF(OR(D2="",D2=C2),"&lt;td&gt;")))&amp;D2&amp;"&lt;/td&gt;"</f>
        <v>&lt;td&gt;1&lt;/td&gt;</v>
      </c>
      <c r="R2" t="str">
        <f t="shared" ref="R2:R12" si="5">IF(OR(AND(E2&gt;D2,NOT(D2="")),AND(E2="",D2&gt;0,NOT(SUM(E$2:E$10)=0))),"&lt;td class=""down""&gt;",IF(OR(AND(E2&gt;D2,D2=""),AND(E2&lt;D2,NOT(E2=""))),"&lt;td class=""up""&gt;",IF(OR(E2="",E2=D2),"&lt;td&gt;")))&amp;E2&amp;"&lt;/td&gt;"</f>
        <v>&lt;td&gt;1&lt;/td&gt;</v>
      </c>
      <c r="S2" t="str">
        <f t="shared" ref="S2:S12" si="6">IF(OR(AND(F2&gt;E2,NOT(E2="")),AND(F2="",E2&gt;0,NOT(SUM(F$2:F$10)=0))),"&lt;td class=""down""&gt;",IF(OR(AND(F2&gt;E2,E2=""),AND(F2&lt;E2,NOT(F2=""))),"&lt;td class=""up""&gt;",IF(OR(F2="",F2=E2),"&lt;td&gt;")))&amp;F2&amp;"&lt;/td&gt;"</f>
        <v>&lt;td&gt;1&lt;/td&gt;</v>
      </c>
      <c r="T2" t="str">
        <f t="shared" ref="T2:T12" si="7">IF(OR(AND(G2&gt;F2,NOT(F2="")),AND(G2="",F2&gt;0,NOT(SUM(G$2:G$10)=0))),"&lt;td class=""down""&gt;",IF(OR(AND(G2&gt;F2,F2=""),AND(G2&lt;F2,NOT(G2=""))),"&lt;td class=""up""&gt;",IF(OR(G2="",G2=F2),"&lt;td&gt;")))&amp;G2&amp;"&lt;/td&gt;"</f>
        <v>&lt;td&gt;1&lt;/td&gt;</v>
      </c>
      <c r="U2" t="str">
        <f t="shared" ref="U2:U12" si="8">IF(OR(AND(H2&gt;G2,NOT(G2="")),AND(H2="",G2&gt;0,NOT(SUM(H$2:H$10)=0))),"&lt;td class=""down""&gt;",IF(OR(AND(H2&gt;G2,G2=""),AND(H2&lt;G2,NOT(H2=""))),"&lt;td class=""up""&gt;",IF(OR(H2="",H2=G2),"&lt;td&gt;")))&amp;H2&amp;"&lt;/td&gt;"</f>
        <v>&lt;td&gt;1&lt;/td&gt;</v>
      </c>
      <c r="V2" t="str">
        <f t="shared" ref="V2:V12" si="9">IF(OR(AND(I2&gt;H2,NOT(H2="")),AND(I2="",H2&gt;0,NOT(SUM(I$2:I$10)=0))),"&lt;td class=""down""&gt;",IF(OR(AND(I2&gt;H2,H2=""),AND(I2&lt;H2,NOT(I2=""))),"&lt;td class=""up""&gt;",IF(OR(I2="",I2=H2),"&lt;td&gt;")))&amp;I2&amp;"&lt;/td&gt;&lt;/tr&gt;"</f>
        <v>&lt;td&gt;1&lt;/td&gt;&lt;/tr&gt;</v>
      </c>
    </row>
    <row r="3" spans="1:22" x14ac:dyDescent="0.25">
      <c r="A3" t="s">
        <v>1</v>
      </c>
      <c r="B3">
        <v>2</v>
      </c>
      <c r="C3">
        <v>3</v>
      </c>
      <c r="D3">
        <v>3</v>
      </c>
      <c r="E3">
        <v>3</v>
      </c>
      <c r="F3">
        <v>3</v>
      </c>
      <c r="G3">
        <v>2</v>
      </c>
      <c r="H3">
        <v>2</v>
      </c>
      <c r="I3">
        <v>2</v>
      </c>
      <c r="J3" s="2">
        <v>2</v>
      </c>
      <c r="K3" s="2" t="str">
        <f>'Boys Standings'!B25&amp;"-"&amp;'Boys Standings'!C25&amp;" ("&amp;'Boys Standings'!F25&amp;"-"&amp;'Boys Standings'!G25&amp;")"</f>
        <v>23-6 (8-1)</v>
      </c>
      <c r="N3" t="str">
        <f t="shared" si="1"/>
        <v>&lt;tr&gt;&lt;td&gt;Oak Park&lt;/td&gt;</v>
      </c>
      <c r="O3" t="str">
        <f t="shared" si="2"/>
        <v>&lt;td&gt;2&lt;/td&gt;</v>
      </c>
      <c r="P3" t="str">
        <f t="shared" si="3"/>
        <v>&lt;td class="down"&gt;3&lt;/td&gt;</v>
      </c>
      <c r="Q3" t="str">
        <f t="shared" si="4"/>
        <v>&lt;td&gt;3&lt;/td&gt;</v>
      </c>
      <c r="R3" t="str">
        <f t="shared" si="5"/>
        <v>&lt;td&gt;3&lt;/td&gt;</v>
      </c>
      <c r="S3" t="str">
        <f t="shared" si="6"/>
        <v>&lt;td&gt;3&lt;/td&gt;</v>
      </c>
      <c r="T3" t="str">
        <f t="shared" si="7"/>
        <v>&lt;td class="up"&gt;2&lt;/td&gt;</v>
      </c>
      <c r="U3" t="str">
        <f t="shared" si="8"/>
        <v>&lt;td&gt;2&lt;/td&gt;</v>
      </c>
      <c r="V3" t="str">
        <f t="shared" si="9"/>
        <v>&lt;td&gt;2&lt;/td&gt;&lt;/tr&gt;</v>
      </c>
    </row>
    <row r="4" spans="1:22" x14ac:dyDescent="0.25">
      <c r="A4" t="s">
        <v>4</v>
      </c>
      <c r="B4">
        <v>3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3</v>
      </c>
      <c r="J4" s="2">
        <v>3</v>
      </c>
      <c r="K4" s="2" t="str">
        <f>'Boys Standings'!B2&amp;"-"&amp;'Boys Standings'!C2&amp;" ("&amp;'Boys Standings'!F2&amp;"-"&amp;'Boys Standings'!G2&amp;")"</f>
        <v>29-3 (10-0)</v>
      </c>
      <c r="N4" t="str">
        <f t="shared" si="1"/>
        <v>&lt;tr&gt;&lt;td&gt;Garden City&lt;/td&gt;</v>
      </c>
      <c r="O4" t="str">
        <f t="shared" si="2"/>
        <v>&lt;td&gt;3&lt;/td&gt;</v>
      </c>
      <c r="P4" t="str">
        <f t="shared" si="3"/>
        <v>&lt;td class="down"&gt;4&lt;/td&gt;</v>
      </c>
      <c r="Q4" t="str">
        <f t="shared" si="4"/>
        <v>&lt;td&gt;4&lt;/td&gt;</v>
      </c>
      <c r="R4" t="str">
        <f t="shared" si="5"/>
        <v>&lt;td&gt;4&lt;/td&gt;</v>
      </c>
      <c r="S4" t="str">
        <f t="shared" si="6"/>
        <v>&lt;td&gt;4&lt;/td&gt;</v>
      </c>
      <c r="T4" t="str">
        <f t="shared" si="7"/>
        <v>&lt;td class="up"&gt;3&lt;/td&gt;</v>
      </c>
      <c r="U4" t="str">
        <f t="shared" si="8"/>
        <v>&lt;td&gt;3&lt;/td&gt;</v>
      </c>
      <c r="V4" t="str">
        <f t="shared" si="9"/>
        <v>&lt;td&gt;3&lt;/td&gt;&lt;/tr&gt;</v>
      </c>
    </row>
    <row r="5" spans="1:22" x14ac:dyDescent="0.25">
      <c r="A5" t="s">
        <v>9</v>
      </c>
      <c r="B5">
        <v>5</v>
      </c>
      <c r="C5">
        <v>7</v>
      </c>
      <c r="D5">
        <v>5</v>
      </c>
      <c r="E5">
        <v>5</v>
      </c>
      <c r="F5">
        <v>5</v>
      </c>
      <c r="G5">
        <v>6</v>
      </c>
      <c r="H5">
        <v>5</v>
      </c>
      <c r="I5">
        <v>5</v>
      </c>
      <c r="J5" s="2">
        <v>4</v>
      </c>
      <c r="K5" s="2" t="str">
        <f>'Boys Standings'!B26&amp;"-"&amp;'Boys Standings'!C26&amp;" ("&amp;'Boys Standings'!F26&amp;"-"&amp;'Boys Standings'!G26&amp;")"</f>
        <v>21-8 (6-3)</v>
      </c>
      <c r="N5" t="str">
        <f t="shared" si="1"/>
        <v>&lt;tr&gt;&lt;td&gt;Sisler&lt;/td&gt;</v>
      </c>
      <c r="O5" t="str">
        <f t="shared" si="2"/>
        <v>&lt;td&gt;5&lt;/td&gt;</v>
      </c>
      <c r="P5" t="str">
        <f t="shared" si="3"/>
        <v>&lt;td class="down"&gt;7&lt;/td&gt;</v>
      </c>
      <c r="Q5" t="str">
        <f t="shared" si="4"/>
        <v>&lt;td class="up"&gt;5&lt;/td&gt;</v>
      </c>
      <c r="R5" t="str">
        <f t="shared" si="5"/>
        <v>&lt;td&gt;5&lt;/td&gt;</v>
      </c>
      <c r="S5" t="str">
        <f t="shared" si="6"/>
        <v>&lt;td&gt;5&lt;/td&gt;</v>
      </c>
      <c r="T5" t="str">
        <f t="shared" si="7"/>
        <v>&lt;td class="down"&gt;6&lt;/td&gt;</v>
      </c>
      <c r="U5" t="str">
        <f t="shared" si="8"/>
        <v>&lt;td class="up"&gt;5&lt;/td&gt;</v>
      </c>
      <c r="V5" t="str">
        <f t="shared" si="9"/>
        <v>&lt;td&gt;5&lt;/td&gt;&lt;/tr&gt;</v>
      </c>
    </row>
    <row r="6" spans="1:22" x14ac:dyDescent="0.25">
      <c r="A6" t="s">
        <v>15</v>
      </c>
      <c r="C6">
        <v>6</v>
      </c>
      <c r="D6" s="3">
        <v>7</v>
      </c>
      <c r="E6">
        <v>7</v>
      </c>
      <c r="F6">
        <v>6</v>
      </c>
      <c r="G6">
        <v>4</v>
      </c>
      <c r="H6">
        <v>4</v>
      </c>
      <c r="I6">
        <v>4</v>
      </c>
      <c r="J6" s="2">
        <v>5</v>
      </c>
      <c r="K6" s="2" t="str">
        <f>'Boys Standings'!B21&amp;"-"&amp;'Boys Standings'!C21&amp;" ("&amp;'Boys Standings'!F21&amp;"-"&amp;'Boys Standings'!G21&amp;")"</f>
        <v>19-12 (6-3)</v>
      </c>
      <c r="N6" t="str">
        <f t="shared" si="1"/>
        <v>&lt;tr&gt;&lt;td&gt;Fort Richmond&lt;/td&gt;</v>
      </c>
      <c r="O6" t="str">
        <f t="shared" si="2"/>
        <v>&lt;td&gt;&lt;/td&gt;</v>
      </c>
      <c r="P6" t="str">
        <f t="shared" si="3"/>
        <v>&lt;td class="up"&gt;6&lt;/td&gt;</v>
      </c>
      <c r="Q6" t="str">
        <f t="shared" si="4"/>
        <v>&lt;td class="down"&gt;7&lt;/td&gt;</v>
      </c>
      <c r="R6" t="str">
        <f t="shared" si="5"/>
        <v>&lt;td&gt;7&lt;/td&gt;</v>
      </c>
      <c r="S6" t="str">
        <f t="shared" si="6"/>
        <v>&lt;td class="up"&gt;6&lt;/td&gt;</v>
      </c>
      <c r="T6" t="str">
        <f t="shared" si="7"/>
        <v>&lt;td class="up"&gt;4&lt;/td&gt;</v>
      </c>
      <c r="U6" t="str">
        <f t="shared" si="8"/>
        <v>&lt;td&gt;4&lt;/td&gt;</v>
      </c>
      <c r="V6" t="str">
        <f t="shared" si="9"/>
        <v>&lt;td&gt;4&lt;/td&gt;&lt;/tr&gt;</v>
      </c>
    </row>
    <row r="7" spans="1:22" x14ac:dyDescent="0.25">
      <c r="A7" t="s">
        <v>3</v>
      </c>
      <c r="B7">
        <v>4</v>
      </c>
      <c r="C7">
        <v>2</v>
      </c>
      <c r="D7">
        <v>2</v>
      </c>
      <c r="E7">
        <v>2</v>
      </c>
      <c r="F7">
        <v>2</v>
      </c>
      <c r="G7">
        <v>5</v>
      </c>
      <c r="H7">
        <v>6</v>
      </c>
      <c r="I7">
        <v>6</v>
      </c>
      <c r="J7" s="2">
        <v>6</v>
      </c>
      <c r="K7" s="2" t="str">
        <f>'Boys Standings'!B27&amp;"-"&amp;'Boys Standings'!C27&amp;" ("&amp;'Boys Standings'!F27&amp;"-"&amp;'Boys Standings'!G27&amp;")"</f>
        <v>16-8 (6-3)</v>
      </c>
      <c r="N7" t="str">
        <f t="shared" si="1"/>
        <v>&lt;tr&gt;&lt;td&gt;St. Paul's&lt;/td&gt;</v>
      </c>
      <c r="O7" t="str">
        <f t="shared" si="2"/>
        <v>&lt;td&gt;4&lt;/td&gt;</v>
      </c>
      <c r="P7" t="str">
        <f t="shared" si="3"/>
        <v>&lt;td class="up"&gt;2&lt;/td&gt;</v>
      </c>
      <c r="Q7" t="str">
        <f t="shared" si="4"/>
        <v>&lt;td&gt;2&lt;/td&gt;</v>
      </c>
      <c r="R7" t="str">
        <f t="shared" si="5"/>
        <v>&lt;td&gt;2&lt;/td&gt;</v>
      </c>
      <c r="S7" t="str">
        <f t="shared" si="6"/>
        <v>&lt;td&gt;2&lt;/td&gt;</v>
      </c>
      <c r="T7" t="str">
        <f t="shared" si="7"/>
        <v>&lt;td class="down"&gt;5&lt;/td&gt;</v>
      </c>
      <c r="U7" t="str">
        <f t="shared" si="8"/>
        <v>&lt;td class="down"&gt;6&lt;/td&gt;</v>
      </c>
      <c r="V7" t="str">
        <f t="shared" si="9"/>
        <v>&lt;td&gt;6&lt;/td&gt;&lt;/tr&gt;</v>
      </c>
    </row>
    <row r="8" spans="1:22" x14ac:dyDescent="0.25">
      <c r="A8" t="s">
        <v>213</v>
      </c>
      <c r="B8">
        <v>8</v>
      </c>
      <c r="C8">
        <v>10</v>
      </c>
      <c r="I8">
        <v>9</v>
      </c>
      <c r="J8" s="2">
        <v>7</v>
      </c>
      <c r="K8" s="2" t="str">
        <f>'Boys Standings'!B16&amp;"-"&amp;'Boys Standings'!C16&amp;" ("&amp;'Boys Standings'!F16&amp;"-"&amp;'Boys Standings'!G16&amp;")"</f>
        <v>15-11 (5-3)</v>
      </c>
      <c r="N8" t="str">
        <f t="shared" si="1"/>
        <v>&lt;tr&gt;&lt;td&gt;St. John's-Ravenscourt&lt;/td&gt;</v>
      </c>
      <c r="O8" t="str">
        <f t="shared" si="2"/>
        <v>&lt;td&gt;8&lt;/td&gt;</v>
      </c>
      <c r="P8" t="str">
        <f t="shared" si="3"/>
        <v>&lt;td class="down"&gt;10&lt;/td&gt;</v>
      </c>
      <c r="Q8" t="str">
        <f t="shared" si="4"/>
        <v>&lt;td class="down"&gt;&lt;/td&gt;</v>
      </c>
      <c r="R8" t="str">
        <f t="shared" si="5"/>
        <v>&lt;td&gt;&lt;/td&gt;</v>
      </c>
      <c r="S8" t="str">
        <f t="shared" si="6"/>
        <v>&lt;td&gt;&lt;/td&gt;</v>
      </c>
      <c r="T8" t="str">
        <f t="shared" si="7"/>
        <v>&lt;td&gt;&lt;/td&gt;</v>
      </c>
      <c r="U8" t="str">
        <f t="shared" si="8"/>
        <v>&lt;td&gt;&lt;/td&gt;</v>
      </c>
      <c r="V8" t="str">
        <f t="shared" si="9"/>
        <v>&lt;td class="up"&gt;9&lt;/td&gt;&lt;/tr&gt;</v>
      </c>
    </row>
    <row r="9" spans="1:22" x14ac:dyDescent="0.25">
      <c r="A9" t="s">
        <v>8</v>
      </c>
      <c r="B9">
        <v>6</v>
      </c>
      <c r="C9">
        <v>8</v>
      </c>
      <c r="D9">
        <v>8</v>
      </c>
      <c r="E9">
        <v>8</v>
      </c>
      <c r="F9">
        <v>7</v>
      </c>
      <c r="G9">
        <v>7</v>
      </c>
      <c r="H9">
        <v>7</v>
      </c>
      <c r="I9">
        <v>8</v>
      </c>
      <c r="J9" s="2">
        <v>8</v>
      </c>
      <c r="K9" s="2" t="str">
        <f>'Boys Standings'!B13&amp;"-"&amp;'Boys Standings'!C13&amp;" ("&amp;'Boys Standings'!F13&amp;"-"&amp;'Boys Standings'!G13&amp;")"</f>
        <v>19-9 (7-1)</v>
      </c>
      <c r="N9" t="str">
        <f t="shared" si="1"/>
        <v>&lt;tr&gt;&lt;td&gt;Dakota&lt;/td&gt;</v>
      </c>
      <c r="O9" t="str">
        <f t="shared" si="2"/>
        <v>&lt;td&gt;6&lt;/td&gt;</v>
      </c>
      <c r="P9" t="str">
        <f t="shared" si="3"/>
        <v>&lt;td class="down"&gt;8&lt;/td&gt;</v>
      </c>
      <c r="Q9" t="str">
        <f t="shared" si="4"/>
        <v>&lt;td&gt;8&lt;/td&gt;</v>
      </c>
      <c r="R9" t="str">
        <f t="shared" si="5"/>
        <v>&lt;td&gt;8&lt;/td&gt;</v>
      </c>
      <c r="S9" t="str">
        <f t="shared" si="6"/>
        <v>&lt;td class="up"&gt;7&lt;/td&gt;</v>
      </c>
      <c r="T9" t="str">
        <f t="shared" si="7"/>
        <v>&lt;td&gt;7&lt;/td&gt;</v>
      </c>
      <c r="U9" t="str">
        <f t="shared" si="8"/>
        <v>&lt;td&gt;7&lt;/td&gt;</v>
      </c>
      <c r="V9" t="str">
        <f t="shared" si="9"/>
        <v>&lt;td class="down"&gt;8&lt;/td&gt;&lt;/tr&gt;</v>
      </c>
    </row>
    <row r="10" spans="1:22" x14ac:dyDescent="0.25">
      <c r="A10" t="s">
        <v>559</v>
      </c>
      <c r="H10">
        <v>8</v>
      </c>
      <c r="I10">
        <v>7</v>
      </c>
      <c r="J10" s="2">
        <v>9</v>
      </c>
      <c r="K10" s="2" t="str">
        <f>'Boys Standings'!B29&amp;"-"&amp;'Boys Standings'!C29&amp;" ("&amp;'Boys Standings'!F29&amp;"-"&amp;'Boys Standings'!G29&amp;")"</f>
        <v>15-14 (4-5)</v>
      </c>
      <c r="N10" t="str">
        <f t="shared" si="1"/>
        <v>&lt;tr&gt;&lt;td&gt;Vincent Massey (WPG)&lt;/td&gt;</v>
      </c>
      <c r="O10" t="str">
        <f t="shared" si="2"/>
        <v>&lt;td&gt;&lt;/td&gt;</v>
      </c>
      <c r="P10" t="str">
        <f t="shared" si="3"/>
        <v>&lt;td&gt;&lt;/td&gt;</v>
      </c>
      <c r="Q10" t="str">
        <f t="shared" si="4"/>
        <v>&lt;td&gt;&lt;/td&gt;</v>
      </c>
      <c r="R10" t="str">
        <f t="shared" si="5"/>
        <v>&lt;td&gt;&lt;/td&gt;</v>
      </c>
      <c r="S10" t="str">
        <f t="shared" si="6"/>
        <v>&lt;td&gt;&lt;/td&gt;</v>
      </c>
      <c r="T10" t="str">
        <f t="shared" si="7"/>
        <v>&lt;td&gt;&lt;/td&gt;</v>
      </c>
      <c r="U10" t="str">
        <f t="shared" si="8"/>
        <v>&lt;td class="up"&gt;8&lt;/td&gt;</v>
      </c>
      <c r="V10" t="str">
        <f t="shared" si="9"/>
        <v>&lt;td class="up"&gt;7&lt;/td&gt;&lt;/tr&gt;</v>
      </c>
    </row>
    <row r="11" spans="1:22" x14ac:dyDescent="0.25">
      <c r="A11" t="s">
        <v>10</v>
      </c>
      <c r="B11">
        <v>7</v>
      </c>
      <c r="C11">
        <v>9</v>
      </c>
      <c r="D11">
        <v>9</v>
      </c>
      <c r="E11">
        <v>9</v>
      </c>
      <c r="F11">
        <v>8</v>
      </c>
      <c r="G11">
        <v>8</v>
      </c>
      <c r="H11">
        <v>9</v>
      </c>
      <c r="J11" s="2">
        <v>10</v>
      </c>
      <c r="K11" s="2" t="str">
        <f>'Boys Standings'!B24&amp;"-"&amp;'Boys Standings'!C24&amp;" ("&amp;'Boys Standings'!F24&amp;"-"&amp;'Boys Standings'!G24&amp;")"</f>
        <v>15-14 (3-6)</v>
      </c>
      <c r="N11" t="str">
        <f t="shared" si="1"/>
        <v>&lt;tr&gt;&lt;td&gt;Kelvin&lt;/td&gt;</v>
      </c>
      <c r="O11" t="str">
        <f t="shared" si="2"/>
        <v>&lt;td&gt;7&lt;/td&gt;</v>
      </c>
      <c r="P11" t="str">
        <f t="shared" si="3"/>
        <v>&lt;td class="down"&gt;9&lt;/td&gt;</v>
      </c>
      <c r="Q11" t="str">
        <f t="shared" si="4"/>
        <v>&lt;td&gt;9&lt;/td&gt;</v>
      </c>
      <c r="R11" t="str">
        <f t="shared" si="5"/>
        <v>&lt;td&gt;9&lt;/td&gt;</v>
      </c>
      <c r="S11" t="str">
        <f t="shared" si="6"/>
        <v>&lt;td class="up"&gt;8&lt;/td&gt;</v>
      </c>
      <c r="T11" t="str">
        <f t="shared" si="7"/>
        <v>&lt;td&gt;8&lt;/td&gt;</v>
      </c>
      <c r="U11" t="str">
        <f t="shared" si="8"/>
        <v>&lt;td class="down"&gt;9&lt;/td&gt;</v>
      </c>
      <c r="V11" t="str">
        <f t="shared" si="9"/>
        <v>&lt;td class="down"&gt;&lt;/td&gt;&lt;/tr&gt;</v>
      </c>
    </row>
    <row r="12" spans="1:22" x14ac:dyDescent="0.25">
      <c r="A12" t="s">
        <v>5</v>
      </c>
      <c r="D12">
        <v>10</v>
      </c>
      <c r="E12">
        <v>10</v>
      </c>
      <c r="F12">
        <v>10</v>
      </c>
      <c r="J12" s="2">
        <v>11</v>
      </c>
      <c r="K12" s="2" t="str">
        <f>'Boys Standings'!B14&amp;"-"&amp;'Boys Standings'!C14&amp;" ("&amp;'Boys Standings'!F14&amp;"-"&amp;'Boys Standings'!G14&amp;")"</f>
        <v>15-15 (4-4)</v>
      </c>
      <c r="N12" t="str">
        <f t="shared" si="1"/>
        <v>&lt;tr&gt;&lt;td&gt;Glenlawn&lt;/td&gt;</v>
      </c>
      <c r="O12" t="str">
        <f t="shared" si="2"/>
        <v>&lt;td&gt;&lt;/td&gt;</v>
      </c>
      <c r="P12" t="str">
        <f t="shared" si="3"/>
        <v>&lt;td&gt;&lt;/td&gt;</v>
      </c>
      <c r="Q12" t="str">
        <f t="shared" si="4"/>
        <v>&lt;td class="up"&gt;10&lt;/td&gt;</v>
      </c>
      <c r="R12" t="str">
        <f t="shared" si="5"/>
        <v>&lt;td&gt;10&lt;/td&gt;</v>
      </c>
      <c r="S12" t="str">
        <f t="shared" si="6"/>
        <v>&lt;td&gt;10&lt;/td&gt;</v>
      </c>
      <c r="T12" t="str">
        <f t="shared" si="7"/>
        <v>&lt;td class="down"&gt;&lt;/td&gt;</v>
      </c>
      <c r="U12" t="str">
        <f t="shared" si="8"/>
        <v>&lt;td&gt;&lt;/td&gt;</v>
      </c>
      <c r="V12" t="str">
        <f t="shared" si="9"/>
        <v>&lt;td&gt;&lt;/td&gt;&lt;/tr&gt;</v>
      </c>
    </row>
    <row r="13" spans="1:22" x14ac:dyDescent="0.25">
      <c r="A13" t="s">
        <v>162</v>
      </c>
      <c r="J13" s="2">
        <v>12</v>
      </c>
      <c r="K13" s="2" t="str">
        <f>'Boys Standings'!B37&amp;"-"&amp;'Boys Standings'!C37&amp;" ("&amp;'Boys Standings'!F37&amp;"-"&amp;'Boys Standings'!G37&amp;")"</f>
        <v>22-7 (6-0)</v>
      </c>
      <c r="N13" t="str">
        <f t="shared" si="1"/>
        <v>&lt;tr&gt;&lt;td&gt;Garden Valley&lt;/td&gt;</v>
      </c>
      <c r="O13" t="str">
        <f t="shared" ref="O13" si="10">"&lt;td&gt;"&amp;B13&amp;"&lt;/td&gt;"</f>
        <v>&lt;td&gt;&lt;/td&gt;</v>
      </c>
      <c r="P13" t="str">
        <f t="shared" ref="P13" si="11">IF(OR(AND(C13&gt;B13,NOT(B13="")),AND(C13="",B13&gt;0,NOT(SUM(C$2:C$10)=0))),"&lt;td class=""down""&gt;",IF(OR(AND(C13&gt;B13,B13=""),AND(C13&lt;B13,NOT(C13=""))),"&lt;td class=""up""&gt;",IF(OR(C13="",C13=B13),"&lt;td&gt;")))&amp;C13&amp;"&lt;/td&gt;"</f>
        <v>&lt;td&gt;&lt;/td&gt;</v>
      </c>
      <c r="Q13" t="str">
        <f t="shared" ref="Q13" si="12">IF(OR(AND(D13&gt;C13,NOT(C13="")),AND(D13="",C13&gt;0,NOT(SUM(D$2:D$10)=0))),"&lt;td class=""down""&gt;",IF(OR(AND(D13&gt;C13,C13=""),AND(D13&lt;C13,NOT(D13=""))),"&lt;td class=""up""&gt;",IF(OR(D13="",D13=C13),"&lt;td&gt;")))&amp;D13&amp;"&lt;/td&gt;"</f>
        <v>&lt;td&gt;&lt;/td&gt;</v>
      </c>
      <c r="R13" t="str">
        <f t="shared" ref="R13" si="13">IF(OR(AND(E13&gt;D13,NOT(D13="")),AND(E13="",D13&gt;0,NOT(SUM(E$2:E$10)=0))),"&lt;td class=""down""&gt;",IF(OR(AND(E13&gt;D13,D13=""),AND(E13&lt;D13,NOT(E13=""))),"&lt;td class=""up""&gt;",IF(OR(E13="",E13=D13),"&lt;td&gt;")))&amp;E13&amp;"&lt;/td&gt;"</f>
        <v>&lt;td&gt;&lt;/td&gt;</v>
      </c>
      <c r="S13" t="str">
        <f t="shared" ref="S13" si="14">IF(OR(AND(F13&gt;E13,NOT(E13="")),AND(F13="",E13&gt;0,NOT(SUM(F$2:F$10)=0))),"&lt;td class=""down""&gt;",IF(OR(AND(F13&gt;E13,E13=""),AND(F13&lt;E13,NOT(F13=""))),"&lt;td class=""up""&gt;",IF(OR(F13="",F13=E13),"&lt;td&gt;")))&amp;F13&amp;"&lt;/td&gt;"</f>
        <v>&lt;td&gt;&lt;/td&gt;</v>
      </c>
      <c r="T13" t="str">
        <f t="shared" ref="T13" si="15">IF(OR(AND(G13&gt;F13,NOT(F13="")),AND(G13="",F13&gt;0,NOT(SUM(G$2:G$10)=0))),"&lt;td class=""down""&gt;",IF(OR(AND(G13&gt;F13,F13=""),AND(G13&lt;F13,NOT(G13=""))),"&lt;td class=""up""&gt;",IF(OR(G13="",G13=F13),"&lt;td&gt;")))&amp;G13&amp;"&lt;/td&gt;"</f>
        <v>&lt;td&gt;&lt;/td&gt;</v>
      </c>
      <c r="U13" t="str">
        <f t="shared" ref="U13" si="16">IF(OR(AND(H13&gt;G13,NOT(G13="")),AND(H13="",G13&gt;0,NOT(SUM(H$2:H$10)=0))),"&lt;td class=""down""&gt;",IF(OR(AND(H13&gt;G13,G13=""),AND(H13&lt;G13,NOT(H13=""))),"&lt;td class=""up""&gt;",IF(OR(H13="",H13=G13),"&lt;td&gt;")))&amp;H13&amp;"&lt;/td&gt;"</f>
        <v>&lt;td&gt;&lt;/td&gt;</v>
      </c>
      <c r="V13" t="str">
        <f t="shared" ref="V13" si="17">IF(OR(AND(I13&gt;H13,NOT(H13="")),AND(I13="",H13&gt;0,NOT(SUM(I$2:I$10)=0))),"&lt;td class=""down""&gt;",IF(OR(AND(I13&gt;H13,H13=""),AND(I13&lt;H13,NOT(I13=""))),"&lt;td class=""up""&gt;",IF(OR(I13="",I13=H13),"&lt;td&gt;")))&amp;I13&amp;"&lt;/td&gt;&lt;/tr&gt;"</f>
        <v>&lt;td&gt;&lt;/td&gt;&lt;/tr&gt;</v>
      </c>
    </row>
    <row r="14" spans="1:22" x14ac:dyDescent="0.25">
      <c r="A14" t="s">
        <v>2</v>
      </c>
      <c r="B14">
        <v>9</v>
      </c>
      <c r="D14" s="3"/>
      <c r="G14">
        <v>10</v>
      </c>
      <c r="I14">
        <v>10</v>
      </c>
      <c r="K14" s="2" t="str">
        <f>'Boys Standings'!B3&amp;"-"&amp;'Boys Standings'!C3&amp;" ("&amp;'Boys Standings'!F3&amp;"-"&amp;'Boys Standings'!G3&amp;")"</f>
        <v>19-11 (9-1)</v>
      </c>
      <c r="N14" t="str">
        <f t="shared" ref="N14:N15" si="18">"&lt;tr&gt;&lt;td&gt;"&amp;A14&amp;"&lt;/td&gt;"</f>
        <v>&lt;tr&gt;&lt;td&gt;Kildonan-East&lt;/td&gt;</v>
      </c>
      <c r="O14" t="str">
        <f t="shared" ref="O14" si="19">"&lt;td&gt;"&amp;B14&amp;"&lt;/td&gt;"</f>
        <v>&lt;td&gt;9&lt;/td&gt;</v>
      </c>
      <c r="P14" t="str">
        <f t="shared" ref="P14" si="20">IF(OR(AND(C14&gt;B14,NOT(B14="")),AND(C14="",B14&gt;0,NOT(SUM(C$2:C$10)=0))),"&lt;td class=""down""&gt;",IF(OR(AND(C14&gt;B14,B14=""),AND(C14&lt;B14,NOT(C14=""))),"&lt;td class=""up""&gt;",IF(OR(C14="",C14=B14),"&lt;td&gt;")))&amp;C14&amp;"&lt;/td&gt;"</f>
        <v>&lt;td class="down"&gt;&lt;/td&gt;</v>
      </c>
      <c r="Q14" t="str">
        <f t="shared" ref="Q14" si="21">IF(OR(AND(D14&gt;C14,NOT(C14="")),AND(D14="",C14&gt;0,NOT(SUM(D$2:D$10)=0))),"&lt;td class=""down""&gt;",IF(OR(AND(D14&gt;C14,C14=""),AND(D14&lt;C14,NOT(D14=""))),"&lt;td class=""up""&gt;",IF(OR(D14="",D14=C14),"&lt;td&gt;")))&amp;D14&amp;"&lt;/td&gt;"</f>
        <v>&lt;td&gt;&lt;/td&gt;</v>
      </c>
      <c r="R14" t="str">
        <f t="shared" ref="R14" si="22">IF(OR(AND(E14&gt;D14,NOT(D14="")),AND(E14="",D14&gt;0,NOT(SUM(E$2:E$10)=0))),"&lt;td class=""down""&gt;",IF(OR(AND(E14&gt;D14,D14=""),AND(E14&lt;D14,NOT(E14=""))),"&lt;td class=""up""&gt;",IF(OR(E14="",E14=D14),"&lt;td&gt;")))&amp;E14&amp;"&lt;/td&gt;"</f>
        <v>&lt;td&gt;&lt;/td&gt;</v>
      </c>
      <c r="S14" t="str">
        <f t="shared" ref="S14" si="23">IF(OR(AND(F14&gt;E14,NOT(E14="")),AND(F14="",E14&gt;0,NOT(SUM(F$2:F$10)=0))),"&lt;td class=""down""&gt;",IF(OR(AND(F14&gt;E14,E14=""),AND(F14&lt;E14,NOT(F14=""))),"&lt;td class=""up""&gt;",IF(OR(F14="",F14=E14),"&lt;td&gt;")))&amp;F14&amp;"&lt;/td&gt;"</f>
        <v>&lt;td&gt;&lt;/td&gt;</v>
      </c>
      <c r="T14" t="str">
        <f t="shared" ref="T14" si="24">IF(OR(AND(G14&gt;F14,NOT(F14="")),AND(G14="",F14&gt;0,NOT(SUM(G$2:G$10)=0))),"&lt;td class=""down""&gt;",IF(OR(AND(G14&gt;F14,F14=""),AND(G14&lt;F14,NOT(G14=""))),"&lt;td class=""up""&gt;",IF(OR(G14="",G14=F14),"&lt;td&gt;")))&amp;G14&amp;"&lt;/td&gt;"</f>
        <v>&lt;td class="up"&gt;10&lt;/td&gt;</v>
      </c>
      <c r="U14" t="str">
        <f t="shared" ref="U14" si="25">IF(OR(AND(H14&gt;G14,NOT(G14="")),AND(H14="",G14&gt;0,NOT(SUM(H$2:H$10)=0))),"&lt;td class=""down""&gt;",IF(OR(AND(H14&gt;G14,G14=""),AND(H14&lt;G14,NOT(H14=""))),"&lt;td class=""up""&gt;",IF(OR(H14="",H14=G14),"&lt;td&gt;")))&amp;H14&amp;"&lt;/td&gt;"</f>
        <v>&lt;td class="down"&gt;&lt;/td&gt;</v>
      </c>
      <c r="V14" t="str">
        <f t="shared" ref="V14" si="26">IF(OR(AND(I14&gt;H14,NOT(H14="")),AND(I14="",H14&gt;0,NOT(SUM(I$2:I$10)=0))),"&lt;td class=""down""&gt;",IF(OR(AND(I14&gt;H14,H14=""),AND(I14&lt;H14,NOT(I14=""))),"&lt;td class=""up""&gt;",IF(OR(I14="",I14=H14),"&lt;td&gt;")))&amp;I14&amp;"&lt;/td&gt;&lt;/tr&gt;"</f>
        <v>&lt;td class="up"&gt;10&lt;/td&gt;&lt;/tr&gt;</v>
      </c>
    </row>
    <row r="15" spans="1:22" x14ac:dyDescent="0.25">
      <c r="A15" t="s">
        <v>16</v>
      </c>
      <c r="B15">
        <v>10</v>
      </c>
      <c r="C15">
        <v>5</v>
      </c>
      <c r="D15">
        <v>6</v>
      </c>
      <c r="E15">
        <v>6</v>
      </c>
      <c r="F15">
        <v>9</v>
      </c>
      <c r="G15">
        <v>9</v>
      </c>
      <c r="H15">
        <v>10</v>
      </c>
      <c r="K15" s="2" t="str">
        <f>'Boys Standings'!B4&amp;"-"&amp;'Boys Standings'!C4&amp;" ("&amp;'Boys Standings'!F4&amp;"-"&amp;'Boys Standings'!G4&amp;")"</f>
        <v>21-14 (6-4)</v>
      </c>
      <c r="N15" t="str">
        <f t="shared" si="18"/>
        <v>&lt;tr&gt;&lt;td&gt;Maples&lt;/td&gt;</v>
      </c>
      <c r="O15" t="str">
        <f t="shared" ref="O15" si="27">"&lt;td&gt;"&amp;B15&amp;"&lt;/td&gt;"</f>
        <v>&lt;td&gt;10&lt;/td&gt;</v>
      </c>
      <c r="P15" t="str">
        <f t="shared" ref="P15" si="28">IF(OR(AND(C15&gt;B15,NOT(B15="")),AND(C15="",B15&gt;0,NOT(SUM(C$2:C$10)=0))),"&lt;td class=""down""&gt;",IF(OR(AND(C15&gt;B15,B15=""),AND(C15&lt;B15,NOT(C15=""))),"&lt;td class=""up""&gt;",IF(OR(C15="",C15=B15),"&lt;td&gt;")))&amp;C15&amp;"&lt;/td&gt;"</f>
        <v>&lt;td class="up"&gt;5&lt;/td&gt;</v>
      </c>
      <c r="Q15" t="str">
        <f t="shared" ref="Q15" si="29">IF(OR(AND(D15&gt;C15,NOT(C15="")),AND(D15="",C15&gt;0,NOT(SUM(D$2:D$10)=0))),"&lt;td class=""down""&gt;",IF(OR(AND(D15&gt;C15,C15=""),AND(D15&lt;C15,NOT(D15=""))),"&lt;td class=""up""&gt;",IF(OR(D15="",D15=C15),"&lt;td&gt;")))&amp;D15&amp;"&lt;/td&gt;"</f>
        <v>&lt;td class="down"&gt;6&lt;/td&gt;</v>
      </c>
      <c r="R15" t="str">
        <f t="shared" ref="R15" si="30">IF(OR(AND(E15&gt;D15,NOT(D15="")),AND(E15="",D15&gt;0,NOT(SUM(E$2:E$10)=0))),"&lt;td class=""down""&gt;",IF(OR(AND(E15&gt;D15,D15=""),AND(E15&lt;D15,NOT(E15=""))),"&lt;td class=""up""&gt;",IF(OR(E15="",E15=D15),"&lt;td&gt;")))&amp;E15&amp;"&lt;/td&gt;"</f>
        <v>&lt;td&gt;6&lt;/td&gt;</v>
      </c>
      <c r="S15" t="str">
        <f t="shared" ref="S15" si="31">IF(OR(AND(F15&gt;E15,NOT(E15="")),AND(F15="",E15&gt;0,NOT(SUM(F$2:F$10)=0))),"&lt;td class=""down""&gt;",IF(OR(AND(F15&gt;E15,E15=""),AND(F15&lt;E15,NOT(F15=""))),"&lt;td class=""up""&gt;",IF(OR(F15="",F15=E15),"&lt;td&gt;")))&amp;F15&amp;"&lt;/td&gt;"</f>
        <v>&lt;td class="down"&gt;9&lt;/td&gt;</v>
      </c>
      <c r="T15" t="str">
        <f t="shared" ref="T15" si="32">IF(OR(AND(G15&gt;F15,NOT(F15="")),AND(G15="",F15&gt;0,NOT(SUM(G$2:G$10)=0))),"&lt;td class=""down""&gt;",IF(OR(AND(G15&gt;F15,F15=""),AND(G15&lt;F15,NOT(G15=""))),"&lt;td class=""up""&gt;",IF(OR(G15="",G15=F15),"&lt;td&gt;")))&amp;G15&amp;"&lt;/td&gt;"</f>
        <v>&lt;td&gt;9&lt;/td&gt;</v>
      </c>
      <c r="U15" t="str">
        <f t="shared" ref="U15" si="33">IF(OR(AND(H15&gt;G15,NOT(G15="")),AND(H15="",G15&gt;0,NOT(SUM(H$2:H$10)=0))),"&lt;td class=""down""&gt;",IF(OR(AND(H15&gt;G15,G15=""),AND(H15&lt;G15,NOT(H15=""))),"&lt;td class=""up""&gt;",IF(OR(H15="",H15=G15),"&lt;td&gt;")))&amp;H15&amp;"&lt;/td&gt;"</f>
        <v>&lt;td class="down"&gt;10&lt;/td&gt;</v>
      </c>
      <c r="V15" t="str">
        <f t="shared" ref="V15" si="34">IF(OR(AND(I15&gt;H15,NOT(H15="")),AND(I15="",H15&gt;0,NOT(SUM(I$2:I$10)=0))),"&lt;td class=""down""&gt;",IF(OR(AND(I15&gt;H15,H15=""),AND(I15&lt;H15,NOT(I15=""))),"&lt;td class=""up""&gt;",IF(OR(I15="",I15=H15),"&lt;td&gt;")))&amp;I15&amp;"&lt;/td&gt;&lt;/tr&gt;"</f>
        <v>&lt;td class="down"&gt;&lt;/td&gt;&lt;/tr&gt;</v>
      </c>
    </row>
  </sheetData>
  <sortState ref="A2:K15">
    <sortCondition ref="J2:J15"/>
    <sortCondition ref="I2:I15"/>
    <sortCondition ref="H2:H15"/>
    <sortCondition ref="G2:G15"/>
    <sortCondition ref="F2:F15"/>
    <sortCondition ref="D2:D15"/>
    <sortCondition ref="C2:C15"/>
    <sortCondition ref="B2:B1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3"/>
  <sheetViews>
    <sheetView workbookViewId="0"/>
  </sheetViews>
  <sheetFormatPr defaultRowHeight="15" x14ac:dyDescent="0.25"/>
  <cols>
    <col min="1" max="1" width="16.140625" style="8" bestFit="1" customWidth="1"/>
    <col min="2" max="5" width="9.140625" style="8"/>
  </cols>
  <sheetData>
    <row r="1" spans="1:5" ht="15" customHeight="1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5" x14ac:dyDescent="0.25">
      <c r="A2" s="8" t="s">
        <v>4</v>
      </c>
      <c r="B2" s="8">
        <f>COUNTIFS('Boys Schedule'!$F:$F,$A2,'Boys Schedule'!$J:$J,"H",'Boys Schedule'!$M:$M,"&lt;&gt;"&amp;"")+COUNTIFS('Boys Schedule'!$C:$C,$A2,'Boys Schedule'!$J:$J,"V",'Boys Schedule'!$M:$M,"&lt;&gt;"&amp;"")</f>
        <v>10</v>
      </c>
      <c r="C2" s="8">
        <f>COUNTIFS('Boys Schedule'!$F:$F,$A2,'Boys Schedule'!$J:$J,"V",'Boys Schedule'!$M:$M,"&lt;&gt;"&amp;"")+COUNTIFS('Boys Schedule'!$C:$C,$A2,'Boys Schedule'!$J:$J,"H",'Boys Schedule'!$M:$M,"&lt;&gt;"&amp;"")</f>
        <v>0</v>
      </c>
      <c r="D2" s="9">
        <f t="shared" ref="D2:D12" si="0">IF(B2+C2&gt;0,B2/(B2+C2),0)</f>
        <v>1</v>
      </c>
    </row>
    <row r="3" spans="1:5" ht="15" customHeight="1" x14ac:dyDescent="0.25">
      <c r="A3" s="8" t="s">
        <v>2</v>
      </c>
      <c r="B3" s="8">
        <f>COUNTIFS('Boys Schedule'!$F:$F,$A3,'Boys Schedule'!$J:$J,"H",'Boys Schedule'!$M:$M,"&lt;&gt;"&amp;"")+COUNTIFS('Boys Schedule'!$C:$C,$A3,'Boys Schedule'!$J:$J,"V",'Boys Schedule'!$M:$M,"&lt;&gt;"&amp;"")</f>
        <v>9</v>
      </c>
      <c r="C3" s="8">
        <f>COUNTIFS('Boys Schedule'!$F:$F,$A3,'Boys Schedule'!$J:$J,"V",'Boys Schedule'!$M:$M,"&lt;&gt;"&amp;"")+COUNTIFS('Boys Schedule'!$C:$C,$A3,'Boys Schedule'!$J:$J,"H",'Boys Schedule'!$M:$M,"&lt;&gt;"&amp;"")</f>
        <v>1</v>
      </c>
      <c r="D3" s="9">
        <f t="shared" si="0"/>
        <v>0.9</v>
      </c>
    </row>
    <row r="4" spans="1:5" x14ac:dyDescent="0.25">
      <c r="A4" s="8" t="s">
        <v>20</v>
      </c>
      <c r="B4" s="8">
        <f>COUNTIFS('Boys Schedule'!$F:$F,$A4,'Boys Schedule'!$J:$J,"H",'Boys Schedule'!$M:$M,"&lt;&gt;"&amp;"")+COUNTIFS('Boys Schedule'!$C:$C,$A4,'Boys Schedule'!$J:$J,"V",'Boys Schedule'!$M:$M,"&lt;&gt;"&amp;"")</f>
        <v>7</v>
      </c>
      <c r="C4" s="8">
        <f>COUNTIFS('Boys Schedule'!$F:$F,$A4,'Boys Schedule'!$J:$J,"V",'Boys Schedule'!$M:$M,"&lt;&gt;"&amp;"")+COUNTIFS('Boys Schedule'!$C:$C,$A4,'Boys Schedule'!$J:$J,"H",'Boys Schedule'!$M:$M,"&lt;&gt;"&amp;"")</f>
        <v>3</v>
      </c>
      <c r="D4" s="9">
        <f t="shared" si="0"/>
        <v>0.7</v>
      </c>
    </row>
    <row r="5" spans="1:5" ht="15" customHeight="1" x14ac:dyDescent="0.25">
      <c r="A5" s="8" t="s">
        <v>7</v>
      </c>
      <c r="B5" s="8">
        <f>COUNTIFS('Boys Schedule'!$F:$F,$A5,'Boys Schedule'!$J:$J,"H",'Boys Schedule'!$M:$M,"&lt;&gt;"&amp;"")+COUNTIFS('Boys Schedule'!$C:$C,$A5,'Boys Schedule'!$J:$J,"V",'Boys Schedule'!$M:$M,"&lt;&gt;"&amp;"")</f>
        <v>6</v>
      </c>
      <c r="C5" s="8">
        <f>COUNTIFS('Boys Schedule'!$F:$F,$A5,'Boys Schedule'!$J:$J,"V",'Boys Schedule'!$M:$M,"&lt;&gt;"&amp;"")+COUNTIFS('Boys Schedule'!$C:$C,$A5,'Boys Schedule'!$J:$J,"H",'Boys Schedule'!$M:$M,"&lt;&gt;"&amp;"")</f>
        <v>4</v>
      </c>
      <c r="D5" s="9">
        <f t="shared" si="0"/>
        <v>0.6</v>
      </c>
      <c r="E5" s="8">
        <v>2</v>
      </c>
    </row>
    <row r="6" spans="1:5" ht="15" customHeight="1" x14ac:dyDescent="0.25">
      <c r="A6" s="8" t="s">
        <v>16</v>
      </c>
      <c r="B6" s="8">
        <f>COUNTIFS('Boys Schedule'!$F:$F,$A6,'Boys Schedule'!$J:$J,"H",'Boys Schedule'!$M:$M,"&lt;&gt;"&amp;"")+COUNTIFS('Boys Schedule'!$C:$C,$A6,'Boys Schedule'!$J:$J,"V",'Boys Schedule'!$M:$M,"&lt;&gt;"&amp;"")</f>
        <v>6</v>
      </c>
      <c r="C6" s="8">
        <f>COUNTIFS('Boys Schedule'!$F:$F,$A6,'Boys Schedule'!$J:$J,"V",'Boys Schedule'!$M:$M,"&lt;&gt;"&amp;"")+COUNTIFS('Boys Schedule'!$C:$C,$A6,'Boys Schedule'!$J:$J,"H",'Boys Schedule'!$M:$M,"&lt;&gt;"&amp;"")</f>
        <v>4</v>
      </c>
      <c r="D6" s="9">
        <f t="shared" si="0"/>
        <v>0.6</v>
      </c>
      <c r="E6" s="8">
        <v>1</v>
      </c>
    </row>
    <row r="7" spans="1:5" x14ac:dyDescent="0.25">
      <c r="A7" s="8" t="s">
        <v>17</v>
      </c>
      <c r="B7" s="8">
        <f>COUNTIFS('Boys Schedule'!$F:$F,$A7,'Boys Schedule'!$J:$J,"H",'Boys Schedule'!$M:$M,"&lt;&gt;"&amp;"")+COUNTIFS('Boys Schedule'!$C:$C,$A7,'Boys Schedule'!$J:$J,"V",'Boys Schedule'!$M:$M,"&lt;&gt;"&amp;"")</f>
        <v>6</v>
      </c>
      <c r="C7" s="8">
        <f>COUNTIFS('Boys Schedule'!$F:$F,$A7,'Boys Schedule'!$J:$J,"V",'Boys Schedule'!$M:$M,"&lt;&gt;"&amp;"")+COUNTIFS('Boys Schedule'!$C:$C,$A7,'Boys Schedule'!$J:$J,"H",'Boys Schedule'!$M:$M,"&lt;&gt;"&amp;"")</f>
        <v>4</v>
      </c>
      <c r="D7" s="9">
        <f t="shared" si="0"/>
        <v>0.6</v>
      </c>
      <c r="E7" s="8">
        <v>0</v>
      </c>
    </row>
    <row r="8" spans="1:5" x14ac:dyDescent="0.25">
      <c r="A8" s="8" t="s">
        <v>18</v>
      </c>
      <c r="B8" s="8">
        <f>COUNTIFS('Boys Schedule'!$F:$F,$A8,'Boys Schedule'!$J:$J,"H",'Boys Schedule'!$M:$M,"&lt;&gt;"&amp;"")+COUNTIFS('Boys Schedule'!$C:$C,$A8,'Boys Schedule'!$J:$J,"V",'Boys Schedule'!$M:$M,"&lt;&gt;"&amp;"")</f>
        <v>5</v>
      </c>
      <c r="C8" s="8">
        <f>COUNTIFS('Boys Schedule'!$F:$F,$A8,'Boys Schedule'!$J:$J,"V",'Boys Schedule'!$M:$M,"&lt;&gt;"&amp;"")+COUNTIFS('Boys Schedule'!$C:$C,$A8,'Boys Schedule'!$J:$J,"H",'Boys Schedule'!$M:$M,"&lt;&gt;"&amp;"")</f>
        <v>5</v>
      </c>
      <c r="D8" s="9">
        <f t="shared" si="0"/>
        <v>0.5</v>
      </c>
    </row>
    <row r="9" spans="1:5" ht="15" customHeight="1" x14ac:dyDescent="0.25">
      <c r="A9" s="8" t="s">
        <v>11</v>
      </c>
      <c r="B9" s="8">
        <f>COUNTIFS('Boys Schedule'!$F:$F,$A9,'Boys Schedule'!$J:$J,"H",'Boys Schedule'!$M:$M,"&lt;&gt;"&amp;"")+COUNTIFS('Boys Schedule'!$C:$C,$A9,'Boys Schedule'!$J:$J,"V",'Boys Schedule'!$M:$M,"&lt;&gt;"&amp;"")</f>
        <v>3</v>
      </c>
      <c r="C9" s="8">
        <f>COUNTIFS('Boys Schedule'!$F:$F,$A9,'Boys Schedule'!$J:$J,"V",'Boys Schedule'!$M:$M,"&lt;&gt;"&amp;"")+COUNTIFS('Boys Schedule'!$C:$C,$A9,'Boys Schedule'!$J:$J,"H",'Boys Schedule'!$M:$M,"&lt;&gt;"&amp;"")</f>
        <v>7</v>
      </c>
      <c r="D9" s="9">
        <f t="shared" si="0"/>
        <v>0.3</v>
      </c>
    </row>
    <row r="10" spans="1:5" x14ac:dyDescent="0.25">
      <c r="A10" s="8" t="s">
        <v>12</v>
      </c>
      <c r="B10" s="8">
        <f>COUNTIFS('Boys Schedule'!$F:$F,$A10,'Boys Schedule'!$J:$J,"H",'Boys Schedule'!$M:$M,"&lt;&gt;"&amp;"")+COUNTIFS('Boys Schedule'!$C:$C,$A10,'Boys Schedule'!$J:$J,"V",'Boys Schedule'!$M:$M,"&lt;&gt;"&amp;"")</f>
        <v>1</v>
      </c>
      <c r="C10" s="8">
        <f>COUNTIFS('Boys Schedule'!$F:$F,$A10,'Boys Schedule'!$J:$J,"V",'Boys Schedule'!$M:$M,"&lt;&gt;"&amp;"")+COUNTIFS('Boys Schedule'!$C:$C,$A10,'Boys Schedule'!$J:$J,"H",'Boys Schedule'!$M:$M,"&lt;&gt;"&amp;"")</f>
        <v>9</v>
      </c>
      <c r="D10" s="9">
        <f t="shared" si="0"/>
        <v>0.1</v>
      </c>
      <c r="E10" s="8">
        <v>15</v>
      </c>
    </row>
    <row r="11" spans="1:5" ht="15" customHeight="1" x14ac:dyDescent="0.25">
      <c r="A11" s="8" t="s">
        <v>104</v>
      </c>
      <c r="B11" s="8">
        <f>COUNTIFS('Boys Schedule'!$F:$F,$A11,'Boys Schedule'!$J:$J,"H",'Boys Schedule'!$M:$M,"&lt;&gt;"&amp;"")+COUNTIFS('Boys Schedule'!$C:$C,$A11,'Boys Schedule'!$J:$J,"V",'Boys Schedule'!$M:$M,"&lt;&gt;"&amp;"")</f>
        <v>1</v>
      </c>
      <c r="C11" s="8">
        <f>COUNTIFS('Boys Schedule'!$F:$F,$A11,'Boys Schedule'!$J:$J,"V",'Boys Schedule'!$M:$M,"&lt;&gt;"&amp;"")+COUNTIFS('Boys Schedule'!$C:$C,$A11,'Boys Schedule'!$J:$J,"H",'Boys Schedule'!$M:$M,"&lt;&gt;"&amp;"")</f>
        <v>9</v>
      </c>
      <c r="D11" s="9">
        <f t="shared" si="0"/>
        <v>0.1</v>
      </c>
      <c r="E11" s="8">
        <v>-6</v>
      </c>
    </row>
    <row r="12" spans="1:5" x14ac:dyDescent="0.25">
      <c r="A12" s="8" t="s">
        <v>19</v>
      </c>
      <c r="B12" s="8">
        <f>COUNTIFS('Boys Schedule'!$F:$F,$A12,'Boys Schedule'!$J:$J,"H",'Boys Schedule'!$M:$M,"&lt;&gt;"&amp;"")+COUNTIFS('Boys Schedule'!$C:$C,$A12,'Boys Schedule'!$J:$J,"V",'Boys Schedule'!$M:$M,"&lt;&gt;"&amp;"")</f>
        <v>1</v>
      </c>
      <c r="C12" s="8">
        <f>COUNTIFS('Boys Schedule'!$F:$F,$A12,'Boys Schedule'!$J:$J,"V",'Boys Schedule'!$M:$M,"&lt;&gt;"&amp;"")+COUNTIFS('Boys Schedule'!$C:$C,$A12,'Boys Schedule'!$J:$J,"H",'Boys Schedule'!$M:$M,"&lt;&gt;"&amp;"")</f>
        <v>9</v>
      </c>
      <c r="D12" s="9">
        <f t="shared" si="0"/>
        <v>0.1</v>
      </c>
      <c r="E12" s="8">
        <v>-9</v>
      </c>
    </row>
    <row r="16" spans="1:5" ht="15" customHeight="1" x14ac:dyDescent="0.25"/>
    <row r="17" ht="15" customHeight="1" x14ac:dyDescent="0.25"/>
    <row r="22" ht="15" customHeight="1" x14ac:dyDescent="0.25"/>
    <row r="23" ht="15" customHeight="1" x14ac:dyDescent="0.25"/>
  </sheetData>
  <sortState ref="A2:E12">
    <sortCondition descending="1" ref="D2:D12"/>
    <sortCondition ref="C2:C12"/>
    <sortCondition descending="1" ref="B2:B12"/>
    <sortCondition descending="1" ref="E2:E1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5"/>
  <sheetViews>
    <sheetView workbookViewId="0"/>
  </sheetViews>
  <sheetFormatPr defaultRowHeight="15" x14ac:dyDescent="0.25"/>
  <cols>
    <col min="1" max="1" width="15.7109375" style="8" bestFit="1" customWidth="1"/>
    <col min="2" max="4" width="9.140625" style="8"/>
  </cols>
  <sheetData>
    <row r="1" spans="1:5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5" x14ac:dyDescent="0.25">
      <c r="A2" s="8" t="s">
        <v>11</v>
      </c>
      <c r="B2" s="8">
        <f>COUNTIFS('Girls Schedule'!$F:$F,$A2,'Girls Schedule'!$J:$J,"H",'Girls Schedule'!$M:$M,"&lt;&gt;"&amp;"")+COUNTIFS('Girls Schedule'!$C:$C,$A2,'Girls Schedule'!$J:$J,"V",'Girls Schedule'!$M:$M,"&lt;&gt;"&amp;"")</f>
        <v>8</v>
      </c>
      <c r="C2" s="8">
        <f>COUNTIFS('Girls Schedule'!$F:$F,$A2,'Girls Schedule'!$J:$J,"V",'Girls Schedule'!$M:$M,"&lt;&gt;"&amp;"")+COUNTIFS('Girls Schedule'!$C:$C,$A2,'Girls Schedule'!$J:$J,"H",'Girls Schedule'!$M:$M,"&lt;&gt;"&amp;"")</f>
        <v>1</v>
      </c>
      <c r="D2" s="9">
        <f>IF(B2+C2&gt;0,B2/(B2+C2),0)</f>
        <v>0.88888888888888884</v>
      </c>
      <c r="E2" s="8"/>
    </row>
    <row r="3" spans="1:5" x14ac:dyDescent="0.25">
      <c r="A3" s="8" t="s">
        <v>4</v>
      </c>
      <c r="B3" s="8">
        <f>COUNTIFS('Girls Schedule'!$F:$F,$A3,'Girls Schedule'!$J:$J,"H",'Girls Schedule'!$M:$M,"&lt;&gt;"&amp;"")+COUNTIFS('Girls Schedule'!$C:$C,$A3,'Girls Schedule'!$J:$J,"V",'Girls Schedule'!$M:$M,"&lt;&gt;"&amp;"")</f>
        <v>6</v>
      </c>
      <c r="C3" s="8">
        <f>COUNTIFS('Girls Schedule'!$F:$F,$A3,'Girls Schedule'!$J:$J,"V",'Girls Schedule'!$M:$M,"&lt;&gt;"&amp;"")+COUNTIFS('Girls Schedule'!$C:$C,$A3,'Girls Schedule'!$J:$J,"H",'Girls Schedule'!$M:$M,"&lt;&gt;"&amp;"")</f>
        <v>3</v>
      </c>
      <c r="D3" s="9">
        <f>IF(B3+C3&gt;0,B3/(B3+C3),0)</f>
        <v>0.66666666666666663</v>
      </c>
      <c r="E3" s="8"/>
    </row>
    <row r="4" spans="1:5" x14ac:dyDescent="0.25">
      <c r="A4" s="8" t="s">
        <v>2</v>
      </c>
      <c r="B4" s="8">
        <f>COUNTIFS('Girls Schedule'!$F:$F,$A4,'Girls Schedule'!$J:$J,"H",'Girls Schedule'!$M:$M,"&lt;&gt;"&amp;"")+COUNTIFS('Girls Schedule'!$C:$C,$A4,'Girls Schedule'!$J:$J,"V",'Girls Schedule'!$M:$M,"&lt;&gt;"&amp;"")</f>
        <v>4</v>
      </c>
      <c r="C4" s="8">
        <f>COUNTIFS('Girls Schedule'!$F:$F,$A4,'Girls Schedule'!$J:$J,"V",'Girls Schedule'!$M:$M,"&lt;&gt;"&amp;"")+COUNTIFS('Girls Schedule'!$C:$C,$A4,'Girls Schedule'!$J:$J,"H",'Girls Schedule'!$M:$M,"&lt;&gt;"&amp;"")</f>
        <v>5</v>
      </c>
      <c r="D4" s="9">
        <f>IF(B4+C4&gt;0,B4/(B4+C4),0)</f>
        <v>0.44444444444444442</v>
      </c>
      <c r="E4" s="8"/>
    </row>
    <row r="5" spans="1:5" x14ac:dyDescent="0.25">
      <c r="A5" s="8" t="s">
        <v>12</v>
      </c>
      <c r="B5" s="8">
        <f>COUNTIFS('Girls Schedule'!$F:$F,$A5,'Girls Schedule'!$J:$J,"H",'Girls Schedule'!$M:$M,"&lt;&gt;"&amp;"")+COUNTIFS('Girls Schedule'!$C:$C,$A5,'Girls Schedule'!$J:$J,"V",'Girls Schedule'!$M:$M,"&lt;&gt;"&amp;"")</f>
        <v>0</v>
      </c>
      <c r="C5" s="8">
        <f>COUNTIFS('Girls Schedule'!$F:$F,$A5,'Girls Schedule'!$J:$J,"V",'Girls Schedule'!$M:$M,"&lt;&gt;"&amp;"")+COUNTIFS('Girls Schedule'!$C:$C,$A5,'Girls Schedule'!$J:$J,"H",'Girls Schedule'!$M:$M,"&lt;&gt;"&amp;"")</f>
        <v>9</v>
      </c>
      <c r="D5" s="9">
        <f>IF(B5+C5&gt;0,B5/(B5+C5),0)</f>
        <v>0</v>
      </c>
      <c r="E5" s="8"/>
    </row>
  </sheetData>
  <sortState ref="A2:E5">
    <sortCondition descending="1" ref="D2:D5"/>
    <sortCondition ref="C2:C5"/>
    <sortCondition descending="1" ref="B2:B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8"/>
  <sheetViews>
    <sheetView workbookViewId="0"/>
  </sheetViews>
  <sheetFormatPr defaultRowHeight="15" x14ac:dyDescent="0.25"/>
  <cols>
    <col min="1" max="1" width="16.140625" style="8" bestFit="1" customWidth="1"/>
    <col min="2" max="4" width="9.140625" style="8"/>
  </cols>
  <sheetData>
    <row r="1" spans="1:5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5" x14ac:dyDescent="0.25">
      <c r="A2" s="8" t="s">
        <v>16</v>
      </c>
      <c r="B2" s="8">
        <f>COUNTIFS('Girls Schedule'!$F:$F,$A2,'Girls Schedule'!$J:$J,"H",'Girls Schedule'!$M:$M,"&lt;&gt;"&amp;"")+COUNTIFS('Girls Schedule'!$C:$C,$A2,'Girls Schedule'!$J:$J,"V",'Girls Schedule'!$M:$M,"&lt;&gt;"&amp;"")</f>
        <v>12</v>
      </c>
      <c r="C2" s="8">
        <f>COUNTIFS('Girls Schedule'!$F:$F,$A2,'Girls Schedule'!$J:$J,"V",'Girls Schedule'!$M:$M,"&lt;&gt;"&amp;"")+COUNTIFS('Girls Schedule'!$C:$C,$A2,'Girls Schedule'!$J:$J,"H",'Girls Schedule'!$M:$M,"&lt;&gt;"&amp;"")</f>
        <v>0</v>
      </c>
      <c r="D2" s="9">
        <f t="shared" ref="D2:D8" si="0">IF(B2+C2&gt;0,B2/(B2+C2),0)</f>
        <v>1</v>
      </c>
      <c r="E2" s="8"/>
    </row>
    <row r="3" spans="1:5" x14ac:dyDescent="0.25">
      <c r="A3" s="8" t="s">
        <v>18</v>
      </c>
      <c r="B3" s="8">
        <f>COUNTIFS('Girls Schedule'!$F:$F,$A3,'Girls Schedule'!$J:$J,"H",'Girls Schedule'!$M:$M,"&lt;&gt;"&amp;"")+COUNTIFS('Girls Schedule'!$C:$C,$A3,'Girls Schedule'!$J:$J,"V",'Girls Schedule'!$M:$M,"&lt;&gt;"&amp;"")</f>
        <v>10</v>
      </c>
      <c r="C3" s="8">
        <f>COUNTIFS('Girls Schedule'!$F:$F,$A3,'Girls Schedule'!$J:$J,"V",'Girls Schedule'!$M:$M,"&lt;&gt;"&amp;"")+COUNTIFS('Girls Schedule'!$C:$C,$A3,'Girls Schedule'!$J:$J,"H",'Girls Schedule'!$M:$M,"&lt;&gt;"&amp;"")</f>
        <v>2</v>
      </c>
      <c r="D3" s="9">
        <f t="shared" si="0"/>
        <v>0.83333333333333337</v>
      </c>
      <c r="E3" s="8"/>
    </row>
    <row r="4" spans="1:5" x14ac:dyDescent="0.25">
      <c r="A4" s="8" t="s">
        <v>7</v>
      </c>
      <c r="B4" s="8">
        <f>COUNTIFS('Girls Schedule'!$F:$F,$A4,'Girls Schedule'!$J:$J,"H",'Girls Schedule'!$M:$M,"&lt;&gt;"&amp;"")+COUNTIFS('Girls Schedule'!$C:$C,$A4,'Girls Schedule'!$J:$J,"V",'Girls Schedule'!$M:$M,"&lt;&gt;"&amp;"")</f>
        <v>8</v>
      </c>
      <c r="C4" s="8">
        <f>COUNTIFS('Girls Schedule'!$F:$F,$A4,'Girls Schedule'!$J:$J,"V",'Girls Schedule'!$M:$M,"&lt;&gt;"&amp;"")+COUNTIFS('Girls Schedule'!$C:$C,$A4,'Girls Schedule'!$J:$J,"H",'Girls Schedule'!$M:$M,"&lt;&gt;"&amp;"")</f>
        <v>4</v>
      </c>
      <c r="D4" s="9">
        <f t="shared" si="0"/>
        <v>0.66666666666666663</v>
      </c>
      <c r="E4" s="8"/>
    </row>
    <row r="5" spans="1:5" x14ac:dyDescent="0.25">
      <c r="A5" s="8" t="s">
        <v>104</v>
      </c>
      <c r="B5" s="8">
        <f>COUNTIFS('Girls Schedule'!$F:$F,$A5,'Girls Schedule'!$J:$J,"H",'Girls Schedule'!$M:$M,"&lt;&gt;"&amp;"")+COUNTIFS('Girls Schedule'!$C:$C,$A5,'Girls Schedule'!$J:$J,"V",'Girls Schedule'!$M:$M,"&lt;&gt;"&amp;"")</f>
        <v>5</v>
      </c>
      <c r="C5" s="8">
        <f>COUNTIFS('Girls Schedule'!$F:$F,$A5,'Girls Schedule'!$J:$J,"V",'Girls Schedule'!$M:$M,"&lt;&gt;"&amp;"")+COUNTIFS('Girls Schedule'!$C:$C,$A5,'Girls Schedule'!$J:$J,"H",'Girls Schedule'!$M:$M,"&lt;&gt;"&amp;"")</f>
        <v>7</v>
      </c>
      <c r="D5" s="9">
        <f t="shared" si="0"/>
        <v>0.41666666666666669</v>
      </c>
      <c r="E5" s="8"/>
    </row>
    <row r="6" spans="1:5" x14ac:dyDescent="0.25">
      <c r="A6" s="8" t="s">
        <v>17</v>
      </c>
      <c r="B6" s="8">
        <f>COUNTIFS('Girls Schedule'!$F:$F,$A6,'Girls Schedule'!$J:$J,"H",'Girls Schedule'!$M:$M,"&lt;&gt;"&amp;"")+COUNTIFS('Girls Schedule'!$C:$C,$A6,'Girls Schedule'!$J:$J,"V",'Girls Schedule'!$M:$M,"&lt;&gt;"&amp;"")</f>
        <v>4</v>
      </c>
      <c r="C6" s="8">
        <f>COUNTIFS('Girls Schedule'!$F:$F,$A6,'Girls Schedule'!$J:$J,"V",'Girls Schedule'!$M:$M,"&lt;&gt;"&amp;"")+COUNTIFS('Girls Schedule'!$C:$C,$A6,'Girls Schedule'!$J:$J,"H",'Girls Schedule'!$M:$M,"&lt;&gt;"&amp;"")</f>
        <v>8</v>
      </c>
      <c r="D6" s="9">
        <f t="shared" si="0"/>
        <v>0.33333333333333331</v>
      </c>
      <c r="E6" s="8"/>
    </row>
    <row r="7" spans="1:5" x14ac:dyDescent="0.25">
      <c r="A7" s="8" t="s">
        <v>20</v>
      </c>
      <c r="B7" s="8">
        <f>COUNTIFS('Girls Schedule'!$F:$F,$A7,'Girls Schedule'!$J:$J,"H",'Girls Schedule'!$M:$M,"&lt;&gt;"&amp;"")+COUNTIFS('Girls Schedule'!$C:$C,$A7,'Girls Schedule'!$J:$J,"V",'Girls Schedule'!$M:$M,"&lt;&gt;"&amp;"")</f>
        <v>2</v>
      </c>
      <c r="C7" s="8">
        <f>COUNTIFS('Girls Schedule'!$F:$F,$A7,'Girls Schedule'!$J:$J,"V",'Girls Schedule'!$M:$M,"&lt;&gt;"&amp;"")+COUNTIFS('Girls Schedule'!$C:$C,$A7,'Girls Schedule'!$J:$J,"H",'Girls Schedule'!$M:$M,"&lt;&gt;"&amp;"")</f>
        <v>10</v>
      </c>
      <c r="D7" s="9">
        <f t="shared" si="0"/>
        <v>0.16666666666666666</v>
      </c>
      <c r="E7" s="8"/>
    </row>
    <row r="8" spans="1:5" x14ac:dyDescent="0.25">
      <c r="A8" s="8" t="s">
        <v>19</v>
      </c>
      <c r="B8" s="8">
        <f>COUNTIFS('Girls Schedule'!$F:$F,$A8,'Girls Schedule'!$J:$J,"H",'Girls Schedule'!$M:$M,"&lt;&gt;"&amp;"")+COUNTIFS('Girls Schedule'!$C:$C,$A8,'Girls Schedule'!$J:$J,"V",'Girls Schedule'!$M:$M,"&lt;&gt;"&amp;"")</f>
        <v>1</v>
      </c>
      <c r="C8" s="8">
        <f>COUNTIFS('Girls Schedule'!$F:$F,$A8,'Girls Schedule'!$J:$J,"V",'Girls Schedule'!$M:$M,"&lt;&gt;"&amp;"")+COUNTIFS('Girls Schedule'!$C:$C,$A8,'Girls Schedule'!$J:$J,"H",'Girls Schedule'!$M:$M,"&lt;&gt;"&amp;"")</f>
        <v>11</v>
      </c>
      <c r="D8" s="9">
        <f t="shared" si="0"/>
        <v>8.3333333333333329E-2</v>
      </c>
      <c r="E8" s="8"/>
    </row>
  </sheetData>
  <sortState ref="A2:E8">
    <sortCondition descending="1" ref="D2:D8"/>
    <sortCondition ref="C2:C8"/>
    <sortCondition descending="1" ref="B2:B8"/>
    <sortCondition descending="1" ref="E2:E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6"/>
  <sheetViews>
    <sheetView workbookViewId="0"/>
  </sheetViews>
  <sheetFormatPr defaultRowHeight="15" x14ac:dyDescent="0.25"/>
  <cols>
    <col min="1" max="1" width="21" style="8" bestFit="1" customWidth="1"/>
    <col min="2" max="4" width="9.140625" style="8"/>
  </cols>
  <sheetData>
    <row r="1" spans="1:5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5" x14ac:dyDescent="0.25">
      <c r="A2" s="8" t="s">
        <v>8</v>
      </c>
      <c r="B2" s="8">
        <f>COUNTIFS('Boys Schedule'!$F:$F,$A2,'Boys Schedule'!$J:$J,"H",'Boys Schedule'!$M:$M,"&lt;&gt;"&amp;"")+COUNTIFS('Boys Schedule'!$C:$C,$A2,'Boys Schedule'!$J:$J,"V",'Boys Schedule'!$M:$M,"&lt;&gt;"&amp;"")</f>
        <v>7</v>
      </c>
      <c r="C2" s="8">
        <f>COUNTIFS('Boys Schedule'!$F:$F,$A2,'Boys Schedule'!$J:$J,"V",'Boys Schedule'!$M:$M,"&lt;&gt;"&amp;"")+COUNTIFS('Boys Schedule'!$C:$C,$A2,'Boys Schedule'!$J:$J,"H",'Boys Schedule'!$M:$M,"&lt;&gt;"&amp;"")</f>
        <v>1</v>
      </c>
      <c r="D2" s="9">
        <f>IF(B2+C2&gt;0,B2/(B2+C2),0)</f>
        <v>0.875</v>
      </c>
      <c r="E2" s="8"/>
    </row>
    <row r="3" spans="1:5" x14ac:dyDescent="0.25">
      <c r="A3" s="8" t="s">
        <v>213</v>
      </c>
      <c r="B3" s="8">
        <f>COUNTIFS('Boys Schedule'!$F:$F,$A3,'Boys Schedule'!$J:$J,"H",'Boys Schedule'!$M:$M,"&lt;&gt;"&amp;"")+COUNTIFS('Boys Schedule'!$C:$C,$A3,'Boys Schedule'!$J:$J,"V",'Boys Schedule'!$M:$M,"&lt;&gt;"&amp;"")</f>
        <v>5</v>
      </c>
      <c r="C3" s="8">
        <f>COUNTIFS('Boys Schedule'!$F:$F,$A3,'Boys Schedule'!$J:$J,"V",'Boys Schedule'!$M:$M,"&lt;&gt;"&amp;"")+COUNTIFS('Boys Schedule'!$C:$C,$A3,'Boys Schedule'!$J:$J,"H",'Boys Schedule'!$M:$M,"&lt;&gt;"&amp;"")</f>
        <v>3</v>
      </c>
      <c r="D3" s="9">
        <f>IF(B3+C3&gt;0,B3/(B3+C3),0)</f>
        <v>0.625</v>
      </c>
      <c r="E3" s="8"/>
    </row>
    <row r="4" spans="1:5" x14ac:dyDescent="0.25">
      <c r="A4" s="8" t="s">
        <v>5</v>
      </c>
      <c r="B4" s="8">
        <f>COUNTIFS('Boys Schedule'!$F:$F,$A4,'Boys Schedule'!$J:$J,"H",'Boys Schedule'!$M:$M,"&lt;&gt;"&amp;"")+COUNTIFS('Boys Schedule'!$C:$C,$A4,'Boys Schedule'!$J:$J,"V",'Boys Schedule'!$M:$M,"&lt;&gt;"&amp;"")</f>
        <v>4</v>
      </c>
      <c r="C4" s="8">
        <f>COUNTIFS('Boys Schedule'!$F:$F,$A4,'Boys Schedule'!$J:$J,"V",'Boys Schedule'!$M:$M,"&lt;&gt;"&amp;"")+COUNTIFS('Boys Schedule'!$C:$C,$A4,'Boys Schedule'!$J:$J,"H",'Boys Schedule'!$M:$M,"&lt;&gt;"&amp;"")</f>
        <v>4</v>
      </c>
      <c r="D4" s="9">
        <f>IF(B4+C4&gt;0,B4/(B4+C4),0)</f>
        <v>0.5</v>
      </c>
      <c r="E4" s="8"/>
    </row>
    <row r="5" spans="1:5" x14ac:dyDescent="0.25">
      <c r="A5" s="8" t="s">
        <v>21</v>
      </c>
      <c r="B5" s="8">
        <f>COUNTIFS('Boys Schedule'!$F:$F,$A5,'Boys Schedule'!$J:$J,"H",'Boys Schedule'!$M:$M,"&lt;&gt;"&amp;"")+COUNTIFS('Boys Schedule'!$C:$C,$A5,'Boys Schedule'!$J:$J,"V",'Boys Schedule'!$M:$M,"&lt;&gt;"&amp;"")</f>
        <v>2</v>
      </c>
      <c r="C5" s="8">
        <f>COUNTIFS('Boys Schedule'!$F:$F,$A5,'Boys Schedule'!$J:$J,"V",'Boys Schedule'!$M:$M,"&lt;&gt;"&amp;"")+COUNTIFS('Boys Schedule'!$C:$C,$A5,'Boys Schedule'!$J:$J,"H",'Boys Schedule'!$M:$M,"&lt;&gt;"&amp;"")</f>
        <v>6</v>
      </c>
      <c r="D5" s="9">
        <f>IF(B5+C5&gt;0,B5/(B5+C5),0)</f>
        <v>0.25</v>
      </c>
      <c r="E5" s="8">
        <v>18</v>
      </c>
    </row>
    <row r="6" spans="1:5" x14ac:dyDescent="0.25">
      <c r="A6" s="8" t="s">
        <v>22</v>
      </c>
      <c r="B6" s="8">
        <f>COUNTIFS('Boys Schedule'!$F:$F,$A6,'Boys Schedule'!$J:$J,"H",'Boys Schedule'!$M:$M,"&lt;&gt;"&amp;"")+COUNTIFS('Boys Schedule'!$C:$C,$A6,'Boys Schedule'!$J:$J,"V",'Boys Schedule'!$M:$M,"&lt;&gt;"&amp;"")</f>
        <v>2</v>
      </c>
      <c r="C6" s="8">
        <f>COUNTIFS('Boys Schedule'!$F:$F,$A6,'Boys Schedule'!$J:$J,"V",'Boys Schedule'!$M:$M,"&lt;&gt;"&amp;"")+COUNTIFS('Boys Schedule'!$C:$C,$A6,'Boys Schedule'!$J:$J,"H",'Boys Schedule'!$M:$M,"&lt;&gt;"&amp;"")</f>
        <v>6</v>
      </c>
      <c r="D6" s="9">
        <f>IF(B6+C6&gt;0,B6/(B6+C6),0)</f>
        <v>0.25</v>
      </c>
      <c r="E6" s="8">
        <v>-18</v>
      </c>
    </row>
  </sheetData>
  <sortState ref="A2:E6">
    <sortCondition descending="1" ref="D2:D6"/>
    <sortCondition ref="C2:C6"/>
    <sortCondition descending="1" ref="B2:B6"/>
    <sortCondition descending="1" ref="E2:E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7"/>
  <sheetViews>
    <sheetView workbookViewId="0"/>
  </sheetViews>
  <sheetFormatPr defaultRowHeight="15" x14ac:dyDescent="0.25"/>
  <cols>
    <col min="1" max="1" width="27" style="8" bestFit="1" customWidth="1"/>
    <col min="2" max="4" width="9.140625" style="8"/>
  </cols>
  <sheetData>
    <row r="1" spans="1:5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5" x14ac:dyDescent="0.25">
      <c r="A2" s="8" t="s">
        <v>5</v>
      </c>
      <c r="B2" s="8">
        <f>COUNTIFS('Girls Schedule'!$F:$F,$A2,'Girls Schedule'!$J:$J,"H",'Girls Schedule'!$M:$M,"&lt;&gt;"&amp;"")+COUNTIFS('Girls Schedule'!$C:$C,$A2,'Girls Schedule'!$J:$J,"V",'Girls Schedule'!$M:$M,"&lt;&gt;"&amp;"")</f>
        <v>10</v>
      </c>
      <c r="C2" s="8">
        <f>COUNTIFS('Girls Schedule'!$F:$F,$A2,'Girls Schedule'!$J:$J,"V",'Girls Schedule'!$M:$M,"&lt;&gt;"&amp;"")+COUNTIFS('Girls Schedule'!$C:$C,$A2,'Girls Schedule'!$J:$J,"H",'Girls Schedule'!$M:$M,"&lt;&gt;"&amp;"")</f>
        <v>0</v>
      </c>
      <c r="D2" s="9">
        <f t="shared" ref="D2:D7" si="0">IF(B2+C2&gt;0,B2/(B2+C2),0)</f>
        <v>1</v>
      </c>
      <c r="E2" s="8"/>
    </row>
    <row r="3" spans="1:5" x14ac:dyDescent="0.25">
      <c r="A3" s="8" t="s">
        <v>8</v>
      </c>
      <c r="B3" s="8">
        <f>COUNTIFS('Girls Schedule'!$F:$F,$A3,'Girls Schedule'!$J:$J,"H",'Girls Schedule'!$M:$M,"&lt;&gt;"&amp;"")+COUNTIFS('Girls Schedule'!$C:$C,$A3,'Girls Schedule'!$J:$J,"V",'Girls Schedule'!$M:$M,"&lt;&gt;"&amp;"")</f>
        <v>7</v>
      </c>
      <c r="C3" s="8">
        <f>COUNTIFS('Girls Schedule'!$F:$F,$A3,'Girls Schedule'!$J:$J,"V",'Girls Schedule'!$M:$M,"&lt;&gt;"&amp;"")+COUNTIFS('Girls Schedule'!$C:$C,$A3,'Girls Schedule'!$J:$J,"H",'Girls Schedule'!$M:$M,"&lt;&gt;"&amp;"")</f>
        <v>3</v>
      </c>
      <c r="D3" s="9">
        <f t="shared" si="0"/>
        <v>0.7</v>
      </c>
      <c r="E3" s="8">
        <v>6</v>
      </c>
    </row>
    <row r="4" spans="1:5" x14ac:dyDescent="0.25">
      <c r="A4" s="8" t="s">
        <v>21</v>
      </c>
      <c r="B4" s="8">
        <f>COUNTIFS('Girls Schedule'!$F:$F,$A4,'Girls Schedule'!$J:$J,"H",'Girls Schedule'!$M:$M,"&lt;&gt;"&amp;"")+COUNTIFS('Girls Schedule'!$C:$C,$A4,'Girls Schedule'!$J:$J,"V",'Girls Schedule'!$M:$M,"&lt;&gt;"&amp;"")</f>
        <v>7</v>
      </c>
      <c r="C4" s="8">
        <f>COUNTIFS('Girls Schedule'!$F:$F,$A4,'Girls Schedule'!$J:$J,"V",'Girls Schedule'!$M:$M,"&lt;&gt;"&amp;"")+COUNTIFS('Girls Schedule'!$C:$C,$A4,'Girls Schedule'!$J:$J,"H",'Girls Schedule'!$M:$M,"&lt;&gt;"&amp;"")</f>
        <v>3</v>
      </c>
      <c r="D4" s="9">
        <f t="shared" si="0"/>
        <v>0.7</v>
      </c>
      <c r="E4" s="8">
        <v>-6</v>
      </c>
    </row>
    <row r="5" spans="1:5" x14ac:dyDescent="0.25">
      <c r="A5" s="8" t="s">
        <v>237</v>
      </c>
      <c r="B5" s="8">
        <f>COUNTIFS('Girls Schedule'!$F:$F,$A5,'Girls Schedule'!$J:$J,"H",'Girls Schedule'!$M:$M,"&lt;&gt;"&amp;"")+COUNTIFS('Girls Schedule'!$C:$C,$A5,'Girls Schedule'!$J:$J,"V",'Girls Schedule'!$M:$M,"&lt;&gt;"&amp;"")</f>
        <v>3</v>
      </c>
      <c r="C5" s="8">
        <f>COUNTIFS('Girls Schedule'!$F:$F,$A5,'Girls Schedule'!$J:$J,"V",'Girls Schedule'!$M:$M,"&lt;&gt;"&amp;"")+COUNTIFS('Girls Schedule'!$C:$C,$A5,'Girls Schedule'!$J:$J,"H",'Girls Schedule'!$M:$M,"&lt;&gt;"&amp;"")</f>
        <v>7</v>
      </c>
      <c r="D5" s="9">
        <f t="shared" si="0"/>
        <v>0.3</v>
      </c>
      <c r="E5" s="8"/>
    </row>
    <row r="6" spans="1:5" x14ac:dyDescent="0.25">
      <c r="A6" s="8" t="s">
        <v>22</v>
      </c>
      <c r="B6" s="8">
        <f>COUNTIFS('Girls Schedule'!$F:$F,$A6,'Girls Schedule'!$J:$J,"H",'Girls Schedule'!$M:$M,"&lt;&gt;"&amp;"")+COUNTIFS('Girls Schedule'!$C:$C,$A6,'Girls Schedule'!$J:$J,"V",'Girls Schedule'!$M:$M,"&lt;&gt;"&amp;"")</f>
        <v>3</v>
      </c>
      <c r="C6" s="8">
        <f>COUNTIFS('Girls Schedule'!$F:$F,$A6,'Girls Schedule'!$J:$J,"V",'Girls Schedule'!$M:$M,"&lt;&gt;"&amp;"")+COUNTIFS('Girls Schedule'!$C:$C,$A6,'Girls Schedule'!$J:$J,"H",'Girls Schedule'!$M:$M,"&lt;&gt;"&amp;"")</f>
        <v>7</v>
      </c>
      <c r="D6" s="9">
        <f t="shared" si="0"/>
        <v>0.3</v>
      </c>
      <c r="E6" s="8"/>
    </row>
    <row r="7" spans="1:5" x14ac:dyDescent="0.25">
      <c r="A7" s="8" t="s">
        <v>108</v>
      </c>
      <c r="B7" s="8">
        <f>COUNTIFS('Girls Schedule'!$F:$F,$A7,'Girls Schedule'!$J:$J,"H",'Girls Schedule'!$M:$M,"&lt;&gt;"&amp;"")+COUNTIFS('Girls Schedule'!$C:$C,$A7,'Girls Schedule'!$J:$J,"V",'Girls Schedule'!$M:$M,"&lt;&gt;"&amp;"")</f>
        <v>0</v>
      </c>
      <c r="C7" s="8">
        <f>COUNTIFS('Girls Schedule'!$F:$F,$A7,'Girls Schedule'!$J:$J,"V",'Girls Schedule'!$M:$M,"&lt;&gt;"&amp;"")+COUNTIFS('Girls Schedule'!$C:$C,$A7,'Girls Schedule'!$J:$J,"H",'Girls Schedule'!$M:$M,"&lt;&gt;"&amp;"")</f>
        <v>10</v>
      </c>
      <c r="D7" s="9">
        <f t="shared" si="0"/>
        <v>0</v>
      </c>
      <c r="E7" s="8"/>
    </row>
  </sheetData>
  <sortState ref="A2:E7">
    <sortCondition descending="1" ref="D2:D7"/>
    <sortCondition ref="C2:C7"/>
    <sortCondition descending="1" ref="B2:B7"/>
    <sortCondition descending="1" ref="E2:E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1"/>
  <sheetViews>
    <sheetView workbookViewId="0">
      <selection activeCell="C26" sqref="C26"/>
    </sheetView>
  </sheetViews>
  <sheetFormatPr defaultRowHeight="15" x14ac:dyDescent="0.25"/>
  <cols>
    <col min="1" max="1" width="27" style="8" bestFit="1" customWidth="1"/>
    <col min="2" max="4" width="9.140625" style="8"/>
  </cols>
  <sheetData>
    <row r="1" spans="1:10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10" x14ac:dyDescent="0.25">
      <c r="A2" s="8" t="s">
        <v>6</v>
      </c>
      <c r="B2" s="8">
        <f>COUNTIFS('Boys Schedule'!$F:$F,$A2,'Boys Schedule'!$J:$J,"H",'Boys Schedule'!$M:$M,"&lt;&gt;"&amp;"")+COUNTIFS('Boys Schedule'!$C:$C,$A2,'Boys Schedule'!$J:$J,"V",'Boys Schedule'!$M:$M,"&lt;&gt;"&amp;"")</f>
        <v>9</v>
      </c>
      <c r="C2" s="8">
        <f>COUNTIFS('Boys Schedule'!$F:$F,$A2,'Boys Schedule'!$J:$J,"V",'Boys Schedule'!$M:$M,"&lt;&gt;"&amp;"")+COUNTIFS('Boys Schedule'!$C:$C,$A2,'Boys Schedule'!$J:$J,"H",'Boys Schedule'!$M:$M,"&lt;&gt;"&amp;"")</f>
        <v>0</v>
      </c>
      <c r="D2" s="9">
        <f t="shared" ref="D2:D11" si="0">IF(B2+C2&gt;0,B2/(B2+C2),0)</f>
        <v>1</v>
      </c>
      <c r="J2" t="s">
        <v>80</v>
      </c>
    </row>
    <row r="3" spans="1:10" x14ac:dyDescent="0.25">
      <c r="A3" s="8" t="s">
        <v>1</v>
      </c>
      <c r="B3" s="8">
        <f>COUNTIFS('Boys Schedule'!$F:$F,$A3,'Boys Schedule'!$J:$J,"H",'Boys Schedule'!$M:$M,"&lt;&gt;"&amp;"")+COUNTIFS('Boys Schedule'!$C:$C,$A3,'Boys Schedule'!$J:$J,"V",'Boys Schedule'!$M:$M,"&lt;&gt;"&amp;"")</f>
        <v>8</v>
      </c>
      <c r="C3" s="8">
        <f>COUNTIFS('Boys Schedule'!$F:$F,$A3,'Boys Schedule'!$J:$J,"V",'Boys Schedule'!$M:$M,"&lt;&gt;"&amp;"")+COUNTIFS('Boys Schedule'!$C:$C,$A3,'Boys Schedule'!$J:$J,"H",'Boys Schedule'!$M:$M,"&lt;&gt;"&amp;"")</f>
        <v>1</v>
      </c>
      <c r="D3" s="9">
        <f t="shared" si="0"/>
        <v>0.88888888888888884</v>
      </c>
      <c r="J3" t="s">
        <v>80</v>
      </c>
    </row>
    <row r="4" spans="1:10" x14ac:dyDescent="0.25">
      <c r="A4" s="8" t="s">
        <v>9</v>
      </c>
      <c r="B4" s="8">
        <f>COUNTIFS('Boys Schedule'!$F:$F,$A4,'Boys Schedule'!$J:$J,"H",'Boys Schedule'!$M:$M,"&lt;&gt;"&amp;"")+COUNTIFS('Boys Schedule'!$C:$C,$A4,'Boys Schedule'!$J:$J,"V",'Boys Schedule'!$M:$M,"&lt;&gt;"&amp;"")</f>
        <v>6</v>
      </c>
      <c r="C4" s="8">
        <f>COUNTIFS('Boys Schedule'!$F:$F,$A4,'Boys Schedule'!$J:$J,"V",'Boys Schedule'!$M:$M,"&lt;&gt;"&amp;"")+COUNTIFS('Boys Schedule'!$C:$C,$A4,'Boys Schedule'!$J:$J,"H",'Boys Schedule'!$M:$M,"&lt;&gt;"&amp;"")</f>
        <v>3</v>
      </c>
      <c r="D4" s="9">
        <f t="shared" si="0"/>
        <v>0.66666666666666663</v>
      </c>
      <c r="E4">
        <v>5</v>
      </c>
      <c r="J4" t="s">
        <v>80</v>
      </c>
    </row>
    <row r="5" spans="1:10" x14ac:dyDescent="0.25">
      <c r="A5" s="8" t="s">
        <v>3</v>
      </c>
      <c r="B5" s="8">
        <f>COUNTIFS('Boys Schedule'!$F:$F,$A5,'Boys Schedule'!$J:$J,"H",'Boys Schedule'!$M:$M,"&lt;&gt;"&amp;"")+COUNTIFS('Boys Schedule'!$C:$C,$A5,'Boys Schedule'!$J:$J,"V",'Boys Schedule'!$M:$M,"&lt;&gt;"&amp;"")</f>
        <v>6</v>
      </c>
      <c r="C5" s="8">
        <f>COUNTIFS('Boys Schedule'!$F:$F,$A5,'Boys Schedule'!$J:$J,"V",'Boys Schedule'!$M:$M,"&lt;&gt;"&amp;"")+COUNTIFS('Boys Schedule'!$C:$C,$A5,'Boys Schedule'!$J:$J,"H",'Boys Schedule'!$M:$M,"&lt;&gt;"&amp;"")</f>
        <v>3</v>
      </c>
      <c r="D5" s="9">
        <f t="shared" si="0"/>
        <v>0.66666666666666663</v>
      </c>
      <c r="E5">
        <v>-1</v>
      </c>
      <c r="J5" t="s">
        <v>80</v>
      </c>
    </row>
    <row r="6" spans="1:10" x14ac:dyDescent="0.25">
      <c r="A6" s="8" t="s">
        <v>15</v>
      </c>
      <c r="B6" s="8">
        <f>COUNTIFS('Boys Schedule'!$F:$F,$A6,'Boys Schedule'!$J:$J,"H",'Boys Schedule'!$M:$M,"&lt;&gt;"&amp;"")+COUNTIFS('Boys Schedule'!$C:$C,$A6,'Boys Schedule'!$J:$J,"V",'Boys Schedule'!$M:$M,"&lt;&gt;"&amp;"")</f>
        <v>6</v>
      </c>
      <c r="C6" s="8">
        <f>COUNTIFS('Boys Schedule'!$F:$F,$A6,'Boys Schedule'!$J:$J,"V",'Boys Schedule'!$M:$M,"&lt;&gt;"&amp;"")+COUNTIFS('Boys Schedule'!$C:$C,$A6,'Boys Schedule'!$J:$J,"H",'Boys Schedule'!$M:$M,"&lt;&gt;"&amp;"")</f>
        <v>3</v>
      </c>
      <c r="D6" s="9">
        <f t="shared" si="0"/>
        <v>0.66666666666666663</v>
      </c>
      <c r="E6">
        <v>-4</v>
      </c>
      <c r="J6" t="s">
        <v>80</v>
      </c>
    </row>
    <row r="7" spans="1:10" x14ac:dyDescent="0.25">
      <c r="A7" s="8" t="s">
        <v>23</v>
      </c>
      <c r="B7" s="8">
        <f>COUNTIFS('Boys Schedule'!$F:$F,$A7,'Boys Schedule'!$G:$G,$J7,'Boys Schedule'!$J:$J,"H",'Boys Schedule'!$M:$M,"&lt;&gt;"&amp;"")+COUNTIFS('Boys Schedule'!$C:$C,$A7,'Boys Schedule'!$D:$D,$J7,'Boys Schedule'!$J:$J,"V",'Boys Schedule'!$M:$M,"&lt;&gt;"&amp;"")</f>
        <v>4</v>
      </c>
      <c r="C7" s="8">
        <f>COUNTIFS('Boys Schedule'!$F:$F,$A7,'Boys Schedule'!$G:$G,$J7,'Boys Schedule'!$J:$J,"V",'Boys Schedule'!$M:$M,"&lt;&gt;"&amp;"")+COUNTIFS('Boys Schedule'!$C:$C,$A7,'Boys Schedule'!$D:$D,$J7,'Boys Schedule'!$J:$J,"H",'Boys Schedule'!$M:$M,"&lt;&gt;"&amp;"")</f>
        <v>5</v>
      </c>
      <c r="D7" s="9">
        <f t="shared" si="0"/>
        <v>0.44444444444444442</v>
      </c>
      <c r="J7" t="s">
        <v>80</v>
      </c>
    </row>
    <row r="8" spans="1:10" x14ac:dyDescent="0.25">
      <c r="A8" s="8" t="s">
        <v>10</v>
      </c>
      <c r="B8" s="8">
        <f>COUNTIFS('Boys Schedule'!$F:$F,$A8,'Boys Schedule'!$J:$J,"H",'Boys Schedule'!$M:$M,"&lt;&gt;"&amp;"")+COUNTIFS('Boys Schedule'!$C:$C,$A8,'Boys Schedule'!$J:$J,"V",'Boys Schedule'!$M:$M,"&lt;&gt;"&amp;"")</f>
        <v>3</v>
      </c>
      <c r="C8" s="8">
        <f>COUNTIFS('Boys Schedule'!$F:$F,$A8,'Boys Schedule'!$J:$J,"V",'Boys Schedule'!$M:$M,"&lt;&gt;"&amp;"")+COUNTIFS('Boys Schedule'!$C:$C,$A8,'Boys Schedule'!$J:$J,"H",'Boys Schedule'!$M:$M,"&lt;&gt;"&amp;"")</f>
        <v>6</v>
      </c>
      <c r="D8" s="9">
        <f t="shared" si="0"/>
        <v>0.33333333333333331</v>
      </c>
      <c r="J8" t="s">
        <v>80</v>
      </c>
    </row>
    <row r="9" spans="1:10" x14ac:dyDescent="0.25">
      <c r="A9" s="19" t="s">
        <v>24</v>
      </c>
      <c r="B9" s="19">
        <f>COUNTIFS('Boys Schedule'!$F:$F,$A9,'Boys Schedule'!$J:$J,"H",'Boys Schedule'!$M:$M,"&lt;&gt;"&amp;"")+COUNTIFS('Boys Schedule'!$C:$C,$A9,'Boys Schedule'!$J:$J,"V",'Boys Schedule'!$M:$M,"&lt;&gt;"&amp;"")</f>
        <v>2</v>
      </c>
      <c r="C9" s="19">
        <f>COUNTIFS('Boys Schedule'!$F:$F,$A9,'Boys Schedule'!$J:$J,"V",'Boys Schedule'!$M:$M,"&lt;&gt;"&amp;"")+COUNTIFS('Boys Schedule'!$C:$C,$A9,'Boys Schedule'!$J:$J,"H",'Boys Schedule'!$M:$M,"&lt;&gt;"&amp;"")</f>
        <v>7</v>
      </c>
      <c r="D9" s="20">
        <f t="shared" si="0"/>
        <v>0.22222222222222221</v>
      </c>
      <c r="J9" t="s">
        <v>80</v>
      </c>
    </row>
    <row r="10" spans="1:10" x14ac:dyDescent="0.25">
      <c r="A10" s="17" t="s">
        <v>27</v>
      </c>
      <c r="B10" s="17">
        <f>COUNTIFS('Boys Schedule'!$F:$F,$A10,'Boys Schedule'!$J:$J,"H",'Boys Schedule'!$M:$M,"&lt;&gt;"&amp;"")+COUNTIFS('Boys Schedule'!$C:$C,$A10,'Boys Schedule'!$J:$J,"V",'Boys Schedule'!$M:$M,"&lt;&gt;"&amp;"")</f>
        <v>1</v>
      </c>
      <c r="C10" s="17">
        <f>COUNTIFS('Boys Schedule'!$F:$F,$A10,'Boys Schedule'!$J:$J,"V",'Boys Schedule'!$M:$M,"&lt;&gt;"&amp;"")+COUNTIFS('Boys Schedule'!$C:$C,$A10,'Boys Schedule'!$J:$J,"H",'Boys Schedule'!$M:$M,"&lt;&gt;"&amp;"")</f>
        <v>8</v>
      </c>
      <c r="D10" s="18">
        <f t="shared" si="0"/>
        <v>0.1111111111111111</v>
      </c>
      <c r="J10" t="s">
        <v>80</v>
      </c>
    </row>
    <row r="11" spans="1:10" x14ac:dyDescent="0.25">
      <c r="A11" s="19" t="s">
        <v>14</v>
      </c>
      <c r="B11" s="19">
        <f>COUNTIFS('Boys Schedule'!$F:$F,$A11,'Boys Schedule'!$J:$J,"H",'Boys Schedule'!$M:$M,"&lt;&gt;"&amp;"")+COUNTIFS('Boys Schedule'!$C:$C,$A11,'Boys Schedule'!$J:$J,"V",'Boys Schedule'!$M:$M,"&lt;&gt;"&amp;"")</f>
        <v>0</v>
      </c>
      <c r="C11" s="19">
        <f>COUNTIFS('Boys Schedule'!$F:$F,$A11,'Boys Schedule'!$J:$J,"V",'Boys Schedule'!$M:$M,"&lt;&gt;"&amp;"")+COUNTIFS('Boys Schedule'!$C:$C,$A11,'Boys Schedule'!$J:$J,"H",'Boys Schedule'!$M:$M,"&lt;&gt;"&amp;"")</f>
        <v>9</v>
      </c>
      <c r="D11" s="20">
        <f t="shared" si="0"/>
        <v>0</v>
      </c>
      <c r="J11" t="s">
        <v>80</v>
      </c>
    </row>
  </sheetData>
  <sortState ref="A2:E11">
    <sortCondition descending="1" ref="D2:D11"/>
    <sortCondition ref="C2:C11"/>
    <sortCondition descending="1" ref="B2:B11"/>
    <sortCondition descending="1" ref="E2:E1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11"/>
  <sheetViews>
    <sheetView workbookViewId="0"/>
  </sheetViews>
  <sheetFormatPr defaultRowHeight="15" x14ac:dyDescent="0.25"/>
  <cols>
    <col min="1" max="1" width="27" style="8" bestFit="1" customWidth="1"/>
    <col min="2" max="4" width="9.140625" style="8"/>
  </cols>
  <sheetData>
    <row r="1" spans="1:5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5" x14ac:dyDescent="0.25">
      <c r="A2" s="19" t="s">
        <v>30</v>
      </c>
      <c r="B2" s="19">
        <f>COUNTIFS('Boys Schedule'!$F:$F,$A2,'Boys Schedule'!$J:$J,"H",'Boys Schedule'!$M:$M,"&lt;&gt;"&amp;"")+COUNTIFS('Boys Schedule'!$C:$C,$A2,'Boys Schedule'!$J:$J,"V",'Boys Schedule'!$M:$M,"&lt;&gt;"&amp;"")</f>
        <v>9</v>
      </c>
      <c r="C2" s="19">
        <f>COUNTIFS('Boys Schedule'!$F:$F,$A2,'Boys Schedule'!$J:$J,"V",'Boys Schedule'!$M:$M,"&lt;&gt;"&amp;"")+COUNTIFS('Boys Schedule'!$C:$C,$A2,'Boys Schedule'!$J:$J,"H",'Boys Schedule'!$M:$M,"&lt;&gt;"&amp;"")</f>
        <v>0</v>
      </c>
      <c r="D2" s="20">
        <f t="shared" ref="D2:D11" si="0">IF(B2+C2&gt;0,B2/(B2+C2),0)</f>
        <v>1</v>
      </c>
      <c r="E2" s="8"/>
    </row>
    <row r="3" spans="1:5" x14ac:dyDescent="0.25">
      <c r="A3" s="8" t="s">
        <v>26</v>
      </c>
      <c r="B3" s="8">
        <f>COUNTIFS('Boys Schedule'!$F:$F,$A3,'Boys Schedule'!$J:$J,"H",'Boys Schedule'!$M:$M,"&lt;&gt;"&amp;"")+COUNTIFS('Boys Schedule'!$C:$C,$A3,'Boys Schedule'!$J:$J,"V",'Boys Schedule'!$M:$M,"&lt;&gt;"&amp;"")</f>
        <v>7</v>
      </c>
      <c r="C3" s="8">
        <f>COUNTIFS('Boys Schedule'!$F:$F,$A3,'Boys Schedule'!$J:$J,"V",'Boys Schedule'!$M:$M,"&lt;&gt;"&amp;"")+COUNTIFS('Boys Schedule'!$C:$C,$A3,'Boys Schedule'!$J:$J,"H",'Boys Schedule'!$M:$M,"&lt;&gt;"&amp;"")</f>
        <v>2</v>
      </c>
      <c r="D3" s="9">
        <f t="shared" si="0"/>
        <v>0.77777777777777779</v>
      </c>
      <c r="E3" s="8">
        <v>1</v>
      </c>
    </row>
    <row r="4" spans="1:5" x14ac:dyDescent="0.25">
      <c r="A4" s="8" t="s">
        <v>253</v>
      </c>
      <c r="B4" s="8">
        <f>COUNTIFS('Boys Schedule'!$F:$F,$A4,'Boys Schedule'!$J:$J,"H",'Boys Schedule'!$M:$M,"&lt;&gt;"&amp;"")+COUNTIFS('Boys Schedule'!$C:$C,$A4,'Boys Schedule'!$J:$J,"V",'Boys Schedule'!$M:$M,"&lt;&gt;"&amp;"")</f>
        <v>7</v>
      </c>
      <c r="C4" s="8">
        <f>COUNTIFS('Boys Schedule'!$F:$F,$A4,'Boys Schedule'!$J:$J,"V",'Boys Schedule'!$M:$M,"&lt;&gt;"&amp;"")+COUNTIFS('Boys Schedule'!$C:$C,$A4,'Boys Schedule'!$J:$J,"H",'Boys Schedule'!$M:$M,"&lt;&gt;"&amp;"")</f>
        <v>2</v>
      </c>
      <c r="D4" s="9">
        <f t="shared" si="0"/>
        <v>0.77777777777777779</v>
      </c>
      <c r="E4" s="8">
        <v>0</v>
      </c>
    </row>
    <row r="5" spans="1:5" x14ac:dyDescent="0.25">
      <c r="A5" s="8" t="s">
        <v>28</v>
      </c>
      <c r="B5" s="8">
        <f>COUNTIFS('Boys Schedule'!$F:$F,$A5,'Boys Schedule'!$J:$J,"H",'Boys Schedule'!$M:$M,"&lt;&gt;"&amp;"")+COUNTIFS('Boys Schedule'!$C:$C,$A5,'Boys Schedule'!$J:$J,"V",'Boys Schedule'!$M:$M,"&lt;&gt;"&amp;"")</f>
        <v>6</v>
      </c>
      <c r="C5" s="8">
        <f>COUNTIFS('Boys Schedule'!$F:$F,$A5,'Boys Schedule'!$J:$J,"V",'Boys Schedule'!$M:$M,"&lt;&gt;"&amp;"")+COUNTIFS('Boys Schedule'!$C:$C,$A5,'Boys Schedule'!$J:$J,"H",'Boys Schedule'!$M:$M,"&lt;&gt;"&amp;"")</f>
        <v>3</v>
      </c>
      <c r="D5" s="9">
        <f t="shared" si="0"/>
        <v>0.66666666666666663</v>
      </c>
      <c r="E5" s="8"/>
    </row>
    <row r="6" spans="1:5" x14ac:dyDescent="0.25">
      <c r="A6" s="8" t="s">
        <v>13</v>
      </c>
      <c r="B6" s="8">
        <f>COUNTIFS('Boys Schedule'!$F:$F,$A6,'Boys Schedule'!$J:$J,"H",'Boys Schedule'!$M:$M,"&lt;&gt;"&amp;"")+COUNTIFS('Boys Schedule'!$C:$C,$A6,'Boys Schedule'!$J:$J,"V",'Boys Schedule'!$M:$M,"&lt;&gt;"&amp;"")</f>
        <v>4</v>
      </c>
      <c r="C6" s="8">
        <f>COUNTIFS('Boys Schedule'!$F:$F,$A6,'Boys Schedule'!$J:$J,"V",'Boys Schedule'!$M:$M,"&lt;&gt;"&amp;"")+COUNTIFS('Boys Schedule'!$C:$C,$A6,'Boys Schedule'!$J:$J,"H",'Boys Schedule'!$M:$M,"&lt;&gt;"&amp;"")</f>
        <v>5</v>
      </c>
      <c r="D6" s="9">
        <f t="shared" si="0"/>
        <v>0.44444444444444442</v>
      </c>
      <c r="E6" s="8">
        <v>1</v>
      </c>
    </row>
    <row r="7" spans="1:5" x14ac:dyDescent="0.25">
      <c r="A7" s="19" t="s">
        <v>31</v>
      </c>
      <c r="B7" s="19">
        <f>COUNTIFS('Boys Schedule'!$F:$F,$A7,'Boys Schedule'!$J:$J,"H",'Boys Schedule'!$M:$M,"&lt;&gt;"&amp;"")+COUNTIFS('Boys Schedule'!$C:$C,$A7,'Boys Schedule'!$J:$J,"V",'Boys Schedule'!$M:$M,"&lt;&gt;"&amp;"")</f>
        <v>4</v>
      </c>
      <c r="C7" s="19">
        <f>COUNTIFS('Boys Schedule'!$F:$F,$A7,'Boys Schedule'!$J:$J,"V",'Boys Schedule'!$M:$M,"&lt;&gt;"&amp;"")+COUNTIFS('Boys Schedule'!$C:$C,$A7,'Boys Schedule'!$J:$J,"H",'Boys Schedule'!$M:$M,"&lt;&gt;"&amp;"")</f>
        <v>5</v>
      </c>
      <c r="D7" s="20">
        <f t="shared" si="0"/>
        <v>0.44444444444444442</v>
      </c>
      <c r="E7" s="8">
        <v>0</v>
      </c>
    </row>
    <row r="8" spans="1:5" x14ac:dyDescent="0.25">
      <c r="A8" s="8" t="s">
        <v>29</v>
      </c>
      <c r="B8" s="8">
        <f>COUNTIFS('Boys Schedule'!$F:$F,$A8,'Boys Schedule'!$J:$J,"H",'Boys Schedule'!$M:$M,"&lt;&gt;"&amp;"")+COUNTIFS('Boys Schedule'!$C:$C,$A8,'Boys Schedule'!$J:$J,"V",'Boys Schedule'!$M:$M,"&lt;&gt;"&amp;"")</f>
        <v>3</v>
      </c>
      <c r="C8" s="8">
        <f>COUNTIFS('Boys Schedule'!$F:$F,$A8,'Boys Schedule'!$J:$J,"V",'Boys Schedule'!$M:$M,"&lt;&gt;"&amp;"")+COUNTIFS('Boys Schedule'!$C:$C,$A8,'Boys Schedule'!$J:$J,"H",'Boys Schedule'!$M:$M,"&lt;&gt;"&amp;"")</f>
        <v>6</v>
      </c>
      <c r="D8" s="9">
        <f t="shared" si="0"/>
        <v>0.33333333333333331</v>
      </c>
      <c r="E8" s="8">
        <v>1</v>
      </c>
    </row>
    <row r="9" spans="1:5" x14ac:dyDescent="0.25">
      <c r="A9" s="8" t="s">
        <v>25</v>
      </c>
      <c r="B9" s="8">
        <f>COUNTIFS('Boys Schedule'!$F:$F,$A9,'Boys Schedule'!$J:$J,"H",'Boys Schedule'!$M:$M,"&lt;&gt;"&amp;"")+COUNTIFS('Boys Schedule'!$C:$C,$A9,'Boys Schedule'!$J:$J,"V",'Boys Schedule'!$M:$M,"&lt;&gt;"&amp;"")</f>
        <v>3</v>
      </c>
      <c r="C9" s="8">
        <f>COUNTIFS('Boys Schedule'!$F:$F,$A9,'Boys Schedule'!$J:$J,"V",'Boys Schedule'!$M:$M,"&lt;&gt;"&amp;"")+COUNTIFS('Boys Schedule'!$C:$C,$A9,'Boys Schedule'!$J:$J,"H",'Boys Schedule'!$M:$M,"&lt;&gt;"&amp;"")</f>
        <v>6</v>
      </c>
      <c r="D9" s="9">
        <f t="shared" si="0"/>
        <v>0.33333333333333331</v>
      </c>
      <c r="E9" s="8">
        <v>0</v>
      </c>
    </row>
    <row r="10" spans="1:5" x14ac:dyDescent="0.25">
      <c r="A10" s="17" t="s">
        <v>171</v>
      </c>
      <c r="B10" s="17">
        <f>COUNTIFS('Boys Schedule'!$F:$F,$A10,'Boys Schedule'!$J:$J,"H",'Boys Schedule'!$M:$M,"&lt;&gt;"&amp;"")+COUNTIFS('Boys Schedule'!$C:$C,$A10,'Boys Schedule'!$J:$J,"V",'Boys Schedule'!$M:$M,"&lt;&gt;"&amp;"")</f>
        <v>2</v>
      </c>
      <c r="C10" s="17">
        <f>COUNTIFS('Boys Schedule'!$F:$F,$A10,'Boys Schedule'!$J:$J,"V",'Boys Schedule'!$M:$M,"&lt;&gt;"&amp;"")+COUNTIFS('Boys Schedule'!$C:$C,$A10,'Boys Schedule'!$J:$J,"H",'Boys Schedule'!$M:$M,"&lt;&gt;"&amp;"")</f>
        <v>7</v>
      </c>
      <c r="D10" s="18">
        <f t="shared" si="0"/>
        <v>0.22222222222222221</v>
      </c>
      <c r="E10" s="8"/>
    </row>
    <row r="11" spans="1:5" x14ac:dyDescent="0.25">
      <c r="A11" s="8" t="s">
        <v>218</v>
      </c>
      <c r="B11" s="8">
        <f>COUNTIFS('Boys Schedule'!$F:$F,$A11,'Boys Schedule'!$J:$J,"H",'Boys Schedule'!$M:$M,"&lt;&gt;"&amp;"")+COUNTIFS('Boys Schedule'!$C:$C,$A11,'Boys Schedule'!$J:$J,"V",'Boys Schedule'!$M:$M,"&lt;&gt;"&amp;"")</f>
        <v>0</v>
      </c>
      <c r="C11" s="8">
        <f>COUNTIFS('Boys Schedule'!$F:$F,$A11,'Boys Schedule'!$J:$J,"V",'Boys Schedule'!$M:$M,"&lt;&gt;"&amp;"")+COUNTIFS('Boys Schedule'!$C:$C,$A11,'Boys Schedule'!$J:$J,"H",'Boys Schedule'!$M:$M,"&lt;&gt;"&amp;"")</f>
        <v>9</v>
      </c>
      <c r="D11" s="9">
        <f t="shared" si="0"/>
        <v>0</v>
      </c>
      <c r="E11" s="8"/>
    </row>
  </sheetData>
  <sortState ref="A2:E11">
    <sortCondition descending="1" ref="D2:D11"/>
    <sortCondition ref="C2:C11"/>
    <sortCondition descending="1" ref="B2:B11"/>
    <sortCondition descending="1" ref="E2:E1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1"/>
  <sheetViews>
    <sheetView workbookViewId="0"/>
  </sheetViews>
  <sheetFormatPr defaultRowHeight="15" x14ac:dyDescent="0.25"/>
  <cols>
    <col min="1" max="1" width="27" style="8" bestFit="1" customWidth="1"/>
    <col min="2" max="4" width="9.140625" style="8"/>
  </cols>
  <sheetData>
    <row r="1" spans="1:10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10" x14ac:dyDescent="0.25">
      <c r="A2" s="8" t="s">
        <v>9</v>
      </c>
      <c r="B2" s="8">
        <f>COUNTIFS('Girls Schedule'!$F:$F,$A2,'Girls Schedule'!$J:$J,"H",'Girls Schedule'!$M:$M,"&lt;&gt;"&amp;"")+COUNTIFS('Girls Schedule'!$C:$C,$A2,'Girls Schedule'!$J:$J,"V",'Girls Schedule'!$M:$M,"&lt;&gt;"&amp;"")</f>
        <v>12</v>
      </c>
      <c r="C2" s="8">
        <f>COUNTIFS('Girls Schedule'!$F:$F,$A2,'Girls Schedule'!$J:$J,"V",'Girls Schedule'!$M:$M,"&lt;&gt;"&amp;"")+COUNTIFS('Girls Schedule'!$C:$C,$A2,'Girls Schedule'!$J:$J,"H",'Girls Schedule'!$M:$M,"&lt;&gt;"&amp;"")</f>
        <v>0</v>
      </c>
      <c r="D2" s="9">
        <f t="shared" ref="D2:D10" si="0">IF(B2+C2&gt;0,B2/(B2+C2),0)</f>
        <v>1</v>
      </c>
    </row>
    <row r="3" spans="1:10" x14ac:dyDescent="0.25">
      <c r="A3" s="8" t="s">
        <v>23</v>
      </c>
      <c r="B3" s="8">
        <f>COUNTIFS('Girls Schedule'!$F:$F,$A3,'Girls Schedule'!$G:$G,$J3,'Girls Schedule'!$J:$J,"H",'Girls Schedule'!$M:$M,"&lt;&gt;"&amp;"")+COUNTIFS('Girls Schedule'!$C:$C,$A3,'Girls Schedule'!$D:$D,$J3,'Girls Schedule'!$J:$J,"V",'Girls Schedule'!$M:$M,"&lt;&gt;"&amp;"")</f>
        <v>10</v>
      </c>
      <c r="C3" s="8">
        <f>COUNTIFS('Girls Schedule'!$F:$F,$A3,'Girls Schedule'!$G:$G,$J3,'Girls Schedule'!$J:$J,"V",'Girls Schedule'!$M:$M,"&lt;&gt;"&amp;"")+COUNTIFS('Girls Schedule'!$C:$C,$A3,'Girls Schedule'!$D:$D,$J3,'Girls Schedule'!$J:$J,"H",'Girls Schedule'!$M:$M,"&lt;&gt;"&amp;"")</f>
        <v>1</v>
      </c>
      <c r="D3" s="9">
        <f t="shared" si="0"/>
        <v>0.90909090909090906</v>
      </c>
      <c r="J3" t="s">
        <v>80</v>
      </c>
    </row>
    <row r="4" spans="1:10" x14ac:dyDescent="0.25">
      <c r="A4" s="8" t="s">
        <v>1</v>
      </c>
      <c r="B4" s="8">
        <f>COUNTIFS('Girls Schedule'!$F:$F,$A4,'Girls Schedule'!$J:$J,"H",'Girls Schedule'!$M:$M,"&lt;&gt;"&amp;"")+COUNTIFS('Girls Schedule'!$C:$C,$A4,'Girls Schedule'!$J:$J,"V",'Girls Schedule'!$M:$M,"&lt;&gt;"&amp;"")</f>
        <v>8</v>
      </c>
      <c r="C4" s="8">
        <f>COUNTIFS('Girls Schedule'!$F:$F,$A4,'Girls Schedule'!$J:$J,"V",'Girls Schedule'!$M:$M,"&lt;&gt;"&amp;"")+COUNTIFS('Girls Schedule'!$C:$C,$A4,'Girls Schedule'!$J:$J,"H",'Girls Schedule'!$M:$M,"&lt;&gt;"&amp;"")</f>
        <v>3</v>
      </c>
      <c r="D4" s="9">
        <f t="shared" si="0"/>
        <v>0.72727272727272729</v>
      </c>
    </row>
    <row r="5" spans="1:10" x14ac:dyDescent="0.25">
      <c r="A5" s="8" t="s">
        <v>13</v>
      </c>
      <c r="B5" s="8">
        <f>COUNTIFS('Girls Schedule'!$F:$F,$A5,'Girls Schedule'!$J:$J,"H",'Girls Schedule'!$M:$M,"&lt;&gt;"&amp;"")+COUNTIFS('Girls Schedule'!$C:$C,$A5,'Girls Schedule'!$J:$J,"V",'Girls Schedule'!$M:$M,"&lt;&gt;"&amp;"")</f>
        <v>8</v>
      </c>
      <c r="C5" s="8">
        <f>COUNTIFS('Girls Schedule'!$F:$F,$A5,'Girls Schedule'!$J:$J,"V",'Girls Schedule'!$M:$M,"&lt;&gt;"&amp;"")+COUNTIFS('Girls Schedule'!$C:$C,$A5,'Girls Schedule'!$J:$J,"H",'Girls Schedule'!$M:$M,"&lt;&gt;"&amp;"")</f>
        <v>4</v>
      </c>
      <c r="D5" s="9">
        <f t="shared" si="0"/>
        <v>0.66666666666666663</v>
      </c>
    </row>
    <row r="6" spans="1:10" x14ac:dyDescent="0.25">
      <c r="A6" s="8" t="s">
        <v>111</v>
      </c>
      <c r="B6" s="8">
        <f>COUNTIFS('Girls Schedule'!$F:$F,$A6,'Girls Schedule'!$J:$J,"H",'Girls Schedule'!$M:$M,"&lt;&gt;"&amp;"")+COUNTIFS('Girls Schedule'!$C:$C,$A6,'Girls Schedule'!$J:$J,"V",'Girls Schedule'!$M:$M,"&lt;&gt;"&amp;"")</f>
        <v>5</v>
      </c>
      <c r="C6" s="8">
        <f>COUNTIFS('Girls Schedule'!$F:$F,$A6,'Girls Schedule'!$J:$J,"V",'Girls Schedule'!$M:$M,"&lt;&gt;"&amp;"")+COUNTIFS('Girls Schedule'!$C:$C,$A6,'Girls Schedule'!$J:$J,"H",'Girls Schedule'!$M:$M,"&lt;&gt;"&amp;"")</f>
        <v>6</v>
      </c>
      <c r="D6" s="9">
        <f t="shared" si="0"/>
        <v>0.45454545454545453</v>
      </c>
    </row>
    <row r="7" spans="1:10" x14ac:dyDescent="0.25">
      <c r="A7" s="8" t="s">
        <v>24</v>
      </c>
      <c r="B7" s="8">
        <f>COUNTIFS('Girls Schedule'!$F:$F,$A7,'Girls Schedule'!$J:$J,"H",'Girls Schedule'!$M:$M,"&lt;&gt;"&amp;"")+COUNTIFS('Girls Schedule'!$C:$C,$A7,'Girls Schedule'!$J:$J,"V",'Girls Schedule'!$M:$M,"&lt;&gt;"&amp;"")</f>
        <v>5</v>
      </c>
      <c r="C7" s="8">
        <f>COUNTIFS('Girls Schedule'!$F:$F,$A7,'Girls Schedule'!$J:$J,"V",'Girls Schedule'!$M:$M,"&lt;&gt;"&amp;"")+COUNTIFS('Girls Schedule'!$C:$C,$A7,'Girls Schedule'!$J:$J,"H",'Girls Schedule'!$M:$M,"&lt;&gt;"&amp;"")</f>
        <v>7</v>
      </c>
      <c r="D7" s="9">
        <f t="shared" si="0"/>
        <v>0.41666666666666669</v>
      </c>
    </row>
    <row r="8" spans="1:10" x14ac:dyDescent="0.25">
      <c r="A8" s="8" t="s">
        <v>14</v>
      </c>
      <c r="B8" s="8">
        <f>COUNTIFS('Girls Schedule'!$F:$F,$A8,'Girls Schedule'!$J:$J,"H",'Girls Schedule'!$M:$M,"&lt;&gt;"&amp;"")+COUNTIFS('Girls Schedule'!$C:$C,$A8,'Girls Schedule'!$J:$J,"V",'Girls Schedule'!$M:$M,"&lt;&gt;"&amp;"")</f>
        <v>3</v>
      </c>
      <c r="C8" s="8">
        <f>COUNTIFS('Girls Schedule'!$F:$F,$A8,'Girls Schedule'!$J:$J,"V",'Girls Schedule'!$M:$M,"&lt;&gt;"&amp;"")+COUNTIFS('Girls Schedule'!$C:$C,$A8,'Girls Schedule'!$J:$J,"H",'Girls Schedule'!$M:$M,"&lt;&gt;"&amp;"")</f>
        <v>9</v>
      </c>
      <c r="D8" s="9">
        <f t="shared" si="0"/>
        <v>0.25</v>
      </c>
    </row>
    <row r="9" spans="1:10" x14ac:dyDescent="0.25">
      <c r="A9" s="19" t="s">
        <v>6</v>
      </c>
      <c r="B9" s="19">
        <f>COUNTIFS('Girls Schedule'!$F:$F,$A9,'Girls Schedule'!$J:$J,"H",'Girls Schedule'!$M:$M,"&lt;&gt;"&amp;"")+COUNTIFS('Girls Schedule'!$C:$C,$A9,'Girls Schedule'!$J:$J,"V",'Girls Schedule'!$M:$M,"&lt;&gt;"&amp;"")</f>
        <v>1</v>
      </c>
      <c r="C9" s="19">
        <f>COUNTIFS('Girls Schedule'!$F:$F,$A9,'Girls Schedule'!$J:$J,"V",'Girls Schedule'!$M:$M,"&lt;&gt;"&amp;"")+COUNTIFS('Girls Schedule'!$C:$C,$A9,'Girls Schedule'!$J:$J,"H",'Girls Schedule'!$M:$M,"&lt;&gt;"&amp;"")</f>
        <v>11</v>
      </c>
      <c r="D9" s="20">
        <f t="shared" si="0"/>
        <v>8.3333333333333329E-2</v>
      </c>
    </row>
    <row r="10" spans="1:10" x14ac:dyDescent="0.25">
      <c r="A10" s="17" t="s">
        <v>15</v>
      </c>
      <c r="B10" s="17">
        <f>COUNTIFS('Girls Schedule'!$F:$F,$A10,'Girls Schedule'!$J:$J,"H",'Girls Schedule'!$M:$M,"&lt;&gt;"&amp;"")+COUNTIFS('Girls Schedule'!$C:$C,$A10,'Girls Schedule'!$J:$J,"V",'Girls Schedule'!$M:$M,"&lt;&gt;"&amp;"")</f>
        <v>0</v>
      </c>
      <c r="C10" s="17">
        <f>COUNTIFS('Girls Schedule'!$F:$F,$A10,'Girls Schedule'!$J:$J,"V",'Girls Schedule'!$M:$M,"&lt;&gt;"&amp;"")+COUNTIFS('Girls Schedule'!$C:$C,$A10,'Girls Schedule'!$J:$J,"H",'Girls Schedule'!$M:$M,"&lt;&gt;"&amp;"")</f>
        <v>11</v>
      </c>
      <c r="D10" s="18">
        <f t="shared" si="0"/>
        <v>0</v>
      </c>
    </row>
    <row r="11" spans="1:10" x14ac:dyDescent="0.25">
      <c r="A11"/>
      <c r="B11"/>
      <c r="C11"/>
      <c r="D11"/>
    </row>
  </sheetData>
  <sortState ref="A2:E10">
    <sortCondition descending="1" ref="D2:D10"/>
    <sortCondition ref="C2:C10"/>
    <sortCondition descending="1" ref="B2:B10"/>
    <sortCondition descending="1" ref="E2:E1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12"/>
  <sheetViews>
    <sheetView workbookViewId="0"/>
  </sheetViews>
  <sheetFormatPr defaultRowHeight="15" x14ac:dyDescent="0.25"/>
  <cols>
    <col min="1" max="1" width="27" style="8" bestFit="1" customWidth="1"/>
    <col min="2" max="4" width="9.140625" style="8"/>
  </cols>
  <sheetData>
    <row r="1" spans="1:5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5" x14ac:dyDescent="0.25">
      <c r="A2" s="8" t="s">
        <v>31</v>
      </c>
      <c r="B2" s="8">
        <f>COUNTIFS('Girls Schedule'!$F:$F,$A2,'Girls Schedule'!$J:$J,"H",'Girls Schedule'!$M:$M,"&lt;&gt;"&amp;"")+COUNTIFS('Girls Schedule'!$C:$C,$A2,'Girls Schedule'!$J:$J,"V",'Girls Schedule'!$M:$M,"&lt;&gt;"&amp;"")</f>
        <v>10</v>
      </c>
      <c r="C2" s="8">
        <f>COUNTIFS('Girls Schedule'!$F:$F,$A2,'Girls Schedule'!$J:$J,"V",'Girls Schedule'!$M:$M,"&lt;&gt;"&amp;"")+COUNTIFS('Girls Schedule'!$C:$C,$A2,'Girls Schedule'!$J:$J,"H",'Girls Schedule'!$M:$M,"&lt;&gt;"&amp;"")</f>
        <v>0</v>
      </c>
      <c r="D2" s="9">
        <f t="shared" ref="D2:D12" si="0">IF(B2+C2&gt;0,B2/(B2+C2),0)</f>
        <v>1</v>
      </c>
    </row>
    <row r="3" spans="1:5" x14ac:dyDescent="0.25">
      <c r="A3" s="8" t="s">
        <v>27</v>
      </c>
      <c r="B3" s="8">
        <f>COUNTIFS('Girls Schedule'!$F:$F,$A3,'Girls Schedule'!$J:$J,"H",'Girls Schedule'!$M:$M,"&lt;&gt;"&amp;"")+COUNTIFS('Girls Schedule'!$C:$C,$A3,'Girls Schedule'!$J:$J,"V",'Girls Schedule'!$M:$M,"&lt;&gt;"&amp;"")</f>
        <v>9</v>
      </c>
      <c r="C3" s="8">
        <f>COUNTIFS('Girls Schedule'!$F:$F,$A3,'Girls Schedule'!$J:$J,"V",'Girls Schedule'!$M:$M,"&lt;&gt;"&amp;"")+COUNTIFS('Girls Schedule'!$C:$C,$A3,'Girls Schedule'!$J:$J,"H",'Girls Schedule'!$M:$M,"&lt;&gt;"&amp;"")</f>
        <v>1</v>
      </c>
      <c r="D3" s="9">
        <f t="shared" si="0"/>
        <v>0.9</v>
      </c>
    </row>
    <row r="4" spans="1:5" x14ac:dyDescent="0.25">
      <c r="A4" s="8" t="s">
        <v>28</v>
      </c>
      <c r="B4" s="8">
        <f>COUNTIFS('Girls Schedule'!$F:$F,$A4,'Girls Schedule'!$J:$J,"H",'Girls Schedule'!$M:$M,"&lt;&gt;"&amp;"")+COUNTIFS('Girls Schedule'!$C:$C,$A4,'Girls Schedule'!$J:$J,"V",'Girls Schedule'!$M:$M,"&lt;&gt;"&amp;"")</f>
        <v>7</v>
      </c>
      <c r="C4" s="8">
        <f>COUNTIFS('Girls Schedule'!$F:$F,$A4,'Girls Schedule'!$J:$J,"V",'Girls Schedule'!$M:$M,"&lt;&gt;"&amp;"")+COUNTIFS('Girls Schedule'!$C:$C,$A4,'Girls Schedule'!$J:$J,"H",'Girls Schedule'!$M:$M,"&lt;&gt;"&amp;"")</f>
        <v>3</v>
      </c>
      <c r="D4" s="9">
        <f t="shared" si="0"/>
        <v>0.7</v>
      </c>
    </row>
    <row r="5" spans="1:5" x14ac:dyDescent="0.25">
      <c r="A5" s="8" t="s">
        <v>29</v>
      </c>
      <c r="B5" s="8">
        <f>COUNTIFS('Girls Schedule'!$F:$F,$A5,'Girls Schedule'!$J:$J,"H",'Girls Schedule'!$M:$M,"&lt;&gt;"&amp;"")+COUNTIFS('Girls Schedule'!$C:$C,$A5,'Girls Schedule'!$J:$J,"V",'Girls Schedule'!$M:$M,"&lt;&gt;"&amp;"")</f>
        <v>6</v>
      </c>
      <c r="C5" s="8">
        <f>COUNTIFS('Girls Schedule'!$F:$F,$A5,'Girls Schedule'!$J:$J,"V",'Girls Schedule'!$M:$M,"&lt;&gt;"&amp;"")+COUNTIFS('Girls Schedule'!$C:$C,$A5,'Girls Schedule'!$J:$J,"H",'Girls Schedule'!$M:$M,"&lt;&gt;"&amp;"")</f>
        <v>4</v>
      </c>
      <c r="D5" s="9">
        <f t="shared" si="0"/>
        <v>0.6</v>
      </c>
    </row>
    <row r="6" spans="1:5" x14ac:dyDescent="0.25">
      <c r="A6" s="8" t="s">
        <v>10</v>
      </c>
      <c r="B6" s="8">
        <f>COUNTIFS('Girls Schedule'!$F:$F,$A6,'Girls Schedule'!$J:$J,"H",'Girls Schedule'!$M:$M,"&lt;&gt;"&amp;"")+COUNTIFS('Girls Schedule'!$C:$C,$A6,'Girls Schedule'!$J:$J,"V",'Girls Schedule'!$M:$M,"&lt;&gt;"&amp;"")</f>
        <v>5</v>
      </c>
      <c r="C6" s="8">
        <f>COUNTIFS('Girls Schedule'!$F:$F,$A6,'Girls Schedule'!$J:$J,"V",'Girls Schedule'!$M:$M,"&lt;&gt;"&amp;"")+COUNTIFS('Girls Schedule'!$C:$C,$A6,'Girls Schedule'!$J:$J,"H",'Girls Schedule'!$M:$M,"&lt;&gt;"&amp;"")</f>
        <v>5</v>
      </c>
      <c r="D6" s="9">
        <f t="shared" si="0"/>
        <v>0.5</v>
      </c>
      <c r="E6">
        <v>2</v>
      </c>
    </row>
    <row r="7" spans="1:5" x14ac:dyDescent="0.25">
      <c r="A7" s="8" t="s">
        <v>26</v>
      </c>
      <c r="B7" s="8">
        <f>COUNTIFS('Girls Schedule'!$F:$F,$A7,'Girls Schedule'!$J:$J,"H",'Girls Schedule'!$M:$M,"&lt;&gt;"&amp;"")+COUNTIFS('Girls Schedule'!$C:$C,$A7,'Girls Schedule'!$J:$J,"V",'Girls Schedule'!$M:$M,"&lt;&gt;"&amp;"")</f>
        <v>5</v>
      </c>
      <c r="C7" s="8">
        <f>COUNTIFS('Girls Schedule'!$F:$F,$A7,'Girls Schedule'!$J:$J,"V",'Girls Schedule'!$M:$M,"&lt;&gt;"&amp;"")+COUNTIFS('Girls Schedule'!$C:$C,$A7,'Girls Schedule'!$J:$J,"H",'Girls Schedule'!$M:$M,"&lt;&gt;"&amp;"")</f>
        <v>5</v>
      </c>
      <c r="D7" s="9">
        <f t="shared" si="0"/>
        <v>0.5</v>
      </c>
      <c r="E7">
        <v>1</v>
      </c>
    </row>
    <row r="8" spans="1:5" x14ac:dyDescent="0.25">
      <c r="A8" s="8" t="s">
        <v>218</v>
      </c>
      <c r="B8" s="8">
        <f>COUNTIFS('Girls Schedule'!$F:$F,$A8,'Girls Schedule'!$J:$J,"H",'Girls Schedule'!$M:$M,"&lt;&gt;"&amp;"")+COUNTIFS('Girls Schedule'!$C:$C,$A8,'Girls Schedule'!$J:$J,"V",'Girls Schedule'!$M:$M,"&lt;&gt;"&amp;"")</f>
        <v>5</v>
      </c>
      <c r="C8" s="8">
        <f>COUNTIFS('Girls Schedule'!$F:$F,$A8,'Girls Schedule'!$J:$J,"V",'Girls Schedule'!$M:$M,"&lt;&gt;"&amp;"")+COUNTIFS('Girls Schedule'!$C:$C,$A8,'Girls Schedule'!$J:$J,"H",'Girls Schedule'!$M:$M,"&lt;&gt;"&amp;"")</f>
        <v>5</v>
      </c>
      <c r="D8" s="9">
        <f t="shared" si="0"/>
        <v>0.5</v>
      </c>
      <c r="E8">
        <v>0</v>
      </c>
    </row>
    <row r="9" spans="1:5" x14ac:dyDescent="0.25">
      <c r="A9" s="19" t="s">
        <v>253</v>
      </c>
      <c r="B9" s="19">
        <f>COUNTIFS('Girls Schedule'!$F:$F,$A9,'Girls Schedule'!$J:$J,"H",'Girls Schedule'!$M:$M,"&lt;&gt;"&amp;"")+COUNTIFS('Girls Schedule'!$C:$C,$A9,'Girls Schedule'!$J:$J,"V",'Girls Schedule'!$M:$M,"&lt;&gt;"&amp;"")</f>
        <v>4</v>
      </c>
      <c r="C9" s="19">
        <f>COUNTIFS('Girls Schedule'!$F:$F,$A9,'Girls Schedule'!$J:$J,"V",'Girls Schedule'!$M:$M,"&lt;&gt;"&amp;"")+COUNTIFS('Girls Schedule'!$C:$C,$A9,'Girls Schedule'!$J:$J,"H",'Girls Schedule'!$M:$M,"&lt;&gt;"&amp;"")</f>
        <v>6</v>
      </c>
      <c r="D9" s="20">
        <f t="shared" si="0"/>
        <v>0.4</v>
      </c>
    </row>
    <row r="10" spans="1:5" x14ac:dyDescent="0.25">
      <c r="A10" s="17" t="s">
        <v>171</v>
      </c>
      <c r="B10" s="17">
        <f>COUNTIFS('Girls Schedule'!$F:$F,$A10,'Girls Schedule'!$J:$J,"H",'Girls Schedule'!$M:$M,"&lt;&gt;"&amp;"")+COUNTIFS('Girls Schedule'!$C:$C,$A10,'Girls Schedule'!$J:$J,"V",'Girls Schedule'!$M:$M,"&lt;&gt;"&amp;"")</f>
        <v>3</v>
      </c>
      <c r="C10" s="17">
        <f>COUNTIFS('Girls Schedule'!$F:$F,$A10,'Girls Schedule'!$J:$J,"V",'Girls Schedule'!$M:$M,"&lt;&gt;"&amp;"")+COUNTIFS('Girls Schedule'!$C:$C,$A10,'Girls Schedule'!$J:$J,"H",'Girls Schedule'!$M:$M,"&lt;&gt;"&amp;"")</f>
        <v>7</v>
      </c>
      <c r="D10" s="18">
        <f t="shared" si="0"/>
        <v>0.3</v>
      </c>
    </row>
    <row r="11" spans="1:5" x14ac:dyDescent="0.25">
      <c r="A11" s="19" t="s">
        <v>30</v>
      </c>
      <c r="B11" s="19">
        <f>COUNTIFS('Girls Schedule'!$F:$F,$A11,'Girls Schedule'!$J:$J,"H",'Girls Schedule'!$M:$M,"&lt;&gt;"&amp;"")+COUNTIFS('Girls Schedule'!$C:$C,$A11,'Girls Schedule'!$J:$J,"V",'Girls Schedule'!$M:$M,"&lt;&gt;"&amp;"")</f>
        <v>1</v>
      </c>
      <c r="C11" s="19">
        <f>COUNTIFS('Girls Schedule'!$F:$F,$A11,'Girls Schedule'!$J:$J,"V",'Girls Schedule'!$M:$M,"&lt;&gt;"&amp;"")+COUNTIFS('Girls Schedule'!$C:$C,$A11,'Girls Schedule'!$J:$J,"H",'Girls Schedule'!$M:$M,"&lt;&gt;"&amp;"")</f>
        <v>9</v>
      </c>
      <c r="D11" s="20">
        <f t="shared" si="0"/>
        <v>0.1</v>
      </c>
    </row>
    <row r="12" spans="1:5" x14ac:dyDescent="0.25">
      <c r="A12" s="19" t="s">
        <v>25</v>
      </c>
      <c r="B12" s="19">
        <f>COUNTIFS('Girls Schedule'!$F:$F,$A12,'Girls Schedule'!$J:$J,"H",'Girls Schedule'!$M:$M,"&lt;&gt;"&amp;"")+COUNTIFS('Girls Schedule'!$C:$C,$A12,'Girls Schedule'!$J:$J,"V",'Girls Schedule'!$M:$M,"&lt;&gt;"&amp;"")</f>
        <v>0</v>
      </c>
      <c r="C12" s="19">
        <f>COUNTIFS('Girls Schedule'!$F:$F,$A12,'Girls Schedule'!$J:$J,"V",'Girls Schedule'!$M:$M,"&lt;&gt;"&amp;"")+COUNTIFS('Girls Schedule'!$C:$C,$A12,'Girls Schedule'!$J:$J,"H",'Girls Schedule'!$M:$M,"&lt;&gt;"&amp;"")</f>
        <v>10</v>
      </c>
      <c r="D12" s="20">
        <f t="shared" si="0"/>
        <v>0</v>
      </c>
    </row>
  </sheetData>
  <sortState ref="A2:E12">
    <sortCondition descending="1" ref="D2:D12"/>
    <sortCondition ref="C2:C12"/>
    <sortCondition descending="1" ref="B2:B12"/>
    <sortCondition descending="1" ref="E2:E1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5"/>
  <sheetViews>
    <sheetView workbookViewId="0"/>
  </sheetViews>
  <sheetFormatPr defaultRowHeight="15" x14ac:dyDescent="0.25"/>
  <cols>
    <col min="1" max="1" width="15.7109375" style="8" bestFit="1" customWidth="1"/>
    <col min="2" max="4" width="9.140625" style="8"/>
  </cols>
  <sheetData>
    <row r="1" spans="1:10" x14ac:dyDescent="0.25">
      <c r="B1" s="8" t="s">
        <v>156</v>
      </c>
      <c r="C1" s="8" t="s">
        <v>254</v>
      </c>
      <c r="D1" s="8" t="s">
        <v>255</v>
      </c>
      <c r="E1" s="8" t="s">
        <v>788</v>
      </c>
    </row>
    <row r="2" spans="1:10" x14ac:dyDescent="0.25">
      <c r="A2" s="8" t="s">
        <v>32</v>
      </c>
      <c r="B2" s="8">
        <f>COUNTIFS('Boys Schedule'!$F:$F,$A2,'Boys Schedule'!$J:$J,"H",'Boys Schedule'!$M:$M,"&lt;&gt;"&amp;"")+COUNTIFS('Boys Schedule'!$C:$C,$A2,'Boys Schedule'!$J:$J,"V",'Boys Schedule'!$M:$M,"&lt;&gt;"&amp;"")</f>
        <v>2</v>
      </c>
      <c r="C2" s="8">
        <f>COUNTIFS('Boys Schedule'!$F:$F,$A2,'Boys Schedule'!$J:$J,"V",'Boys Schedule'!$M:$M,"&lt;&gt;"&amp;"")+COUNTIFS('Boys Schedule'!$C:$C,$A2,'Boys Schedule'!$J:$J,"H",'Boys Schedule'!$M:$M,"&lt;&gt;"&amp;"")</f>
        <v>2</v>
      </c>
      <c r="D2" s="9">
        <f>IF(B2+C2&gt;0,B2/(B2+C2),0)</f>
        <v>0.5</v>
      </c>
      <c r="E2">
        <v>27</v>
      </c>
    </row>
    <row r="3" spans="1:10" x14ac:dyDescent="0.25">
      <c r="A3" s="8" t="s">
        <v>256</v>
      </c>
      <c r="B3" s="8">
        <f>COUNTIFS('Boys Schedule'!$F:$F,$A3,'Boys Schedule'!$J:$J,"H",'Boys Schedule'!$M:$M,"&lt;&gt;"&amp;"")+COUNTIFS('Boys Schedule'!$C:$C,$A3,'Boys Schedule'!$J:$J,"V",'Boys Schedule'!$M:$M,"&lt;&gt;"&amp;"")</f>
        <v>2</v>
      </c>
      <c r="C3" s="8">
        <f>COUNTIFS('Boys Schedule'!$F:$F,$A3,'Boys Schedule'!$J:$J,"V",'Boys Schedule'!$M:$M,"&lt;&gt;"&amp;"")+COUNTIFS('Boys Schedule'!$C:$C,$A3,'Boys Schedule'!$J:$J,"H",'Boys Schedule'!$M:$M,"&lt;&gt;"&amp;"")</f>
        <v>2</v>
      </c>
      <c r="D3" s="9">
        <f>IF(B3+C3&gt;0,B3/(B3+C3),0)</f>
        <v>0.5</v>
      </c>
      <c r="E3">
        <v>0</v>
      </c>
    </row>
    <row r="4" spans="1:10" x14ac:dyDescent="0.25">
      <c r="A4" s="8" t="s">
        <v>23</v>
      </c>
      <c r="B4" s="8">
        <f>COUNTIFS('Boys Schedule'!$F:$F,$A4,'Boys Schedule'!$G:$G,$J4,'Boys Schedule'!$J:$J,"H",'Boys Schedule'!$M:$M,"&lt;&gt;"&amp;"")+COUNTIFS('Boys Schedule'!$C:$C,$A4,'Boys Schedule'!$D:$D,$J4,'Boys Schedule'!$J:$J,"V",'Boys Schedule'!$M:$M,"&lt;&gt;"&amp;"")</f>
        <v>2</v>
      </c>
      <c r="C4" s="8">
        <f>COUNTIFS('Boys Schedule'!$F:$F,$A4,'Boys Schedule'!$G:$G,$J4,'Boys Schedule'!$J:$J,"V",'Boys Schedule'!$M:$M,"&lt;&gt;"&amp;"")+COUNTIFS('Boys Schedule'!$C:$C,$A4,'Boys Schedule'!$D:$D,$J4,'Boys Schedule'!$J:$J,"H",'Boys Schedule'!$M:$M,"&lt;&gt;"&amp;"")</f>
        <v>2</v>
      </c>
      <c r="D4" s="9">
        <f>IF(B4+C4&gt;0,B4/(B4+C4),0)</f>
        <v>0.5</v>
      </c>
      <c r="E4">
        <v>-27</v>
      </c>
      <c r="J4" t="s">
        <v>102</v>
      </c>
    </row>
    <row r="5" spans="1:10" x14ac:dyDescent="0.25">
      <c r="D5" s="9"/>
    </row>
  </sheetData>
  <sortState ref="A2:J4">
    <sortCondition descending="1" ref="D2:D4"/>
    <sortCondition ref="C2:C4"/>
    <sortCondition descending="1" ref="B2:B4"/>
    <sortCondition descending="1" ref="E2:E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4"/>
  <sheetViews>
    <sheetView workbookViewId="0"/>
  </sheetViews>
  <sheetFormatPr defaultRowHeight="15" x14ac:dyDescent="0.25"/>
  <cols>
    <col min="1" max="1" width="5.85546875" bestFit="1" customWidth="1"/>
    <col min="2" max="2" width="6.28515625" bestFit="1" customWidth="1"/>
    <col min="3" max="3" width="7.28515625" bestFit="1" customWidth="1"/>
    <col min="4" max="4" width="5.85546875" bestFit="1" customWidth="1"/>
    <col min="5" max="7" width="6.85546875" bestFit="1" customWidth="1"/>
    <col min="8" max="9" width="6.28515625" bestFit="1" customWidth="1"/>
    <col min="10" max="10" width="7.28515625" style="2" bestFit="1" customWidth="1"/>
    <col min="11" max="11" width="7.28515625" bestFit="1" customWidth="1"/>
  </cols>
  <sheetData>
    <row r="1" spans="1:22" x14ac:dyDescent="0.25">
      <c r="A1" t="s">
        <v>0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s="2" t="s">
        <v>828</v>
      </c>
      <c r="K1" s="14" t="s">
        <v>560</v>
      </c>
      <c r="N1" t="str">
        <f>"&lt;tr&gt;&lt;th&gt;"&amp;A1&amp;"&lt;/th&gt;"</f>
        <v>&lt;tr&gt;&lt;th&gt;Team&lt;/th&gt;</v>
      </c>
      <c r="O1" t="str">
        <f>"&lt;th&gt;"&amp;B1&amp;"&lt;/th&gt;"</f>
        <v>&lt;th&gt;Jan. 5&lt;/th&gt;</v>
      </c>
      <c r="P1" t="str">
        <f t="shared" ref="P1:U1" si="0">"&lt;th&gt;"&amp;C1&amp;"&lt;/th&gt;"</f>
        <v>&lt;th&gt;Jan. 12&lt;/th&gt;</v>
      </c>
      <c r="Q1" t="str">
        <f t="shared" si="0"/>
        <v>&lt;th&gt;Jan. 19&lt;/th&gt;</v>
      </c>
      <c r="R1" t="str">
        <f t="shared" si="0"/>
        <v>&lt;th&gt;Jan. 26&lt;/th&gt;</v>
      </c>
      <c r="S1" t="str">
        <f t="shared" si="0"/>
        <v>&lt;th&gt;Feb. 2&lt;/th&gt;</v>
      </c>
      <c r="T1" t="str">
        <f t="shared" si="0"/>
        <v>&lt;th&gt;Feb. 9&lt;/th&gt;</v>
      </c>
      <c r="U1" t="str">
        <f t="shared" si="0"/>
        <v>&lt;th&gt;Feb. 16&lt;/th&gt;</v>
      </c>
      <c r="V1" t="str">
        <f>"&lt;th&gt;"&amp;I1&amp;"&lt;/th&gt;&lt;/tr&gt;"</f>
        <v>&lt;th&gt;Feb. 23&lt;/th&gt;&lt;/tr&gt;</v>
      </c>
    </row>
    <row r="2" spans="1:22" x14ac:dyDescent="0.25">
      <c r="A2" t="s">
        <v>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s="2">
        <v>1</v>
      </c>
      <c r="K2" s="2" t="str">
        <f>'Girls Standings'!B22&amp;"-"&amp;'Girls Standings'!C22&amp;" ("&amp;'Girls Standings'!F22&amp;"-"&amp;'Girls Standings'!G22&amp;")"</f>
        <v>35-1 (12-0)</v>
      </c>
      <c r="N2" t="str">
        <f t="shared" ref="N2:N12" si="1">"&lt;tr&gt;&lt;td&gt;"&amp;A2&amp;"&lt;/td&gt;"</f>
        <v>&lt;tr&gt;&lt;td&gt;Sisler&lt;/td&gt;</v>
      </c>
      <c r="O2" t="str">
        <f t="shared" ref="O2:O12" si="2">"&lt;td&gt;"&amp;B2&amp;"&lt;/td&gt;"</f>
        <v>&lt;td&gt;1&lt;/td&gt;</v>
      </c>
      <c r="P2" t="str">
        <f t="shared" ref="P2:P14" si="3">IF(OR(AND(C2&gt;B2,NOT(B2="")),AND(C2="",B2&gt;0,NOT(SUM(C$2:C$10)=0))),"&lt;td class=""down""&gt;",IF(OR(AND(C2&gt;B2,B2=""),AND(C2&lt;B2,NOT(C2=""))),"&lt;td class=""up""&gt;",IF(OR(C2="",C2=B2),"&lt;td&gt;")))&amp;C2&amp;"&lt;/td&gt;"</f>
        <v>&lt;td&gt;1&lt;/td&gt;</v>
      </c>
      <c r="Q2" t="str">
        <f t="shared" ref="Q2:Q14" si="4">IF(OR(AND(D2&gt;C2,NOT(C2="")),AND(D2="",C2&gt;0,NOT(SUM(D$2:D$10)=0))),"&lt;td class=""down""&gt;",IF(OR(AND(D2&gt;C2,C2=""),AND(D2&lt;C2,NOT(D2=""))),"&lt;td class=""up""&gt;",IF(OR(D2="",D2=C2),"&lt;td&gt;")))&amp;D2&amp;"&lt;/td&gt;"</f>
        <v>&lt;td&gt;1&lt;/td&gt;</v>
      </c>
      <c r="R2" t="str">
        <f t="shared" ref="R2:R14" si="5">IF(OR(AND(E2&gt;D2,NOT(D2="")),AND(E2="",D2&gt;0,NOT(SUM(E$2:E$10)=0))),"&lt;td class=""down""&gt;",IF(OR(AND(E2&gt;D2,D2=""),AND(E2&lt;D2,NOT(E2=""))),"&lt;td class=""up""&gt;",IF(OR(E2="",E2=D2),"&lt;td&gt;")))&amp;E2&amp;"&lt;/td&gt;"</f>
        <v>&lt;td&gt;1&lt;/td&gt;</v>
      </c>
      <c r="S2" t="str">
        <f t="shared" ref="S2:S14" si="6">IF(OR(AND(F2&gt;E2,NOT(E2="")),AND(F2="",E2&gt;0,NOT(SUM(F$2:F$10)=0))),"&lt;td class=""down""&gt;",IF(OR(AND(F2&gt;E2,E2=""),AND(F2&lt;E2,NOT(F2=""))),"&lt;td class=""up""&gt;",IF(OR(F2="",F2=E2),"&lt;td&gt;")))&amp;F2&amp;"&lt;/td&gt;"</f>
        <v>&lt;td&gt;1&lt;/td&gt;</v>
      </c>
      <c r="T2" t="str">
        <f t="shared" ref="T2:T14" si="7">IF(OR(AND(G2&gt;F2,NOT(F2="")),AND(G2="",F2&gt;0,NOT(SUM(G$2:G$10)=0))),"&lt;td class=""down""&gt;",IF(OR(AND(G2&gt;F2,F2=""),AND(G2&lt;F2,NOT(G2=""))),"&lt;td class=""up""&gt;",IF(OR(G2="",G2=F2),"&lt;td&gt;")))&amp;G2&amp;"&lt;/td&gt;"</f>
        <v>&lt;td&gt;1&lt;/td&gt;</v>
      </c>
      <c r="U2" t="str">
        <f t="shared" ref="U2:U14" si="8">IF(OR(AND(H2&gt;G2,NOT(G2="")),AND(H2="",G2&gt;0,NOT(SUM(H$2:H$10)=0))),"&lt;td class=""down""&gt;",IF(OR(AND(H2&gt;G2,G2=""),AND(H2&lt;G2,NOT(H2=""))),"&lt;td class=""up""&gt;",IF(OR(H2="",H2=G2),"&lt;td&gt;")))&amp;H2&amp;"&lt;/td&gt;"</f>
        <v>&lt;td&gt;1&lt;/td&gt;</v>
      </c>
      <c r="V2" t="str">
        <f t="shared" ref="V2:V14" si="9">IF(OR(AND(I2&gt;H2,NOT(H2="")),AND(I2="",H2&gt;0,NOT(SUM(I$2:I$10)=0))),"&lt;td class=""down""&gt;",IF(OR(AND(I2&gt;H2,H2=""),AND(I2&lt;H2,NOT(I2=""))),"&lt;td class=""up""&gt;",IF(OR(I2="",I2=H2),"&lt;td&gt;")))&amp;I2&amp;"&lt;/td&gt;&lt;/tr&gt;"</f>
        <v>&lt;td&gt;1&lt;/td&gt;&lt;/tr&gt;</v>
      </c>
    </row>
    <row r="3" spans="1:22" x14ac:dyDescent="0.25">
      <c r="A3" t="s">
        <v>559</v>
      </c>
      <c r="B3">
        <v>6</v>
      </c>
      <c r="C3">
        <v>5</v>
      </c>
      <c r="D3">
        <v>2</v>
      </c>
      <c r="E3">
        <v>2</v>
      </c>
      <c r="F3">
        <v>2</v>
      </c>
      <c r="G3">
        <v>2</v>
      </c>
      <c r="H3">
        <v>4</v>
      </c>
      <c r="I3">
        <v>4</v>
      </c>
      <c r="J3" s="2">
        <v>2</v>
      </c>
      <c r="K3" s="2" t="str">
        <f>'Girls Standings'!B25&amp;"-"&amp;'Girls Standings'!C25&amp;" ("&amp;'Girls Standings'!F25&amp;"-"&amp;'Girls Standings'!G25&amp;")"</f>
        <v>22-6 (10-1)</v>
      </c>
      <c r="N3" t="str">
        <f t="shared" si="1"/>
        <v>&lt;tr&gt;&lt;td&gt;Vincent Massey (WPG)&lt;/td&gt;</v>
      </c>
      <c r="O3" t="str">
        <f t="shared" si="2"/>
        <v>&lt;td&gt;6&lt;/td&gt;</v>
      </c>
      <c r="P3" t="str">
        <f t="shared" si="3"/>
        <v>&lt;td class="up"&gt;5&lt;/td&gt;</v>
      </c>
      <c r="Q3" t="str">
        <f t="shared" si="4"/>
        <v>&lt;td class="up"&gt;2&lt;/td&gt;</v>
      </c>
      <c r="R3" t="str">
        <f t="shared" si="5"/>
        <v>&lt;td&gt;2&lt;/td&gt;</v>
      </c>
      <c r="S3" t="str">
        <f t="shared" si="6"/>
        <v>&lt;td&gt;2&lt;/td&gt;</v>
      </c>
      <c r="T3" t="str">
        <f t="shared" si="7"/>
        <v>&lt;td&gt;2&lt;/td&gt;</v>
      </c>
      <c r="U3" t="str">
        <f t="shared" si="8"/>
        <v>&lt;td class="down"&gt;4&lt;/td&gt;</v>
      </c>
      <c r="V3" t="str">
        <f t="shared" si="9"/>
        <v>&lt;td&gt;4&lt;/td&gt;&lt;/tr&gt;</v>
      </c>
    </row>
    <row r="4" spans="1:22" x14ac:dyDescent="0.25">
      <c r="A4" t="s">
        <v>11</v>
      </c>
      <c r="B4">
        <v>7</v>
      </c>
      <c r="C4">
        <v>6</v>
      </c>
      <c r="D4">
        <v>7</v>
      </c>
      <c r="E4">
        <v>7</v>
      </c>
      <c r="F4">
        <v>5</v>
      </c>
      <c r="G4">
        <v>5</v>
      </c>
      <c r="H4">
        <v>3</v>
      </c>
      <c r="I4">
        <v>3</v>
      </c>
      <c r="J4" s="2">
        <v>3</v>
      </c>
      <c r="K4" s="2" t="str">
        <f>'Girls Standings'!B4&amp;"-"&amp;'Girls Standings'!C4&amp;" ("&amp;'Girls Standings'!F4&amp;"-"&amp;'Girls Standings'!G4&amp;")"</f>
        <v>18-13 (8-1)</v>
      </c>
      <c r="N4" t="str">
        <f t="shared" si="1"/>
        <v>&lt;tr&gt;&lt;td&gt;Miles Macdonell&lt;/td&gt;</v>
      </c>
      <c r="O4" t="str">
        <f t="shared" si="2"/>
        <v>&lt;td&gt;7&lt;/td&gt;</v>
      </c>
      <c r="P4" t="str">
        <f t="shared" si="3"/>
        <v>&lt;td class="up"&gt;6&lt;/td&gt;</v>
      </c>
      <c r="Q4" t="str">
        <f t="shared" si="4"/>
        <v>&lt;td class="down"&gt;7&lt;/td&gt;</v>
      </c>
      <c r="R4" t="str">
        <f t="shared" si="5"/>
        <v>&lt;td&gt;7&lt;/td&gt;</v>
      </c>
      <c r="S4" t="str">
        <f t="shared" si="6"/>
        <v>&lt;td class="up"&gt;5&lt;/td&gt;</v>
      </c>
      <c r="T4" t="str">
        <f t="shared" si="7"/>
        <v>&lt;td&gt;5&lt;/td&gt;</v>
      </c>
      <c r="U4" t="str">
        <f t="shared" si="8"/>
        <v>&lt;td class="up"&gt;3&lt;/td&gt;</v>
      </c>
      <c r="V4" t="str">
        <f t="shared" si="9"/>
        <v>&lt;td&gt;3&lt;/td&gt;&lt;/tr&gt;</v>
      </c>
    </row>
    <row r="5" spans="1:22" x14ac:dyDescent="0.25">
      <c r="A5" t="s">
        <v>1</v>
      </c>
      <c r="B5">
        <v>3</v>
      </c>
      <c r="C5">
        <v>2</v>
      </c>
      <c r="D5">
        <v>3</v>
      </c>
      <c r="E5">
        <v>3</v>
      </c>
      <c r="F5">
        <v>3</v>
      </c>
      <c r="G5">
        <v>3</v>
      </c>
      <c r="H5">
        <v>2</v>
      </c>
      <c r="I5">
        <v>2</v>
      </c>
      <c r="J5" s="2">
        <v>4</v>
      </c>
      <c r="K5" s="2" t="str">
        <f>'Girls Standings'!B21&amp;"-"&amp;'Girls Standings'!C21&amp;" ("&amp;'Girls Standings'!F21&amp;"-"&amp;'Girls Standings'!G21&amp;")"</f>
        <v>25-9 (8-3)</v>
      </c>
      <c r="N5" t="str">
        <f t="shared" si="1"/>
        <v>&lt;tr&gt;&lt;td&gt;Oak Park&lt;/td&gt;</v>
      </c>
      <c r="O5" t="str">
        <f t="shared" si="2"/>
        <v>&lt;td&gt;3&lt;/td&gt;</v>
      </c>
      <c r="P5" t="str">
        <f t="shared" si="3"/>
        <v>&lt;td class="up"&gt;2&lt;/td&gt;</v>
      </c>
      <c r="Q5" t="str">
        <f t="shared" si="4"/>
        <v>&lt;td class="down"&gt;3&lt;/td&gt;</v>
      </c>
      <c r="R5" t="str">
        <f t="shared" si="5"/>
        <v>&lt;td&gt;3&lt;/td&gt;</v>
      </c>
      <c r="S5" t="str">
        <f t="shared" si="6"/>
        <v>&lt;td&gt;3&lt;/td&gt;</v>
      </c>
      <c r="T5" t="str">
        <f t="shared" si="7"/>
        <v>&lt;td&gt;3&lt;/td&gt;</v>
      </c>
      <c r="U5" t="str">
        <f t="shared" si="8"/>
        <v>&lt;td class="up"&gt;2&lt;/td&gt;</v>
      </c>
      <c r="V5" t="str">
        <f t="shared" si="9"/>
        <v>&lt;td&gt;2&lt;/td&gt;&lt;/tr&gt;</v>
      </c>
    </row>
    <row r="6" spans="1:22" x14ac:dyDescent="0.25">
      <c r="A6" t="s">
        <v>13</v>
      </c>
      <c r="B6">
        <v>5</v>
      </c>
      <c r="C6">
        <v>3</v>
      </c>
      <c r="D6">
        <v>4</v>
      </c>
      <c r="E6">
        <v>5</v>
      </c>
      <c r="F6">
        <v>4</v>
      </c>
      <c r="G6">
        <v>4</v>
      </c>
      <c r="H6">
        <v>5</v>
      </c>
      <c r="I6">
        <v>5</v>
      </c>
      <c r="J6" s="2">
        <v>5</v>
      </c>
      <c r="K6" s="2" t="str">
        <f>'Girls Standings'!B26&amp;"-"&amp;'Girls Standings'!C26&amp;" ("&amp;'Girls Standings'!F26&amp;"-"&amp;'Girls Standings'!G26&amp;")"</f>
        <v>17-10 (8-4)</v>
      </c>
      <c r="N6" t="str">
        <f t="shared" si="1"/>
        <v>&lt;tr&gt;&lt;td&gt;Westwood&lt;/td&gt;</v>
      </c>
      <c r="O6" t="str">
        <f t="shared" si="2"/>
        <v>&lt;td&gt;5&lt;/td&gt;</v>
      </c>
      <c r="P6" t="str">
        <f t="shared" si="3"/>
        <v>&lt;td class="up"&gt;3&lt;/td&gt;</v>
      </c>
      <c r="Q6" t="str">
        <f t="shared" si="4"/>
        <v>&lt;td class="down"&gt;4&lt;/td&gt;</v>
      </c>
      <c r="R6" t="str">
        <f t="shared" si="5"/>
        <v>&lt;td class="down"&gt;5&lt;/td&gt;</v>
      </c>
      <c r="S6" t="str">
        <f t="shared" si="6"/>
        <v>&lt;td class="up"&gt;4&lt;/td&gt;</v>
      </c>
      <c r="T6" t="str">
        <f t="shared" si="7"/>
        <v>&lt;td&gt;4&lt;/td&gt;</v>
      </c>
      <c r="U6" t="str">
        <f t="shared" si="8"/>
        <v>&lt;td class="down"&gt;5&lt;/td&gt;</v>
      </c>
      <c r="V6" t="str">
        <f t="shared" si="9"/>
        <v>&lt;td&gt;5&lt;/td&gt;&lt;/tr&gt;</v>
      </c>
    </row>
    <row r="7" spans="1:22" x14ac:dyDescent="0.25">
      <c r="A7" t="s">
        <v>4</v>
      </c>
      <c r="B7">
        <v>2</v>
      </c>
      <c r="C7">
        <v>4</v>
      </c>
      <c r="D7">
        <v>5</v>
      </c>
      <c r="E7">
        <v>4</v>
      </c>
      <c r="F7">
        <v>6</v>
      </c>
      <c r="G7">
        <v>8</v>
      </c>
      <c r="H7">
        <v>6</v>
      </c>
      <c r="I7">
        <v>6</v>
      </c>
      <c r="J7" s="2">
        <v>6</v>
      </c>
      <c r="K7" s="2" t="str">
        <f>'Girls Standings'!B2&amp;"-"&amp;'Girls Standings'!C2&amp;" ("&amp;'Girls Standings'!F2&amp;"-"&amp;'Girls Standings'!G2&amp;")"</f>
        <v>19-10 (6-3)</v>
      </c>
      <c r="N7" t="str">
        <f t="shared" si="1"/>
        <v>&lt;tr&gt;&lt;td&gt;Garden City&lt;/td&gt;</v>
      </c>
      <c r="O7" t="str">
        <f t="shared" si="2"/>
        <v>&lt;td&gt;2&lt;/td&gt;</v>
      </c>
      <c r="P7" t="str">
        <f t="shared" si="3"/>
        <v>&lt;td class="down"&gt;4&lt;/td&gt;</v>
      </c>
      <c r="Q7" t="str">
        <f t="shared" si="4"/>
        <v>&lt;td class="down"&gt;5&lt;/td&gt;</v>
      </c>
      <c r="R7" t="str">
        <f t="shared" si="5"/>
        <v>&lt;td class="up"&gt;4&lt;/td&gt;</v>
      </c>
      <c r="S7" t="str">
        <f t="shared" si="6"/>
        <v>&lt;td class="down"&gt;6&lt;/td&gt;</v>
      </c>
      <c r="T7" t="str">
        <f t="shared" si="7"/>
        <v>&lt;td class="down"&gt;8&lt;/td&gt;</v>
      </c>
      <c r="U7" t="str">
        <f t="shared" si="8"/>
        <v>&lt;td class="up"&gt;6&lt;/td&gt;</v>
      </c>
      <c r="V7" t="str">
        <f t="shared" si="9"/>
        <v>&lt;td&gt;6&lt;/td&gt;&lt;/tr&gt;</v>
      </c>
    </row>
    <row r="8" spans="1:22" x14ac:dyDescent="0.25">
      <c r="A8" t="s">
        <v>5</v>
      </c>
      <c r="B8">
        <v>4</v>
      </c>
      <c r="C8">
        <v>7</v>
      </c>
      <c r="D8">
        <v>6</v>
      </c>
      <c r="E8">
        <v>6</v>
      </c>
      <c r="F8">
        <v>7</v>
      </c>
      <c r="G8">
        <v>6</v>
      </c>
      <c r="H8">
        <v>7</v>
      </c>
      <c r="I8">
        <v>7</v>
      </c>
      <c r="J8" s="2">
        <v>7</v>
      </c>
      <c r="K8" s="2" t="str">
        <f>'Girls Standings'!B15&amp;"-"&amp;'Girls Standings'!C15&amp;" ("&amp;'Girls Standings'!F15&amp;"-"&amp;'Girls Standings'!G15&amp;")"</f>
        <v>21-9 (10-0)</v>
      </c>
      <c r="N8" t="str">
        <f t="shared" si="1"/>
        <v>&lt;tr&gt;&lt;td&gt;Glenlawn&lt;/td&gt;</v>
      </c>
      <c r="O8" t="str">
        <f t="shared" si="2"/>
        <v>&lt;td&gt;4&lt;/td&gt;</v>
      </c>
      <c r="P8" t="str">
        <f t="shared" si="3"/>
        <v>&lt;td class="down"&gt;7&lt;/td&gt;</v>
      </c>
      <c r="Q8" t="str">
        <f t="shared" si="4"/>
        <v>&lt;td class="up"&gt;6&lt;/td&gt;</v>
      </c>
      <c r="R8" t="str">
        <f t="shared" si="5"/>
        <v>&lt;td&gt;6&lt;/td&gt;</v>
      </c>
      <c r="S8" t="str">
        <f t="shared" si="6"/>
        <v>&lt;td class="down"&gt;7&lt;/td&gt;</v>
      </c>
      <c r="T8" t="str">
        <f t="shared" si="7"/>
        <v>&lt;td class="up"&gt;6&lt;/td&gt;</v>
      </c>
      <c r="U8" t="str">
        <f t="shared" si="8"/>
        <v>&lt;td class="down"&gt;7&lt;/td&gt;</v>
      </c>
      <c r="V8" t="str">
        <f t="shared" si="9"/>
        <v>&lt;td&gt;7&lt;/td&gt;&lt;/tr&gt;</v>
      </c>
    </row>
    <row r="9" spans="1:22" x14ac:dyDescent="0.25">
      <c r="A9" t="s">
        <v>2</v>
      </c>
      <c r="B9">
        <v>9</v>
      </c>
      <c r="C9">
        <v>9</v>
      </c>
      <c r="D9">
        <v>9</v>
      </c>
      <c r="E9">
        <v>8</v>
      </c>
      <c r="F9">
        <v>8</v>
      </c>
      <c r="G9">
        <v>7</v>
      </c>
      <c r="H9">
        <v>8</v>
      </c>
      <c r="I9">
        <v>8</v>
      </c>
      <c r="J9" s="2">
        <v>8</v>
      </c>
      <c r="K9" s="2" t="str">
        <f>'Girls Standings'!B3&amp;"-"&amp;'Girls Standings'!C3&amp;" ("&amp;'Girls Standings'!F3&amp;"-"&amp;'Girls Standings'!G3&amp;")"</f>
        <v>17-12 (4-5)</v>
      </c>
      <c r="N9" t="str">
        <f t="shared" si="1"/>
        <v>&lt;tr&gt;&lt;td&gt;Kildonan-East&lt;/td&gt;</v>
      </c>
      <c r="O9" t="str">
        <f t="shared" si="2"/>
        <v>&lt;td&gt;9&lt;/td&gt;</v>
      </c>
      <c r="P9" t="str">
        <f t="shared" si="3"/>
        <v>&lt;td&gt;9&lt;/td&gt;</v>
      </c>
      <c r="Q9" t="str">
        <f t="shared" si="4"/>
        <v>&lt;td&gt;9&lt;/td&gt;</v>
      </c>
      <c r="R9" t="str">
        <f t="shared" si="5"/>
        <v>&lt;td class="up"&gt;8&lt;/td&gt;</v>
      </c>
      <c r="S9" t="str">
        <f t="shared" si="6"/>
        <v>&lt;td&gt;8&lt;/td&gt;</v>
      </c>
      <c r="T9" t="str">
        <f t="shared" si="7"/>
        <v>&lt;td class="up"&gt;7&lt;/td&gt;</v>
      </c>
      <c r="U9" t="str">
        <f t="shared" si="8"/>
        <v>&lt;td class="down"&gt;8&lt;/td&gt;</v>
      </c>
      <c r="V9" t="str">
        <f t="shared" si="9"/>
        <v>&lt;td&gt;8&lt;/td&gt;&lt;/tr&gt;</v>
      </c>
    </row>
    <row r="10" spans="1:22" x14ac:dyDescent="0.25">
      <c r="A10" t="s">
        <v>111</v>
      </c>
      <c r="B10">
        <v>8</v>
      </c>
      <c r="C10">
        <v>8</v>
      </c>
      <c r="D10">
        <v>8</v>
      </c>
      <c r="E10">
        <v>10</v>
      </c>
      <c r="F10">
        <v>10</v>
      </c>
      <c r="G10">
        <v>10</v>
      </c>
      <c r="H10">
        <v>9</v>
      </c>
      <c r="I10">
        <v>9</v>
      </c>
      <c r="J10" s="2">
        <v>9</v>
      </c>
      <c r="K10" s="2" t="str">
        <f>'Girls Standings'!B23&amp;"-"&amp;'Girls Standings'!C23&amp;" ("&amp;'Girls Standings'!F23&amp;"-"&amp;'Girls Standings'!G23&amp;")"</f>
        <v>16-10 (5-6)</v>
      </c>
      <c r="N10" t="str">
        <f t="shared" si="1"/>
        <v>&lt;tr&gt;&lt;td&gt;St. Mary's&lt;/td&gt;</v>
      </c>
      <c r="O10" t="str">
        <f t="shared" si="2"/>
        <v>&lt;td&gt;8&lt;/td&gt;</v>
      </c>
      <c r="P10" t="str">
        <f t="shared" si="3"/>
        <v>&lt;td&gt;8&lt;/td&gt;</v>
      </c>
      <c r="Q10" t="str">
        <f t="shared" si="4"/>
        <v>&lt;td&gt;8&lt;/td&gt;</v>
      </c>
      <c r="R10" t="str">
        <f t="shared" si="5"/>
        <v>&lt;td class="down"&gt;10&lt;/td&gt;</v>
      </c>
      <c r="S10" t="str">
        <f t="shared" si="6"/>
        <v>&lt;td&gt;10&lt;/td&gt;</v>
      </c>
      <c r="T10" t="str">
        <f t="shared" si="7"/>
        <v>&lt;td&gt;10&lt;/td&gt;</v>
      </c>
      <c r="U10" t="str">
        <f t="shared" si="8"/>
        <v>&lt;td class="up"&gt;9&lt;/td&gt;</v>
      </c>
      <c r="V10" t="str">
        <f t="shared" si="9"/>
        <v>&lt;td&gt;9&lt;/td&gt;&lt;/tr&gt;</v>
      </c>
    </row>
    <row r="11" spans="1:22" x14ac:dyDescent="0.25">
      <c r="A11" t="s">
        <v>24</v>
      </c>
      <c r="C11">
        <v>10</v>
      </c>
      <c r="D11">
        <v>10</v>
      </c>
      <c r="E11">
        <v>9</v>
      </c>
      <c r="F11">
        <v>9</v>
      </c>
      <c r="G11">
        <v>9</v>
      </c>
      <c r="H11">
        <v>10</v>
      </c>
      <c r="I11">
        <v>10</v>
      </c>
      <c r="J11" s="2">
        <v>10</v>
      </c>
      <c r="K11" s="2" t="str">
        <f>'Girls Standings'!B18&amp;"-"&amp;'Girls Standings'!C18&amp;" ("&amp;'Girls Standings'!F18&amp;"-"&amp;'Girls Standings'!G18&amp;")"</f>
        <v>13-14 (5-7)</v>
      </c>
      <c r="N11" t="str">
        <f t="shared" si="1"/>
        <v>&lt;tr&gt;&lt;td&gt;Daniel McIntyre&lt;/td&gt;</v>
      </c>
      <c r="O11" t="str">
        <f t="shared" si="2"/>
        <v>&lt;td&gt;&lt;/td&gt;</v>
      </c>
      <c r="P11" t="str">
        <f t="shared" si="3"/>
        <v>&lt;td class="up"&gt;10&lt;/td&gt;</v>
      </c>
      <c r="Q11" t="str">
        <f t="shared" si="4"/>
        <v>&lt;td&gt;10&lt;/td&gt;</v>
      </c>
      <c r="R11" t="str">
        <f t="shared" si="5"/>
        <v>&lt;td class="up"&gt;9&lt;/td&gt;</v>
      </c>
      <c r="S11" t="str">
        <f t="shared" si="6"/>
        <v>&lt;td&gt;9&lt;/td&gt;</v>
      </c>
      <c r="T11" t="str">
        <f t="shared" si="7"/>
        <v>&lt;td&gt;9&lt;/td&gt;</v>
      </c>
      <c r="U11" t="str">
        <f t="shared" si="8"/>
        <v>&lt;td class="down"&gt;10&lt;/td&gt;</v>
      </c>
      <c r="V11" t="str">
        <f t="shared" si="9"/>
        <v>&lt;td&gt;10&lt;/td&gt;&lt;/tr&gt;</v>
      </c>
    </row>
    <row r="12" spans="1:22" x14ac:dyDescent="0.25">
      <c r="A12" t="s">
        <v>8</v>
      </c>
      <c r="J12" s="2">
        <v>11</v>
      </c>
      <c r="K12" s="2" t="str">
        <f>'Girls Standings'!B14&amp;"-"&amp;'Girls Standings'!C14&amp;" ("&amp;'Girls Standings'!F14&amp;"-"&amp;'Girls Standings'!G14&amp;")"</f>
        <v>15-15 (7-3)</v>
      </c>
      <c r="N12" t="str">
        <f t="shared" si="1"/>
        <v>&lt;tr&gt;&lt;td&gt;Dakota&lt;/td&gt;</v>
      </c>
      <c r="O12" t="str">
        <f t="shared" si="2"/>
        <v>&lt;td&gt;&lt;/td&gt;</v>
      </c>
      <c r="P12" t="str">
        <f t="shared" si="3"/>
        <v>&lt;td&gt;&lt;/td&gt;</v>
      </c>
      <c r="Q12" t="str">
        <f t="shared" si="4"/>
        <v>&lt;td&gt;&lt;/td&gt;</v>
      </c>
      <c r="R12" t="str">
        <f t="shared" si="5"/>
        <v>&lt;td&gt;&lt;/td&gt;</v>
      </c>
      <c r="S12" t="str">
        <f t="shared" si="6"/>
        <v>&lt;td&gt;&lt;/td&gt;</v>
      </c>
      <c r="T12" t="str">
        <f t="shared" si="7"/>
        <v>&lt;td&gt;&lt;/td&gt;</v>
      </c>
      <c r="U12" t="str">
        <f t="shared" si="8"/>
        <v>&lt;td&gt;&lt;/td&gt;</v>
      </c>
      <c r="V12" t="str">
        <f t="shared" si="9"/>
        <v>&lt;td&gt;&lt;/td&gt;&lt;/tr&gt;</v>
      </c>
    </row>
    <row r="13" spans="1:22" x14ac:dyDescent="0.25">
      <c r="A13" t="s">
        <v>32</v>
      </c>
      <c r="J13" s="2">
        <v>12</v>
      </c>
      <c r="K13" s="2" t="str">
        <f>'Girls Standings'!B36&amp;"-"&amp;'Girls Standings'!C36&amp;" ("&amp;'Girls Standings'!F36&amp;"-"&amp;'Girls Standings'!G36&amp;")"</f>
        <v>16-9 (1-1)</v>
      </c>
      <c r="N13" t="str">
        <f t="shared" ref="N13:N14" si="10">"&lt;tr&gt;&lt;td&gt;"&amp;A13&amp;"&lt;/td&gt;"</f>
        <v>&lt;tr&gt;&lt;td&gt;Crocus Plains&lt;/td&gt;</v>
      </c>
      <c r="O13" t="str">
        <f t="shared" ref="O13:O14" si="11">"&lt;td&gt;"&amp;B13&amp;"&lt;/td&gt;"</f>
        <v>&lt;td&gt;&lt;/td&gt;</v>
      </c>
      <c r="P13" t="str">
        <f t="shared" si="3"/>
        <v>&lt;td&gt;&lt;/td&gt;</v>
      </c>
      <c r="Q13" t="str">
        <f t="shared" si="4"/>
        <v>&lt;td&gt;&lt;/td&gt;</v>
      </c>
      <c r="R13" t="str">
        <f t="shared" si="5"/>
        <v>&lt;td&gt;&lt;/td&gt;</v>
      </c>
      <c r="S13" t="str">
        <f t="shared" si="6"/>
        <v>&lt;td&gt;&lt;/td&gt;</v>
      </c>
      <c r="T13" t="str">
        <f t="shared" si="7"/>
        <v>&lt;td&gt;&lt;/td&gt;</v>
      </c>
      <c r="U13" t="str">
        <f t="shared" si="8"/>
        <v>&lt;td&gt;&lt;/td&gt;</v>
      </c>
      <c r="V13" t="str">
        <f t="shared" si="9"/>
        <v>&lt;td&gt;&lt;/td&gt;&lt;/tr&gt;</v>
      </c>
    </row>
    <row r="14" spans="1:22" x14ac:dyDescent="0.25">
      <c r="A14" t="s">
        <v>15</v>
      </c>
      <c r="B14">
        <v>10</v>
      </c>
      <c r="K14" s="2" t="str">
        <f>'Girls Standings'!B19&amp;"-"&amp;'Girls Standings'!C19&amp;" ("&amp;'Girls Standings'!F19&amp;"-"&amp;'Girls Standings'!G19&amp;")"</f>
        <v>5-19 (0-11)</v>
      </c>
      <c r="N14" t="str">
        <f t="shared" si="10"/>
        <v>&lt;tr&gt;&lt;td&gt;Fort Richmond&lt;/td&gt;</v>
      </c>
      <c r="O14" t="str">
        <f t="shared" si="11"/>
        <v>&lt;td&gt;10&lt;/td&gt;</v>
      </c>
      <c r="P14" t="str">
        <f t="shared" si="3"/>
        <v>&lt;td class="down"&gt;&lt;/td&gt;</v>
      </c>
      <c r="Q14" t="str">
        <f t="shared" si="4"/>
        <v>&lt;td&gt;&lt;/td&gt;</v>
      </c>
      <c r="R14" t="str">
        <f t="shared" si="5"/>
        <v>&lt;td&gt;&lt;/td&gt;</v>
      </c>
      <c r="S14" t="str">
        <f t="shared" si="6"/>
        <v>&lt;td&gt;&lt;/td&gt;</v>
      </c>
      <c r="T14" t="str">
        <f t="shared" si="7"/>
        <v>&lt;td&gt;&lt;/td&gt;</v>
      </c>
      <c r="U14" t="str">
        <f t="shared" si="8"/>
        <v>&lt;td&gt;&lt;/td&gt;</v>
      </c>
      <c r="V14" t="str">
        <f t="shared" si="9"/>
        <v>&lt;td&gt;&lt;/td&gt;&lt;/tr&gt;</v>
      </c>
    </row>
  </sheetData>
  <sortState ref="A2:K14">
    <sortCondition ref="J2:J14"/>
    <sortCondition ref="H2:H14"/>
    <sortCondition ref="G2:G14"/>
    <sortCondition ref="F2:F14"/>
    <sortCondition ref="E2:E14"/>
    <sortCondition ref="D2:D14"/>
    <sortCondition ref="C2:C14"/>
    <sortCondition ref="B2:B1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4"/>
  <sheetViews>
    <sheetView workbookViewId="0"/>
  </sheetViews>
  <sheetFormatPr defaultRowHeight="15" x14ac:dyDescent="0.25"/>
  <cols>
    <col min="1" max="1" width="15.7109375" style="8" bestFit="1" customWidth="1"/>
    <col min="2" max="4" width="9.140625" style="8"/>
  </cols>
  <sheetData>
    <row r="1" spans="1:10" x14ac:dyDescent="0.25">
      <c r="B1" s="8" t="s">
        <v>156</v>
      </c>
      <c r="C1" s="8" t="s">
        <v>254</v>
      </c>
      <c r="D1" s="8" t="s">
        <v>255</v>
      </c>
    </row>
    <row r="2" spans="1:10" x14ac:dyDescent="0.25">
      <c r="A2" s="8" t="s">
        <v>32</v>
      </c>
      <c r="B2" s="8">
        <f>COUNTIFS('Girls Schedule'!$F:$F,$A2,'Girls Schedule'!$J:$J,"H",'Girls Schedule'!$M:$M,"&lt;&gt;"&amp;"")+COUNTIFS('Girls Schedule'!$C:$C,$A2,'Girls Schedule'!$J:$J,"V",'Girls Schedule'!$M:$M,"&lt;&gt;"&amp;"")</f>
        <v>1</v>
      </c>
      <c r="C2" s="8">
        <f>COUNTIFS('Girls Schedule'!$F:$F,$A2,'Girls Schedule'!$J:$J,"V",'Girls Schedule'!$M:$M,"&lt;&gt;"&amp;"")+COUNTIFS('Girls Schedule'!$C:$C,$A2,'Girls Schedule'!$J:$J,"H",'Girls Schedule'!$M:$M,"&lt;&gt;"&amp;"")</f>
        <v>1</v>
      </c>
      <c r="D2" s="9">
        <f>IF(B2+C2&gt;0,B2/(B2+C2),0)</f>
        <v>0.5</v>
      </c>
    </row>
    <row r="3" spans="1:10" x14ac:dyDescent="0.25">
      <c r="A3" s="8" t="s">
        <v>23</v>
      </c>
      <c r="B3" s="8">
        <f>COUNTIFS('Girls Schedule'!$F:$F,$A3,'Girls Schedule'!$G:$G,$J3,'Girls Schedule'!$J:$J,"H",'Girls Schedule'!$M:$M,"&lt;&gt;"&amp;"")+COUNTIFS('Girls Schedule'!$C:$C,$A3,'Girls Schedule'!$D:$D,$J3,'Girls Schedule'!$J:$J,"V",'Girls Schedule'!$M:$M,"&lt;&gt;"&amp;"")</f>
        <v>1</v>
      </c>
      <c r="C3" s="8">
        <f>COUNTIFS('Girls Schedule'!$F:$F,$A3,'Girls Schedule'!$G:$G,$J3,'Girls Schedule'!$J:$J,"V",'Girls Schedule'!$M:$M,"&lt;&gt;"&amp;"")+COUNTIFS('Girls Schedule'!$C:$C,$A3,'Girls Schedule'!$D:$D,$J3,'Girls Schedule'!$J:$J,"H",'Girls Schedule'!$M:$M,"&lt;&gt;"&amp;"")</f>
        <v>1</v>
      </c>
      <c r="D3" s="9">
        <f>IF(B3+C3&gt;0,B3/(B3+C3),0)</f>
        <v>0.5</v>
      </c>
      <c r="J3" t="s">
        <v>102</v>
      </c>
    </row>
    <row r="4" spans="1:10" x14ac:dyDescent="0.25">
      <c r="D4" s="9"/>
    </row>
  </sheetData>
  <sortState ref="A2:J3">
    <sortCondition descending="1" ref="D2:D3"/>
    <sortCondition ref="C2:C3"/>
    <sortCondition descending="1" ref="B2: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2"/>
  <sheetViews>
    <sheetView workbookViewId="0">
      <selection sqref="A1:H12"/>
    </sheetView>
  </sheetViews>
  <sheetFormatPr defaultRowHeight="15" x14ac:dyDescent="0.25"/>
  <cols>
    <col min="1" max="1" width="35.5703125" bestFit="1" customWidth="1"/>
    <col min="2" max="2" width="12.5703125" customWidth="1"/>
    <col min="3" max="3" width="11.5703125" bestFit="1" customWidth="1"/>
    <col min="4" max="4" width="12.5703125" bestFit="1" customWidth="1"/>
    <col min="5" max="5" width="43.7109375" bestFit="1" customWidth="1"/>
    <col min="7" max="7" width="11.5703125" bestFit="1" customWidth="1"/>
    <col min="8" max="8" width="12.5703125" bestFit="1" customWidth="1"/>
  </cols>
  <sheetData>
    <row r="1" spans="1:8" x14ac:dyDescent="0.25">
      <c r="A1" t="str">
        <f>"&lt;tr&gt;&lt;td&gt;1&lt;/td&gt;&lt;td&gt;"&amp;Boys!$A2&amp;"&lt;/td&gt;"</f>
        <v>&lt;tr&gt;&lt;td&gt;1&lt;/td&gt;&lt;td&gt;John Taylor&lt;/td&gt;</v>
      </c>
      <c r="B1" t="str">
        <f>"&lt;td&gt;"&amp;Boys!K2&amp;"&lt;/td&gt;"</f>
        <v>&lt;td&gt;24-1 (9-0)&lt;/td&gt;</v>
      </c>
      <c r="C1" t="str">
        <f>IF(Boys!$I2=0,"&lt;td&gt;NR&lt;/td&gt;","&lt;td&gt;"&amp;Boys!$I2&amp;"&lt;/td&gt;")</f>
        <v>&lt;td&gt;1&lt;/td&gt;</v>
      </c>
      <c r="D1" t="str">
        <f>IF(Boys!$I2=0,"&lt;td class=""up""&gt;In&lt;/td&gt;",IF(Boys!$I2&gt;Boys!$J2,"&lt;td class=""up""&gt;+"&amp;Boys!$I2-Boys!$J2&amp;"&lt;/td&gt;",IF(Boys!$I2=Boys!$J2,"&lt;td&gt;-&lt;/td&gt;","&lt;td class=""down""&gt;"&amp;Boys!$I2-Boys!$J2&amp;"&lt;/td&gt;")))</f>
        <v>&lt;td&gt;-&lt;/td&gt;</v>
      </c>
      <c r="E1" t="str">
        <f>"&lt;td&gt;1&lt;/td&gt;&lt;td&gt;"&amp;Girls!$A2&amp;"&lt;/td&gt;"</f>
        <v>&lt;td&gt;1&lt;/td&gt;&lt;td&gt;Sisler&lt;/td&gt;</v>
      </c>
      <c r="F1" t="str">
        <f>"&lt;td&gt;"&amp;Girls!K2&amp;"&lt;/td&gt;"</f>
        <v>&lt;td&gt;35-1 (12-0)&lt;/td&gt;</v>
      </c>
      <c r="G1" t="str">
        <f>IF(Girls!$I2=0,"&lt;td&gt;NR&lt;/td&gt;","&lt;td&gt;"&amp;Girls!$I2&amp;"&lt;/td&gt;")</f>
        <v>&lt;td&gt;1&lt;/td&gt;</v>
      </c>
      <c r="H1" t="str">
        <f>IF(Girls!$I2=0,"&lt;td class=""up""&gt;In&lt;/td&gt;",IF(Girls!$I2&gt;Girls!$J2,"&lt;td class=""up""&gt;+"&amp;Girls!$I2-Girls!$J2&amp;"&lt;/td&gt;",IF(Girls!$I2=Girls!$J2,"&lt;td&gt;-&lt;/td&gt;","&lt;td class=""down""&gt;"&amp;Girls!$I2-Girls!$J2&amp;"&lt;/td&gt;")))&amp;"&lt;/tr&gt;"</f>
        <v>&lt;td&gt;-&lt;/td&gt;&lt;/tr&gt;</v>
      </c>
    </row>
    <row r="2" spans="1:8" x14ac:dyDescent="0.25">
      <c r="A2" t="str">
        <f>"&lt;tr&gt;&lt;td&gt;2&lt;/td&gt;&lt;td&gt;"&amp;Boys!$A3&amp;"&lt;/td&gt;"</f>
        <v>&lt;tr&gt;&lt;td&gt;2&lt;/td&gt;&lt;td&gt;Oak Park&lt;/td&gt;</v>
      </c>
      <c r="B2" t="str">
        <f>"&lt;td&gt;"&amp;Boys!K3&amp;"&lt;/td&gt;"</f>
        <v>&lt;td&gt;23-6 (8-1)&lt;/td&gt;</v>
      </c>
      <c r="C2" t="str">
        <f>IF(Boys!$I3=0,"&lt;td&gt;NR&lt;/td&gt;","&lt;td&gt;"&amp;Boys!$I3&amp;"&lt;/td&gt;")</f>
        <v>&lt;td&gt;2&lt;/td&gt;</v>
      </c>
      <c r="D2" t="str">
        <f>IF(Boys!$I3=0,"&lt;td class=""up""&gt;In&lt;/td&gt;",IF(Boys!$I3&gt;Boys!$J3,"&lt;td class=""up""&gt;+"&amp;Boys!$I3-Boys!$J3&amp;"&lt;/td&gt;",IF(Boys!$I3=Boys!$J3,"&lt;td&gt;-&lt;/td&gt;","&lt;td class=""down""&gt;"&amp;Boys!$I3-Boys!$J3&amp;"&lt;/td&gt;")))</f>
        <v>&lt;td&gt;-&lt;/td&gt;</v>
      </c>
      <c r="E2" t="str">
        <f>"&lt;td&gt;2&lt;/td&gt;&lt;td&gt;"&amp;Girls!$A3&amp;"&lt;/td&gt;"</f>
        <v>&lt;td&gt;2&lt;/td&gt;&lt;td&gt;Vincent Massey (WPG)&lt;/td&gt;</v>
      </c>
      <c r="F2" t="str">
        <f>"&lt;td&gt;"&amp;Girls!K3&amp;"&lt;/td&gt;"</f>
        <v>&lt;td&gt;22-6 (10-1)&lt;/td&gt;</v>
      </c>
      <c r="G2" t="str">
        <f>IF(Girls!$I3=0,"&lt;td&gt;NR&lt;/td&gt;","&lt;td&gt;"&amp;Girls!$I3&amp;"&lt;/td&gt;")</f>
        <v>&lt;td&gt;4&lt;/td&gt;</v>
      </c>
      <c r="H2" t="str">
        <f>IF(Girls!$I3=0,"&lt;td class=""up""&gt;In&lt;/td&gt;",IF(Girls!$I3&gt;Girls!$J3,"&lt;td class=""up""&gt;+"&amp;Girls!$I3-Girls!$J3&amp;"&lt;/td&gt;",IF(Girls!$I3=Girls!$J3,"&lt;td&gt;-&lt;/td&gt;","&lt;td class=""down""&gt;"&amp;Girls!$I3-Girls!$J3&amp;"&lt;/td&gt;")))&amp;"&lt;/tr&gt;"</f>
        <v>&lt;td class="up"&gt;+2&lt;/td&gt;&lt;/tr&gt;</v>
      </c>
    </row>
    <row r="3" spans="1:8" x14ac:dyDescent="0.25">
      <c r="A3" t="str">
        <f>"&lt;tr&gt;&lt;td&gt;3&lt;/td&gt;&lt;td&gt;"&amp;Boys!$A4&amp;"&lt;/td&gt;"</f>
        <v>&lt;tr&gt;&lt;td&gt;3&lt;/td&gt;&lt;td&gt;Garden City&lt;/td&gt;</v>
      </c>
      <c r="B3" t="str">
        <f>"&lt;td&gt;"&amp;Boys!K4&amp;"&lt;/td&gt;"</f>
        <v>&lt;td&gt;29-3 (10-0)&lt;/td&gt;</v>
      </c>
      <c r="C3" t="str">
        <f>IF(Boys!$I4=0,"&lt;td&gt;NR&lt;/td&gt;","&lt;td&gt;"&amp;Boys!$I4&amp;"&lt;/td&gt;")</f>
        <v>&lt;td&gt;3&lt;/td&gt;</v>
      </c>
      <c r="D3" t="str">
        <f>IF(Boys!$I4=0,"&lt;td class=""up""&gt;In&lt;/td&gt;",IF(Boys!$I4&gt;Boys!$J4,"&lt;td class=""up""&gt;+"&amp;Boys!$I4-Boys!$J4&amp;"&lt;/td&gt;",IF(Boys!$I4=Boys!$J4,"&lt;td&gt;-&lt;/td&gt;","&lt;td class=""down""&gt;"&amp;Boys!$I4-Boys!$J4&amp;"&lt;/td&gt;")))</f>
        <v>&lt;td&gt;-&lt;/td&gt;</v>
      </c>
      <c r="E3" t="str">
        <f>"&lt;td&gt;3&lt;/td&gt;&lt;td&gt;"&amp;Girls!$A4&amp;"&lt;/td&gt;"</f>
        <v>&lt;td&gt;3&lt;/td&gt;&lt;td&gt;Miles Macdonell&lt;/td&gt;</v>
      </c>
      <c r="F3" t="str">
        <f>"&lt;td&gt;"&amp;Girls!K4&amp;"&lt;/td&gt;"</f>
        <v>&lt;td&gt;18-13 (8-1)&lt;/td&gt;</v>
      </c>
      <c r="G3" t="str">
        <f>IF(Girls!$I4=0,"&lt;td&gt;NR&lt;/td&gt;","&lt;td&gt;"&amp;Girls!$I4&amp;"&lt;/td&gt;")</f>
        <v>&lt;td&gt;3&lt;/td&gt;</v>
      </c>
      <c r="H3" t="str">
        <f>IF(Girls!$I4=0,"&lt;td class=""up""&gt;In&lt;/td&gt;",IF(Girls!$I4&gt;Girls!$J4,"&lt;td class=""up""&gt;+"&amp;Girls!$I4-Girls!$J4&amp;"&lt;/td&gt;",IF(Girls!$I4=Girls!$J4,"&lt;td&gt;-&lt;/td&gt;","&lt;td class=""down""&gt;"&amp;Girls!$I4-Girls!$J4&amp;"&lt;/td&gt;")))&amp;"&lt;/tr&gt;"</f>
        <v>&lt;td&gt;-&lt;/td&gt;&lt;/tr&gt;</v>
      </c>
    </row>
    <row r="4" spans="1:8" x14ac:dyDescent="0.25">
      <c r="A4" t="str">
        <f>"&lt;tr&gt;&lt;td&gt;4&lt;/td&gt;&lt;td&gt;"&amp;Boys!$A5&amp;"&lt;/td&gt;"</f>
        <v>&lt;tr&gt;&lt;td&gt;4&lt;/td&gt;&lt;td&gt;Sisler&lt;/td&gt;</v>
      </c>
      <c r="B4" t="str">
        <f>"&lt;td&gt;"&amp;Boys!K5&amp;"&lt;/td&gt;"</f>
        <v>&lt;td&gt;21-8 (6-3)&lt;/td&gt;</v>
      </c>
      <c r="C4" t="str">
        <f>IF(Boys!$I5=0,"&lt;td&gt;NR&lt;/td&gt;","&lt;td&gt;"&amp;Boys!$I5&amp;"&lt;/td&gt;")</f>
        <v>&lt;td&gt;5&lt;/td&gt;</v>
      </c>
      <c r="D4" t="str">
        <f>IF(Boys!$I5=0,"&lt;td class=""up""&gt;In&lt;/td&gt;",IF(Boys!$I5&gt;Boys!$J5,"&lt;td class=""up""&gt;+"&amp;Boys!$I5-Boys!$J5&amp;"&lt;/td&gt;",IF(Boys!$I5=Boys!$J5,"&lt;td&gt;-&lt;/td&gt;","&lt;td class=""down""&gt;"&amp;Boys!$I5-Boys!$J5&amp;"&lt;/td&gt;")))</f>
        <v>&lt;td class="up"&gt;+1&lt;/td&gt;</v>
      </c>
      <c r="E4" t="str">
        <f>"&lt;td&gt;4&lt;/td&gt;&lt;td&gt;"&amp;Girls!$A5&amp;"&lt;/td&gt;"</f>
        <v>&lt;td&gt;4&lt;/td&gt;&lt;td&gt;Oak Park&lt;/td&gt;</v>
      </c>
      <c r="F4" t="str">
        <f>"&lt;td&gt;"&amp;Girls!K5&amp;"&lt;/td&gt;"</f>
        <v>&lt;td&gt;25-9 (8-3)&lt;/td&gt;</v>
      </c>
      <c r="G4" t="str">
        <f>IF(Girls!$I5=0,"&lt;td&gt;NR&lt;/td&gt;","&lt;td&gt;"&amp;Girls!$I5&amp;"&lt;/td&gt;")</f>
        <v>&lt;td&gt;2&lt;/td&gt;</v>
      </c>
      <c r="H4" t="str">
        <f>IF(Girls!$I5=0,"&lt;td class=""up""&gt;In&lt;/td&gt;",IF(Girls!$I5&gt;Girls!$J5,"&lt;td class=""up""&gt;+"&amp;Girls!$I5-Girls!$J5&amp;"&lt;/td&gt;",IF(Girls!$I5=Girls!$J5,"&lt;td&gt;-&lt;/td&gt;","&lt;td class=""down""&gt;"&amp;Girls!$I5-Girls!$J5&amp;"&lt;/td&gt;")))&amp;"&lt;/tr&gt;"</f>
        <v>&lt;td class="down"&gt;-2&lt;/td&gt;&lt;/tr&gt;</v>
      </c>
    </row>
    <row r="5" spans="1:8" x14ac:dyDescent="0.25">
      <c r="A5" t="str">
        <f>"&lt;tr&gt;&lt;td&gt;5&lt;/td&gt;&lt;td&gt;"&amp;Boys!$A6&amp;"&lt;/td&gt;"</f>
        <v>&lt;tr&gt;&lt;td&gt;5&lt;/td&gt;&lt;td&gt;Fort Richmond&lt;/td&gt;</v>
      </c>
      <c r="B5" t="str">
        <f>"&lt;td&gt;"&amp;Boys!K6&amp;"&lt;/td&gt;"</f>
        <v>&lt;td&gt;19-12 (6-3)&lt;/td&gt;</v>
      </c>
      <c r="C5" t="str">
        <f>IF(Boys!$I6=0,"&lt;td&gt;NR&lt;/td&gt;","&lt;td&gt;"&amp;Boys!$I6&amp;"&lt;/td&gt;")</f>
        <v>&lt;td&gt;4&lt;/td&gt;</v>
      </c>
      <c r="D5" t="str">
        <f>IF(Boys!$I6=0,"&lt;td class=""up""&gt;In&lt;/td&gt;",IF(Boys!$I6&gt;Boys!$J6,"&lt;td class=""up""&gt;+"&amp;Boys!$I6-Boys!$J6&amp;"&lt;/td&gt;",IF(Boys!$I6=Boys!$J6,"&lt;td&gt;-&lt;/td&gt;","&lt;td class=""down""&gt;"&amp;Boys!$I6-Boys!$J6&amp;"&lt;/td&gt;")))</f>
        <v>&lt;td class="down"&gt;-1&lt;/td&gt;</v>
      </c>
      <c r="E5" t="str">
        <f>"&lt;td&gt;5&lt;/td&gt;&lt;td&gt;"&amp;Girls!$A6&amp;"&lt;/td&gt;"</f>
        <v>&lt;td&gt;5&lt;/td&gt;&lt;td&gt;Westwood&lt;/td&gt;</v>
      </c>
      <c r="F5" t="str">
        <f>"&lt;td&gt;"&amp;Girls!K6&amp;"&lt;/td&gt;"</f>
        <v>&lt;td&gt;17-10 (8-4)&lt;/td&gt;</v>
      </c>
      <c r="G5" t="str">
        <f>IF(Girls!$I6=0,"&lt;td&gt;NR&lt;/td&gt;","&lt;td&gt;"&amp;Girls!$I6&amp;"&lt;/td&gt;")</f>
        <v>&lt;td&gt;5&lt;/td&gt;</v>
      </c>
      <c r="H5" t="str">
        <f>IF(Girls!$I6=0,"&lt;td class=""up""&gt;In&lt;/td&gt;",IF(Girls!$I6&gt;Girls!$J6,"&lt;td class=""up""&gt;+"&amp;Girls!$I6-Girls!$J6&amp;"&lt;/td&gt;",IF(Girls!$I6=Girls!$J6,"&lt;td&gt;-&lt;/td&gt;","&lt;td class=""down""&gt;"&amp;Girls!$I6-Girls!$J6&amp;"&lt;/td&gt;")))&amp;"&lt;/tr&gt;"</f>
        <v>&lt;td&gt;-&lt;/td&gt;&lt;/tr&gt;</v>
      </c>
    </row>
    <row r="6" spans="1:8" x14ac:dyDescent="0.25">
      <c r="A6" t="str">
        <f>"&lt;tr&gt;&lt;td&gt;6&lt;/td&gt;&lt;td&gt;"&amp;Boys!$A7&amp;"&lt;/td&gt;"</f>
        <v>&lt;tr&gt;&lt;td&gt;6&lt;/td&gt;&lt;td&gt;St. Paul's&lt;/td&gt;</v>
      </c>
      <c r="B6" t="str">
        <f>"&lt;td&gt;"&amp;Boys!K7&amp;"&lt;/td&gt;"</f>
        <v>&lt;td&gt;16-8 (6-3)&lt;/td&gt;</v>
      </c>
      <c r="C6" t="str">
        <f>IF(Boys!$I7=0,"&lt;td&gt;NR&lt;/td&gt;","&lt;td&gt;"&amp;Boys!$I7&amp;"&lt;/td&gt;")</f>
        <v>&lt;td&gt;6&lt;/td&gt;</v>
      </c>
      <c r="D6" t="str">
        <f>IF(Boys!$I7=0,"&lt;td class=""up""&gt;In&lt;/td&gt;",IF(Boys!$I7&gt;Boys!$J7,"&lt;td class=""up""&gt;+"&amp;Boys!$I7-Boys!$J7&amp;"&lt;/td&gt;",IF(Boys!$I7=Boys!$J7,"&lt;td&gt;-&lt;/td&gt;","&lt;td class=""down""&gt;"&amp;Boys!$I7-Boys!$J7&amp;"&lt;/td&gt;")))</f>
        <v>&lt;td&gt;-&lt;/td&gt;</v>
      </c>
      <c r="E6" t="str">
        <f>"&lt;td&gt;6&lt;/td&gt;&lt;td&gt;"&amp;Girls!$A7&amp;"&lt;/td&gt;"</f>
        <v>&lt;td&gt;6&lt;/td&gt;&lt;td&gt;Garden City&lt;/td&gt;</v>
      </c>
      <c r="F6" t="str">
        <f>"&lt;td&gt;"&amp;Girls!K7&amp;"&lt;/td&gt;"</f>
        <v>&lt;td&gt;19-10 (6-3)&lt;/td&gt;</v>
      </c>
      <c r="G6" t="str">
        <f>IF(Girls!$I7=0,"&lt;td&gt;NR&lt;/td&gt;","&lt;td&gt;"&amp;Girls!$I7&amp;"&lt;/td&gt;")</f>
        <v>&lt;td&gt;6&lt;/td&gt;</v>
      </c>
      <c r="H6" t="str">
        <f>IF(Girls!$I7=0,"&lt;td class=""up""&gt;In&lt;/td&gt;",IF(Girls!$I7&gt;Girls!$J7,"&lt;td class=""up""&gt;+"&amp;Girls!$I7-Girls!$J7&amp;"&lt;/td&gt;",IF(Girls!$I7=Girls!$J7,"&lt;td&gt;-&lt;/td&gt;","&lt;td class=""down""&gt;"&amp;Girls!$I7-Girls!$J7&amp;"&lt;/td&gt;")))&amp;"&lt;/tr&gt;"</f>
        <v>&lt;td&gt;-&lt;/td&gt;&lt;/tr&gt;</v>
      </c>
    </row>
    <row r="7" spans="1:8" x14ac:dyDescent="0.25">
      <c r="A7" t="str">
        <f>"&lt;tr&gt;&lt;td&gt;7&lt;/td&gt;&lt;td&gt;"&amp;Boys!$A8&amp;"&lt;/td&gt;"</f>
        <v>&lt;tr&gt;&lt;td&gt;7&lt;/td&gt;&lt;td&gt;St. John's-Ravenscourt&lt;/td&gt;</v>
      </c>
      <c r="B7" t="str">
        <f>"&lt;td&gt;"&amp;Boys!K8&amp;"&lt;/td&gt;"</f>
        <v>&lt;td&gt;15-11 (5-3)&lt;/td&gt;</v>
      </c>
      <c r="C7" t="str">
        <f>IF(Boys!$I8=0,"&lt;td&gt;NR&lt;/td&gt;","&lt;td&gt;"&amp;Boys!$I8&amp;"&lt;/td&gt;")</f>
        <v>&lt;td&gt;9&lt;/td&gt;</v>
      </c>
      <c r="D7" t="str">
        <f>IF(Boys!$I8=0,"&lt;td class=""up""&gt;In&lt;/td&gt;",IF(Boys!$I8&gt;Boys!$J8,"&lt;td class=""up""&gt;+"&amp;Boys!$I8-Boys!$J8&amp;"&lt;/td&gt;",IF(Boys!$I8=Boys!$J8,"&lt;td&gt;-&lt;/td&gt;","&lt;td class=""down""&gt;"&amp;Boys!$I8-Boys!$J8&amp;"&lt;/td&gt;")))</f>
        <v>&lt;td class="up"&gt;+2&lt;/td&gt;</v>
      </c>
      <c r="E7" t="str">
        <f>"&lt;td&gt;7&lt;/td&gt;&lt;td&gt;"&amp;Girls!$A8&amp;"&lt;/td&gt;"</f>
        <v>&lt;td&gt;7&lt;/td&gt;&lt;td&gt;Glenlawn&lt;/td&gt;</v>
      </c>
      <c r="F7" t="str">
        <f>"&lt;td&gt;"&amp;Girls!K8&amp;"&lt;/td&gt;"</f>
        <v>&lt;td&gt;21-9 (10-0)&lt;/td&gt;</v>
      </c>
      <c r="G7" t="str">
        <f>IF(Girls!$I8=0,"&lt;td&gt;NR&lt;/td&gt;","&lt;td&gt;"&amp;Girls!$I8&amp;"&lt;/td&gt;")</f>
        <v>&lt;td&gt;7&lt;/td&gt;</v>
      </c>
      <c r="H7" t="str">
        <f>IF(Girls!$I8=0,"&lt;td class=""up""&gt;In&lt;/td&gt;",IF(Girls!$I8&gt;Girls!$J8,"&lt;td class=""up""&gt;+"&amp;Girls!$I8-Girls!$J8&amp;"&lt;/td&gt;",IF(Girls!$I8=Girls!$J8,"&lt;td&gt;-&lt;/td&gt;","&lt;td class=""down""&gt;"&amp;Girls!$I8-Girls!$J8&amp;"&lt;/td&gt;")))&amp;"&lt;/tr&gt;"</f>
        <v>&lt;td&gt;-&lt;/td&gt;&lt;/tr&gt;</v>
      </c>
    </row>
    <row r="8" spans="1:8" x14ac:dyDescent="0.25">
      <c r="A8" t="str">
        <f>"&lt;tr&gt;&lt;td&gt;8&lt;/td&gt;&lt;td&gt;"&amp;Boys!$A9&amp;"&lt;/td&gt;"</f>
        <v>&lt;tr&gt;&lt;td&gt;8&lt;/td&gt;&lt;td&gt;Dakota&lt;/td&gt;</v>
      </c>
      <c r="B8" t="str">
        <f>"&lt;td&gt;"&amp;Boys!K9&amp;"&lt;/td&gt;"</f>
        <v>&lt;td&gt;19-9 (7-1)&lt;/td&gt;</v>
      </c>
      <c r="C8" t="str">
        <f>IF(Boys!$I9=0,"&lt;td&gt;NR&lt;/td&gt;","&lt;td&gt;"&amp;Boys!$I9&amp;"&lt;/td&gt;")</f>
        <v>&lt;td&gt;8&lt;/td&gt;</v>
      </c>
      <c r="D8" t="str">
        <f>IF(Boys!$I9=0,"&lt;td class=""up""&gt;In&lt;/td&gt;",IF(Boys!$I9&gt;Boys!$J9,"&lt;td class=""up""&gt;+"&amp;Boys!$I9-Boys!$J9&amp;"&lt;/td&gt;",IF(Boys!$I9=Boys!$J9,"&lt;td&gt;-&lt;/td&gt;","&lt;td class=""down""&gt;"&amp;Boys!$I9-Boys!$J9&amp;"&lt;/td&gt;")))</f>
        <v>&lt;td&gt;-&lt;/td&gt;</v>
      </c>
      <c r="E8" t="str">
        <f>"&lt;td&gt;8&lt;/td&gt;&lt;td&gt;"&amp;Girls!$A9&amp;"&lt;/td&gt;"</f>
        <v>&lt;td&gt;8&lt;/td&gt;&lt;td&gt;Kildonan-East&lt;/td&gt;</v>
      </c>
      <c r="F8" t="str">
        <f>"&lt;td&gt;"&amp;Girls!K9&amp;"&lt;/td&gt;"</f>
        <v>&lt;td&gt;17-12 (4-5)&lt;/td&gt;</v>
      </c>
      <c r="G8" t="str">
        <f>IF(Girls!$I9=0,"&lt;td&gt;NR&lt;/td&gt;","&lt;td&gt;"&amp;Girls!$I9&amp;"&lt;/td&gt;")</f>
        <v>&lt;td&gt;8&lt;/td&gt;</v>
      </c>
      <c r="H8" t="str">
        <f>IF(Girls!$I9=0,"&lt;td class=""up""&gt;In&lt;/td&gt;",IF(Girls!$I9&gt;Girls!$J9,"&lt;td class=""up""&gt;+"&amp;Girls!$I9-Girls!$J9&amp;"&lt;/td&gt;",IF(Girls!$I9=Girls!$J9,"&lt;td&gt;-&lt;/td&gt;","&lt;td class=""down""&gt;"&amp;Girls!$I9-Girls!$J9&amp;"&lt;/td&gt;")))&amp;"&lt;/tr&gt;"</f>
        <v>&lt;td&gt;-&lt;/td&gt;&lt;/tr&gt;</v>
      </c>
    </row>
    <row r="9" spans="1:8" x14ac:dyDescent="0.25">
      <c r="A9" t="str">
        <f>"&lt;tr&gt;&lt;td&gt;9&lt;/td&gt;&lt;td&gt;"&amp;Boys!$A10&amp;"&lt;/td&gt;"</f>
        <v>&lt;tr&gt;&lt;td&gt;9&lt;/td&gt;&lt;td&gt;Vincent Massey (WPG)&lt;/td&gt;</v>
      </c>
      <c r="B9" t="str">
        <f>"&lt;td&gt;"&amp;Boys!K10&amp;"&lt;/td&gt;"</f>
        <v>&lt;td&gt;15-14 (4-5)&lt;/td&gt;</v>
      </c>
      <c r="C9" t="str">
        <f>IF(Boys!$I10=0,"&lt;td&gt;NR&lt;/td&gt;","&lt;td&gt;"&amp;Boys!$I10&amp;"&lt;/td&gt;")</f>
        <v>&lt;td&gt;7&lt;/td&gt;</v>
      </c>
      <c r="D9" t="str">
        <f>IF(Boys!$I10=0,"&lt;td class=""up""&gt;In&lt;/td&gt;",IF(Boys!$I10&gt;Boys!$J10,"&lt;td class=""up""&gt;+"&amp;Boys!$I10-Boys!$J10&amp;"&lt;/td&gt;",IF(Boys!$I10=Boys!$J10,"&lt;td&gt;-&lt;/td&gt;","&lt;td class=""down""&gt;"&amp;Boys!$I10-Boys!$J10&amp;"&lt;/td&gt;")))</f>
        <v>&lt;td class="down"&gt;-2&lt;/td&gt;</v>
      </c>
      <c r="E9" t="str">
        <f>"&lt;td&gt;9&lt;/td&gt;&lt;td&gt;"&amp;Girls!$A10&amp;"&lt;/td&gt;"</f>
        <v>&lt;td&gt;9&lt;/td&gt;&lt;td&gt;St. Mary's&lt;/td&gt;</v>
      </c>
      <c r="F9" t="str">
        <f>"&lt;td&gt;"&amp;Girls!K10&amp;"&lt;/td&gt;"</f>
        <v>&lt;td&gt;16-10 (5-6)&lt;/td&gt;</v>
      </c>
      <c r="G9" t="str">
        <f>IF(Girls!$I10=0,"&lt;td&gt;NR&lt;/td&gt;","&lt;td&gt;"&amp;Girls!$I10&amp;"&lt;/td&gt;")</f>
        <v>&lt;td&gt;9&lt;/td&gt;</v>
      </c>
      <c r="H9" t="str">
        <f>IF(Girls!$I10=0,"&lt;td class=""up""&gt;In&lt;/td&gt;",IF(Girls!$I10&gt;Girls!$J10,"&lt;td class=""up""&gt;+"&amp;Girls!$I10-Girls!$J10&amp;"&lt;/td&gt;",IF(Girls!$I10=Girls!$J10,"&lt;td&gt;-&lt;/td&gt;","&lt;td class=""down""&gt;"&amp;Girls!$I10-Girls!$J10&amp;"&lt;/td&gt;")))&amp;"&lt;/tr&gt;"</f>
        <v>&lt;td&gt;-&lt;/td&gt;&lt;/tr&gt;</v>
      </c>
    </row>
    <row r="10" spans="1:8" x14ac:dyDescent="0.25">
      <c r="A10" t="str">
        <f>"&lt;tr&gt;&lt;td&gt;10&lt;/td&gt;&lt;td&gt;"&amp;Boys!$A11&amp;"&lt;/td&gt;"</f>
        <v>&lt;tr&gt;&lt;td&gt;10&lt;/td&gt;&lt;td&gt;Kelvin&lt;/td&gt;</v>
      </c>
      <c r="B10" t="str">
        <f>"&lt;td&gt;"&amp;Boys!K11&amp;"&lt;/td&gt;"</f>
        <v>&lt;td&gt;15-14 (3-6)&lt;/td&gt;</v>
      </c>
      <c r="C10" t="str">
        <f>IF(Boys!$I11=0,"&lt;td&gt;NR&lt;/td&gt;","&lt;td&gt;"&amp;Boys!$I11&amp;"&lt;/td&gt;")</f>
        <v>&lt;td&gt;NR&lt;/td&gt;</v>
      </c>
      <c r="D10" t="str">
        <f>IF(Boys!$I11=0,"&lt;td class=""up""&gt;In&lt;/td&gt;",IF(Boys!$I11&gt;Boys!$J11,"&lt;td class=""up""&gt;+"&amp;Boys!$I11-Boys!$J11&amp;"&lt;/td&gt;",IF(Boys!$I11=Boys!$J11,"&lt;td&gt;-&lt;/td&gt;","&lt;td class=""down""&gt;"&amp;Boys!$I11-Boys!$J11&amp;"&lt;/td&gt;")))</f>
        <v>&lt;td class="up"&gt;In&lt;/td&gt;</v>
      </c>
      <c r="E10" t="str">
        <f>"&lt;td&gt;10&lt;/td&gt;&lt;td&gt;"&amp;Girls!$A11&amp;"&lt;/td&gt;"</f>
        <v>&lt;td&gt;10&lt;/td&gt;&lt;td&gt;Daniel McIntyre&lt;/td&gt;</v>
      </c>
      <c r="F10" t="str">
        <f>"&lt;td&gt;"&amp;Girls!K11&amp;"&lt;/td&gt;"</f>
        <v>&lt;td&gt;13-14 (5-7)&lt;/td&gt;</v>
      </c>
      <c r="G10" t="str">
        <f>IF(Girls!$I11=0,"&lt;td&gt;NR&lt;/td&gt;","&lt;td&gt;"&amp;Girls!$I11&amp;"&lt;/td&gt;")</f>
        <v>&lt;td&gt;10&lt;/td&gt;</v>
      </c>
      <c r="H10" t="str">
        <f>IF(Girls!$I11=0,"&lt;td class=""up""&gt;In&lt;/td&gt;",IF(Girls!$I11&gt;Girls!$J11,"&lt;td class=""up""&gt;+"&amp;Girls!$I11-Girls!$J11&amp;"&lt;/td&gt;",IF(Girls!$I11=Girls!$J11,"&lt;td&gt;-&lt;/td&gt;","&lt;td class=""down""&gt;"&amp;Girls!$I11-Girls!$J11&amp;"&lt;/td&gt;")))&amp;"&lt;/tr&gt;"</f>
        <v>&lt;td&gt;-&lt;/td&gt;&lt;/tr&gt;</v>
      </c>
    </row>
    <row r="11" spans="1:8" x14ac:dyDescent="0.25">
      <c r="A11" t="str">
        <f>"&lt;tr&gt;&lt;td&gt;11&lt;/td&gt;&lt;td&gt;"&amp;Boys!$A12&amp;"&lt;/td&gt;"</f>
        <v>&lt;tr&gt;&lt;td&gt;11&lt;/td&gt;&lt;td&gt;Glenlawn&lt;/td&gt;</v>
      </c>
      <c r="B11" t="str">
        <f>"&lt;td&gt;"&amp;Boys!K12&amp;"&lt;/td&gt;"</f>
        <v>&lt;td&gt;15-15 (4-4)&lt;/td&gt;</v>
      </c>
      <c r="C11" t="str">
        <f>IF(Boys!$I12=0,"&lt;td&gt;NR&lt;/td&gt;","&lt;td&gt;"&amp;Boys!$I12&amp;"&lt;/td&gt;")</f>
        <v>&lt;td&gt;NR&lt;/td&gt;</v>
      </c>
      <c r="D11" t="str">
        <f>IF(Boys!$I12=0,"&lt;td class=""up""&gt;In&lt;/td&gt;",IF(Boys!$I12&gt;Boys!$J12,"&lt;td class=""up""&gt;+"&amp;Boys!$I12-Boys!$J12&amp;"&lt;/td&gt;",IF(Boys!$I12=Boys!$J12,"&lt;td&gt;-&lt;/td&gt;","&lt;td class=""down""&gt;"&amp;Boys!$I12-Boys!$J12&amp;"&lt;/td&gt;")))</f>
        <v>&lt;td class="up"&gt;In&lt;/td&gt;</v>
      </c>
      <c r="E11" t="str">
        <f>"&lt;td&gt;11&lt;/td&gt;&lt;td&gt;"&amp;Girls!$A12&amp;"&lt;/td&gt;"</f>
        <v>&lt;td&gt;11&lt;/td&gt;&lt;td&gt;Dakota&lt;/td&gt;</v>
      </c>
      <c r="F11" t="str">
        <f>"&lt;td&gt;"&amp;Girls!K12&amp;"&lt;/td&gt;"</f>
        <v>&lt;td&gt;15-15 (7-3)&lt;/td&gt;</v>
      </c>
      <c r="G11" t="str">
        <f>IF(Girls!$I12=0,"&lt;td&gt;NR&lt;/td&gt;","&lt;td&gt;"&amp;Girls!$I12&amp;"&lt;/td&gt;")</f>
        <v>&lt;td&gt;NR&lt;/td&gt;</v>
      </c>
      <c r="H11" t="str">
        <f>IF(Girls!$I12=0,"&lt;td class=""up""&gt;In&lt;/td&gt;",IF(Girls!$I12&gt;Girls!$J12,"&lt;td class=""up""&gt;+"&amp;Girls!$I12-Girls!$J12&amp;"&lt;/td&gt;",IF(Girls!$I12=Girls!$J12,"&lt;td&gt;-&lt;/td&gt;","&lt;td class=""down""&gt;"&amp;Girls!$I12-Girls!$J12&amp;"&lt;/td&gt;")))&amp;"&lt;/tr&gt;"</f>
        <v>&lt;td class="up"&gt;In&lt;/td&gt;&lt;/tr&gt;</v>
      </c>
    </row>
    <row r="12" spans="1:8" x14ac:dyDescent="0.25">
      <c r="A12" t="str">
        <f>"&lt;tr&gt;&lt;td&gt;12&lt;/td&gt;&lt;td&gt;"&amp;Boys!$A13&amp;"&lt;/td&gt;"</f>
        <v>&lt;tr&gt;&lt;td&gt;12&lt;/td&gt;&lt;td&gt;Garden Valley&lt;/td&gt;</v>
      </c>
      <c r="B12" t="str">
        <f>"&lt;td&gt;"&amp;Boys!K13&amp;"&lt;/td&gt;"</f>
        <v>&lt;td&gt;22-7 (6-0)&lt;/td&gt;</v>
      </c>
      <c r="C12" t="str">
        <f>IF(Boys!$I13=0,"&lt;td&gt;NR&lt;/td&gt;","&lt;td&gt;"&amp;Boys!$I13&amp;"&lt;/td&gt;")</f>
        <v>&lt;td&gt;NR&lt;/td&gt;</v>
      </c>
      <c r="D12" t="str">
        <f>IF(Boys!$I13=0,"&lt;td class=""up""&gt;In&lt;/td&gt;",IF(Boys!$I13&gt;Boys!$J13,"&lt;td class=""up""&gt;+"&amp;Boys!$I13-Boys!$J13&amp;"&lt;/td&gt;",IF(Boys!$I13=Boys!$J13,"&lt;td&gt;-&lt;/td&gt;","&lt;td class=""down""&gt;"&amp;Boys!$I13-Boys!$J13&amp;"&lt;/td&gt;")))</f>
        <v>&lt;td class="up"&gt;In&lt;/td&gt;</v>
      </c>
      <c r="E12" t="str">
        <f>"&lt;td&gt;12&lt;/td&gt;&lt;td&gt;"&amp;Girls!$A13&amp;"&lt;/td&gt;"</f>
        <v>&lt;td&gt;12&lt;/td&gt;&lt;td&gt;Crocus Plains&lt;/td&gt;</v>
      </c>
      <c r="F12" t="str">
        <f>"&lt;td&gt;"&amp;Girls!K13&amp;"&lt;/td&gt;"</f>
        <v>&lt;td&gt;16-9 (1-1)&lt;/td&gt;</v>
      </c>
      <c r="G12" t="str">
        <f>IF(Girls!$I13=0,"&lt;td&gt;NR&lt;/td&gt;","&lt;td&gt;"&amp;Girls!$I13&amp;"&lt;/td&gt;")</f>
        <v>&lt;td&gt;NR&lt;/td&gt;</v>
      </c>
      <c r="H12" t="str">
        <f>IF(Girls!$I13=0,"&lt;td class=""up""&gt;In&lt;/td&gt;",IF(Girls!$I13&gt;Girls!$J13,"&lt;td class=""up""&gt;+"&amp;Girls!$I13-Girls!$J13&amp;"&lt;/td&gt;",IF(Girls!$I13=Girls!$J13,"&lt;td&gt;-&lt;/td&gt;","&lt;td class=""down""&gt;"&amp;Girls!$I13-Girls!$J13&amp;"&lt;/td&gt;")))&amp;"&lt;/tr&gt;"</f>
        <v>&lt;td class="up"&gt;In&lt;/td&gt;&lt;/tr&gt;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0"/>
  <sheetViews>
    <sheetView zoomScale="67" zoomScaleNormal="67" workbookViewId="0">
      <selection activeCell="L2" sqref="L2:R39"/>
    </sheetView>
  </sheetViews>
  <sheetFormatPr defaultRowHeight="15" x14ac:dyDescent="0.25"/>
  <cols>
    <col min="1" max="1" width="24.7109375" bestFit="1" customWidth="1"/>
    <col min="2" max="2" width="6.140625" bestFit="1" customWidth="1"/>
    <col min="3" max="3" width="8.42578125" customWidth="1"/>
    <col min="4" max="4" width="7.140625" style="1" customWidth="1"/>
    <col min="5" max="5" width="16.5703125" bestFit="1" customWidth="1"/>
    <col min="6" max="6" width="6.140625" bestFit="1" customWidth="1"/>
    <col min="7" max="7" width="8.42578125" customWidth="1"/>
    <col min="8" max="8" width="6.140625" bestFit="1" customWidth="1"/>
    <col min="9" max="9" width="8.42578125" customWidth="1"/>
    <col min="10" max="10" width="11.28515625" bestFit="1" customWidth="1"/>
    <col min="11" max="11" width="18.42578125" customWidth="1"/>
    <col min="13" max="13" width="9.140625" style="2"/>
  </cols>
  <sheetData>
    <row r="1" spans="1:18" x14ac:dyDescent="0.25">
      <c r="A1" t="s">
        <v>0</v>
      </c>
      <c r="B1" t="s">
        <v>33</v>
      </c>
      <c r="C1" t="s">
        <v>34</v>
      </c>
      <c r="D1" s="1" t="s">
        <v>35</v>
      </c>
      <c r="E1" t="s">
        <v>36</v>
      </c>
      <c r="F1" t="s">
        <v>33</v>
      </c>
      <c r="G1" t="s">
        <v>34</v>
      </c>
      <c r="H1" t="s">
        <v>33</v>
      </c>
      <c r="I1" t="s">
        <v>34</v>
      </c>
      <c r="J1" t="s">
        <v>114</v>
      </c>
      <c r="M1"/>
      <c r="O1" s="2"/>
    </row>
    <row r="2" spans="1:18" x14ac:dyDescent="0.25">
      <c r="A2" t="s">
        <v>4</v>
      </c>
      <c r="B2">
        <f>F2+H2</f>
        <v>29</v>
      </c>
      <c r="C2">
        <f>G2+I2</f>
        <v>3</v>
      </c>
      <c r="D2" s="1">
        <f>IF(ISERROR($B2/($B2+$C2)),0,$B2/($B2+$C2))</f>
        <v>0.90625</v>
      </c>
      <c r="E2" t="s">
        <v>37</v>
      </c>
      <c r="F2">
        <f>COUNTIFS('Boys Schedule'!$F:$F,$A2,'Boys Schedule'!$J:$J,"H",'Boys Schedule'!$M:$M,"&lt;&gt;"&amp;"")+COUNTIFS('Boys Schedule'!$C:$C,$A2,'Boys Schedule'!$J:$J,"V",'Boys Schedule'!$M:$M,"&lt;&gt;"&amp;"")</f>
        <v>10</v>
      </c>
      <c r="G2">
        <f>COUNTIFS('Boys Schedule'!$F:$F,$A2,'Boys Schedule'!$J:$J,"V",'Boys Schedule'!$M:$M,"&lt;&gt;"&amp;"")+COUNTIFS('Boys Schedule'!$C:$C,$A2,'Boys Schedule'!$J:$J,"H",'Boys Schedule'!$M:$M,"&lt;&gt;"&amp;"")</f>
        <v>0</v>
      </c>
      <c r="H2">
        <f>COUNTIFS('Boys Schedule'!$F:$F,$A2,'Boys Schedule'!$J:$J,"H")+COUNTIFS('Boys Schedule'!$C:$C,$A2,'Boys Schedule'!$J:$J,"V")-F2</f>
        <v>19</v>
      </c>
      <c r="I2">
        <f>COUNTIFS('Boys Schedule'!$F:$F,$A2,'Boys Schedule'!$J:$J,"V")+COUNTIFS('Boys Schedule'!$C:$C,$A2,'Boys Schedule'!$J:$J,"H")-G2</f>
        <v>3</v>
      </c>
      <c r="J2" t="s">
        <v>41</v>
      </c>
      <c r="K2" t="s">
        <v>42</v>
      </c>
      <c r="L2" t="str">
        <f t="shared" ref="L2:L12" si="0">"&lt;tr&gt;&lt;td class="""&amp;J2&amp;"""&gt;"&amp;A2&amp;"&lt;br /&gt;"&amp;K2&amp;"&lt;/td&gt;"</f>
        <v>&lt;tr&gt;&lt;td class="GCC"&gt;Garden City&lt;br /&gt;Fighting Gophers&lt;/td&gt;</v>
      </c>
      <c r="M2" t="str">
        <f>"&lt;td&gt;"&amp;B2&amp;"&lt;/td&gt;"</f>
        <v>&lt;td&gt;29&lt;/td&gt;</v>
      </c>
      <c r="N2" t="str">
        <f>"&lt;td&gt;"&amp;C2&amp;"&lt;/td&gt;"</f>
        <v>&lt;td&gt;3&lt;/td&gt;</v>
      </c>
      <c r="O2" s="2" t="str">
        <f>"&lt;td&gt;"&amp;TEXT(D2,"0.000")&amp;"&lt;/td&gt;"</f>
        <v>&lt;td&gt;0.906&lt;/td&gt;</v>
      </c>
      <c r="P2" t="str">
        <f>"&lt;td&gt;"&amp;E2&amp;"&lt;/td&gt;"</f>
        <v>&lt;td&gt;KPAC&lt;/td&gt;</v>
      </c>
      <c r="Q2" t="str">
        <f>"&lt;td&gt;"&amp;F2&amp;"&lt;/td&gt;"</f>
        <v>&lt;td&gt;10&lt;/td&gt;</v>
      </c>
      <c r="R2" t="str">
        <f>"&lt;td&gt;"&amp;G2&amp;"&lt;/td&gt;&lt;/tr&gt;"</f>
        <v>&lt;td&gt;0&lt;/td&gt;&lt;/tr&gt;</v>
      </c>
    </row>
    <row r="3" spans="1:18" x14ac:dyDescent="0.25">
      <c r="A3" t="s">
        <v>2</v>
      </c>
      <c r="B3">
        <f t="shared" ref="B3:B40" si="1">F3+H3</f>
        <v>19</v>
      </c>
      <c r="C3">
        <f t="shared" ref="C3:C40" si="2">G3+I3</f>
        <v>11</v>
      </c>
      <c r="D3" s="1">
        <f t="shared" ref="D3:D40" si="3">IF(ISERROR($B3/($B3+$C3)),0,$B3/($B3+$C3))</f>
        <v>0.6333333333333333</v>
      </c>
      <c r="E3" t="s">
        <v>37</v>
      </c>
      <c r="F3">
        <f>COUNTIFS('Boys Schedule'!$F:$F,$A3,'Boys Schedule'!$J:$J,"H",'Boys Schedule'!$M:$M,"&lt;&gt;"&amp;"")+COUNTIFS('Boys Schedule'!$C:$C,$A3,'Boys Schedule'!$J:$J,"V",'Boys Schedule'!$M:$M,"&lt;&gt;"&amp;"")</f>
        <v>9</v>
      </c>
      <c r="G3">
        <f>COUNTIFS('Boys Schedule'!$F:$F,$A3,'Boys Schedule'!$J:$J,"V",'Boys Schedule'!$M:$M,"&lt;&gt;"&amp;"")+COUNTIFS('Boys Schedule'!$C:$C,$A3,'Boys Schedule'!$J:$J,"H",'Boys Schedule'!$M:$M,"&lt;&gt;"&amp;"")</f>
        <v>1</v>
      </c>
      <c r="H3">
        <f>COUNTIFS('Boys Schedule'!$F:$F,$A3,'Boys Schedule'!$J:$J,"H")+COUNTIFS('Boys Schedule'!$C:$C,$A3,'Boys Schedule'!$J:$J,"V")-F3</f>
        <v>10</v>
      </c>
      <c r="I3">
        <f>COUNTIFS('Boys Schedule'!$F:$F,$A3,'Boys Schedule'!$J:$J,"V")+COUNTIFS('Boys Schedule'!$C:$C,$A3,'Boys Schedule'!$J:$J,"H")-G3</f>
        <v>10</v>
      </c>
      <c r="J3" t="s">
        <v>43</v>
      </c>
      <c r="K3" t="s">
        <v>44</v>
      </c>
      <c r="L3" t="str">
        <f t="shared" si="0"/>
        <v>&lt;tr&gt;&lt;td class="KEC"&gt;Kildonan-East&lt;br /&gt;Reivers&lt;/td&gt;</v>
      </c>
      <c r="M3" t="str">
        <f t="shared" ref="M3:M12" si="4">"&lt;td&gt;"&amp;B3&amp;"&lt;/td&gt;"</f>
        <v>&lt;td&gt;19&lt;/td&gt;</v>
      </c>
      <c r="N3" t="str">
        <f t="shared" ref="N3:N12" si="5">"&lt;td&gt;"&amp;C3&amp;"&lt;/td&gt;"</f>
        <v>&lt;td&gt;11&lt;/td&gt;</v>
      </c>
      <c r="O3" s="2" t="str">
        <f t="shared" ref="O3:O12" si="6">"&lt;td&gt;"&amp;TEXT(D3,"0.000")&amp;"&lt;/td&gt;"</f>
        <v>&lt;td&gt;0.633&lt;/td&gt;</v>
      </c>
      <c r="P3" t="str">
        <f t="shared" ref="P3:P12" si="7">"&lt;td&gt;"&amp;E3&amp;"&lt;/td&gt;"</f>
        <v>&lt;td&gt;KPAC&lt;/td&gt;</v>
      </c>
      <c r="Q3" t="str">
        <f t="shared" ref="Q3:Q12" si="8">"&lt;td&gt;"&amp;F3&amp;"&lt;/td&gt;"</f>
        <v>&lt;td&gt;9&lt;/td&gt;</v>
      </c>
      <c r="R3" t="str">
        <f t="shared" ref="R3:R12" si="9">"&lt;td&gt;"&amp;G3&amp;"&lt;/td&gt;&lt;/tr&gt;"</f>
        <v>&lt;td&gt;1&lt;/td&gt;&lt;/tr&gt;</v>
      </c>
    </row>
    <row r="4" spans="1:18" x14ac:dyDescent="0.25">
      <c r="A4" t="s">
        <v>16</v>
      </c>
      <c r="B4">
        <f t="shared" si="1"/>
        <v>21</v>
      </c>
      <c r="C4">
        <f t="shared" si="2"/>
        <v>14</v>
      </c>
      <c r="D4" s="1">
        <f t="shared" si="3"/>
        <v>0.6</v>
      </c>
      <c r="E4" t="s">
        <v>37</v>
      </c>
      <c r="F4">
        <f>COUNTIFS('Boys Schedule'!$F:$F,$A4,'Boys Schedule'!$J:$J,"H",'Boys Schedule'!$M:$M,"&lt;&gt;"&amp;"")+COUNTIFS('Boys Schedule'!$C:$C,$A4,'Boys Schedule'!$J:$J,"V",'Boys Schedule'!$M:$M,"&lt;&gt;"&amp;"")</f>
        <v>6</v>
      </c>
      <c r="G4">
        <f>COUNTIFS('Boys Schedule'!$F:$F,$A4,'Boys Schedule'!$J:$J,"V",'Boys Schedule'!$M:$M,"&lt;&gt;"&amp;"")+COUNTIFS('Boys Schedule'!$C:$C,$A4,'Boys Schedule'!$J:$J,"H",'Boys Schedule'!$M:$M,"&lt;&gt;"&amp;"")</f>
        <v>4</v>
      </c>
      <c r="H4">
        <f>COUNTIFS('Boys Schedule'!$F:$F,$A4,'Boys Schedule'!$J:$J,"H")+COUNTIFS('Boys Schedule'!$C:$C,$A4,'Boys Schedule'!$J:$J,"V")-F4</f>
        <v>15</v>
      </c>
      <c r="I4">
        <f>COUNTIFS('Boys Schedule'!$F:$F,$A4,'Boys Schedule'!$J:$J,"V")+COUNTIFS('Boys Schedule'!$C:$C,$A4,'Boys Schedule'!$J:$J,"H")-G4</f>
        <v>10</v>
      </c>
      <c r="J4" t="s">
        <v>45</v>
      </c>
      <c r="K4" t="s">
        <v>46</v>
      </c>
      <c r="L4" t="str">
        <f t="shared" si="0"/>
        <v>&lt;tr&gt;&lt;td class="MC"&gt;Maples&lt;br /&gt;Marauders&lt;/td&gt;</v>
      </c>
      <c r="M4" t="str">
        <f t="shared" si="4"/>
        <v>&lt;td&gt;21&lt;/td&gt;</v>
      </c>
      <c r="N4" t="str">
        <f t="shared" si="5"/>
        <v>&lt;td&gt;14&lt;/td&gt;</v>
      </c>
      <c r="O4" s="2" t="str">
        <f t="shared" si="6"/>
        <v>&lt;td&gt;0.600&lt;/td&gt;</v>
      </c>
      <c r="P4" t="str">
        <f t="shared" si="7"/>
        <v>&lt;td&gt;KPAC&lt;/td&gt;</v>
      </c>
      <c r="Q4" t="str">
        <f t="shared" si="8"/>
        <v>&lt;td&gt;6&lt;/td&gt;</v>
      </c>
      <c r="R4" t="str">
        <f t="shared" si="9"/>
        <v>&lt;td&gt;4&lt;/td&gt;&lt;/tr&gt;</v>
      </c>
    </row>
    <row r="5" spans="1:18" x14ac:dyDescent="0.25">
      <c r="A5" t="s">
        <v>7</v>
      </c>
      <c r="B5">
        <f t="shared" si="1"/>
        <v>12</v>
      </c>
      <c r="C5">
        <f t="shared" si="2"/>
        <v>15</v>
      </c>
      <c r="D5" s="1">
        <f t="shared" si="3"/>
        <v>0.44444444444444442</v>
      </c>
      <c r="E5" t="s">
        <v>37</v>
      </c>
      <c r="F5">
        <f>COUNTIFS('Boys Schedule'!$F:$F,$A5,'Boys Schedule'!$J:$J,"H",'Boys Schedule'!$M:$M,"&lt;&gt;"&amp;"")+COUNTIFS('Boys Schedule'!$C:$C,$A5,'Boys Schedule'!$J:$J,"V",'Boys Schedule'!$M:$M,"&lt;&gt;"&amp;"")</f>
        <v>6</v>
      </c>
      <c r="G5">
        <f>COUNTIFS('Boys Schedule'!$F:$F,$A5,'Boys Schedule'!$J:$J,"V",'Boys Schedule'!$M:$M,"&lt;&gt;"&amp;"")+COUNTIFS('Boys Schedule'!$C:$C,$A5,'Boys Schedule'!$J:$J,"H",'Boys Schedule'!$M:$M,"&lt;&gt;"&amp;"")</f>
        <v>4</v>
      </c>
      <c r="H5">
        <f>COUNTIFS('Boys Schedule'!$F:$F,$A5,'Boys Schedule'!$J:$J,"H")+COUNTIFS('Boys Schedule'!$C:$C,$A5,'Boys Schedule'!$J:$J,"V")-F5</f>
        <v>6</v>
      </c>
      <c r="I5">
        <f>COUNTIFS('Boys Schedule'!$F:$F,$A5,'Boys Schedule'!$J:$J,"V")+COUNTIFS('Boys Schedule'!$C:$C,$A5,'Boys Schedule'!$J:$J,"H")-G5</f>
        <v>11</v>
      </c>
      <c r="J5" t="s">
        <v>7</v>
      </c>
      <c r="K5" t="s">
        <v>47</v>
      </c>
      <c r="L5" t="str">
        <f t="shared" si="0"/>
        <v>&lt;tr&gt;&lt;td class="MBCI"&gt;MBCI&lt;br /&gt;Hawks&lt;/td&gt;</v>
      </c>
      <c r="M5" t="str">
        <f t="shared" si="4"/>
        <v>&lt;td&gt;12&lt;/td&gt;</v>
      </c>
      <c r="N5" t="str">
        <f t="shared" si="5"/>
        <v>&lt;td&gt;15&lt;/td&gt;</v>
      </c>
      <c r="O5" s="2" t="str">
        <f t="shared" si="6"/>
        <v>&lt;td&gt;0.444&lt;/td&gt;</v>
      </c>
      <c r="P5" t="str">
        <f t="shared" si="7"/>
        <v>&lt;td&gt;KPAC&lt;/td&gt;</v>
      </c>
      <c r="Q5" t="str">
        <f t="shared" si="8"/>
        <v>&lt;td&gt;6&lt;/td&gt;</v>
      </c>
      <c r="R5" t="str">
        <f t="shared" si="9"/>
        <v>&lt;td&gt;4&lt;/td&gt;&lt;/tr&gt;</v>
      </c>
    </row>
    <row r="6" spans="1:18" x14ac:dyDescent="0.25">
      <c r="A6" t="s">
        <v>11</v>
      </c>
      <c r="B6">
        <f t="shared" si="1"/>
        <v>9</v>
      </c>
      <c r="C6">
        <f t="shared" si="2"/>
        <v>19</v>
      </c>
      <c r="D6" s="1">
        <f t="shared" si="3"/>
        <v>0.32142857142857145</v>
      </c>
      <c r="E6" t="s">
        <v>37</v>
      </c>
      <c r="F6">
        <f>COUNTIFS('Boys Schedule'!$F:$F,$A6,'Boys Schedule'!$J:$J,"H",'Boys Schedule'!$M:$M,"&lt;&gt;"&amp;"")+COUNTIFS('Boys Schedule'!$C:$C,$A6,'Boys Schedule'!$J:$J,"V",'Boys Schedule'!$M:$M,"&lt;&gt;"&amp;"")</f>
        <v>3</v>
      </c>
      <c r="G6">
        <f>COUNTIFS('Boys Schedule'!$F:$F,$A6,'Boys Schedule'!$J:$J,"V",'Boys Schedule'!$M:$M,"&lt;&gt;"&amp;"")+COUNTIFS('Boys Schedule'!$C:$C,$A6,'Boys Schedule'!$J:$J,"H",'Boys Schedule'!$M:$M,"&lt;&gt;"&amp;"")</f>
        <v>7</v>
      </c>
      <c r="H6">
        <f>COUNTIFS('Boys Schedule'!$F:$F,$A6,'Boys Schedule'!$J:$J,"H")+COUNTIFS('Boys Schedule'!$C:$C,$A6,'Boys Schedule'!$J:$J,"V")-F6</f>
        <v>6</v>
      </c>
      <c r="I6">
        <f>COUNTIFS('Boys Schedule'!$F:$F,$A6,'Boys Schedule'!$J:$J,"V")+COUNTIFS('Boys Schedule'!$C:$C,$A6,'Boys Schedule'!$J:$J,"H")-G6</f>
        <v>12</v>
      </c>
      <c r="J6" t="s">
        <v>48</v>
      </c>
      <c r="K6" t="s">
        <v>49</v>
      </c>
      <c r="L6" t="str">
        <f t="shared" si="0"/>
        <v>&lt;tr&gt;&lt;td class="MMC"&gt;Miles Macdonell&lt;br /&gt;Buckeyes&lt;/td&gt;</v>
      </c>
      <c r="M6" t="str">
        <f t="shared" si="4"/>
        <v>&lt;td&gt;9&lt;/td&gt;</v>
      </c>
      <c r="N6" t="str">
        <f t="shared" si="5"/>
        <v>&lt;td&gt;19&lt;/td&gt;</v>
      </c>
      <c r="O6" s="2" t="str">
        <f t="shared" si="6"/>
        <v>&lt;td&gt;0.321&lt;/td&gt;</v>
      </c>
      <c r="P6" t="str">
        <f t="shared" si="7"/>
        <v>&lt;td&gt;KPAC&lt;/td&gt;</v>
      </c>
      <c r="Q6" t="str">
        <f t="shared" si="8"/>
        <v>&lt;td&gt;3&lt;/td&gt;</v>
      </c>
      <c r="R6" t="str">
        <f t="shared" si="9"/>
        <v>&lt;td&gt;7&lt;/td&gt;&lt;/tr&gt;</v>
      </c>
    </row>
    <row r="7" spans="1:18" x14ac:dyDescent="0.25">
      <c r="A7" t="s">
        <v>17</v>
      </c>
      <c r="B7">
        <f t="shared" si="1"/>
        <v>12</v>
      </c>
      <c r="C7">
        <f t="shared" si="2"/>
        <v>10</v>
      </c>
      <c r="D7" s="1">
        <f t="shared" si="3"/>
        <v>0.54545454545454541</v>
      </c>
      <c r="E7" t="s">
        <v>37</v>
      </c>
      <c r="F7">
        <f>COUNTIFS('Boys Schedule'!$F:$F,$A7,'Boys Schedule'!$J:$J,"H",'Boys Schedule'!$M:$M,"&lt;&gt;"&amp;"")+COUNTIFS('Boys Schedule'!$C:$C,$A7,'Boys Schedule'!$J:$J,"V",'Boys Schedule'!$M:$M,"&lt;&gt;"&amp;"")</f>
        <v>6</v>
      </c>
      <c r="G7">
        <f>COUNTIFS('Boys Schedule'!$F:$F,$A7,'Boys Schedule'!$J:$J,"V",'Boys Schedule'!$M:$M,"&lt;&gt;"&amp;"")+COUNTIFS('Boys Schedule'!$C:$C,$A7,'Boys Schedule'!$J:$J,"H",'Boys Schedule'!$M:$M,"&lt;&gt;"&amp;"")</f>
        <v>4</v>
      </c>
      <c r="H7">
        <f>COUNTIFS('Boys Schedule'!$F:$F,$A7,'Boys Schedule'!$J:$J,"H")+COUNTIFS('Boys Schedule'!$C:$C,$A7,'Boys Schedule'!$J:$J,"V")-F7</f>
        <v>6</v>
      </c>
      <c r="I7">
        <f>COUNTIFS('Boys Schedule'!$F:$F,$A7,'Boys Schedule'!$J:$J,"V")+COUNTIFS('Boys Schedule'!$C:$C,$A7,'Boys Schedule'!$J:$J,"H")-G7</f>
        <v>6</v>
      </c>
      <c r="J7" t="s">
        <v>50</v>
      </c>
      <c r="K7" t="s">
        <v>51</v>
      </c>
      <c r="L7" t="str">
        <f t="shared" si="0"/>
        <v>&lt;tr&gt;&lt;td class="MMCI"&gt;Murdoch MacKay&lt;br /&gt;Clansmen&lt;/td&gt;</v>
      </c>
      <c r="M7" t="str">
        <f t="shared" si="4"/>
        <v>&lt;td&gt;12&lt;/td&gt;</v>
      </c>
      <c r="N7" t="str">
        <f t="shared" si="5"/>
        <v>&lt;td&gt;10&lt;/td&gt;</v>
      </c>
      <c r="O7" s="2" t="str">
        <f t="shared" si="6"/>
        <v>&lt;td&gt;0.545&lt;/td&gt;</v>
      </c>
      <c r="P7" t="str">
        <f t="shared" si="7"/>
        <v>&lt;td&gt;KPAC&lt;/td&gt;</v>
      </c>
      <c r="Q7" t="str">
        <f t="shared" si="8"/>
        <v>&lt;td&gt;6&lt;/td&gt;</v>
      </c>
      <c r="R7" t="str">
        <f t="shared" si="9"/>
        <v>&lt;td&gt;4&lt;/td&gt;&lt;/tr&gt;</v>
      </c>
    </row>
    <row r="8" spans="1:18" x14ac:dyDescent="0.25">
      <c r="A8" t="s">
        <v>18</v>
      </c>
      <c r="B8">
        <f t="shared" si="1"/>
        <v>10</v>
      </c>
      <c r="C8">
        <f t="shared" si="2"/>
        <v>13</v>
      </c>
      <c r="D8" s="1">
        <f t="shared" si="3"/>
        <v>0.43478260869565216</v>
      </c>
      <c r="E8" t="s">
        <v>37</v>
      </c>
      <c r="F8">
        <f>COUNTIFS('Boys Schedule'!$F:$F,$A8,'Boys Schedule'!$J:$J,"H",'Boys Schedule'!$M:$M,"&lt;&gt;"&amp;"")+COUNTIFS('Boys Schedule'!$C:$C,$A8,'Boys Schedule'!$J:$J,"V",'Boys Schedule'!$M:$M,"&lt;&gt;"&amp;"")</f>
        <v>5</v>
      </c>
      <c r="G8">
        <f>COUNTIFS('Boys Schedule'!$F:$F,$A8,'Boys Schedule'!$J:$J,"V",'Boys Schedule'!$M:$M,"&lt;&gt;"&amp;"")+COUNTIFS('Boys Schedule'!$C:$C,$A8,'Boys Schedule'!$J:$J,"H",'Boys Schedule'!$M:$M,"&lt;&gt;"&amp;"")</f>
        <v>5</v>
      </c>
      <c r="H8">
        <f>COUNTIFS('Boys Schedule'!$F:$F,$A8,'Boys Schedule'!$J:$J,"H")+COUNTIFS('Boys Schedule'!$C:$C,$A8,'Boys Schedule'!$J:$J,"V")-F8</f>
        <v>5</v>
      </c>
      <c r="I8">
        <f>COUNTIFS('Boys Schedule'!$F:$F,$A8,'Boys Schedule'!$J:$J,"V")+COUNTIFS('Boys Schedule'!$C:$C,$A8,'Boys Schedule'!$J:$J,"H")-G8</f>
        <v>8</v>
      </c>
      <c r="J8" t="s">
        <v>52</v>
      </c>
      <c r="K8" t="s">
        <v>53</v>
      </c>
      <c r="L8" t="str">
        <f t="shared" si="0"/>
        <v>&lt;tr&gt;&lt;td class="REC"&gt;River East&lt;br /&gt;Kodiaks&lt;/td&gt;</v>
      </c>
      <c r="M8" t="str">
        <f t="shared" si="4"/>
        <v>&lt;td&gt;10&lt;/td&gt;</v>
      </c>
      <c r="N8" t="str">
        <f t="shared" si="5"/>
        <v>&lt;td&gt;13&lt;/td&gt;</v>
      </c>
      <c r="O8" s="2" t="str">
        <f t="shared" si="6"/>
        <v>&lt;td&gt;0.435&lt;/td&gt;</v>
      </c>
      <c r="P8" t="str">
        <f t="shared" si="7"/>
        <v>&lt;td&gt;KPAC&lt;/td&gt;</v>
      </c>
      <c r="Q8" t="str">
        <f t="shared" si="8"/>
        <v>&lt;td&gt;5&lt;/td&gt;</v>
      </c>
      <c r="R8" t="str">
        <f t="shared" si="9"/>
        <v>&lt;td&gt;5&lt;/td&gt;&lt;/tr&gt;</v>
      </c>
    </row>
    <row r="9" spans="1:18" x14ac:dyDescent="0.25">
      <c r="A9" t="s">
        <v>12</v>
      </c>
      <c r="B9">
        <f t="shared" si="1"/>
        <v>2</v>
      </c>
      <c r="C9">
        <f t="shared" si="2"/>
        <v>14</v>
      </c>
      <c r="D9" s="1">
        <f t="shared" si="3"/>
        <v>0.125</v>
      </c>
      <c r="E9" t="s">
        <v>37</v>
      </c>
      <c r="F9">
        <f>COUNTIFS('Boys Schedule'!$F:$F,$A9,'Boys Schedule'!$J:$J,"H",'Boys Schedule'!$M:$M,"&lt;&gt;"&amp;"")+COUNTIFS('Boys Schedule'!$C:$C,$A9,'Boys Schedule'!$J:$J,"V",'Boys Schedule'!$M:$M,"&lt;&gt;"&amp;"")</f>
        <v>1</v>
      </c>
      <c r="G9">
        <f>COUNTIFS('Boys Schedule'!$F:$F,$A9,'Boys Schedule'!$J:$J,"V",'Boys Schedule'!$M:$M,"&lt;&gt;"&amp;"")+COUNTIFS('Boys Schedule'!$C:$C,$A9,'Boys Schedule'!$J:$J,"H",'Boys Schedule'!$M:$M,"&lt;&gt;"&amp;"")</f>
        <v>9</v>
      </c>
      <c r="H9">
        <f>COUNTIFS('Boys Schedule'!$F:$F,$A9,'Boys Schedule'!$J:$J,"H")+COUNTIFS('Boys Schedule'!$C:$C,$A9,'Boys Schedule'!$J:$J,"V")-F9</f>
        <v>1</v>
      </c>
      <c r="I9">
        <f>COUNTIFS('Boys Schedule'!$F:$F,$A9,'Boys Schedule'!$J:$J,"V")+COUNTIFS('Boys Schedule'!$C:$C,$A9,'Boys Schedule'!$J:$J,"H")-G9</f>
        <v>5</v>
      </c>
      <c r="J9" t="s">
        <v>54</v>
      </c>
      <c r="K9" t="s">
        <v>55</v>
      </c>
      <c r="L9" t="str">
        <f t="shared" si="0"/>
        <v>&lt;tr&gt;&lt;td class="LS"&gt;Selkirk&lt;br /&gt;Royals&lt;/td&gt;</v>
      </c>
      <c r="M9" t="str">
        <f t="shared" si="4"/>
        <v>&lt;td&gt;2&lt;/td&gt;</v>
      </c>
      <c r="N9" t="str">
        <f t="shared" si="5"/>
        <v>&lt;td&gt;14&lt;/td&gt;</v>
      </c>
      <c r="O9" s="2" t="str">
        <f t="shared" si="6"/>
        <v>&lt;td&gt;0.125&lt;/td&gt;</v>
      </c>
      <c r="P9" t="str">
        <f t="shared" si="7"/>
        <v>&lt;td&gt;KPAC&lt;/td&gt;</v>
      </c>
      <c r="Q9" t="str">
        <f t="shared" si="8"/>
        <v>&lt;td&gt;1&lt;/td&gt;</v>
      </c>
      <c r="R9" t="str">
        <f t="shared" si="9"/>
        <v>&lt;td&gt;9&lt;/td&gt;&lt;/tr&gt;</v>
      </c>
    </row>
    <row r="10" spans="1:18" x14ac:dyDescent="0.25">
      <c r="A10" t="s">
        <v>104</v>
      </c>
      <c r="B10">
        <f t="shared" si="1"/>
        <v>7</v>
      </c>
      <c r="C10">
        <f t="shared" si="2"/>
        <v>19</v>
      </c>
      <c r="D10" s="1">
        <f t="shared" si="3"/>
        <v>0.26923076923076922</v>
      </c>
      <c r="E10" t="s">
        <v>37</v>
      </c>
      <c r="F10">
        <f>COUNTIFS('Boys Schedule'!$F:$F,$A10,'Boys Schedule'!$J:$J,"H",'Boys Schedule'!$M:$M,"&lt;&gt;"&amp;"")+COUNTIFS('Boys Schedule'!$C:$C,$A10,'Boys Schedule'!$J:$J,"V",'Boys Schedule'!$M:$M,"&lt;&gt;"&amp;"")</f>
        <v>1</v>
      </c>
      <c r="G10">
        <f>COUNTIFS('Boys Schedule'!$F:$F,$A10,'Boys Schedule'!$J:$J,"V",'Boys Schedule'!$M:$M,"&lt;&gt;"&amp;"")+COUNTIFS('Boys Schedule'!$C:$C,$A10,'Boys Schedule'!$J:$J,"H",'Boys Schedule'!$M:$M,"&lt;&gt;"&amp;"")</f>
        <v>9</v>
      </c>
      <c r="H10">
        <f>COUNTIFS('Boys Schedule'!$F:$F,$A10,'Boys Schedule'!$J:$J,"H")+COUNTIFS('Boys Schedule'!$C:$C,$A10,'Boys Schedule'!$J:$J,"V")-F10</f>
        <v>6</v>
      </c>
      <c r="I10">
        <f>COUNTIFS('Boys Schedule'!$F:$F,$A10,'Boys Schedule'!$J:$J,"V")+COUNTIFS('Boys Schedule'!$C:$C,$A10,'Boys Schedule'!$J:$J,"H")-G10</f>
        <v>10</v>
      </c>
      <c r="J10" t="s">
        <v>105</v>
      </c>
      <c r="K10" t="s">
        <v>67</v>
      </c>
      <c r="L10" t="str">
        <f t="shared" si="0"/>
        <v>&lt;tr&gt;&lt;td class="SCI"&gt;Springfield&lt;br /&gt;Sabres&lt;/td&gt;</v>
      </c>
      <c r="M10" t="str">
        <f t="shared" si="4"/>
        <v>&lt;td&gt;7&lt;/td&gt;</v>
      </c>
      <c r="N10" t="str">
        <f t="shared" si="5"/>
        <v>&lt;td&gt;19&lt;/td&gt;</v>
      </c>
      <c r="O10" s="2" t="str">
        <f t="shared" si="6"/>
        <v>&lt;td&gt;0.269&lt;/td&gt;</v>
      </c>
      <c r="P10" t="str">
        <f t="shared" si="7"/>
        <v>&lt;td&gt;KPAC&lt;/td&gt;</v>
      </c>
      <c r="Q10" t="str">
        <f t="shared" si="8"/>
        <v>&lt;td&gt;1&lt;/td&gt;</v>
      </c>
      <c r="R10" t="str">
        <f t="shared" si="9"/>
        <v>&lt;td&gt;9&lt;/td&gt;&lt;/tr&gt;</v>
      </c>
    </row>
    <row r="11" spans="1:18" x14ac:dyDescent="0.25">
      <c r="A11" t="s">
        <v>19</v>
      </c>
      <c r="B11">
        <f t="shared" si="1"/>
        <v>4</v>
      </c>
      <c r="C11">
        <f t="shared" si="2"/>
        <v>18</v>
      </c>
      <c r="D11" s="1">
        <f t="shared" si="3"/>
        <v>0.18181818181818182</v>
      </c>
      <c r="E11" t="s">
        <v>37</v>
      </c>
      <c r="F11">
        <f>COUNTIFS('Boys Schedule'!$F:$F,$A11,'Boys Schedule'!$J:$J,"H",'Boys Schedule'!$M:$M,"&lt;&gt;"&amp;"")+COUNTIFS('Boys Schedule'!$C:$C,$A11,'Boys Schedule'!$J:$J,"V",'Boys Schedule'!$M:$M,"&lt;&gt;"&amp;"")</f>
        <v>1</v>
      </c>
      <c r="G11">
        <f>COUNTIFS('Boys Schedule'!$F:$F,$A11,'Boys Schedule'!$J:$J,"V",'Boys Schedule'!$M:$M,"&lt;&gt;"&amp;"")+COUNTIFS('Boys Schedule'!$C:$C,$A11,'Boys Schedule'!$J:$J,"H",'Boys Schedule'!$M:$M,"&lt;&gt;"&amp;"")</f>
        <v>9</v>
      </c>
      <c r="H11">
        <f>COUNTIFS('Boys Schedule'!$F:$F,$A11,'Boys Schedule'!$J:$J,"H")+COUNTIFS('Boys Schedule'!$C:$C,$A11,'Boys Schedule'!$J:$J,"V")-F11</f>
        <v>3</v>
      </c>
      <c r="I11">
        <f>COUNTIFS('Boys Schedule'!$F:$F,$A11,'Boys Schedule'!$J:$J,"V")+COUNTIFS('Boys Schedule'!$C:$C,$A11,'Boys Schedule'!$J:$J,"H")-G11</f>
        <v>9</v>
      </c>
      <c r="J11" t="s">
        <v>56</v>
      </c>
      <c r="K11" t="s">
        <v>57</v>
      </c>
      <c r="L11" t="str">
        <f t="shared" si="0"/>
        <v>&lt;tr&gt;&lt;td class="TCI"&gt;Transcona&lt;br /&gt;Titans&lt;/td&gt;</v>
      </c>
      <c r="M11" t="str">
        <f t="shared" si="4"/>
        <v>&lt;td&gt;4&lt;/td&gt;</v>
      </c>
      <c r="N11" t="str">
        <f t="shared" si="5"/>
        <v>&lt;td&gt;18&lt;/td&gt;</v>
      </c>
      <c r="O11" s="2" t="str">
        <f t="shared" si="6"/>
        <v>&lt;td&gt;0.182&lt;/td&gt;</v>
      </c>
      <c r="P11" t="str">
        <f t="shared" si="7"/>
        <v>&lt;td&gt;KPAC&lt;/td&gt;</v>
      </c>
      <c r="Q11" t="str">
        <f t="shared" si="8"/>
        <v>&lt;td&gt;1&lt;/td&gt;</v>
      </c>
      <c r="R11" t="str">
        <f t="shared" si="9"/>
        <v>&lt;td&gt;9&lt;/td&gt;&lt;/tr&gt;</v>
      </c>
    </row>
    <row r="12" spans="1:18" x14ac:dyDescent="0.25">
      <c r="A12" t="s">
        <v>20</v>
      </c>
      <c r="B12">
        <f t="shared" si="1"/>
        <v>10</v>
      </c>
      <c r="C12">
        <f t="shared" si="2"/>
        <v>6</v>
      </c>
      <c r="D12" s="1">
        <f t="shared" si="3"/>
        <v>0.625</v>
      </c>
      <c r="E12" t="s">
        <v>37</v>
      </c>
      <c r="F12">
        <f>COUNTIFS('Boys Schedule'!$F:$F,$A12,'Boys Schedule'!$J:$J,"H",'Boys Schedule'!$M:$M,"&lt;&gt;"&amp;"")+COUNTIFS('Boys Schedule'!$C:$C,$A12,'Boys Schedule'!$J:$J,"V",'Boys Schedule'!$M:$M,"&lt;&gt;"&amp;"")</f>
        <v>7</v>
      </c>
      <c r="G12">
        <f>COUNTIFS('Boys Schedule'!$F:$F,$A12,'Boys Schedule'!$J:$J,"V",'Boys Schedule'!$M:$M,"&lt;&gt;"&amp;"")+COUNTIFS('Boys Schedule'!$C:$C,$A12,'Boys Schedule'!$J:$J,"H",'Boys Schedule'!$M:$M,"&lt;&gt;"&amp;"")</f>
        <v>3</v>
      </c>
      <c r="H12">
        <f>COUNTIFS('Boys Schedule'!$F:$F,$A12,'Boys Schedule'!$J:$J,"H")+COUNTIFS('Boys Schedule'!$C:$C,$A12,'Boys Schedule'!$J:$J,"V")-F12</f>
        <v>3</v>
      </c>
      <c r="I12">
        <f>COUNTIFS('Boys Schedule'!$F:$F,$A12,'Boys Schedule'!$J:$J,"V")+COUNTIFS('Boys Schedule'!$C:$C,$A12,'Boys Schedule'!$J:$J,"H")-G12</f>
        <v>3</v>
      </c>
      <c r="J12" t="s">
        <v>58</v>
      </c>
      <c r="K12" t="s">
        <v>59</v>
      </c>
      <c r="L12" t="str">
        <f t="shared" si="0"/>
        <v>&lt;tr&gt;&lt;td class="WKC"&gt;West Kildonan&lt;br /&gt;Wolverines&lt;/td&gt;</v>
      </c>
      <c r="M12" t="str">
        <f t="shared" si="4"/>
        <v>&lt;td&gt;10&lt;/td&gt;</v>
      </c>
      <c r="N12" t="str">
        <f t="shared" si="5"/>
        <v>&lt;td&gt;6&lt;/td&gt;</v>
      </c>
      <c r="O12" s="2" t="str">
        <f t="shared" si="6"/>
        <v>&lt;td&gt;0.625&lt;/td&gt;</v>
      </c>
      <c r="P12" t="str">
        <f t="shared" si="7"/>
        <v>&lt;td&gt;KPAC&lt;/td&gt;</v>
      </c>
      <c r="Q12" t="str">
        <f t="shared" si="8"/>
        <v>&lt;td&gt;7&lt;/td&gt;</v>
      </c>
      <c r="R12" t="str">
        <f t="shared" si="9"/>
        <v>&lt;td&gt;3&lt;/td&gt;&lt;/tr&gt;</v>
      </c>
    </row>
    <row r="13" spans="1:18" x14ac:dyDescent="0.25">
      <c r="A13" t="s">
        <v>8</v>
      </c>
      <c r="B13">
        <f t="shared" si="1"/>
        <v>19</v>
      </c>
      <c r="C13">
        <f t="shared" si="2"/>
        <v>9</v>
      </c>
      <c r="D13" s="1">
        <f t="shared" si="3"/>
        <v>0.6785714285714286</v>
      </c>
      <c r="E13" t="s">
        <v>242</v>
      </c>
      <c r="F13">
        <f>COUNTIFS('Boys Schedule'!$F:$F,$A13,'Boys Schedule'!$J:$J,"H",'Boys Schedule'!$M:$M,"&lt;&gt;"&amp;"")+COUNTIFS('Boys Schedule'!$C:$C,$A13,'Boys Schedule'!$J:$J,"V",'Boys Schedule'!$M:$M,"&lt;&gt;"&amp;"")</f>
        <v>7</v>
      </c>
      <c r="G13">
        <f>COUNTIFS('Boys Schedule'!$F:$F,$A13,'Boys Schedule'!$J:$J,"V",'Boys Schedule'!$M:$M,"&lt;&gt;"&amp;"")+COUNTIFS('Boys Schedule'!$C:$C,$A13,'Boys Schedule'!$J:$J,"H",'Boys Schedule'!$M:$M,"&lt;&gt;"&amp;"")</f>
        <v>1</v>
      </c>
      <c r="H13">
        <f>COUNTIFS('Boys Schedule'!$F:$F,$A13,'Boys Schedule'!$J:$J,"H")+COUNTIFS('Boys Schedule'!$C:$C,$A13,'Boys Schedule'!$J:$J,"V")-F13</f>
        <v>12</v>
      </c>
      <c r="I13">
        <f>COUNTIFS('Boys Schedule'!$F:$F,$A13,'Boys Schedule'!$J:$J,"V")+COUNTIFS('Boys Schedule'!$C:$C,$A13,'Boys Schedule'!$J:$J,"H")-G13</f>
        <v>8</v>
      </c>
      <c r="J13" t="s">
        <v>60</v>
      </c>
      <c r="K13" t="s">
        <v>61</v>
      </c>
      <c r="L13" t="str">
        <f t="shared" ref="L13:L36" si="10">"&lt;tr&gt;&lt;td class="""&amp;J13&amp;"""&gt;"&amp;A13&amp;"&lt;br /&gt;"&amp;K13&amp;"&lt;/td&gt;"</f>
        <v>&lt;tr&gt;&lt;td class="DCI"&gt;Dakota&lt;br /&gt;Lancers&lt;/td&gt;</v>
      </c>
      <c r="M13" t="str">
        <f t="shared" ref="M13:M36" si="11">"&lt;td&gt;"&amp;B13&amp;"&lt;/td&gt;"</f>
        <v>&lt;td&gt;19&lt;/td&gt;</v>
      </c>
      <c r="N13" t="str">
        <f t="shared" ref="N13:N36" si="12">"&lt;td&gt;"&amp;C13&amp;"&lt;/td&gt;"</f>
        <v>&lt;td&gt;9&lt;/td&gt;</v>
      </c>
      <c r="O13" s="2" t="str">
        <f t="shared" ref="O13:O36" si="13">"&lt;td&gt;"&amp;TEXT(D13,"0.000")&amp;"&lt;/td&gt;"</f>
        <v>&lt;td&gt;0.679&lt;/td&gt;</v>
      </c>
      <c r="P13" t="str">
        <f t="shared" ref="P13:P36" si="14">"&lt;td&gt;"&amp;E13&amp;"&lt;/td&gt;"</f>
        <v>&lt;td&gt;SCAC-1&lt;/td&gt;</v>
      </c>
      <c r="Q13" t="str">
        <f t="shared" ref="Q13:Q36" si="15">"&lt;td&gt;"&amp;F13&amp;"&lt;/td&gt;"</f>
        <v>&lt;td&gt;7&lt;/td&gt;</v>
      </c>
      <c r="R13" t="str">
        <f t="shared" ref="R13:R36" si="16">"&lt;td&gt;"&amp;G13&amp;"&lt;/td&gt;&lt;/tr&gt;"</f>
        <v>&lt;td&gt;1&lt;/td&gt;&lt;/tr&gt;</v>
      </c>
    </row>
    <row r="14" spans="1:18" x14ac:dyDescent="0.25">
      <c r="A14" t="s">
        <v>5</v>
      </c>
      <c r="B14">
        <f t="shared" si="1"/>
        <v>15</v>
      </c>
      <c r="C14">
        <f t="shared" si="2"/>
        <v>15</v>
      </c>
      <c r="D14" s="1">
        <f t="shared" si="3"/>
        <v>0.5</v>
      </c>
      <c r="E14" t="s">
        <v>242</v>
      </c>
      <c r="F14">
        <f>COUNTIFS('Boys Schedule'!$F:$F,$A14,'Boys Schedule'!$J:$J,"H",'Boys Schedule'!$M:$M,"&lt;&gt;"&amp;"")+COUNTIFS('Boys Schedule'!$C:$C,$A14,'Boys Schedule'!$J:$J,"V",'Boys Schedule'!$M:$M,"&lt;&gt;"&amp;"")</f>
        <v>4</v>
      </c>
      <c r="G14">
        <f>COUNTIFS('Boys Schedule'!$F:$F,$A14,'Boys Schedule'!$J:$J,"V",'Boys Schedule'!$M:$M,"&lt;&gt;"&amp;"")+COUNTIFS('Boys Schedule'!$C:$C,$A14,'Boys Schedule'!$J:$J,"H",'Boys Schedule'!$M:$M,"&lt;&gt;"&amp;"")</f>
        <v>4</v>
      </c>
      <c r="H14">
        <f>COUNTIFS('Boys Schedule'!$F:$F,$A14,'Boys Schedule'!$J:$J,"H")+COUNTIFS('Boys Schedule'!$C:$C,$A14,'Boys Schedule'!$J:$J,"V")-F14</f>
        <v>11</v>
      </c>
      <c r="I14">
        <f>COUNTIFS('Boys Schedule'!$F:$F,$A14,'Boys Schedule'!$J:$J,"V")+COUNTIFS('Boys Schedule'!$C:$C,$A14,'Boys Schedule'!$J:$J,"H")-G14</f>
        <v>11</v>
      </c>
      <c r="J14" t="s">
        <v>62</v>
      </c>
      <c r="K14" t="s">
        <v>63</v>
      </c>
      <c r="L14" t="str">
        <f t="shared" si="10"/>
        <v>&lt;tr&gt;&lt;td class="GCI"&gt;Glenlawn&lt;br /&gt;Lions&lt;/td&gt;</v>
      </c>
      <c r="M14" t="str">
        <f t="shared" si="11"/>
        <v>&lt;td&gt;15&lt;/td&gt;</v>
      </c>
      <c r="N14" t="str">
        <f t="shared" si="12"/>
        <v>&lt;td&gt;15&lt;/td&gt;</v>
      </c>
      <c r="O14" s="2" t="str">
        <f t="shared" si="13"/>
        <v>&lt;td&gt;0.500&lt;/td&gt;</v>
      </c>
      <c r="P14" t="str">
        <f t="shared" si="14"/>
        <v>&lt;td&gt;SCAC-1&lt;/td&gt;</v>
      </c>
      <c r="Q14" t="str">
        <f t="shared" si="15"/>
        <v>&lt;td&gt;4&lt;/td&gt;</v>
      </c>
      <c r="R14" t="str">
        <f t="shared" si="16"/>
        <v>&lt;td&gt;4&lt;/td&gt;&lt;/tr&gt;</v>
      </c>
    </row>
    <row r="15" spans="1:18" x14ac:dyDescent="0.25">
      <c r="A15" t="s">
        <v>21</v>
      </c>
      <c r="B15">
        <f t="shared" si="1"/>
        <v>6</v>
      </c>
      <c r="C15">
        <f t="shared" si="2"/>
        <v>17</v>
      </c>
      <c r="D15" s="1">
        <f t="shared" si="3"/>
        <v>0.2608695652173913</v>
      </c>
      <c r="E15" t="s">
        <v>242</v>
      </c>
      <c r="F15">
        <f>COUNTIFS('Boys Schedule'!$F:$F,$A15,'Boys Schedule'!$J:$J,"H",'Boys Schedule'!$M:$M,"&lt;&gt;"&amp;"")+COUNTIFS('Boys Schedule'!$C:$C,$A15,'Boys Schedule'!$J:$J,"V",'Boys Schedule'!$M:$M,"&lt;&gt;"&amp;"")</f>
        <v>2</v>
      </c>
      <c r="G15">
        <f>COUNTIFS('Boys Schedule'!$F:$F,$A15,'Boys Schedule'!$J:$J,"V",'Boys Schedule'!$M:$M,"&lt;&gt;"&amp;"")+COUNTIFS('Boys Schedule'!$C:$C,$A15,'Boys Schedule'!$J:$J,"H",'Boys Schedule'!$M:$M,"&lt;&gt;"&amp;"")</f>
        <v>6</v>
      </c>
      <c r="H15">
        <f>COUNTIFS('Boys Schedule'!$F:$F,$A15,'Boys Schedule'!$J:$J,"H")+COUNTIFS('Boys Schedule'!$C:$C,$A15,'Boys Schedule'!$J:$J,"V")-F15</f>
        <v>4</v>
      </c>
      <c r="I15">
        <f>COUNTIFS('Boys Schedule'!$F:$F,$A15,'Boys Schedule'!$J:$J,"V")+COUNTIFS('Boys Schedule'!$C:$C,$A15,'Boys Schedule'!$J:$J,"H")-G15</f>
        <v>11</v>
      </c>
      <c r="J15" t="s">
        <v>64</v>
      </c>
      <c r="K15" t="s">
        <v>65</v>
      </c>
      <c r="L15" t="str">
        <f t="shared" si="10"/>
        <v>&lt;tr&gt;&lt;td class="JHB"&gt;J.H. Bruns&lt;br /&gt;Broncos&lt;/td&gt;</v>
      </c>
      <c r="M15" t="str">
        <f t="shared" si="11"/>
        <v>&lt;td&gt;6&lt;/td&gt;</v>
      </c>
      <c r="N15" t="str">
        <f t="shared" si="12"/>
        <v>&lt;td&gt;17&lt;/td&gt;</v>
      </c>
      <c r="O15" s="2" t="str">
        <f t="shared" si="13"/>
        <v>&lt;td&gt;0.261&lt;/td&gt;</v>
      </c>
      <c r="P15" t="str">
        <f t="shared" si="14"/>
        <v>&lt;td&gt;SCAC-1&lt;/td&gt;</v>
      </c>
      <c r="Q15" t="str">
        <f t="shared" si="15"/>
        <v>&lt;td&gt;2&lt;/td&gt;</v>
      </c>
      <c r="R15" t="str">
        <f t="shared" si="16"/>
        <v>&lt;td&gt;6&lt;/td&gt;&lt;/tr&gt;</v>
      </c>
    </row>
    <row r="16" spans="1:18" x14ac:dyDescent="0.25">
      <c r="A16" t="s">
        <v>213</v>
      </c>
      <c r="B16">
        <f t="shared" ref="B16" si="17">F16+H16</f>
        <v>15</v>
      </c>
      <c r="C16">
        <f t="shared" ref="C16" si="18">G16+I16</f>
        <v>11</v>
      </c>
      <c r="D16" s="1">
        <f t="shared" si="3"/>
        <v>0.57692307692307687</v>
      </c>
      <c r="E16" t="s">
        <v>242</v>
      </c>
      <c r="F16">
        <f>COUNTIFS('Boys Schedule'!$F:$F,$A16,'Boys Schedule'!$J:$J,"H",'Boys Schedule'!$M:$M,"&lt;&gt;"&amp;"")+COUNTIFS('Boys Schedule'!$C:$C,$A16,'Boys Schedule'!$J:$J,"V",'Boys Schedule'!$M:$M,"&lt;&gt;"&amp;"")</f>
        <v>5</v>
      </c>
      <c r="G16">
        <f>COUNTIFS('Boys Schedule'!$F:$F,$A16,'Boys Schedule'!$J:$J,"V",'Boys Schedule'!$M:$M,"&lt;&gt;"&amp;"")+COUNTIFS('Boys Schedule'!$C:$C,$A16,'Boys Schedule'!$J:$J,"H",'Boys Schedule'!$M:$M,"&lt;&gt;"&amp;"")</f>
        <v>3</v>
      </c>
      <c r="H16">
        <f>COUNTIFS('Boys Schedule'!$F:$F,$A16,'Boys Schedule'!$J:$J,"H")+COUNTIFS('Boys Schedule'!$C:$C,$A16,'Boys Schedule'!$J:$J,"V")-F16</f>
        <v>10</v>
      </c>
      <c r="I16">
        <f>COUNTIFS('Boys Schedule'!$F:$F,$A16,'Boys Schedule'!$J:$J,"V")+COUNTIFS('Boys Schedule'!$C:$C,$A16,'Boys Schedule'!$J:$J,"H")-G16</f>
        <v>8</v>
      </c>
      <c r="J16" t="s">
        <v>540</v>
      </c>
      <c r="K16" t="s">
        <v>541</v>
      </c>
      <c r="L16" t="str">
        <f t="shared" ref="L16" si="19">"&lt;tr&gt;&lt;td class="""&amp;J16&amp;"""&gt;"&amp;A16&amp;"&lt;br /&gt;"&amp;K16&amp;"&lt;/td&gt;"</f>
        <v>&lt;tr&gt;&lt;td class="SJR"&gt;St. John's-Ravenscourt&lt;br /&gt;Eagles&lt;/td&gt;</v>
      </c>
      <c r="M16" t="str">
        <f t="shared" ref="M16" si="20">"&lt;td&gt;"&amp;B16&amp;"&lt;/td&gt;"</f>
        <v>&lt;td&gt;15&lt;/td&gt;</v>
      </c>
      <c r="N16" t="str">
        <f t="shared" ref="N16" si="21">"&lt;td&gt;"&amp;C16&amp;"&lt;/td&gt;"</f>
        <v>&lt;td&gt;11&lt;/td&gt;</v>
      </c>
      <c r="O16" s="2" t="str">
        <f t="shared" ref="O16" si="22">"&lt;td&gt;"&amp;TEXT(D16,"0.000")&amp;"&lt;/td&gt;"</f>
        <v>&lt;td&gt;0.577&lt;/td&gt;</v>
      </c>
      <c r="P16" t="str">
        <f t="shared" ref="P16" si="23">"&lt;td&gt;"&amp;E16&amp;"&lt;/td&gt;"</f>
        <v>&lt;td&gt;SCAC-1&lt;/td&gt;</v>
      </c>
      <c r="Q16" t="str">
        <f t="shared" ref="Q16" si="24">"&lt;td&gt;"&amp;F16&amp;"&lt;/td&gt;"</f>
        <v>&lt;td&gt;5&lt;/td&gt;</v>
      </c>
      <c r="R16" t="str">
        <f t="shared" ref="R16" si="25">"&lt;td&gt;"&amp;G16&amp;"&lt;/td&gt;&lt;/tr&gt;"</f>
        <v>&lt;td&gt;3&lt;/td&gt;&lt;/tr&gt;</v>
      </c>
    </row>
    <row r="17" spans="1:18" x14ac:dyDescent="0.25">
      <c r="A17" t="s">
        <v>22</v>
      </c>
      <c r="B17">
        <f t="shared" si="1"/>
        <v>14</v>
      </c>
      <c r="C17">
        <f t="shared" si="2"/>
        <v>10</v>
      </c>
      <c r="D17" s="1">
        <f t="shared" si="3"/>
        <v>0.58333333333333337</v>
      </c>
      <c r="E17" t="s">
        <v>242</v>
      </c>
      <c r="F17">
        <f>COUNTIFS('Boys Schedule'!$F:$F,$A17,'Boys Schedule'!$J:$J,"H",'Boys Schedule'!$M:$M,"&lt;&gt;"&amp;"")+COUNTIFS('Boys Schedule'!$C:$C,$A17,'Boys Schedule'!$J:$J,"V",'Boys Schedule'!$M:$M,"&lt;&gt;"&amp;"")</f>
        <v>2</v>
      </c>
      <c r="G17">
        <f>COUNTIFS('Boys Schedule'!$F:$F,$A17,'Boys Schedule'!$J:$J,"V",'Boys Schedule'!$M:$M,"&lt;&gt;"&amp;"")+COUNTIFS('Boys Schedule'!$C:$C,$A17,'Boys Schedule'!$J:$J,"H",'Boys Schedule'!$M:$M,"&lt;&gt;"&amp;"")</f>
        <v>6</v>
      </c>
      <c r="H17">
        <f>COUNTIFS('Boys Schedule'!$F:$F,$A17,'Boys Schedule'!$J:$J,"H")+COUNTIFS('Boys Schedule'!$C:$C,$A17,'Boys Schedule'!$J:$J,"V")-F17</f>
        <v>12</v>
      </c>
      <c r="I17">
        <f>COUNTIFS('Boys Schedule'!$F:$F,$A17,'Boys Schedule'!$J:$J,"V")+COUNTIFS('Boys Schedule'!$C:$C,$A17,'Boys Schedule'!$J:$J,"H")-G17</f>
        <v>4</v>
      </c>
      <c r="J17" t="s">
        <v>66</v>
      </c>
      <c r="K17" t="s">
        <v>67</v>
      </c>
      <c r="L17" t="str">
        <f t="shared" si="10"/>
        <v>&lt;tr&gt;&lt;td class="SRSS"&gt;Steinbach&lt;br /&gt;Sabres&lt;/td&gt;</v>
      </c>
      <c r="M17" t="str">
        <f t="shared" si="11"/>
        <v>&lt;td&gt;14&lt;/td&gt;</v>
      </c>
      <c r="N17" t="str">
        <f t="shared" si="12"/>
        <v>&lt;td&gt;10&lt;/td&gt;</v>
      </c>
      <c r="O17" s="2" t="str">
        <f t="shared" si="13"/>
        <v>&lt;td&gt;0.583&lt;/td&gt;</v>
      </c>
      <c r="P17" t="str">
        <f t="shared" si="14"/>
        <v>&lt;td&gt;SCAC-1&lt;/td&gt;</v>
      </c>
      <c r="Q17" t="str">
        <f t="shared" si="15"/>
        <v>&lt;td&gt;2&lt;/td&gt;</v>
      </c>
      <c r="R17" t="str">
        <f t="shared" si="16"/>
        <v>&lt;td&gt;6&lt;/td&gt;&lt;/tr&gt;</v>
      </c>
    </row>
    <row r="18" spans="1:18" x14ac:dyDescent="0.25">
      <c r="A18" t="s">
        <v>108</v>
      </c>
      <c r="B18">
        <f t="shared" ref="B18:C20" si="26">F18+H18</f>
        <v>0</v>
      </c>
      <c r="C18">
        <f t="shared" si="26"/>
        <v>12</v>
      </c>
      <c r="D18" s="1">
        <f>IF(ISERROR($B18/($B18+$C18)),0,$B18/($B18+$C18))</f>
        <v>0</v>
      </c>
      <c r="E18" t="s">
        <v>241</v>
      </c>
      <c r="F18">
        <f>COUNTIFS('Boys Schedule'!$F:$F,$A18,'Boys Schedule'!$J:$J,"H",'Boys Schedule'!$M:$M,"&lt;&gt;"&amp;"")+COUNTIFS('Boys Schedule'!$C:$C,$A18,'Boys Schedule'!$J:$J,"V",'Boys Schedule'!$M:$M,"&lt;&gt;"&amp;"")</f>
        <v>0</v>
      </c>
      <c r="G18">
        <f>COUNTIFS('Boys Schedule'!$F:$F,$A18,'Boys Schedule'!$J:$J,"V",'Boys Schedule'!$M:$M,"&lt;&gt;"&amp;"")+COUNTIFS('Boys Schedule'!$C:$C,$A18,'Boys Schedule'!$J:$J,"H",'Boys Schedule'!$M:$M,"&lt;&gt;"&amp;"")</f>
        <v>8</v>
      </c>
      <c r="H18">
        <f>COUNTIFS('Boys Schedule'!$F:$F,$A18,'Boys Schedule'!$J:$J,"H")+COUNTIFS('Boys Schedule'!$C:$C,$A18,'Boys Schedule'!$J:$J,"V")-F18</f>
        <v>0</v>
      </c>
      <c r="I18">
        <f>COUNTIFS('Boys Schedule'!$F:$F,$A18,'Boys Schedule'!$J:$J,"V")+COUNTIFS('Boys Schedule'!$C:$C,$A18,'Boys Schedule'!$J:$J,"H")-G18</f>
        <v>4</v>
      </c>
      <c r="J18" t="s">
        <v>109</v>
      </c>
      <c r="K18" t="s">
        <v>110</v>
      </c>
      <c r="L18" t="str">
        <f>"&lt;tr&gt;&lt;td class="""&amp;J18&amp;"""&gt;"&amp;A18&amp;"&lt;br /&gt;"&amp;K18&amp;"&lt;/td&gt;"</f>
        <v>&lt;tr&gt;&lt;td class="CJS"&gt;Jeanne-Sauv&amp;eacute;&lt;br /&gt;Olympiens&lt;/td&gt;</v>
      </c>
      <c r="M18" t="str">
        <f t="shared" ref="M18:N20" si="27">"&lt;td&gt;"&amp;B18&amp;"&lt;/td&gt;"</f>
        <v>&lt;td&gt;0&lt;/td&gt;</v>
      </c>
      <c r="N18" t="str">
        <f t="shared" si="27"/>
        <v>&lt;td&gt;12&lt;/td&gt;</v>
      </c>
      <c r="O18" s="2" t="str">
        <f>"&lt;td&gt;"&amp;TEXT(D18,"0.000")&amp;"&lt;/td&gt;"</f>
        <v>&lt;td&gt;0.000&lt;/td&gt;</v>
      </c>
      <c r="P18" t="str">
        <f t="shared" ref="P18:Q20" si="28">"&lt;td&gt;"&amp;E18&amp;"&lt;/td&gt;"</f>
        <v>&lt;td&gt;SCAC-2&lt;/td&gt;</v>
      </c>
      <c r="Q18" t="str">
        <f t="shared" si="28"/>
        <v>&lt;td&gt;0&lt;/td&gt;</v>
      </c>
      <c r="R18" t="str">
        <f>"&lt;td&gt;"&amp;G18&amp;"&lt;/td&gt;&lt;/tr&gt;"</f>
        <v>&lt;td&gt;8&lt;/td&gt;&lt;/tr&gt;</v>
      </c>
    </row>
    <row r="19" spans="1:18" x14ac:dyDescent="0.25">
      <c r="A19" t="s">
        <v>135</v>
      </c>
      <c r="B19">
        <f t="shared" si="26"/>
        <v>10</v>
      </c>
      <c r="C19">
        <f t="shared" si="26"/>
        <v>11</v>
      </c>
      <c r="D19" s="1">
        <f>IF(ISERROR($B19/($B19+$C19)),0,$B19/($B19+$C19))</f>
        <v>0.47619047619047616</v>
      </c>
      <c r="E19" t="s">
        <v>241</v>
      </c>
      <c r="F19">
        <f>COUNTIFS('Boys Schedule'!$F:$F,$A19,'Boys Schedule'!$J:$J,"H",'Boys Schedule'!$M:$M,"&lt;&gt;"&amp;"")+COUNTIFS('Boys Schedule'!$C:$C,$A19,'Boys Schedule'!$J:$J,"V",'Boys Schedule'!$M:$M,"&lt;&gt;"&amp;"")</f>
        <v>5</v>
      </c>
      <c r="G19">
        <f>COUNTIFS('Boys Schedule'!$F:$F,$A19,'Boys Schedule'!$J:$J,"V",'Boys Schedule'!$M:$M,"&lt;&gt;"&amp;"")+COUNTIFS('Boys Schedule'!$C:$C,$A19,'Boys Schedule'!$J:$J,"H",'Boys Schedule'!$M:$M,"&lt;&gt;"&amp;"")</f>
        <v>3</v>
      </c>
      <c r="H19">
        <f>COUNTIFS('Boys Schedule'!$F:$F,$A19,'Boys Schedule'!$J:$J,"H")+COUNTIFS('Boys Schedule'!$C:$C,$A19,'Boys Schedule'!$J:$J,"V")-F19</f>
        <v>5</v>
      </c>
      <c r="I19">
        <f>COUNTIFS('Boys Schedule'!$F:$F,$A19,'Boys Schedule'!$J:$J,"V")+COUNTIFS('Boys Schedule'!$C:$C,$A19,'Boys Schedule'!$J:$J,"H")-G19</f>
        <v>8</v>
      </c>
      <c r="J19" t="s">
        <v>136</v>
      </c>
      <c r="K19" t="s">
        <v>137</v>
      </c>
      <c r="L19" t="str">
        <f>"&lt;tr&gt;&lt;td class="""&amp;J19&amp;"""&gt;"&amp;A19&amp;"&lt;br /&gt;"&amp;K19&amp;"&lt;/td&gt;"</f>
        <v>&lt;tr&gt;&lt;td class="NPC"&gt;Northlands Parkway&lt;br /&gt;Nighthawks&lt;/td&gt;</v>
      </c>
      <c r="M19" t="str">
        <f t="shared" si="27"/>
        <v>&lt;td&gt;10&lt;/td&gt;</v>
      </c>
      <c r="N19" t="str">
        <f t="shared" si="27"/>
        <v>&lt;td&gt;11&lt;/td&gt;</v>
      </c>
      <c r="O19" s="2" t="str">
        <f>"&lt;td&gt;"&amp;TEXT(D19,"0.000")&amp;"&lt;/td&gt;"</f>
        <v>&lt;td&gt;0.476&lt;/td&gt;</v>
      </c>
      <c r="P19" t="str">
        <f t="shared" si="28"/>
        <v>&lt;td&gt;SCAC-2&lt;/td&gt;</v>
      </c>
      <c r="Q19" t="str">
        <f t="shared" si="28"/>
        <v>&lt;td&gt;5&lt;/td&gt;</v>
      </c>
      <c r="R19" t="str">
        <f>"&lt;td&gt;"&amp;G19&amp;"&lt;/td&gt;&lt;/tr&gt;"</f>
        <v>&lt;td&gt;3&lt;/td&gt;&lt;/tr&gt;</v>
      </c>
    </row>
    <row r="20" spans="1:18" x14ac:dyDescent="0.25">
      <c r="A20" t="s">
        <v>24</v>
      </c>
      <c r="B20">
        <f t="shared" si="26"/>
        <v>7</v>
      </c>
      <c r="C20">
        <f t="shared" si="26"/>
        <v>16</v>
      </c>
      <c r="D20" s="1">
        <f>IF(ISERROR($B20/($B20+$C20)),0,$B20/($B20+$C20))</f>
        <v>0.30434782608695654</v>
      </c>
      <c r="E20" t="s">
        <v>38</v>
      </c>
      <c r="F20">
        <f>COUNTIFS('Boys Schedule'!$F:$F,$A20,'Boys Schedule'!$J:$J,"H",'Boys Schedule'!$M:$M,"&lt;&gt;"&amp;"")+COUNTIFS('Boys Schedule'!$C:$C,$A20,'Boys Schedule'!$J:$J,"V",'Boys Schedule'!$M:$M,"&lt;&gt;"&amp;"")</f>
        <v>2</v>
      </c>
      <c r="G20">
        <f>COUNTIFS('Boys Schedule'!$F:$F,$A20,'Boys Schedule'!$J:$J,"V",'Boys Schedule'!$M:$M,"&lt;&gt;"&amp;"")+COUNTIFS('Boys Schedule'!$C:$C,$A20,'Boys Schedule'!$J:$J,"H",'Boys Schedule'!$M:$M,"&lt;&gt;"&amp;"")</f>
        <v>7</v>
      </c>
      <c r="H20">
        <f>COUNTIFS('Boys Schedule'!$F:$F,$A20,'Boys Schedule'!$J:$J,"H")+COUNTIFS('Boys Schedule'!$C:$C,$A20,'Boys Schedule'!$J:$J,"V")-F20</f>
        <v>5</v>
      </c>
      <c r="I20">
        <f>COUNTIFS('Boys Schedule'!$F:$F,$A20,'Boys Schedule'!$J:$J,"V")+COUNTIFS('Boys Schedule'!$C:$C,$A20,'Boys Schedule'!$J:$J,"H")-G20</f>
        <v>9</v>
      </c>
      <c r="J20" t="s">
        <v>82</v>
      </c>
      <c r="K20" t="s">
        <v>83</v>
      </c>
      <c r="L20" t="str">
        <f>"&lt;tr&gt;&lt;td class="""&amp;J20&amp;"""&gt;"&amp;A20&amp;"&lt;br /&gt;"&amp;K20&amp;"&lt;/td&gt;"</f>
        <v>&lt;tr&gt;&lt;td class="DMCI"&gt;Daniel McIntyre&lt;br /&gt;Maroons&lt;/td&gt;</v>
      </c>
      <c r="M20" t="str">
        <f t="shared" si="27"/>
        <v>&lt;td&gt;7&lt;/td&gt;</v>
      </c>
      <c r="N20" t="str">
        <f t="shared" si="27"/>
        <v>&lt;td&gt;16&lt;/td&gt;</v>
      </c>
      <c r="O20" s="2" t="str">
        <f>"&lt;td&gt;"&amp;TEXT(D20,"0.000")&amp;"&lt;/td&gt;"</f>
        <v>&lt;td&gt;0.304&lt;/td&gt;</v>
      </c>
      <c r="P20" t="str">
        <f t="shared" si="28"/>
        <v>&lt;td&gt;WWAC-WAC-1&lt;/td&gt;</v>
      </c>
      <c r="Q20" t="str">
        <f t="shared" si="28"/>
        <v>&lt;td&gt;2&lt;/td&gt;</v>
      </c>
      <c r="R20" t="str">
        <f>"&lt;td&gt;"&amp;G20&amp;"&lt;/td&gt;&lt;/tr&gt;"</f>
        <v>&lt;td&gt;7&lt;/td&gt;&lt;/tr&gt;</v>
      </c>
    </row>
    <row r="21" spans="1:18" x14ac:dyDescent="0.25">
      <c r="A21" t="s">
        <v>15</v>
      </c>
      <c r="B21">
        <f t="shared" si="1"/>
        <v>19</v>
      </c>
      <c r="C21">
        <f t="shared" si="2"/>
        <v>12</v>
      </c>
      <c r="D21" s="1">
        <f t="shared" si="3"/>
        <v>0.61290322580645162</v>
      </c>
      <c r="E21" t="s">
        <v>38</v>
      </c>
      <c r="F21">
        <f>COUNTIFS('Boys Schedule'!$F:$F,$A21,'Boys Schedule'!$J:$J,"H",'Boys Schedule'!$M:$M,"&lt;&gt;"&amp;"")+COUNTIFS('Boys Schedule'!$C:$C,$A21,'Boys Schedule'!$J:$J,"V",'Boys Schedule'!$M:$M,"&lt;&gt;"&amp;"")</f>
        <v>6</v>
      </c>
      <c r="G21">
        <f>COUNTIFS('Boys Schedule'!$F:$F,$A21,'Boys Schedule'!$J:$J,"V",'Boys Schedule'!$M:$M,"&lt;&gt;"&amp;"")+COUNTIFS('Boys Schedule'!$C:$C,$A21,'Boys Schedule'!$J:$J,"H",'Boys Schedule'!$M:$M,"&lt;&gt;"&amp;"")</f>
        <v>3</v>
      </c>
      <c r="H21">
        <f>COUNTIFS('Boys Schedule'!$F:$F,$A21,'Boys Schedule'!$J:$J,"H")+COUNTIFS('Boys Schedule'!$C:$C,$A21,'Boys Schedule'!$J:$J,"V")-F21</f>
        <v>13</v>
      </c>
      <c r="I21">
        <f>COUNTIFS('Boys Schedule'!$F:$F,$A21,'Boys Schedule'!$J:$J,"V")+COUNTIFS('Boys Schedule'!$C:$C,$A21,'Boys Schedule'!$J:$J,"H")-G21</f>
        <v>9</v>
      </c>
      <c r="J21" t="s">
        <v>68</v>
      </c>
      <c r="K21" t="s">
        <v>69</v>
      </c>
      <c r="L21" t="str">
        <f t="shared" si="10"/>
        <v>&lt;tr&gt;&lt;td class="FRC"&gt;Fort Richmond&lt;br /&gt;Centurions&lt;/td&gt;</v>
      </c>
      <c r="M21" t="str">
        <f t="shared" si="11"/>
        <v>&lt;td&gt;19&lt;/td&gt;</v>
      </c>
      <c r="N21" t="str">
        <f t="shared" si="12"/>
        <v>&lt;td&gt;12&lt;/td&gt;</v>
      </c>
      <c r="O21" s="2" t="str">
        <f t="shared" si="13"/>
        <v>&lt;td&gt;0.613&lt;/td&gt;</v>
      </c>
      <c r="P21" t="str">
        <f t="shared" si="14"/>
        <v>&lt;td&gt;WWAC-WAC-1&lt;/td&gt;</v>
      </c>
      <c r="Q21" t="str">
        <f t="shared" si="15"/>
        <v>&lt;td&gt;6&lt;/td&gt;</v>
      </c>
      <c r="R21" t="str">
        <f t="shared" si="16"/>
        <v>&lt;td&gt;3&lt;/td&gt;&lt;/tr&gt;</v>
      </c>
    </row>
    <row r="22" spans="1:18" x14ac:dyDescent="0.25">
      <c r="A22" t="s">
        <v>27</v>
      </c>
      <c r="B22">
        <f>F22+H22</f>
        <v>1</v>
      </c>
      <c r="C22">
        <f>G22+I22</f>
        <v>13</v>
      </c>
      <c r="D22" s="1">
        <f>IF(ISERROR($B22/($B22+$C22)),0,$B22/($B22+$C22))</f>
        <v>7.1428571428571425E-2</v>
      </c>
      <c r="E22" t="s">
        <v>38</v>
      </c>
      <c r="F22">
        <f>COUNTIFS('Boys Schedule'!$F:$F,$A22,'Boys Schedule'!$J:$J,"H",'Boys Schedule'!$M:$M,"&lt;&gt;"&amp;"")+COUNTIFS('Boys Schedule'!$C:$C,$A22,'Boys Schedule'!$J:$J,"V",'Boys Schedule'!$M:$M,"&lt;&gt;"&amp;"")</f>
        <v>1</v>
      </c>
      <c r="G22">
        <f>COUNTIFS('Boys Schedule'!$F:$F,$A22,'Boys Schedule'!$J:$J,"V",'Boys Schedule'!$M:$M,"&lt;&gt;"&amp;"")+COUNTIFS('Boys Schedule'!$C:$C,$A22,'Boys Schedule'!$J:$J,"H",'Boys Schedule'!$M:$M,"&lt;&gt;"&amp;"")</f>
        <v>8</v>
      </c>
      <c r="H22">
        <f>COUNTIFS('Boys Schedule'!$F:$F,$A22,'Boys Schedule'!$J:$J,"H")+COUNTIFS('Boys Schedule'!$C:$C,$A22,'Boys Schedule'!$J:$J,"V")-F22</f>
        <v>0</v>
      </c>
      <c r="I22">
        <f>COUNTIFS('Boys Schedule'!$F:$F,$A22,'Boys Schedule'!$J:$J,"V")+COUNTIFS('Boys Schedule'!$C:$C,$A22,'Boys Schedule'!$J:$J,"H")-G22</f>
        <v>5</v>
      </c>
      <c r="J22" t="s">
        <v>88</v>
      </c>
      <c r="K22" t="s">
        <v>89</v>
      </c>
      <c r="L22" t="str">
        <f>"&lt;tr&gt;&lt;td class="""&amp;J22&amp;"""&gt;"&amp;A22&amp;"&lt;br /&gt;"&amp;K22&amp;"&lt;/td&gt;"</f>
        <v>&lt;tr&gt;&lt;td class="GPHS"&gt;Grant Park&lt;br /&gt;Pirates&lt;/td&gt;</v>
      </c>
      <c r="M22" t="str">
        <f>"&lt;td&gt;"&amp;B22&amp;"&lt;/td&gt;"</f>
        <v>&lt;td&gt;1&lt;/td&gt;</v>
      </c>
      <c r="N22" t="str">
        <f>"&lt;td&gt;"&amp;C22&amp;"&lt;/td&gt;"</f>
        <v>&lt;td&gt;13&lt;/td&gt;</v>
      </c>
      <c r="O22" s="2" t="str">
        <f>"&lt;td&gt;"&amp;TEXT(D22,"0.000")&amp;"&lt;/td&gt;"</f>
        <v>&lt;td&gt;0.071&lt;/td&gt;</v>
      </c>
      <c r="P22" t="str">
        <f>"&lt;td&gt;"&amp;E22&amp;"&lt;/td&gt;"</f>
        <v>&lt;td&gt;WWAC-WAC-1&lt;/td&gt;</v>
      </c>
      <c r="Q22" t="str">
        <f>"&lt;td&gt;"&amp;F22&amp;"&lt;/td&gt;"</f>
        <v>&lt;td&gt;1&lt;/td&gt;</v>
      </c>
      <c r="R22" t="str">
        <f>"&lt;td&gt;"&amp;G22&amp;"&lt;/td&gt;&lt;/tr&gt;"</f>
        <v>&lt;td&gt;8&lt;/td&gt;&lt;/tr&gt;</v>
      </c>
    </row>
    <row r="23" spans="1:18" x14ac:dyDescent="0.25">
      <c r="A23" t="s">
        <v>6</v>
      </c>
      <c r="B23">
        <f t="shared" si="1"/>
        <v>24</v>
      </c>
      <c r="C23">
        <f t="shared" si="2"/>
        <v>1</v>
      </c>
      <c r="D23" s="1">
        <f t="shared" si="3"/>
        <v>0.96</v>
      </c>
      <c r="E23" t="s">
        <v>38</v>
      </c>
      <c r="F23">
        <f>COUNTIFS('Boys Schedule'!$F:$F,$A23,'Boys Schedule'!$J:$J,"H",'Boys Schedule'!$M:$M,"&lt;&gt;"&amp;"")+COUNTIFS('Boys Schedule'!$C:$C,$A23,'Boys Schedule'!$J:$J,"V",'Boys Schedule'!$M:$M,"&lt;&gt;"&amp;"")</f>
        <v>9</v>
      </c>
      <c r="G23">
        <f>COUNTIFS('Boys Schedule'!$F:$F,$A23,'Boys Schedule'!$J:$J,"V",'Boys Schedule'!$M:$M,"&lt;&gt;"&amp;"")+COUNTIFS('Boys Schedule'!$C:$C,$A23,'Boys Schedule'!$J:$J,"H",'Boys Schedule'!$M:$M,"&lt;&gt;"&amp;"")</f>
        <v>0</v>
      </c>
      <c r="H23">
        <f>COUNTIFS('Boys Schedule'!$F:$F,$A23,'Boys Schedule'!$J:$J,"H")+COUNTIFS('Boys Schedule'!$C:$C,$A23,'Boys Schedule'!$J:$J,"V")-F23</f>
        <v>15</v>
      </c>
      <c r="I23">
        <f>COUNTIFS('Boys Schedule'!$F:$F,$A23,'Boys Schedule'!$J:$J,"V")+COUNTIFS('Boys Schedule'!$C:$C,$A23,'Boys Schedule'!$J:$J,"H")-G23</f>
        <v>1</v>
      </c>
      <c r="J23" t="s">
        <v>70</v>
      </c>
      <c r="K23" t="s">
        <v>71</v>
      </c>
      <c r="L23" t="str">
        <f t="shared" si="10"/>
        <v>&lt;tr&gt;&lt;td class="JTC"&gt;John Taylor&lt;br /&gt;Pipers&lt;/td&gt;</v>
      </c>
      <c r="M23" t="str">
        <f t="shared" si="11"/>
        <v>&lt;td&gt;24&lt;/td&gt;</v>
      </c>
      <c r="N23" t="str">
        <f t="shared" si="12"/>
        <v>&lt;td&gt;1&lt;/td&gt;</v>
      </c>
      <c r="O23" s="2" t="str">
        <f t="shared" si="13"/>
        <v>&lt;td&gt;0.960&lt;/td&gt;</v>
      </c>
      <c r="P23" t="str">
        <f t="shared" si="14"/>
        <v>&lt;td&gt;WWAC-WAC-1&lt;/td&gt;</v>
      </c>
      <c r="Q23" t="str">
        <f t="shared" si="15"/>
        <v>&lt;td&gt;9&lt;/td&gt;</v>
      </c>
      <c r="R23" t="str">
        <f t="shared" si="16"/>
        <v>&lt;td&gt;0&lt;/td&gt;&lt;/tr&gt;</v>
      </c>
    </row>
    <row r="24" spans="1:18" x14ac:dyDescent="0.25">
      <c r="A24" t="s">
        <v>10</v>
      </c>
      <c r="B24">
        <f t="shared" si="1"/>
        <v>15</v>
      </c>
      <c r="C24">
        <f t="shared" si="2"/>
        <v>14</v>
      </c>
      <c r="D24" s="1">
        <f t="shared" si="3"/>
        <v>0.51724137931034486</v>
      </c>
      <c r="E24" t="s">
        <v>38</v>
      </c>
      <c r="F24">
        <f>COUNTIFS('Boys Schedule'!$F:$F,$A24,'Boys Schedule'!$J:$J,"H",'Boys Schedule'!$M:$M,"&lt;&gt;"&amp;"")+COUNTIFS('Boys Schedule'!$C:$C,$A24,'Boys Schedule'!$J:$J,"V",'Boys Schedule'!$M:$M,"&lt;&gt;"&amp;"")</f>
        <v>3</v>
      </c>
      <c r="G24">
        <f>COUNTIFS('Boys Schedule'!$F:$F,$A24,'Boys Schedule'!$J:$J,"V",'Boys Schedule'!$M:$M,"&lt;&gt;"&amp;"")+COUNTIFS('Boys Schedule'!$C:$C,$A24,'Boys Schedule'!$J:$J,"H",'Boys Schedule'!$M:$M,"&lt;&gt;"&amp;"")</f>
        <v>6</v>
      </c>
      <c r="H24">
        <f>COUNTIFS('Boys Schedule'!$F:$F,$A24,'Boys Schedule'!$J:$J,"H")+COUNTIFS('Boys Schedule'!$C:$C,$A24,'Boys Schedule'!$J:$J,"V")-F24</f>
        <v>12</v>
      </c>
      <c r="I24">
        <f>COUNTIFS('Boys Schedule'!$F:$F,$A24,'Boys Schedule'!$J:$J,"V")+COUNTIFS('Boys Schedule'!$C:$C,$A24,'Boys Schedule'!$J:$J,"H")-G24</f>
        <v>8</v>
      </c>
      <c r="J24" t="s">
        <v>72</v>
      </c>
      <c r="K24" t="s">
        <v>73</v>
      </c>
      <c r="L24" t="str">
        <f t="shared" si="10"/>
        <v>&lt;tr&gt;&lt;td class="KHS"&gt;Kelvin&lt;br /&gt;Clippers&lt;/td&gt;</v>
      </c>
      <c r="M24" t="str">
        <f t="shared" si="11"/>
        <v>&lt;td&gt;15&lt;/td&gt;</v>
      </c>
      <c r="N24" t="str">
        <f t="shared" si="12"/>
        <v>&lt;td&gt;14&lt;/td&gt;</v>
      </c>
      <c r="O24" s="2" t="str">
        <f t="shared" si="13"/>
        <v>&lt;td&gt;0.517&lt;/td&gt;</v>
      </c>
      <c r="P24" t="str">
        <f t="shared" si="14"/>
        <v>&lt;td&gt;WWAC-WAC-1&lt;/td&gt;</v>
      </c>
      <c r="Q24" t="str">
        <f t="shared" si="15"/>
        <v>&lt;td&gt;3&lt;/td&gt;</v>
      </c>
      <c r="R24" t="str">
        <f t="shared" si="16"/>
        <v>&lt;td&gt;6&lt;/td&gt;&lt;/tr&gt;</v>
      </c>
    </row>
    <row r="25" spans="1:18" x14ac:dyDescent="0.25">
      <c r="A25" t="s">
        <v>1</v>
      </c>
      <c r="B25">
        <f t="shared" si="1"/>
        <v>23</v>
      </c>
      <c r="C25">
        <f t="shared" si="2"/>
        <v>6</v>
      </c>
      <c r="D25" s="1">
        <f t="shared" si="3"/>
        <v>0.7931034482758621</v>
      </c>
      <c r="E25" t="s">
        <v>38</v>
      </c>
      <c r="F25">
        <f>COUNTIFS('Boys Schedule'!$F:$F,$A25,'Boys Schedule'!$J:$J,"H",'Boys Schedule'!$M:$M,"&lt;&gt;"&amp;"")+COUNTIFS('Boys Schedule'!$C:$C,$A25,'Boys Schedule'!$J:$J,"V",'Boys Schedule'!$M:$M,"&lt;&gt;"&amp;"")</f>
        <v>8</v>
      </c>
      <c r="G25">
        <f>COUNTIFS('Boys Schedule'!$F:$F,$A25,'Boys Schedule'!$J:$J,"V",'Boys Schedule'!$M:$M,"&lt;&gt;"&amp;"")+COUNTIFS('Boys Schedule'!$C:$C,$A25,'Boys Schedule'!$J:$J,"H",'Boys Schedule'!$M:$M,"&lt;&gt;"&amp;"")</f>
        <v>1</v>
      </c>
      <c r="H25">
        <f>COUNTIFS('Boys Schedule'!$F:$F,$A25,'Boys Schedule'!$J:$J,"H")+COUNTIFS('Boys Schedule'!$C:$C,$A25,'Boys Schedule'!$J:$J,"V")-F25</f>
        <v>15</v>
      </c>
      <c r="I25">
        <f>COUNTIFS('Boys Schedule'!$F:$F,$A25,'Boys Schedule'!$J:$J,"V")+COUNTIFS('Boys Schedule'!$C:$C,$A25,'Boys Schedule'!$J:$J,"H")-G25</f>
        <v>5</v>
      </c>
      <c r="J25" t="s">
        <v>74</v>
      </c>
      <c r="K25" t="s">
        <v>75</v>
      </c>
      <c r="L25" t="str">
        <f t="shared" si="10"/>
        <v>&lt;tr&gt;&lt;td class="OPHS"&gt;Oak Park&lt;br /&gt;Raiders&lt;/td&gt;</v>
      </c>
      <c r="M25" t="str">
        <f t="shared" si="11"/>
        <v>&lt;td&gt;23&lt;/td&gt;</v>
      </c>
      <c r="N25" t="str">
        <f t="shared" si="12"/>
        <v>&lt;td&gt;6&lt;/td&gt;</v>
      </c>
      <c r="O25" s="2" t="str">
        <f t="shared" si="13"/>
        <v>&lt;td&gt;0.793&lt;/td&gt;</v>
      </c>
      <c r="P25" t="str">
        <f t="shared" si="14"/>
        <v>&lt;td&gt;WWAC-WAC-1&lt;/td&gt;</v>
      </c>
      <c r="Q25" t="str">
        <f t="shared" si="15"/>
        <v>&lt;td&gt;8&lt;/td&gt;</v>
      </c>
      <c r="R25" t="str">
        <f t="shared" si="16"/>
        <v>&lt;td&gt;1&lt;/td&gt;&lt;/tr&gt;</v>
      </c>
    </row>
    <row r="26" spans="1:18" x14ac:dyDescent="0.25">
      <c r="A26" t="s">
        <v>9</v>
      </c>
      <c r="B26">
        <f t="shared" si="1"/>
        <v>21</v>
      </c>
      <c r="C26">
        <f t="shared" si="2"/>
        <v>8</v>
      </c>
      <c r="D26" s="1">
        <f t="shared" si="3"/>
        <v>0.72413793103448276</v>
      </c>
      <c r="E26" t="s">
        <v>38</v>
      </c>
      <c r="F26">
        <f>COUNTIFS('Boys Schedule'!$F:$F,$A26,'Boys Schedule'!$J:$J,"H",'Boys Schedule'!$M:$M,"&lt;&gt;"&amp;"")+COUNTIFS('Boys Schedule'!$C:$C,$A26,'Boys Schedule'!$J:$J,"V",'Boys Schedule'!$M:$M,"&lt;&gt;"&amp;"")</f>
        <v>6</v>
      </c>
      <c r="G26">
        <f>COUNTIFS('Boys Schedule'!$F:$F,$A26,'Boys Schedule'!$J:$J,"V",'Boys Schedule'!$M:$M,"&lt;&gt;"&amp;"")+COUNTIFS('Boys Schedule'!$C:$C,$A26,'Boys Schedule'!$J:$J,"H",'Boys Schedule'!$M:$M,"&lt;&gt;"&amp;"")</f>
        <v>3</v>
      </c>
      <c r="H26">
        <f>COUNTIFS('Boys Schedule'!$F:$F,$A26,'Boys Schedule'!$J:$J,"H")+COUNTIFS('Boys Schedule'!$C:$C,$A26,'Boys Schedule'!$J:$J,"V")-F26</f>
        <v>15</v>
      </c>
      <c r="I26">
        <f>COUNTIFS('Boys Schedule'!$F:$F,$A26,'Boys Schedule'!$J:$J,"V")+COUNTIFS('Boys Schedule'!$C:$C,$A26,'Boys Schedule'!$J:$J,"H")-G26</f>
        <v>5</v>
      </c>
      <c r="J26" t="s">
        <v>76</v>
      </c>
      <c r="K26" t="s">
        <v>77</v>
      </c>
      <c r="L26" t="str">
        <f t="shared" si="10"/>
        <v>&lt;tr&gt;&lt;td class="SiHS"&gt;Sisler&lt;br /&gt;Spartans&lt;/td&gt;</v>
      </c>
      <c r="M26" t="str">
        <f t="shared" si="11"/>
        <v>&lt;td&gt;21&lt;/td&gt;</v>
      </c>
      <c r="N26" t="str">
        <f t="shared" si="12"/>
        <v>&lt;td&gt;8&lt;/td&gt;</v>
      </c>
      <c r="O26" s="2" t="str">
        <f t="shared" si="13"/>
        <v>&lt;td&gt;0.724&lt;/td&gt;</v>
      </c>
      <c r="P26" t="str">
        <f t="shared" si="14"/>
        <v>&lt;td&gt;WWAC-WAC-1&lt;/td&gt;</v>
      </c>
      <c r="Q26" t="str">
        <f t="shared" si="15"/>
        <v>&lt;td&gt;6&lt;/td&gt;</v>
      </c>
      <c r="R26" t="str">
        <f t="shared" si="16"/>
        <v>&lt;td&gt;3&lt;/td&gt;&lt;/tr&gt;</v>
      </c>
    </row>
    <row r="27" spans="1:18" x14ac:dyDescent="0.25">
      <c r="A27" t="s">
        <v>3</v>
      </c>
      <c r="B27">
        <f t="shared" si="1"/>
        <v>16</v>
      </c>
      <c r="C27">
        <f t="shared" si="2"/>
        <v>8</v>
      </c>
      <c r="D27" s="1">
        <f t="shared" si="3"/>
        <v>0.66666666666666663</v>
      </c>
      <c r="E27" t="s">
        <v>38</v>
      </c>
      <c r="F27">
        <f>COUNTIFS('Boys Schedule'!$F:$F,$A27,'Boys Schedule'!$J:$J,"H",'Boys Schedule'!$M:$M,"&lt;&gt;"&amp;"")+COUNTIFS('Boys Schedule'!$C:$C,$A27,'Boys Schedule'!$J:$J,"V",'Boys Schedule'!$M:$M,"&lt;&gt;"&amp;"")</f>
        <v>6</v>
      </c>
      <c r="G27">
        <f>COUNTIFS('Boys Schedule'!$F:$F,$A27,'Boys Schedule'!$J:$J,"V",'Boys Schedule'!$M:$M,"&lt;&gt;"&amp;"")+COUNTIFS('Boys Schedule'!$C:$C,$A27,'Boys Schedule'!$J:$J,"H",'Boys Schedule'!$M:$M,"&lt;&gt;"&amp;"")</f>
        <v>3</v>
      </c>
      <c r="H27">
        <f>COUNTIFS('Boys Schedule'!$F:$F,$A27,'Boys Schedule'!$J:$J,"H")+COUNTIFS('Boys Schedule'!$C:$C,$A27,'Boys Schedule'!$J:$J,"V")-F27</f>
        <v>10</v>
      </c>
      <c r="I27">
        <f>COUNTIFS('Boys Schedule'!$F:$F,$A27,'Boys Schedule'!$J:$J,"V")+COUNTIFS('Boys Schedule'!$C:$C,$A27,'Boys Schedule'!$J:$J,"H")-G27</f>
        <v>5</v>
      </c>
      <c r="J27" t="s">
        <v>78</v>
      </c>
      <c r="K27" t="s">
        <v>79</v>
      </c>
      <c r="L27" t="str">
        <f t="shared" si="10"/>
        <v>&lt;tr&gt;&lt;td class="SPHS"&gt;St. Paul's&lt;br /&gt;Crusaders&lt;/td&gt;</v>
      </c>
      <c r="M27" t="str">
        <f t="shared" si="11"/>
        <v>&lt;td&gt;16&lt;/td&gt;</v>
      </c>
      <c r="N27" t="str">
        <f t="shared" si="12"/>
        <v>&lt;td&gt;8&lt;/td&gt;</v>
      </c>
      <c r="O27" s="2" t="str">
        <f t="shared" si="13"/>
        <v>&lt;td&gt;0.667&lt;/td&gt;</v>
      </c>
      <c r="P27" t="str">
        <f t="shared" si="14"/>
        <v>&lt;td&gt;WWAC-WAC-1&lt;/td&gt;</v>
      </c>
      <c r="Q27" t="str">
        <f t="shared" si="15"/>
        <v>&lt;td&gt;6&lt;/td&gt;</v>
      </c>
      <c r="R27" t="str">
        <f t="shared" si="16"/>
        <v>&lt;td&gt;3&lt;/td&gt;&lt;/tr&gt;</v>
      </c>
    </row>
    <row r="28" spans="1:18" x14ac:dyDescent="0.25">
      <c r="A28" t="s">
        <v>14</v>
      </c>
      <c r="B28">
        <f>F28+H28</f>
        <v>3</v>
      </c>
      <c r="C28">
        <f>G28+I28</f>
        <v>12</v>
      </c>
      <c r="D28" s="1">
        <f>IF(ISERROR($B28/($B28+$C28)),0,$B28/($B28+$C28))</f>
        <v>0.2</v>
      </c>
      <c r="E28" t="s">
        <v>38</v>
      </c>
      <c r="F28">
        <f>COUNTIFS('Boys Schedule'!$F:$F,$A28,'Boys Schedule'!$J:$J,"H",'Boys Schedule'!$M:$M,"&lt;&gt;"&amp;"")+COUNTIFS('Boys Schedule'!$C:$C,$A28,'Boys Schedule'!$J:$J,"V",'Boys Schedule'!$M:$M,"&lt;&gt;"&amp;"")</f>
        <v>0</v>
      </c>
      <c r="G28">
        <f>COUNTIFS('Boys Schedule'!$F:$F,$A28,'Boys Schedule'!$J:$J,"V",'Boys Schedule'!$M:$M,"&lt;&gt;"&amp;"")+COUNTIFS('Boys Schedule'!$C:$C,$A28,'Boys Schedule'!$J:$J,"H",'Boys Schedule'!$M:$M,"&lt;&gt;"&amp;"")</f>
        <v>9</v>
      </c>
      <c r="H28">
        <f>COUNTIFS('Boys Schedule'!$F:$F,$A28,'Boys Schedule'!$J:$J,"H")+COUNTIFS('Boys Schedule'!$C:$C,$A28,'Boys Schedule'!$J:$J,"V")-F28</f>
        <v>3</v>
      </c>
      <c r="I28">
        <f>COUNTIFS('Boys Schedule'!$F:$F,$A28,'Boys Schedule'!$J:$J,"V")+COUNTIFS('Boys Schedule'!$C:$C,$A28,'Boys Schedule'!$J:$J,"H")-G28</f>
        <v>3</v>
      </c>
      <c r="J28" t="s">
        <v>94</v>
      </c>
      <c r="K28" t="s">
        <v>95</v>
      </c>
      <c r="L28" t="str">
        <f>"&lt;tr&gt;&lt;td class="""&amp;J28&amp;"""&gt;"&amp;A28&amp;"&lt;br /&gt;"&amp;K28&amp;"&lt;/td&gt;"</f>
        <v>&lt;tr&gt;&lt;td class="SHC"&gt;Sturgeon Heights&lt;br /&gt;Huskies&lt;/td&gt;</v>
      </c>
      <c r="M28" t="str">
        <f>"&lt;td&gt;"&amp;B28&amp;"&lt;/td&gt;"</f>
        <v>&lt;td&gt;3&lt;/td&gt;</v>
      </c>
      <c r="N28" t="str">
        <f>"&lt;td&gt;"&amp;C28&amp;"&lt;/td&gt;"</f>
        <v>&lt;td&gt;12&lt;/td&gt;</v>
      </c>
      <c r="O28" s="2" t="str">
        <f>"&lt;td&gt;"&amp;TEXT(D28,"0.000")&amp;"&lt;/td&gt;"</f>
        <v>&lt;td&gt;0.200&lt;/td&gt;</v>
      </c>
      <c r="P28" t="str">
        <f>"&lt;td&gt;"&amp;E28&amp;"&lt;/td&gt;"</f>
        <v>&lt;td&gt;WWAC-WAC-1&lt;/td&gt;</v>
      </c>
      <c r="Q28" t="str">
        <f>"&lt;td&gt;"&amp;F28&amp;"&lt;/td&gt;"</f>
        <v>&lt;td&gt;0&lt;/td&gt;</v>
      </c>
      <c r="R28" t="str">
        <f>"&lt;td&gt;"&amp;G28&amp;"&lt;/td&gt;&lt;/tr&gt;"</f>
        <v>&lt;td&gt;9&lt;/td&gt;&lt;/tr&gt;</v>
      </c>
    </row>
    <row r="29" spans="1:18" x14ac:dyDescent="0.25">
      <c r="A29" t="s">
        <v>23</v>
      </c>
      <c r="B29">
        <f t="shared" si="1"/>
        <v>15</v>
      </c>
      <c r="C29">
        <f t="shared" si="2"/>
        <v>14</v>
      </c>
      <c r="D29" s="1">
        <f t="shared" si="3"/>
        <v>0.51724137931034486</v>
      </c>
      <c r="E29" t="s">
        <v>38</v>
      </c>
      <c r="F29">
        <f>COUNTIFS('Boys Schedule'!$F:$F,$A29,'Boys Schedule'!$G:$G,$J29,'Boys Schedule'!$J:$J,"H",'Boys Schedule'!$M:$M,"&lt;&gt;"&amp;"")+COUNTIFS('Boys Schedule'!$C:$C,$A29,'Boys Schedule'!$D:$D,$J29,'Boys Schedule'!$J:$J,"V",'Boys Schedule'!$M:$M,"&lt;&gt;"&amp;"")</f>
        <v>4</v>
      </c>
      <c r="G29">
        <f>COUNTIFS('Boys Schedule'!$F:$F,$A29,'Boys Schedule'!$G:$G,$J29,'Boys Schedule'!$J:$J,"V",'Boys Schedule'!$M:$M,"&lt;&gt;"&amp;"")+COUNTIFS('Boys Schedule'!$C:$C,$A29,'Boys Schedule'!$D:$D,$J29,'Boys Schedule'!$J:$J,"H",'Boys Schedule'!$M:$M,"&lt;&gt;"&amp;"")</f>
        <v>5</v>
      </c>
      <c r="H29">
        <f>COUNTIFS('Boys Schedule'!$F:$F,$A29,'Boys Schedule'!$G:$G,$J29,'Boys Schedule'!$J:$J,"H")+COUNTIFS('Boys Schedule'!$C:$C,$A29,'Boys Schedule'!$D:$D,$J29,'Boys Schedule'!$J:$J,"V")-F29</f>
        <v>11</v>
      </c>
      <c r="I29">
        <f>COUNTIFS('Boys Schedule'!$F:$F,$A29,'Boys Schedule'!$G:$G,$J29,'Boys Schedule'!$J:$J,"V")+COUNTIFS('Boys Schedule'!$C:$C,$A29,'Boys Schedule'!$D:$D,$J29,'Boys Schedule'!$J:$J,"H")-G29</f>
        <v>9</v>
      </c>
      <c r="J29" t="s">
        <v>80</v>
      </c>
      <c r="K29" t="s">
        <v>81</v>
      </c>
      <c r="L29" t="str">
        <f t="shared" si="10"/>
        <v>&lt;tr&gt;&lt;td class="VMC"&gt;Vincent Massey&lt;br /&gt;Trojans&lt;/td&gt;</v>
      </c>
      <c r="M29" t="str">
        <f t="shared" si="11"/>
        <v>&lt;td&gt;15&lt;/td&gt;</v>
      </c>
      <c r="N29" t="str">
        <f t="shared" si="12"/>
        <v>&lt;td&gt;14&lt;/td&gt;</v>
      </c>
      <c r="O29" s="2" t="str">
        <f t="shared" si="13"/>
        <v>&lt;td&gt;0.517&lt;/td&gt;</v>
      </c>
      <c r="P29" t="str">
        <f t="shared" si="14"/>
        <v>&lt;td&gt;WWAC-WAC-1&lt;/td&gt;</v>
      </c>
      <c r="Q29" t="str">
        <f t="shared" si="15"/>
        <v>&lt;td&gt;4&lt;/td&gt;</v>
      </c>
      <c r="R29" t="str">
        <f t="shared" si="16"/>
        <v>&lt;td&gt;5&lt;/td&gt;&lt;/tr&gt;</v>
      </c>
    </row>
    <row r="30" spans="1:18" x14ac:dyDescent="0.25">
      <c r="A30" t="s">
        <v>25</v>
      </c>
      <c r="B30">
        <f t="shared" si="1"/>
        <v>9</v>
      </c>
      <c r="C30">
        <f t="shared" si="2"/>
        <v>9</v>
      </c>
      <c r="D30" s="1">
        <f t="shared" si="3"/>
        <v>0.5</v>
      </c>
      <c r="E30" t="s">
        <v>39</v>
      </c>
      <c r="F30">
        <f>COUNTIFS('Boys Schedule'!$F:$F,$A30,'Boys Schedule'!$J:$J,"H",'Boys Schedule'!$M:$M,"&lt;&gt;"&amp;"")+COUNTIFS('Boys Schedule'!$C:$C,$A30,'Boys Schedule'!$J:$J,"V",'Boys Schedule'!$M:$M,"&lt;&gt;"&amp;"")</f>
        <v>3</v>
      </c>
      <c r="G30">
        <f>COUNTIFS('Boys Schedule'!$F:$F,$A30,'Boys Schedule'!$J:$J,"V",'Boys Schedule'!$M:$M,"&lt;&gt;"&amp;"")+COUNTIFS('Boys Schedule'!$C:$C,$A30,'Boys Schedule'!$J:$J,"H",'Boys Schedule'!$M:$M,"&lt;&gt;"&amp;"")</f>
        <v>6</v>
      </c>
      <c r="H30">
        <f>COUNTIFS('Boys Schedule'!$F:$F,$A30,'Boys Schedule'!$J:$J,"H")+COUNTIFS('Boys Schedule'!$C:$C,$A30,'Boys Schedule'!$J:$J,"V")-F30</f>
        <v>6</v>
      </c>
      <c r="I30">
        <f>COUNTIFS('Boys Schedule'!$F:$F,$A30,'Boys Schedule'!$J:$J,"V")+COUNTIFS('Boys Schedule'!$C:$C,$A30,'Boys Schedule'!$J:$J,"H")-G30</f>
        <v>3</v>
      </c>
      <c r="J30" t="s">
        <v>84</v>
      </c>
      <c r="K30" t="s">
        <v>85</v>
      </c>
      <c r="L30" t="str">
        <f t="shared" si="10"/>
        <v>&lt;tr&gt;&lt;td class="EHS"&gt;Elmwood&lt;br /&gt;Giants&lt;/td&gt;</v>
      </c>
      <c r="M30" t="str">
        <f t="shared" si="11"/>
        <v>&lt;td&gt;9&lt;/td&gt;</v>
      </c>
      <c r="N30" t="str">
        <f t="shared" si="12"/>
        <v>&lt;td&gt;9&lt;/td&gt;</v>
      </c>
      <c r="O30" s="2" t="str">
        <f t="shared" si="13"/>
        <v>&lt;td&gt;0.500&lt;/td&gt;</v>
      </c>
      <c r="P30" t="str">
        <f t="shared" si="14"/>
        <v>&lt;td&gt;WWAC-WAC-2&lt;/td&gt;</v>
      </c>
      <c r="Q30" t="str">
        <f t="shared" si="15"/>
        <v>&lt;td&gt;3&lt;/td&gt;</v>
      </c>
      <c r="R30" t="str">
        <f t="shared" si="16"/>
        <v>&lt;td&gt;6&lt;/td&gt;&lt;/tr&gt;</v>
      </c>
    </row>
    <row r="31" spans="1:18" x14ac:dyDescent="0.25">
      <c r="A31" t="s">
        <v>26</v>
      </c>
      <c r="B31">
        <f t="shared" si="1"/>
        <v>9</v>
      </c>
      <c r="C31">
        <f t="shared" si="2"/>
        <v>6</v>
      </c>
      <c r="D31" s="1">
        <f t="shared" si="3"/>
        <v>0.6</v>
      </c>
      <c r="E31" t="s">
        <v>39</v>
      </c>
      <c r="F31">
        <f>COUNTIFS('Boys Schedule'!$F:$F,$A31,'Boys Schedule'!$J:$J,"H",'Boys Schedule'!$M:$M,"&lt;&gt;"&amp;"")+COUNTIFS('Boys Schedule'!$C:$C,$A31,'Boys Schedule'!$J:$J,"V",'Boys Schedule'!$M:$M,"&lt;&gt;"&amp;"")</f>
        <v>7</v>
      </c>
      <c r="G31">
        <f>COUNTIFS('Boys Schedule'!$F:$F,$A31,'Boys Schedule'!$J:$J,"V",'Boys Schedule'!$M:$M,"&lt;&gt;"&amp;"")+COUNTIFS('Boys Schedule'!$C:$C,$A31,'Boys Schedule'!$J:$J,"H",'Boys Schedule'!$M:$M,"&lt;&gt;"&amp;"")</f>
        <v>2</v>
      </c>
      <c r="H31">
        <f>COUNTIFS('Boys Schedule'!$F:$F,$A31,'Boys Schedule'!$J:$J,"H")+COUNTIFS('Boys Schedule'!$C:$C,$A31,'Boys Schedule'!$J:$J,"V")-F31</f>
        <v>2</v>
      </c>
      <c r="I31">
        <f>COUNTIFS('Boys Schedule'!$F:$F,$A31,'Boys Schedule'!$J:$J,"V")+COUNTIFS('Boys Schedule'!$C:$C,$A31,'Boys Schedule'!$J:$J,"H")-G31</f>
        <v>4</v>
      </c>
      <c r="J31" t="s">
        <v>86</v>
      </c>
      <c r="K31" t="s">
        <v>87</v>
      </c>
      <c r="L31" t="str">
        <f t="shared" si="10"/>
        <v>&lt;tr&gt;&lt;td class="GBHS"&gt;Gordon Bell&lt;br /&gt;Panthers&lt;/td&gt;</v>
      </c>
      <c r="M31" t="str">
        <f t="shared" si="11"/>
        <v>&lt;td&gt;9&lt;/td&gt;</v>
      </c>
      <c r="N31" t="str">
        <f t="shared" si="12"/>
        <v>&lt;td&gt;6&lt;/td&gt;</v>
      </c>
      <c r="O31" s="2" t="str">
        <f t="shared" si="13"/>
        <v>&lt;td&gt;0.600&lt;/td&gt;</v>
      </c>
      <c r="P31" t="str">
        <f t="shared" si="14"/>
        <v>&lt;td&gt;WWAC-WAC-2&lt;/td&gt;</v>
      </c>
      <c r="Q31" t="str">
        <f t="shared" si="15"/>
        <v>&lt;td&gt;7&lt;/td&gt;</v>
      </c>
      <c r="R31" t="str">
        <f t="shared" si="16"/>
        <v>&lt;td&gt;2&lt;/td&gt;&lt;/tr&gt;</v>
      </c>
    </row>
    <row r="32" spans="1:18" x14ac:dyDescent="0.25">
      <c r="A32" t="s">
        <v>28</v>
      </c>
      <c r="B32">
        <f t="shared" si="1"/>
        <v>15</v>
      </c>
      <c r="C32">
        <f t="shared" si="2"/>
        <v>9</v>
      </c>
      <c r="D32" s="1">
        <f t="shared" si="3"/>
        <v>0.625</v>
      </c>
      <c r="E32" t="s">
        <v>39</v>
      </c>
      <c r="F32">
        <f>COUNTIFS('Boys Schedule'!$F:$F,$A32,'Boys Schedule'!$J:$J,"H",'Boys Schedule'!$M:$M,"&lt;&gt;"&amp;"")+COUNTIFS('Boys Schedule'!$C:$C,$A32,'Boys Schedule'!$J:$J,"V",'Boys Schedule'!$M:$M,"&lt;&gt;"&amp;"")</f>
        <v>6</v>
      </c>
      <c r="G32">
        <f>COUNTIFS('Boys Schedule'!$F:$F,$A32,'Boys Schedule'!$J:$J,"V",'Boys Schedule'!$M:$M,"&lt;&gt;"&amp;"")+COUNTIFS('Boys Schedule'!$C:$C,$A32,'Boys Schedule'!$J:$J,"H",'Boys Schedule'!$M:$M,"&lt;&gt;"&amp;"")</f>
        <v>3</v>
      </c>
      <c r="H32">
        <f>COUNTIFS('Boys Schedule'!$F:$F,$A32,'Boys Schedule'!$J:$J,"H")+COUNTIFS('Boys Schedule'!$C:$C,$A32,'Boys Schedule'!$J:$J,"V")-F32</f>
        <v>9</v>
      </c>
      <c r="I32">
        <f>COUNTIFS('Boys Schedule'!$F:$F,$A32,'Boys Schedule'!$J:$J,"V")+COUNTIFS('Boys Schedule'!$C:$C,$A32,'Boys Schedule'!$J:$J,"H")-G32</f>
        <v>6</v>
      </c>
      <c r="J32" t="s">
        <v>90</v>
      </c>
      <c r="K32" t="s">
        <v>81</v>
      </c>
      <c r="L32" t="str">
        <f t="shared" si="10"/>
        <v>&lt;tr&gt;&lt;td class="PCI"&gt;Portage&lt;br /&gt;Trojans&lt;/td&gt;</v>
      </c>
      <c r="M32" t="str">
        <f t="shared" si="11"/>
        <v>&lt;td&gt;15&lt;/td&gt;</v>
      </c>
      <c r="N32" t="str">
        <f t="shared" si="12"/>
        <v>&lt;td&gt;9&lt;/td&gt;</v>
      </c>
      <c r="O32" s="2" t="str">
        <f t="shared" si="13"/>
        <v>&lt;td&gt;0.625&lt;/td&gt;</v>
      </c>
      <c r="P32" t="str">
        <f t="shared" si="14"/>
        <v>&lt;td&gt;WWAC-WAC-2&lt;/td&gt;</v>
      </c>
      <c r="Q32" t="str">
        <f t="shared" si="15"/>
        <v>&lt;td&gt;6&lt;/td&gt;</v>
      </c>
      <c r="R32" t="str">
        <f t="shared" si="16"/>
        <v>&lt;td&gt;3&lt;/td&gt;&lt;/tr&gt;</v>
      </c>
    </row>
    <row r="33" spans="1:18" x14ac:dyDescent="0.25">
      <c r="A33" t="s">
        <v>29</v>
      </c>
      <c r="B33">
        <f t="shared" si="1"/>
        <v>8</v>
      </c>
      <c r="C33">
        <f t="shared" si="2"/>
        <v>9</v>
      </c>
      <c r="D33" s="1">
        <f t="shared" si="3"/>
        <v>0.47058823529411764</v>
      </c>
      <c r="E33" t="s">
        <v>39</v>
      </c>
      <c r="F33">
        <f>COUNTIFS('Boys Schedule'!$F:$F,$A33,'Boys Schedule'!$J:$J,"H",'Boys Schedule'!$M:$M,"&lt;&gt;"&amp;"")+COUNTIFS('Boys Schedule'!$C:$C,$A33,'Boys Schedule'!$J:$J,"V",'Boys Schedule'!$M:$M,"&lt;&gt;"&amp;"")</f>
        <v>3</v>
      </c>
      <c r="G33">
        <f>COUNTIFS('Boys Schedule'!$F:$F,$A33,'Boys Schedule'!$J:$J,"V",'Boys Schedule'!$M:$M,"&lt;&gt;"&amp;"")+COUNTIFS('Boys Schedule'!$C:$C,$A33,'Boys Schedule'!$J:$J,"H",'Boys Schedule'!$M:$M,"&lt;&gt;"&amp;"")</f>
        <v>6</v>
      </c>
      <c r="H33">
        <f>COUNTIFS('Boys Schedule'!$F:$F,$A33,'Boys Schedule'!$J:$J,"H")+COUNTIFS('Boys Schedule'!$C:$C,$A33,'Boys Schedule'!$J:$J,"V")-F33</f>
        <v>5</v>
      </c>
      <c r="I33">
        <f>COUNTIFS('Boys Schedule'!$F:$F,$A33,'Boys Schedule'!$J:$J,"V")+COUNTIFS('Boys Schedule'!$C:$C,$A33,'Boys Schedule'!$J:$J,"H")-G33</f>
        <v>3</v>
      </c>
      <c r="J33" t="s">
        <v>91</v>
      </c>
      <c r="K33" t="s">
        <v>57</v>
      </c>
      <c r="L33" t="str">
        <f t="shared" si="10"/>
        <v>&lt;tr&gt;&lt;td class="ShHS"&gt;Shaftesbury&lt;br /&gt;Titans&lt;/td&gt;</v>
      </c>
      <c r="M33" t="str">
        <f t="shared" si="11"/>
        <v>&lt;td&gt;8&lt;/td&gt;</v>
      </c>
      <c r="N33" t="str">
        <f t="shared" si="12"/>
        <v>&lt;td&gt;9&lt;/td&gt;</v>
      </c>
      <c r="O33" s="2" t="str">
        <f t="shared" si="13"/>
        <v>&lt;td&gt;0.471&lt;/td&gt;</v>
      </c>
      <c r="P33" t="str">
        <f t="shared" si="14"/>
        <v>&lt;td&gt;WWAC-WAC-2&lt;/td&gt;</v>
      </c>
      <c r="Q33" t="str">
        <f t="shared" si="15"/>
        <v>&lt;td&gt;3&lt;/td&gt;</v>
      </c>
      <c r="R33" t="str">
        <f t="shared" si="16"/>
        <v>&lt;td&gt;6&lt;/td&gt;&lt;/tr&gt;</v>
      </c>
    </row>
    <row r="34" spans="1:18" x14ac:dyDescent="0.25">
      <c r="A34" t="s">
        <v>30</v>
      </c>
      <c r="B34">
        <f t="shared" si="1"/>
        <v>21</v>
      </c>
      <c r="C34">
        <f t="shared" si="2"/>
        <v>2</v>
      </c>
      <c r="D34" s="1">
        <f t="shared" si="3"/>
        <v>0.91304347826086951</v>
      </c>
      <c r="E34" t="s">
        <v>39</v>
      </c>
      <c r="F34">
        <f>COUNTIFS('Boys Schedule'!$F:$F,$A34,'Boys Schedule'!$J:$J,"H",'Boys Schedule'!$M:$M,"&lt;&gt;"&amp;"")+COUNTIFS('Boys Schedule'!$C:$C,$A34,'Boys Schedule'!$J:$J,"V",'Boys Schedule'!$M:$M,"&lt;&gt;"&amp;"")</f>
        <v>9</v>
      </c>
      <c r="G34">
        <f>COUNTIFS('Boys Schedule'!$F:$F,$A34,'Boys Schedule'!$J:$J,"V",'Boys Schedule'!$M:$M,"&lt;&gt;"&amp;"")+COUNTIFS('Boys Schedule'!$C:$C,$A34,'Boys Schedule'!$J:$J,"H",'Boys Schedule'!$M:$M,"&lt;&gt;"&amp;"")</f>
        <v>0</v>
      </c>
      <c r="H34">
        <f>COUNTIFS('Boys Schedule'!$F:$F,$A34,'Boys Schedule'!$J:$J,"H")+COUNTIFS('Boys Schedule'!$C:$C,$A34,'Boys Schedule'!$J:$J,"V")-F34</f>
        <v>12</v>
      </c>
      <c r="I34">
        <f>COUNTIFS('Boys Schedule'!$F:$F,$A34,'Boys Schedule'!$J:$J,"V")+COUNTIFS('Boys Schedule'!$C:$C,$A34,'Boys Schedule'!$J:$J,"H")-G34</f>
        <v>2</v>
      </c>
      <c r="J34" t="s">
        <v>92</v>
      </c>
      <c r="K34" t="s">
        <v>93</v>
      </c>
      <c r="L34" t="str">
        <f t="shared" si="10"/>
        <v>&lt;tr&gt;&lt;td class="SJHS"&gt;St. John's&lt;br /&gt;Tigers&lt;/td&gt;</v>
      </c>
      <c r="M34" t="str">
        <f t="shared" si="11"/>
        <v>&lt;td&gt;21&lt;/td&gt;</v>
      </c>
      <c r="N34" t="str">
        <f t="shared" si="12"/>
        <v>&lt;td&gt;2&lt;/td&gt;</v>
      </c>
      <c r="O34" s="2" t="str">
        <f t="shared" si="13"/>
        <v>&lt;td&gt;0.913&lt;/td&gt;</v>
      </c>
      <c r="P34" t="str">
        <f t="shared" si="14"/>
        <v>&lt;td&gt;WWAC-WAC-2&lt;/td&gt;</v>
      </c>
      <c r="Q34" t="str">
        <f t="shared" si="15"/>
        <v>&lt;td&gt;9&lt;/td&gt;</v>
      </c>
      <c r="R34" t="str">
        <f t="shared" si="16"/>
        <v>&lt;td&gt;0&lt;/td&gt;&lt;/tr&gt;</v>
      </c>
    </row>
    <row r="35" spans="1:18" x14ac:dyDescent="0.25">
      <c r="A35" t="s">
        <v>31</v>
      </c>
      <c r="B35">
        <f t="shared" si="1"/>
        <v>7</v>
      </c>
      <c r="C35">
        <f t="shared" si="2"/>
        <v>15</v>
      </c>
      <c r="D35" s="1">
        <f t="shared" si="3"/>
        <v>0.31818181818181818</v>
      </c>
      <c r="E35" t="s">
        <v>39</v>
      </c>
      <c r="F35">
        <f>COUNTIFS('Boys Schedule'!$F:$F,$A35,'Boys Schedule'!$J:$J,"H",'Boys Schedule'!$M:$M,"&lt;&gt;"&amp;"")+COUNTIFS('Boys Schedule'!$C:$C,$A35,'Boys Schedule'!$J:$J,"V",'Boys Schedule'!$M:$M,"&lt;&gt;"&amp;"")</f>
        <v>4</v>
      </c>
      <c r="G35">
        <f>COUNTIFS('Boys Schedule'!$F:$F,$A35,'Boys Schedule'!$J:$J,"V",'Boys Schedule'!$M:$M,"&lt;&gt;"&amp;"")+COUNTIFS('Boys Schedule'!$C:$C,$A35,'Boys Schedule'!$J:$J,"H",'Boys Schedule'!$M:$M,"&lt;&gt;"&amp;"")</f>
        <v>5</v>
      </c>
      <c r="H35">
        <f>COUNTIFS('Boys Schedule'!$F:$F,$A35,'Boys Schedule'!$J:$J,"H")+COUNTIFS('Boys Schedule'!$C:$C,$A35,'Boys Schedule'!$J:$J,"V")-F35</f>
        <v>3</v>
      </c>
      <c r="I35">
        <f>COUNTIFS('Boys Schedule'!$F:$F,$A35,'Boys Schedule'!$J:$J,"V")+COUNTIFS('Boys Schedule'!$C:$C,$A35,'Boys Schedule'!$J:$J,"H")-G35</f>
        <v>10</v>
      </c>
      <c r="J35" t="s">
        <v>96</v>
      </c>
      <c r="K35" t="s">
        <v>97</v>
      </c>
      <c r="L35" t="str">
        <f t="shared" si="10"/>
        <v>&lt;tr&gt;&lt;td class="TVHS"&gt;Tec Voc&lt;br /&gt;Hornets&lt;/td&gt;</v>
      </c>
      <c r="M35" t="str">
        <f t="shared" si="11"/>
        <v>&lt;td&gt;7&lt;/td&gt;</v>
      </c>
      <c r="N35" t="str">
        <f t="shared" si="12"/>
        <v>&lt;td&gt;15&lt;/td&gt;</v>
      </c>
      <c r="O35" s="2" t="str">
        <f t="shared" si="13"/>
        <v>&lt;td&gt;0.318&lt;/td&gt;</v>
      </c>
      <c r="P35" t="str">
        <f t="shared" si="14"/>
        <v>&lt;td&gt;WWAC-WAC-2&lt;/td&gt;</v>
      </c>
      <c r="Q35" t="str">
        <f t="shared" si="15"/>
        <v>&lt;td&gt;4&lt;/td&gt;</v>
      </c>
      <c r="R35" t="str">
        <f t="shared" si="16"/>
        <v>&lt;td&gt;5&lt;/td&gt;&lt;/tr&gt;</v>
      </c>
    </row>
    <row r="36" spans="1:18" x14ac:dyDescent="0.25">
      <c r="A36" t="s">
        <v>13</v>
      </c>
      <c r="B36">
        <f t="shared" si="1"/>
        <v>4</v>
      </c>
      <c r="C36">
        <f t="shared" si="2"/>
        <v>17</v>
      </c>
      <c r="D36" s="1">
        <f t="shared" si="3"/>
        <v>0.19047619047619047</v>
      </c>
      <c r="E36" t="s">
        <v>39</v>
      </c>
      <c r="F36">
        <f>COUNTIFS('Boys Schedule'!$F:$F,$A36,'Boys Schedule'!$J:$J,"H",'Boys Schedule'!$M:$M,"&lt;&gt;"&amp;"")+COUNTIFS('Boys Schedule'!$C:$C,$A36,'Boys Schedule'!$J:$J,"V",'Boys Schedule'!$M:$M,"&lt;&gt;"&amp;"")</f>
        <v>4</v>
      </c>
      <c r="G36">
        <f>COUNTIFS('Boys Schedule'!$F:$F,$A36,'Boys Schedule'!$J:$J,"V",'Boys Schedule'!$M:$M,"&lt;&gt;"&amp;"")+COUNTIFS('Boys Schedule'!$C:$C,$A36,'Boys Schedule'!$J:$J,"H",'Boys Schedule'!$M:$M,"&lt;&gt;"&amp;"")</f>
        <v>5</v>
      </c>
      <c r="H36">
        <f>COUNTIFS('Boys Schedule'!$F:$F,$A36,'Boys Schedule'!$J:$J,"H")+COUNTIFS('Boys Schedule'!$C:$C,$A36,'Boys Schedule'!$J:$J,"V")-F36</f>
        <v>0</v>
      </c>
      <c r="I36">
        <f>COUNTIFS('Boys Schedule'!$F:$F,$A36,'Boys Schedule'!$J:$J,"V")+COUNTIFS('Boys Schedule'!$C:$C,$A36,'Boys Schedule'!$J:$J,"H")-G36</f>
        <v>12</v>
      </c>
      <c r="J36" t="s">
        <v>98</v>
      </c>
      <c r="K36" t="s">
        <v>99</v>
      </c>
      <c r="L36" t="str">
        <f t="shared" si="10"/>
        <v>&lt;tr&gt;&lt;td class="WWC"&gt;Westwood&lt;br /&gt;Warriors&lt;/td&gt;</v>
      </c>
      <c r="M36" t="str">
        <f t="shared" si="11"/>
        <v>&lt;td&gt;4&lt;/td&gt;</v>
      </c>
      <c r="N36" t="str">
        <f t="shared" si="12"/>
        <v>&lt;td&gt;17&lt;/td&gt;</v>
      </c>
      <c r="O36" s="2" t="str">
        <f t="shared" si="13"/>
        <v>&lt;td&gt;0.190&lt;/td&gt;</v>
      </c>
      <c r="P36" t="str">
        <f t="shared" si="14"/>
        <v>&lt;td&gt;WWAC-WAC-2&lt;/td&gt;</v>
      </c>
      <c r="Q36" t="str">
        <f t="shared" si="15"/>
        <v>&lt;td&gt;4&lt;/td&gt;</v>
      </c>
      <c r="R36" t="str">
        <f t="shared" si="16"/>
        <v>&lt;td&gt;5&lt;/td&gt;&lt;/tr&gt;</v>
      </c>
    </row>
    <row r="37" spans="1:18" x14ac:dyDescent="0.25">
      <c r="A37" t="s">
        <v>162</v>
      </c>
      <c r="B37">
        <f t="shared" ref="B37" si="29">F37+H37</f>
        <v>22</v>
      </c>
      <c r="C37">
        <f t="shared" ref="C37" si="30">G37+I37</f>
        <v>7</v>
      </c>
      <c r="D37" s="1">
        <f t="shared" si="3"/>
        <v>0.75862068965517238</v>
      </c>
      <c r="E37" t="s">
        <v>163</v>
      </c>
      <c r="F37">
        <f>COUNTIFS('Boys Schedule'!$F:$F,$A37,'Boys Schedule'!$J:$J,"H",'Boys Schedule'!$M:$M,"&lt;&gt;"&amp;"")+COUNTIFS('Boys Schedule'!$C:$C,$A37,'Boys Schedule'!$J:$J,"V",'Boys Schedule'!$M:$M,"&lt;&gt;"&amp;"")</f>
        <v>6</v>
      </c>
      <c r="G37">
        <f>COUNTIFS('Boys Schedule'!$F:$F,$A37,'Boys Schedule'!$J:$J,"V",'Boys Schedule'!$M:$M,"&lt;&gt;"&amp;"")+COUNTIFS('Boys Schedule'!$C:$C,$A37,'Boys Schedule'!$J:$J,"H",'Boys Schedule'!$M:$M,"&lt;&gt;"&amp;"")</f>
        <v>0</v>
      </c>
      <c r="H37">
        <f>COUNTIFS('Boys Schedule'!$F:$F,$A37,'Boys Schedule'!$J:$J,"H")+COUNTIFS('Boys Schedule'!$C:$C,$A37,'Boys Schedule'!$J:$J,"V")-F37</f>
        <v>16</v>
      </c>
      <c r="I37">
        <f>COUNTIFS('Boys Schedule'!$F:$F,$A37,'Boys Schedule'!$J:$J,"V")+COUNTIFS('Boys Schedule'!$C:$C,$A37,'Boys Schedule'!$J:$J,"H")-G37</f>
        <v>7</v>
      </c>
      <c r="J37" t="s">
        <v>164</v>
      </c>
      <c r="K37" t="s">
        <v>165</v>
      </c>
      <c r="L37" t="str">
        <f t="shared" ref="L37" si="31">"&lt;tr&gt;&lt;td class="""&amp;J37&amp;"""&gt;"&amp;A37&amp;"&lt;br /&gt;"&amp;K37&amp;"&lt;/td&gt;"</f>
        <v>&lt;tr&gt;&lt;td class="GVC"&gt;Garden Valley&lt;br /&gt;Zodiacs&lt;/td&gt;</v>
      </c>
      <c r="M37" t="str">
        <f t="shared" ref="M37" si="32">"&lt;td&gt;"&amp;B37&amp;"&lt;/td&gt;"</f>
        <v>&lt;td&gt;22&lt;/td&gt;</v>
      </c>
      <c r="N37" t="str">
        <f t="shared" ref="N37" si="33">"&lt;td&gt;"&amp;C37&amp;"&lt;/td&gt;"</f>
        <v>&lt;td&gt;7&lt;/td&gt;</v>
      </c>
      <c r="O37" s="2" t="str">
        <f t="shared" ref="O37" si="34">"&lt;td&gt;"&amp;TEXT(D37,"0.000")&amp;"&lt;/td&gt;"</f>
        <v>&lt;td&gt;0.759&lt;/td&gt;</v>
      </c>
      <c r="P37" t="str">
        <f t="shared" ref="P37" si="35">"&lt;td&gt;"&amp;E37&amp;"&lt;/td&gt;"</f>
        <v>&lt;td&gt;Zone 4&lt;/td&gt;</v>
      </c>
      <c r="Q37" t="str">
        <f t="shared" ref="Q37" si="36">"&lt;td&gt;"&amp;F37&amp;"&lt;/td&gt;"</f>
        <v>&lt;td&gt;6&lt;/td&gt;</v>
      </c>
      <c r="R37" t="str">
        <f t="shared" ref="R37" si="37">"&lt;td&gt;"&amp;G37&amp;"&lt;/td&gt;&lt;/tr&gt;"</f>
        <v>&lt;td&gt;0&lt;/td&gt;&lt;/tr&gt;</v>
      </c>
    </row>
    <row r="38" spans="1:18" x14ac:dyDescent="0.25">
      <c r="A38" t="s">
        <v>32</v>
      </c>
      <c r="B38">
        <f t="shared" si="1"/>
        <v>15</v>
      </c>
      <c r="C38">
        <f t="shared" si="2"/>
        <v>11</v>
      </c>
      <c r="D38" s="1">
        <f t="shared" si="3"/>
        <v>0.57692307692307687</v>
      </c>
      <c r="E38" t="s">
        <v>40</v>
      </c>
      <c r="F38">
        <f>COUNTIFS('Boys Schedule'!$F:$F,$A38,'Boys Schedule'!$J:$J,"H",'Boys Schedule'!$M:$M,"&lt;&gt;"&amp;"")+COUNTIFS('Boys Schedule'!$C:$C,$A38,'Boys Schedule'!$J:$J,"V",'Boys Schedule'!$M:$M,"&lt;&gt;"&amp;"")</f>
        <v>2</v>
      </c>
      <c r="G38">
        <f>COUNTIFS('Boys Schedule'!$F:$F,$A38,'Boys Schedule'!$J:$J,"V",'Boys Schedule'!$M:$M,"&lt;&gt;"&amp;"")+COUNTIFS('Boys Schedule'!$C:$C,$A38,'Boys Schedule'!$J:$J,"H",'Boys Schedule'!$M:$M,"&lt;&gt;"&amp;"")</f>
        <v>2</v>
      </c>
      <c r="H38">
        <f>COUNTIFS('Boys Schedule'!$F:$F,$A38,'Boys Schedule'!$J:$J,"H")+COUNTIFS('Boys Schedule'!$C:$C,$A38,'Boys Schedule'!$J:$J,"V")-F38</f>
        <v>13</v>
      </c>
      <c r="I38">
        <f>COUNTIFS('Boys Schedule'!$F:$F,$A38,'Boys Schedule'!$J:$J,"V")+COUNTIFS('Boys Schedule'!$C:$C,$A38,'Boys Schedule'!$J:$J,"H")-G38</f>
        <v>9</v>
      </c>
      <c r="J38" t="s">
        <v>100</v>
      </c>
      <c r="K38" t="s">
        <v>101</v>
      </c>
      <c r="L38" t="str">
        <f>"&lt;tr&gt;&lt;td class="""&amp;J38&amp;"""&gt;"&amp;A38&amp;"&lt;br /&gt;"&amp;K38&amp;"&lt;/td&gt;"</f>
        <v>&lt;tr&gt;&lt;td class="CPRS"&gt;Crocus Plains&lt;br /&gt;Plainsmen&lt;/td&gt;</v>
      </c>
      <c r="M38" t="str">
        <f>"&lt;td&gt;"&amp;B38&amp;"&lt;/td&gt;"</f>
        <v>&lt;td&gt;15&lt;/td&gt;</v>
      </c>
      <c r="N38" t="str">
        <f>"&lt;td&gt;"&amp;C38&amp;"&lt;/td&gt;"</f>
        <v>&lt;td&gt;11&lt;/td&gt;</v>
      </c>
      <c r="O38" s="2" t="str">
        <f>"&lt;td&gt;"&amp;TEXT(D38,"0.000")&amp;"&lt;/td&gt;"</f>
        <v>&lt;td&gt;0.577&lt;/td&gt;</v>
      </c>
      <c r="P38" t="str">
        <f>"&lt;td&gt;"&amp;E38&amp;"&lt;/td&gt;"</f>
        <v>&lt;td&gt;Zone 15&lt;/td&gt;</v>
      </c>
      <c r="Q38" t="str">
        <f>"&lt;td&gt;"&amp;F38&amp;"&lt;/td&gt;"</f>
        <v>&lt;td&gt;2&lt;/td&gt;</v>
      </c>
      <c r="R38" t="str">
        <f>"&lt;td&gt;"&amp;G38&amp;"&lt;/td&gt;&lt;/tr&gt;"</f>
        <v>&lt;td&gt;2&lt;/td&gt;&lt;/tr&gt;</v>
      </c>
    </row>
    <row r="39" spans="1:18" x14ac:dyDescent="0.25">
      <c r="A39" t="s">
        <v>23</v>
      </c>
      <c r="B39">
        <f t="shared" si="1"/>
        <v>12</v>
      </c>
      <c r="C39">
        <f t="shared" si="2"/>
        <v>16</v>
      </c>
      <c r="D39" s="1">
        <f t="shared" si="3"/>
        <v>0.42857142857142855</v>
      </c>
      <c r="E39" t="s">
        <v>40</v>
      </c>
      <c r="F39">
        <f>COUNTIFS('Boys Schedule'!$F:$F,$A39,'Boys Schedule'!$G:$G,$J39,'Boys Schedule'!$J:$J,"H",'Boys Schedule'!$M:$M,"&lt;&gt;"&amp;"")+COUNTIFS('Boys Schedule'!$C:$C,$A39,'Boys Schedule'!$D:$D,$J39,'Boys Schedule'!$J:$J,"V",'Boys Schedule'!$M:$M,"&lt;&gt;"&amp;"")</f>
        <v>2</v>
      </c>
      <c r="G39">
        <f>COUNTIFS('Boys Schedule'!$F:$F,$A39,'Boys Schedule'!$G:$G,$J39,'Boys Schedule'!$J:$J,"V",'Boys Schedule'!$M:$M,"&lt;&gt;"&amp;"")+COUNTIFS('Boys Schedule'!$C:$C,$A39,'Boys Schedule'!$D:$D,$J39,'Boys Schedule'!$J:$J,"H",'Boys Schedule'!$M:$M,"&lt;&gt;"&amp;"")</f>
        <v>2</v>
      </c>
      <c r="H39">
        <f>COUNTIFS('Boys Schedule'!$F:$F,$A39,'Boys Schedule'!$G:$G,$J39,'Boys Schedule'!$J:$J,"H")+COUNTIFS('Boys Schedule'!$C:$C,$A39,'Boys Schedule'!$D:$D,$J39,'Boys Schedule'!$J:$J,"V")-F39</f>
        <v>10</v>
      </c>
      <c r="I39">
        <f>COUNTIFS('Boys Schedule'!$F:$F,$A39,'Boys Schedule'!$G:$G,$J39,'Boys Schedule'!$J:$J,"V")+COUNTIFS('Boys Schedule'!$C:$C,$A39,'Boys Schedule'!$D:$D,$J39,'Boys Schedule'!$J:$J,"H")-G39</f>
        <v>14</v>
      </c>
      <c r="J39" t="s">
        <v>102</v>
      </c>
      <c r="K39" t="s">
        <v>103</v>
      </c>
      <c r="L39" t="str">
        <f>"&lt;tr&gt;&lt;td class="""&amp;J39&amp;"""&gt;"&amp;A39&amp;"&lt;br /&gt;"&amp;K39&amp;"&lt;/td&gt;"</f>
        <v>&lt;tr&gt;&lt;td class="VMHS"&gt;Vincent Massey&lt;br /&gt;Vikings&lt;/td&gt;</v>
      </c>
      <c r="M39" t="str">
        <f>"&lt;td&gt;"&amp;B39&amp;"&lt;/td&gt;"</f>
        <v>&lt;td&gt;12&lt;/td&gt;</v>
      </c>
      <c r="N39" t="str">
        <f>"&lt;td&gt;"&amp;C39&amp;"&lt;/td&gt;"</f>
        <v>&lt;td&gt;16&lt;/td&gt;</v>
      </c>
      <c r="O39" s="2" t="str">
        <f>"&lt;td&gt;"&amp;TEXT(D39,"0.000")&amp;"&lt;/td&gt;"</f>
        <v>&lt;td&gt;0.429&lt;/td&gt;</v>
      </c>
      <c r="P39" t="str">
        <f>"&lt;td&gt;"&amp;E39&amp;"&lt;/td&gt;"</f>
        <v>&lt;td&gt;Zone 15&lt;/td&gt;</v>
      </c>
      <c r="Q39" t="str">
        <f>"&lt;td&gt;"&amp;F39&amp;"&lt;/td&gt;"</f>
        <v>&lt;td&gt;2&lt;/td&gt;</v>
      </c>
      <c r="R39" t="str">
        <f>"&lt;td&gt;"&amp;G39&amp;"&lt;/td&gt;&lt;/tr&gt;"</f>
        <v>&lt;td&gt;2&lt;/td&gt;&lt;/tr&gt;</v>
      </c>
    </row>
    <row r="40" spans="1:18" x14ac:dyDescent="0.25">
      <c r="A40" t="s">
        <v>259</v>
      </c>
      <c r="B40">
        <f t="shared" si="1"/>
        <v>69</v>
      </c>
      <c r="C40">
        <f t="shared" si="2"/>
        <v>108</v>
      </c>
      <c r="D40" s="1">
        <f t="shared" si="3"/>
        <v>0.38983050847457629</v>
      </c>
      <c r="F40">
        <f>COUNTIFS('Boys Schedule'!$J:$J,"H",'Boys Schedule'!$M:$M,"&lt;&gt;"&amp;"")+COUNTIFS('Boys Schedule'!$J:$J,"V",'Boys Schedule'!$M:$M,"&lt;&gt;"&amp;"")-SUM(F2:F39)</f>
        <v>21</v>
      </c>
      <c r="G40">
        <f>COUNTIFS('Boys Schedule'!$J:$J,"V",'Boys Schedule'!$M:$M,"&lt;&gt;"&amp;"")+COUNTIFS('Boys Schedule'!$J:$J,"H",'Boys Schedule'!$M:$M,"&lt;&gt;"&amp;"")-SUM(G2:G39)</f>
        <v>30</v>
      </c>
      <c r="H40">
        <f>COUNTIFS('Boys Schedule'!$J:$J,"H")+COUNTIFS('Boys Schedule'!$J:$J,"V")-F40-SUM(H2:H39)-SUM(F2:F39)</f>
        <v>48</v>
      </c>
      <c r="I40">
        <f>COUNTIFS('Boys Schedule'!$J:$J,"V")+COUNTIFS('Boys Schedule'!$J:$J,"H")-G40-SUM(I2:I39)-SUM(F2:F39)</f>
        <v>78</v>
      </c>
    </row>
  </sheetData>
  <conditionalFormatting sqref="D2:D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ignoredErrors>
    <ignoredError sqref="F29:I29 O16:O39 O2:O1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38"/>
  <sheetViews>
    <sheetView zoomScale="67" zoomScaleNormal="67" workbookViewId="0">
      <selection activeCell="L2" sqref="L2:R37"/>
    </sheetView>
  </sheetViews>
  <sheetFormatPr defaultRowHeight="15" x14ac:dyDescent="0.25"/>
  <cols>
    <col min="1" max="1" width="24.7109375" bestFit="1" customWidth="1"/>
    <col min="2" max="2" width="6.140625" bestFit="1" customWidth="1"/>
    <col min="3" max="3" width="8.42578125" bestFit="1" customWidth="1"/>
    <col min="4" max="4" width="7.140625" bestFit="1" customWidth="1"/>
    <col min="5" max="5" width="16.5703125" bestFit="1" customWidth="1"/>
    <col min="6" max="6" width="6.140625" bestFit="1" customWidth="1"/>
    <col min="7" max="7" width="8.42578125" bestFit="1" customWidth="1"/>
    <col min="8" max="8" width="6.140625" bestFit="1" customWidth="1"/>
    <col min="9" max="9" width="8.42578125" bestFit="1" customWidth="1"/>
    <col min="10" max="10" width="11.28515625" bestFit="1" customWidth="1"/>
    <col min="11" max="11" width="18.42578125" bestFit="1" customWidth="1"/>
  </cols>
  <sheetData>
    <row r="1" spans="1:18" x14ac:dyDescent="0.25">
      <c r="A1" t="s">
        <v>0</v>
      </c>
      <c r="B1" t="s">
        <v>33</v>
      </c>
      <c r="C1" t="s">
        <v>34</v>
      </c>
      <c r="D1" s="1" t="s">
        <v>35</v>
      </c>
      <c r="E1" t="s">
        <v>36</v>
      </c>
      <c r="F1" t="s">
        <v>33</v>
      </c>
      <c r="G1" t="s">
        <v>34</v>
      </c>
      <c r="H1" t="s">
        <v>33</v>
      </c>
      <c r="I1" t="s">
        <v>34</v>
      </c>
      <c r="J1" t="s">
        <v>114</v>
      </c>
      <c r="O1" s="2"/>
    </row>
    <row r="2" spans="1:18" x14ac:dyDescent="0.25">
      <c r="A2" t="s">
        <v>4</v>
      </c>
      <c r="B2">
        <f t="shared" ref="B2:B37" si="0">F2+H2</f>
        <v>19</v>
      </c>
      <c r="C2">
        <f t="shared" ref="C2:C37" si="1">G2+I2</f>
        <v>10</v>
      </c>
      <c r="D2" s="1">
        <f>IF(ISERROR($B2/($B2+$C2)),0,$B2/($B2+$C2))</f>
        <v>0.65517241379310343</v>
      </c>
      <c r="E2" t="s">
        <v>106</v>
      </c>
      <c r="F2">
        <f>COUNTIFS('Girls Schedule'!$F:$F,$A2,'Girls Schedule'!$J:$J,"H",'Girls Schedule'!$M:$M,"&lt;&gt;"&amp;"")+COUNTIFS('Girls Schedule'!$C:$C,$A2,'Girls Schedule'!$J:$J,"V",'Girls Schedule'!$M:$M,"&lt;&gt;"&amp;"")</f>
        <v>6</v>
      </c>
      <c r="G2">
        <f>COUNTIFS('Girls Schedule'!$F:$F,$A2,'Girls Schedule'!$J:$J,"V",'Girls Schedule'!$M:$M,"&lt;&gt;"&amp;"")+COUNTIFS('Girls Schedule'!$C:$C,$A2,'Girls Schedule'!$J:$J,"H",'Girls Schedule'!$M:$M,"&lt;&gt;"&amp;"")</f>
        <v>3</v>
      </c>
      <c r="H2">
        <f>COUNTIFS('Girls Schedule'!$F:$F,$A2,'Girls Schedule'!$J:$J,"H")+COUNTIFS('Girls Schedule'!$C:$C,$A2,'Girls Schedule'!$J:$J,"V")-F2</f>
        <v>13</v>
      </c>
      <c r="I2">
        <f>COUNTIFS('Girls Schedule'!$F:$F,$A2,'Girls Schedule'!$J:$J,"V")+COUNTIFS('Girls Schedule'!$C:$C,$A2,'Girls Schedule'!$J:$J,"H")-G2</f>
        <v>7</v>
      </c>
      <c r="J2" t="s">
        <v>41</v>
      </c>
      <c r="K2" t="s">
        <v>42</v>
      </c>
      <c r="L2" t="str">
        <f t="shared" ref="L2:L37" si="2">"&lt;tr&gt;&lt;td class="""&amp;J2&amp;"""&gt;"&amp;A2&amp;"&lt;br /&gt;"&amp;K2&amp;"&lt;/td&gt;"</f>
        <v>&lt;tr&gt;&lt;td class="GCC"&gt;Garden City&lt;br /&gt;Fighting Gophers&lt;/td&gt;</v>
      </c>
      <c r="M2" t="str">
        <f t="shared" ref="M2:N5" si="3">"&lt;td&gt;"&amp;B2&amp;"&lt;/td&gt;"</f>
        <v>&lt;td&gt;19&lt;/td&gt;</v>
      </c>
      <c r="N2" t="str">
        <f t="shared" si="3"/>
        <v>&lt;td&gt;10&lt;/td&gt;</v>
      </c>
      <c r="O2" s="2" t="str">
        <f t="shared" ref="O2:O37" si="4">"&lt;td&gt;"&amp;TEXT(D2,"0.000")&amp;"&lt;/td&gt;"</f>
        <v>&lt;td&gt;0.655&lt;/td&gt;</v>
      </c>
      <c r="P2" t="str">
        <f t="shared" ref="P2:Q5" si="5">"&lt;td&gt;"&amp;E2&amp;"&lt;/td&gt;"</f>
        <v>&lt;td&gt;KPAC-1&lt;/td&gt;</v>
      </c>
      <c r="Q2" t="str">
        <f t="shared" si="5"/>
        <v>&lt;td&gt;6&lt;/td&gt;</v>
      </c>
      <c r="R2" t="str">
        <f t="shared" ref="R2:R37" si="6">"&lt;td&gt;"&amp;G2&amp;"&lt;/td&gt;&lt;/tr&gt;"</f>
        <v>&lt;td&gt;3&lt;/td&gt;&lt;/tr&gt;</v>
      </c>
    </row>
    <row r="3" spans="1:18" x14ac:dyDescent="0.25">
      <c r="A3" t="s">
        <v>2</v>
      </c>
      <c r="B3">
        <f t="shared" si="0"/>
        <v>17</v>
      </c>
      <c r="C3">
        <f t="shared" si="1"/>
        <v>12</v>
      </c>
      <c r="D3" s="1">
        <f t="shared" ref="D3:D38" si="7">IF(ISERROR($B3/($B3+$C3)),0,$B3/($B3+$C3))</f>
        <v>0.58620689655172409</v>
      </c>
      <c r="E3" t="s">
        <v>106</v>
      </c>
      <c r="F3">
        <f>COUNTIFS('Girls Schedule'!$F:$F,$A3,'Girls Schedule'!$J:$J,"H",'Girls Schedule'!$M:$M,"&lt;&gt;"&amp;"")+COUNTIFS('Girls Schedule'!$C:$C,$A3,'Girls Schedule'!$J:$J,"V",'Girls Schedule'!$M:$M,"&lt;&gt;"&amp;"")</f>
        <v>4</v>
      </c>
      <c r="G3">
        <f>COUNTIFS('Girls Schedule'!$F:$F,$A3,'Girls Schedule'!$J:$J,"V",'Girls Schedule'!$M:$M,"&lt;&gt;"&amp;"")+COUNTIFS('Girls Schedule'!$C:$C,$A3,'Girls Schedule'!$J:$J,"H",'Girls Schedule'!$M:$M,"&lt;&gt;"&amp;"")</f>
        <v>5</v>
      </c>
      <c r="H3">
        <f>COUNTIFS('Girls Schedule'!$F:$F,$A3,'Girls Schedule'!$J:$J,"H")+COUNTIFS('Girls Schedule'!$C:$C,$A3,'Girls Schedule'!$J:$J,"V")-F3</f>
        <v>13</v>
      </c>
      <c r="I3">
        <f>COUNTIFS('Girls Schedule'!$F:$F,$A3,'Girls Schedule'!$J:$J,"V")+COUNTIFS('Girls Schedule'!$C:$C,$A3,'Girls Schedule'!$J:$J,"H")-G3</f>
        <v>7</v>
      </c>
      <c r="J3" t="s">
        <v>43</v>
      </c>
      <c r="K3" t="s">
        <v>44</v>
      </c>
      <c r="L3" t="str">
        <f t="shared" si="2"/>
        <v>&lt;tr&gt;&lt;td class="KEC"&gt;Kildonan-East&lt;br /&gt;Reivers&lt;/td&gt;</v>
      </c>
      <c r="M3" t="str">
        <f t="shared" si="3"/>
        <v>&lt;td&gt;17&lt;/td&gt;</v>
      </c>
      <c r="N3" t="str">
        <f t="shared" si="3"/>
        <v>&lt;td&gt;12&lt;/td&gt;</v>
      </c>
      <c r="O3" s="2" t="str">
        <f t="shared" si="4"/>
        <v>&lt;td&gt;0.586&lt;/td&gt;</v>
      </c>
      <c r="P3" t="str">
        <f t="shared" si="5"/>
        <v>&lt;td&gt;KPAC-1&lt;/td&gt;</v>
      </c>
      <c r="Q3" t="str">
        <f t="shared" si="5"/>
        <v>&lt;td&gt;4&lt;/td&gt;</v>
      </c>
      <c r="R3" t="str">
        <f t="shared" si="6"/>
        <v>&lt;td&gt;5&lt;/td&gt;&lt;/tr&gt;</v>
      </c>
    </row>
    <row r="4" spans="1:18" x14ac:dyDescent="0.25">
      <c r="A4" t="s">
        <v>11</v>
      </c>
      <c r="B4">
        <f t="shared" si="0"/>
        <v>18</v>
      </c>
      <c r="C4">
        <f t="shared" si="1"/>
        <v>13</v>
      </c>
      <c r="D4" s="1">
        <f t="shared" si="7"/>
        <v>0.58064516129032262</v>
      </c>
      <c r="E4" t="s">
        <v>106</v>
      </c>
      <c r="F4">
        <f>COUNTIFS('Girls Schedule'!$F:$F,$A4,'Girls Schedule'!$J:$J,"H",'Girls Schedule'!$M:$M,"&lt;&gt;"&amp;"")+COUNTIFS('Girls Schedule'!$C:$C,$A4,'Girls Schedule'!$J:$J,"V",'Girls Schedule'!$M:$M,"&lt;&gt;"&amp;"")</f>
        <v>8</v>
      </c>
      <c r="G4">
        <f>COUNTIFS('Girls Schedule'!$F:$F,$A4,'Girls Schedule'!$J:$J,"V",'Girls Schedule'!$M:$M,"&lt;&gt;"&amp;"")+COUNTIFS('Girls Schedule'!$C:$C,$A4,'Girls Schedule'!$J:$J,"H",'Girls Schedule'!$M:$M,"&lt;&gt;"&amp;"")</f>
        <v>1</v>
      </c>
      <c r="H4">
        <f>COUNTIFS('Girls Schedule'!$F:$F,$A4,'Girls Schedule'!$J:$J,"H")+COUNTIFS('Girls Schedule'!$C:$C,$A4,'Girls Schedule'!$J:$J,"V")-F4</f>
        <v>10</v>
      </c>
      <c r="I4">
        <f>COUNTIFS('Girls Schedule'!$F:$F,$A4,'Girls Schedule'!$J:$J,"V")+COUNTIFS('Girls Schedule'!$C:$C,$A4,'Girls Schedule'!$J:$J,"H")-G4</f>
        <v>12</v>
      </c>
      <c r="J4" t="s">
        <v>48</v>
      </c>
      <c r="K4" t="s">
        <v>49</v>
      </c>
      <c r="L4" t="str">
        <f t="shared" si="2"/>
        <v>&lt;tr&gt;&lt;td class="MMC"&gt;Miles Macdonell&lt;br /&gt;Buckeyes&lt;/td&gt;</v>
      </c>
      <c r="M4" t="str">
        <f t="shared" si="3"/>
        <v>&lt;td&gt;18&lt;/td&gt;</v>
      </c>
      <c r="N4" t="str">
        <f t="shared" si="3"/>
        <v>&lt;td&gt;13&lt;/td&gt;</v>
      </c>
      <c r="O4" s="2" t="str">
        <f t="shared" si="4"/>
        <v>&lt;td&gt;0.581&lt;/td&gt;</v>
      </c>
      <c r="P4" t="str">
        <f t="shared" si="5"/>
        <v>&lt;td&gt;KPAC-1&lt;/td&gt;</v>
      </c>
      <c r="Q4" t="str">
        <f t="shared" si="5"/>
        <v>&lt;td&gt;8&lt;/td&gt;</v>
      </c>
      <c r="R4" t="str">
        <f t="shared" si="6"/>
        <v>&lt;td&gt;1&lt;/td&gt;&lt;/tr&gt;</v>
      </c>
    </row>
    <row r="5" spans="1:18" x14ac:dyDescent="0.25">
      <c r="A5" t="s">
        <v>12</v>
      </c>
      <c r="B5">
        <f t="shared" si="0"/>
        <v>6</v>
      </c>
      <c r="C5">
        <f t="shared" si="1"/>
        <v>20</v>
      </c>
      <c r="D5" s="1">
        <f t="shared" si="7"/>
        <v>0.23076923076923078</v>
      </c>
      <c r="E5" t="s">
        <v>106</v>
      </c>
      <c r="F5">
        <f>COUNTIFS('Girls Schedule'!$F:$F,$A5,'Girls Schedule'!$J:$J,"H",'Girls Schedule'!$M:$M,"&lt;&gt;"&amp;"")+COUNTIFS('Girls Schedule'!$C:$C,$A5,'Girls Schedule'!$J:$J,"V",'Girls Schedule'!$M:$M,"&lt;&gt;"&amp;"")</f>
        <v>0</v>
      </c>
      <c r="G5">
        <f>COUNTIFS('Girls Schedule'!$F:$F,$A5,'Girls Schedule'!$J:$J,"V",'Girls Schedule'!$M:$M,"&lt;&gt;"&amp;"")+COUNTIFS('Girls Schedule'!$C:$C,$A5,'Girls Schedule'!$J:$J,"H",'Girls Schedule'!$M:$M,"&lt;&gt;"&amp;"")</f>
        <v>9</v>
      </c>
      <c r="H5">
        <f>COUNTIFS('Girls Schedule'!$F:$F,$A5,'Girls Schedule'!$J:$J,"H")+COUNTIFS('Girls Schedule'!$C:$C,$A5,'Girls Schedule'!$J:$J,"V")-F5</f>
        <v>6</v>
      </c>
      <c r="I5">
        <f>COUNTIFS('Girls Schedule'!$F:$F,$A5,'Girls Schedule'!$J:$J,"V")+COUNTIFS('Girls Schedule'!$C:$C,$A5,'Girls Schedule'!$J:$J,"H")-G5</f>
        <v>11</v>
      </c>
      <c r="J5" t="s">
        <v>54</v>
      </c>
      <c r="K5" t="s">
        <v>55</v>
      </c>
      <c r="L5" t="str">
        <f t="shared" si="2"/>
        <v>&lt;tr&gt;&lt;td class="LS"&gt;Selkirk&lt;br /&gt;Royals&lt;/td&gt;</v>
      </c>
      <c r="M5" t="str">
        <f t="shared" si="3"/>
        <v>&lt;td&gt;6&lt;/td&gt;</v>
      </c>
      <c r="N5" t="str">
        <f t="shared" si="3"/>
        <v>&lt;td&gt;20&lt;/td&gt;</v>
      </c>
      <c r="O5" s="2" t="str">
        <f t="shared" si="4"/>
        <v>&lt;td&gt;0.231&lt;/td&gt;</v>
      </c>
      <c r="P5" t="str">
        <f t="shared" si="5"/>
        <v>&lt;td&gt;KPAC-1&lt;/td&gt;</v>
      </c>
      <c r="Q5" t="str">
        <f t="shared" si="5"/>
        <v>&lt;td&gt;0&lt;/td&gt;</v>
      </c>
      <c r="R5" t="str">
        <f t="shared" si="6"/>
        <v>&lt;td&gt;9&lt;/td&gt;&lt;/tr&gt;</v>
      </c>
    </row>
    <row r="6" spans="1:18" x14ac:dyDescent="0.25">
      <c r="A6" t="s">
        <v>16</v>
      </c>
      <c r="B6">
        <f t="shared" si="0"/>
        <v>18</v>
      </c>
      <c r="C6">
        <f t="shared" si="1"/>
        <v>11</v>
      </c>
      <c r="D6" s="1">
        <f t="shared" si="7"/>
        <v>0.62068965517241381</v>
      </c>
      <c r="E6" t="s">
        <v>107</v>
      </c>
      <c r="F6">
        <f>COUNTIFS('Girls Schedule'!$F:$F,$A6,'Girls Schedule'!$J:$J,"H",'Girls Schedule'!$M:$M,"&lt;&gt;"&amp;"")+COUNTIFS('Girls Schedule'!$C:$C,$A6,'Girls Schedule'!$J:$J,"V",'Girls Schedule'!$M:$M,"&lt;&gt;"&amp;"")</f>
        <v>12</v>
      </c>
      <c r="G6">
        <f>COUNTIFS('Girls Schedule'!$F:$F,$A6,'Girls Schedule'!$J:$J,"V",'Girls Schedule'!$M:$M,"&lt;&gt;"&amp;"")+COUNTIFS('Girls Schedule'!$C:$C,$A6,'Girls Schedule'!$J:$J,"H",'Girls Schedule'!$M:$M,"&lt;&gt;"&amp;"")</f>
        <v>0</v>
      </c>
      <c r="H6">
        <f>COUNTIFS('Girls Schedule'!$F:$F,$A6,'Girls Schedule'!$J:$J,"H")+COUNTIFS('Girls Schedule'!$C:$C,$A6,'Girls Schedule'!$J:$J,"V")-F6</f>
        <v>6</v>
      </c>
      <c r="I6">
        <f>COUNTIFS('Girls Schedule'!$F:$F,$A6,'Girls Schedule'!$J:$J,"V")+COUNTIFS('Girls Schedule'!$C:$C,$A6,'Girls Schedule'!$J:$J,"H")-G6</f>
        <v>11</v>
      </c>
      <c r="J6" t="s">
        <v>45</v>
      </c>
      <c r="K6" t="s">
        <v>46</v>
      </c>
      <c r="L6" t="str">
        <f t="shared" si="2"/>
        <v>&lt;tr&gt;&lt;td class="MC"&gt;Maples&lt;br /&gt;Marauders&lt;/td&gt;</v>
      </c>
      <c r="M6" t="str">
        <f t="shared" ref="M6:N8" si="8">"&lt;td&gt;"&amp;B6&amp;"&lt;/td&gt;"</f>
        <v>&lt;td&gt;18&lt;/td&gt;</v>
      </c>
      <c r="N6" t="str">
        <f t="shared" si="8"/>
        <v>&lt;td&gt;11&lt;/td&gt;</v>
      </c>
      <c r="O6" s="2" t="str">
        <f t="shared" si="4"/>
        <v>&lt;td&gt;0.621&lt;/td&gt;</v>
      </c>
      <c r="P6" t="str">
        <f t="shared" ref="P6:Q8" si="9">"&lt;td&gt;"&amp;E6&amp;"&lt;/td&gt;"</f>
        <v>&lt;td&gt;KPAC-2&lt;/td&gt;</v>
      </c>
      <c r="Q6" t="str">
        <f t="shared" si="9"/>
        <v>&lt;td&gt;12&lt;/td&gt;</v>
      </c>
      <c r="R6" t="str">
        <f t="shared" si="6"/>
        <v>&lt;td&gt;0&lt;/td&gt;&lt;/tr&gt;</v>
      </c>
    </row>
    <row r="7" spans="1:18" x14ac:dyDescent="0.25">
      <c r="A7" t="s">
        <v>7</v>
      </c>
      <c r="B7">
        <f t="shared" si="0"/>
        <v>10</v>
      </c>
      <c r="C7">
        <f t="shared" si="1"/>
        <v>13</v>
      </c>
      <c r="D7" s="1">
        <f t="shared" si="7"/>
        <v>0.43478260869565216</v>
      </c>
      <c r="E7" t="s">
        <v>107</v>
      </c>
      <c r="F7">
        <f>COUNTIFS('Girls Schedule'!$F:$F,$A7,'Girls Schedule'!$J:$J,"H",'Girls Schedule'!$M:$M,"&lt;&gt;"&amp;"")+COUNTIFS('Girls Schedule'!$C:$C,$A7,'Girls Schedule'!$J:$J,"V",'Girls Schedule'!$M:$M,"&lt;&gt;"&amp;"")</f>
        <v>8</v>
      </c>
      <c r="G7">
        <f>COUNTIFS('Girls Schedule'!$F:$F,$A7,'Girls Schedule'!$J:$J,"V",'Girls Schedule'!$M:$M,"&lt;&gt;"&amp;"")+COUNTIFS('Girls Schedule'!$C:$C,$A7,'Girls Schedule'!$J:$J,"H",'Girls Schedule'!$M:$M,"&lt;&gt;"&amp;"")</f>
        <v>4</v>
      </c>
      <c r="H7">
        <f>COUNTIFS('Girls Schedule'!$F:$F,$A7,'Girls Schedule'!$J:$J,"H")+COUNTIFS('Girls Schedule'!$C:$C,$A7,'Girls Schedule'!$J:$J,"V")-F7</f>
        <v>2</v>
      </c>
      <c r="I7">
        <f>COUNTIFS('Girls Schedule'!$F:$F,$A7,'Girls Schedule'!$J:$J,"V")+COUNTIFS('Girls Schedule'!$C:$C,$A7,'Girls Schedule'!$J:$J,"H")-G7</f>
        <v>9</v>
      </c>
      <c r="J7" t="s">
        <v>7</v>
      </c>
      <c r="K7" t="s">
        <v>47</v>
      </c>
      <c r="L7" t="str">
        <f t="shared" si="2"/>
        <v>&lt;tr&gt;&lt;td class="MBCI"&gt;MBCI&lt;br /&gt;Hawks&lt;/td&gt;</v>
      </c>
      <c r="M7" t="str">
        <f t="shared" si="8"/>
        <v>&lt;td&gt;10&lt;/td&gt;</v>
      </c>
      <c r="N7" t="str">
        <f t="shared" si="8"/>
        <v>&lt;td&gt;13&lt;/td&gt;</v>
      </c>
      <c r="O7" s="2" t="str">
        <f t="shared" si="4"/>
        <v>&lt;td&gt;0.435&lt;/td&gt;</v>
      </c>
      <c r="P7" t="str">
        <f t="shared" si="9"/>
        <v>&lt;td&gt;KPAC-2&lt;/td&gt;</v>
      </c>
      <c r="Q7" t="str">
        <f t="shared" si="9"/>
        <v>&lt;td&gt;8&lt;/td&gt;</v>
      </c>
      <c r="R7" t="str">
        <f t="shared" si="6"/>
        <v>&lt;td&gt;4&lt;/td&gt;&lt;/tr&gt;</v>
      </c>
    </row>
    <row r="8" spans="1:18" x14ac:dyDescent="0.25">
      <c r="A8" t="s">
        <v>17</v>
      </c>
      <c r="B8">
        <f t="shared" si="0"/>
        <v>5</v>
      </c>
      <c r="C8">
        <f t="shared" si="1"/>
        <v>12</v>
      </c>
      <c r="D8" s="1">
        <f t="shared" si="7"/>
        <v>0.29411764705882354</v>
      </c>
      <c r="E8" t="s">
        <v>107</v>
      </c>
      <c r="F8">
        <f>COUNTIFS('Girls Schedule'!$F:$F,$A8,'Girls Schedule'!$J:$J,"H",'Girls Schedule'!$M:$M,"&lt;&gt;"&amp;"")+COUNTIFS('Girls Schedule'!$C:$C,$A8,'Girls Schedule'!$J:$J,"V",'Girls Schedule'!$M:$M,"&lt;&gt;"&amp;"")</f>
        <v>4</v>
      </c>
      <c r="G8">
        <f>COUNTIFS('Girls Schedule'!$F:$F,$A8,'Girls Schedule'!$J:$J,"V",'Girls Schedule'!$M:$M,"&lt;&gt;"&amp;"")+COUNTIFS('Girls Schedule'!$C:$C,$A8,'Girls Schedule'!$J:$J,"H",'Girls Schedule'!$M:$M,"&lt;&gt;"&amp;"")</f>
        <v>8</v>
      </c>
      <c r="H8">
        <f>COUNTIFS('Girls Schedule'!$F:$F,$A8,'Girls Schedule'!$J:$J,"H")+COUNTIFS('Girls Schedule'!$C:$C,$A8,'Girls Schedule'!$J:$J,"V")-F8</f>
        <v>1</v>
      </c>
      <c r="I8">
        <f>COUNTIFS('Girls Schedule'!$F:$F,$A8,'Girls Schedule'!$J:$J,"V")+COUNTIFS('Girls Schedule'!$C:$C,$A8,'Girls Schedule'!$J:$J,"H")-G8</f>
        <v>4</v>
      </c>
      <c r="J8" t="s">
        <v>50</v>
      </c>
      <c r="K8" t="s">
        <v>51</v>
      </c>
      <c r="L8" t="str">
        <f t="shared" si="2"/>
        <v>&lt;tr&gt;&lt;td class="MMCI"&gt;Murdoch MacKay&lt;br /&gt;Clansmen&lt;/td&gt;</v>
      </c>
      <c r="M8" t="str">
        <f t="shared" si="8"/>
        <v>&lt;td&gt;5&lt;/td&gt;</v>
      </c>
      <c r="N8" t="str">
        <f t="shared" si="8"/>
        <v>&lt;td&gt;12&lt;/td&gt;</v>
      </c>
      <c r="O8" s="2" t="str">
        <f t="shared" si="4"/>
        <v>&lt;td&gt;0.294&lt;/td&gt;</v>
      </c>
      <c r="P8" t="str">
        <f t="shared" si="9"/>
        <v>&lt;td&gt;KPAC-2&lt;/td&gt;</v>
      </c>
      <c r="Q8" t="str">
        <f t="shared" si="9"/>
        <v>&lt;td&gt;4&lt;/td&gt;</v>
      </c>
      <c r="R8" t="str">
        <f t="shared" si="6"/>
        <v>&lt;td&gt;8&lt;/td&gt;&lt;/tr&gt;</v>
      </c>
    </row>
    <row r="9" spans="1:18" x14ac:dyDescent="0.25">
      <c r="A9" t="s">
        <v>18</v>
      </c>
      <c r="B9">
        <f>F9+H9</f>
        <v>15</v>
      </c>
      <c r="C9">
        <f>G9+I9</f>
        <v>13</v>
      </c>
      <c r="D9" s="1">
        <f>IF(ISERROR($B9/($B9+$C9)),0,$B9/($B9+$C9))</f>
        <v>0.5357142857142857</v>
      </c>
      <c r="E9" t="s">
        <v>107</v>
      </c>
      <c r="F9">
        <f>COUNTIFS('Girls Schedule'!$F:$F,$A9,'Girls Schedule'!$J:$J,"H",'Girls Schedule'!$M:$M,"&lt;&gt;"&amp;"")+COUNTIFS('Girls Schedule'!$C:$C,$A9,'Girls Schedule'!$J:$J,"V",'Girls Schedule'!$M:$M,"&lt;&gt;"&amp;"")</f>
        <v>10</v>
      </c>
      <c r="G9">
        <f>COUNTIFS('Girls Schedule'!$F:$F,$A9,'Girls Schedule'!$J:$J,"V",'Girls Schedule'!$M:$M,"&lt;&gt;"&amp;"")+COUNTIFS('Girls Schedule'!$C:$C,$A9,'Girls Schedule'!$J:$J,"H",'Girls Schedule'!$M:$M,"&lt;&gt;"&amp;"")</f>
        <v>2</v>
      </c>
      <c r="H9">
        <f>COUNTIFS('Girls Schedule'!$F:$F,$A9,'Girls Schedule'!$J:$J,"H")+COUNTIFS('Girls Schedule'!$C:$C,$A9,'Girls Schedule'!$J:$J,"V")-F9</f>
        <v>5</v>
      </c>
      <c r="I9">
        <f>COUNTIFS('Girls Schedule'!$F:$F,$A9,'Girls Schedule'!$J:$J,"V")+COUNTIFS('Girls Schedule'!$C:$C,$A9,'Girls Schedule'!$J:$J,"H")-G9</f>
        <v>11</v>
      </c>
      <c r="J9" t="s">
        <v>52</v>
      </c>
      <c r="K9" t="s">
        <v>53</v>
      </c>
      <c r="L9" t="str">
        <f>"&lt;tr&gt;&lt;td class="""&amp;J9&amp;"""&gt;"&amp;A9&amp;"&lt;br /&gt;"&amp;K9&amp;"&lt;/td&gt;"</f>
        <v>&lt;tr&gt;&lt;td class="REC"&gt;River East&lt;br /&gt;Kodiaks&lt;/td&gt;</v>
      </c>
      <c r="M9" t="str">
        <f>"&lt;td&gt;"&amp;B9&amp;"&lt;/td&gt;"</f>
        <v>&lt;td&gt;15&lt;/td&gt;</v>
      </c>
      <c r="N9" t="str">
        <f>"&lt;td&gt;"&amp;C9&amp;"&lt;/td&gt;"</f>
        <v>&lt;td&gt;13&lt;/td&gt;</v>
      </c>
      <c r="O9" s="2" t="str">
        <f>"&lt;td&gt;"&amp;TEXT(D9,"0.000")&amp;"&lt;/td&gt;"</f>
        <v>&lt;td&gt;0.536&lt;/td&gt;</v>
      </c>
      <c r="P9" t="str">
        <f>"&lt;td&gt;"&amp;E9&amp;"&lt;/td&gt;"</f>
        <v>&lt;td&gt;KPAC-2&lt;/td&gt;</v>
      </c>
      <c r="Q9" t="str">
        <f>"&lt;td&gt;"&amp;F9&amp;"&lt;/td&gt;"</f>
        <v>&lt;td&gt;10&lt;/td&gt;</v>
      </c>
      <c r="R9" t="str">
        <f>"&lt;td&gt;"&amp;G9&amp;"&lt;/td&gt;&lt;/tr&gt;"</f>
        <v>&lt;td&gt;2&lt;/td&gt;&lt;/tr&gt;</v>
      </c>
    </row>
    <row r="10" spans="1:18" x14ac:dyDescent="0.25">
      <c r="A10" t="s">
        <v>104</v>
      </c>
      <c r="B10">
        <f t="shared" si="0"/>
        <v>7</v>
      </c>
      <c r="C10">
        <f t="shared" si="1"/>
        <v>18</v>
      </c>
      <c r="D10" s="1">
        <f t="shared" si="7"/>
        <v>0.28000000000000003</v>
      </c>
      <c r="E10" t="s">
        <v>107</v>
      </c>
      <c r="F10">
        <f>COUNTIFS('Girls Schedule'!$F:$F,$A10,'Girls Schedule'!$J:$J,"H",'Girls Schedule'!$M:$M,"&lt;&gt;"&amp;"")+COUNTIFS('Girls Schedule'!$C:$C,$A10,'Girls Schedule'!$J:$J,"V",'Girls Schedule'!$M:$M,"&lt;&gt;"&amp;"")</f>
        <v>5</v>
      </c>
      <c r="G10">
        <f>COUNTIFS('Girls Schedule'!$F:$F,$A10,'Girls Schedule'!$J:$J,"V",'Girls Schedule'!$M:$M,"&lt;&gt;"&amp;"")+COUNTIFS('Girls Schedule'!$C:$C,$A10,'Girls Schedule'!$J:$J,"H",'Girls Schedule'!$M:$M,"&lt;&gt;"&amp;"")</f>
        <v>7</v>
      </c>
      <c r="H10">
        <f>COUNTIFS('Girls Schedule'!$F:$F,$A10,'Girls Schedule'!$J:$J,"H")+COUNTIFS('Girls Schedule'!$C:$C,$A10,'Girls Schedule'!$J:$J,"V")-F10</f>
        <v>2</v>
      </c>
      <c r="I10">
        <f>COUNTIFS('Girls Schedule'!$F:$F,$A10,'Girls Schedule'!$J:$J,"V")+COUNTIFS('Girls Schedule'!$C:$C,$A10,'Girls Schedule'!$J:$J,"H")-G10</f>
        <v>11</v>
      </c>
      <c r="J10" t="s">
        <v>105</v>
      </c>
      <c r="K10" t="s">
        <v>67</v>
      </c>
      <c r="L10" t="str">
        <f t="shared" si="2"/>
        <v>&lt;tr&gt;&lt;td class="SCI"&gt;Springfield&lt;br /&gt;Sabres&lt;/td&gt;</v>
      </c>
      <c r="M10" t="str">
        <f t="shared" ref="M10:M37" si="10">"&lt;td&gt;"&amp;B10&amp;"&lt;/td&gt;"</f>
        <v>&lt;td&gt;7&lt;/td&gt;</v>
      </c>
      <c r="N10" t="str">
        <f t="shared" ref="N10:N37" si="11">"&lt;td&gt;"&amp;C10&amp;"&lt;/td&gt;"</f>
        <v>&lt;td&gt;18&lt;/td&gt;</v>
      </c>
      <c r="O10" s="2" t="str">
        <f t="shared" si="4"/>
        <v>&lt;td&gt;0.280&lt;/td&gt;</v>
      </c>
      <c r="P10" t="str">
        <f t="shared" ref="P10:P37" si="12">"&lt;td&gt;"&amp;E10&amp;"&lt;/td&gt;"</f>
        <v>&lt;td&gt;KPAC-2&lt;/td&gt;</v>
      </c>
      <c r="Q10" t="str">
        <f t="shared" ref="Q10:Q37" si="13">"&lt;td&gt;"&amp;F10&amp;"&lt;/td&gt;"</f>
        <v>&lt;td&gt;5&lt;/td&gt;</v>
      </c>
      <c r="R10" t="str">
        <f t="shared" si="6"/>
        <v>&lt;td&gt;7&lt;/td&gt;&lt;/tr&gt;</v>
      </c>
    </row>
    <row r="11" spans="1:18" x14ac:dyDescent="0.25">
      <c r="A11" t="s">
        <v>19</v>
      </c>
      <c r="B11">
        <f t="shared" si="0"/>
        <v>2</v>
      </c>
      <c r="C11">
        <f t="shared" si="1"/>
        <v>17</v>
      </c>
      <c r="D11" s="1">
        <f t="shared" si="7"/>
        <v>0.10526315789473684</v>
      </c>
      <c r="E11" t="s">
        <v>107</v>
      </c>
      <c r="F11">
        <f>COUNTIFS('Girls Schedule'!$F:$F,$A11,'Girls Schedule'!$J:$J,"H",'Girls Schedule'!$M:$M,"&lt;&gt;"&amp;"")+COUNTIFS('Girls Schedule'!$C:$C,$A11,'Girls Schedule'!$J:$J,"V",'Girls Schedule'!$M:$M,"&lt;&gt;"&amp;"")</f>
        <v>1</v>
      </c>
      <c r="G11">
        <f>COUNTIFS('Girls Schedule'!$F:$F,$A11,'Girls Schedule'!$J:$J,"V",'Girls Schedule'!$M:$M,"&lt;&gt;"&amp;"")+COUNTIFS('Girls Schedule'!$C:$C,$A11,'Girls Schedule'!$J:$J,"H",'Girls Schedule'!$M:$M,"&lt;&gt;"&amp;"")</f>
        <v>11</v>
      </c>
      <c r="H11">
        <f>COUNTIFS('Girls Schedule'!$F:$F,$A11,'Girls Schedule'!$J:$J,"H")+COUNTIFS('Girls Schedule'!$C:$C,$A11,'Girls Schedule'!$J:$J,"V")-F11</f>
        <v>1</v>
      </c>
      <c r="I11">
        <f>COUNTIFS('Girls Schedule'!$F:$F,$A11,'Girls Schedule'!$J:$J,"V")+COUNTIFS('Girls Schedule'!$C:$C,$A11,'Girls Schedule'!$J:$J,"H")-G11</f>
        <v>6</v>
      </c>
      <c r="J11" t="s">
        <v>56</v>
      </c>
      <c r="K11" t="s">
        <v>57</v>
      </c>
      <c r="L11" t="str">
        <f t="shared" si="2"/>
        <v>&lt;tr&gt;&lt;td class="TCI"&gt;Transcona&lt;br /&gt;Titans&lt;/td&gt;</v>
      </c>
      <c r="M11" t="str">
        <f t="shared" si="10"/>
        <v>&lt;td&gt;2&lt;/td&gt;</v>
      </c>
      <c r="N11" t="str">
        <f t="shared" si="11"/>
        <v>&lt;td&gt;17&lt;/td&gt;</v>
      </c>
      <c r="O11" s="2" t="str">
        <f t="shared" si="4"/>
        <v>&lt;td&gt;0.105&lt;/td&gt;</v>
      </c>
      <c r="P11" t="str">
        <f t="shared" si="12"/>
        <v>&lt;td&gt;KPAC-2&lt;/td&gt;</v>
      </c>
      <c r="Q11" t="str">
        <f t="shared" si="13"/>
        <v>&lt;td&gt;1&lt;/td&gt;</v>
      </c>
      <c r="R11" t="str">
        <f t="shared" si="6"/>
        <v>&lt;td&gt;11&lt;/td&gt;&lt;/tr&gt;</v>
      </c>
    </row>
    <row r="12" spans="1:18" x14ac:dyDescent="0.25">
      <c r="A12" t="s">
        <v>20</v>
      </c>
      <c r="B12">
        <f t="shared" si="0"/>
        <v>2</v>
      </c>
      <c r="C12">
        <f t="shared" si="1"/>
        <v>11</v>
      </c>
      <c r="D12" s="1">
        <f t="shared" si="7"/>
        <v>0.15384615384615385</v>
      </c>
      <c r="E12" t="s">
        <v>107</v>
      </c>
      <c r="F12">
        <f>COUNTIFS('Girls Schedule'!$F:$F,$A12,'Girls Schedule'!$J:$J,"H",'Girls Schedule'!$M:$M,"&lt;&gt;"&amp;"")+COUNTIFS('Girls Schedule'!$C:$C,$A12,'Girls Schedule'!$J:$J,"V",'Girls Schedule'!$M:$M,"&lt;&gt;"&amp;"")</f>
        <v>2</v>
      </c>
      <c r="G12">
        <f>COUNTIFS('Girls Schedule'!$F:$F,$A12,'Girls Schedule'!$J:$J,"V",'Girls Schedule'!$M:$M,"&lt;&gt;"&amp;"")+COUNTIFS('Girls Schedule'!$C:$C,$A12,'Girls Schedule'!$J:$J,"H",'Girls Schedule'!$M:$M,"&lt;&gt;"&amp;"")</f>
        <v>10</v>
      </c>
      <c r="H12">
        <f>COUNTIFS('Girls Schedule'!$F:$F,$A12,'Girls Schedule'!$J:$J,"H")+COUNTIFS('Girls Schedule'!$C:$C,$A12,'Girls Schedule'!$J:$J,"V")-F12</f>
        <v>0</v>
      </c>
      <c r="I12">
        <f>COUNTIFS('Girls Schedule'!$F:$F,$A12,'Girls Schedule'!$J:$J,"V")+COUNTIFS('Girls Schedule'!$C:$C,$A12,'Girls Schedule'!$J:$J,"H")-G12</f>
        <v>1</v>
      </c>
      <c r="J12" t="s">
        <v>58</v>
      </c>
      <c r="K12" t="s">
        <v>59</v>
      </c>
      <c r="L12" t="str">
        <f t="shared" si="2"/>
        <v>&lt;tr&gt;&lt;td class="WKC"&gt;West Kildonan&lt;br /&gt;Wolverines&lt;/td&gt;</v>
      </c>
      <c r="M12" t="str">
        <f t="shared" si="10"/>
        <v>&lt;td&gt;2&lt;/td&gt;</v>
      </c>
      <c r="N12" t="str">
        <f t="shared" si="11"/>
        <v>&lt;td&gt;11&lt;/td&gt;</v>
      </c>
      <c r="O12" s="2" t="str">
        <f t="shared" si="4"/>
        <v>&lt;td&gt;0.154&lt;/td&gt;</v>
      </c>
      <c r="P12" t="str">
        <f t="shared" si="12"/>
        <v>&lt;td&gt;KPAC-2&lt;/td&gt;</v>
      </c>
      <c r="Q12" t="str">
        <f t="shared" si="13"/>
        <v>&lt;td&gt;2&lt;/td&gt;</v>
      </c>
      <c r="R12" t="str">
        <f t="shared" si="6"/>
        <v>&lt;td&gt;10&lt;/td&gt;&lt;/tr&gt;</v>
      </c>
    </row>
    <row r="13" spans="1:18" x14ac:dyDescent="0.25">
      <c r="A13" t="s">
        <v>108</v>
      </c>
      <c r="B13">
        <f t="shared" si="0"/>
        <v>1</v>
      </c>
      <c r="C13">
        <f t="shared" si="1"/>
        <v>22</v>
      </c>
      <c r="D13" s="1">
        <f t="shared" si="7"/>
        <v>4.3478260869565216E-2</v>
      </c>
      <c r="E13" t="s">
        <v>763</v>
      </c>
      <c r="F13">
        <f>COUNTIFS('Girls Schedule'!$F:$F,$A13,'Girls Schedule'!$J:$J,"H",'Girls Schedule'!$M:$M,"&lt;&gt;"&amp;"")+COUNTIFS('Girls Schedule'!$C:$C,$A13,'Girls Schedule'!$J:$J,"V",'Girls Schedule'!$M:$M,"&lt;&gt;"&amp;"")</f>
        <v>0</v>
      </c>
      <c r="G13">
        <f>COUNTIFS('Girls Schedule'!$F:$F,$A13,'Girls Schedule'!$J:$J,"V",'Girls Schedule'!$M:$M,"&lt;&gt;"&amp;"")+COUNTIFS('Girls Schedule'!$C:$C,$A13,'Girls Schedule'!$J:$J,"H",'Girls Schedule'!$M:$M,"&lt;&gt;"&amp;"")</f>
        <v>10</v>
      </c>
      <c r="H13">
        <f>COUNTIFS('Girls Schedule'!$F:$F,$A13,'Girls Schedule'!$J:$J,"H")+COUNTIFS('Girls Schedule'!$C:$C,$A13,'Girls Schedule'!$J:$J,"V")-F13</f>
        <v>1</v>
      </c>
      <c r="I13">
        <f>COUNTIFS('Girls Schedule'!$F:$F,$A13,'Girls Schedule'!$J:$J,"V")+COUNTIFS('Girls Schedule'!$C:$C,$A13,'Girls Schedule'!$J:$J,"H")-G13</f>
        <v>12</v>
      </c>
      <c r="J13" t="s">
        <v>109</v>
      </c>
      <c r="K13" t="s">
        <v>110</v>
      </c>
      <c r="L13" t="str">
        <f t="shared" si="2"/>
        <v>&lt;tr&gt;&lt;td class="CJS"&gt;Jeanne-Sauv&amp;eacute;&lt;br /&gt;Olympiens&lt;/td&gt;</v>
      </c>
      <c r="M13" t="str">
        <f t="shared" si="10"/>
        <v>&lt;td&gt;1&lt;/td&gt;</v>
      </c>
      <c r="N13" t="str">
        <f t="shared" si="11"/>
        <v>&lt;td&gt;22&lt;/td&gt;</v>
      </c>
      <c r="O13" s="2" t="str">
        <f t="shared" si="4"/>
        <v>&lt;td&gt;0.043&lt;/td&gt;</v>
      </c>
      <c r="P13" t="str">
        <f t="shared" si="12"/>
        <v>&lt;td&gt;SCAC&lt;/td&gt;</v>
      </c>
      <c r="Q13" t="str">
        <f t="shared" si="13"/>
        <v>&lt;td&gt;0&lt;/td&gt;</v>
      </c>
      <c r="R13" t="str">
        <f t="shared" si="6"/>
        <v>&lt;td&gt;10&lt;/td&gt;&lt;/tr&gt;</v>
      </c>
    </row>
    <row r="14" spans="1:18" x14ac:dyDescent="0.25">
      <c r="A14" t="s">
        <v>8</v>
      </c>
      <c r="B14">
        <f t="shared" si="0"/>
        <v>15</v>
      </c>
      <c r="C14">
        <f t="shared" si="1"/>
        <v>15</v>
      </c>
      <c r="D14" s="1">
        <f t="shared" si="7"/>
        <v>0.5</v>
      </c>
      <c r="E14" t="s">
        <v>763</v>
      </c>
      <c r="F14">
        <f>COUNTIFS('Girls Schedule'!$F:$F,$A14,'Girls Schedule'!$J:$J,"H",'Girls Schedule'!$M:$M,"&lt;&gt;"&amp;"")+COUNTIFS('Girls Schedule'!$C:$C,$A14,'Girls Schedule'!$J:$J,"V",'Girls Schedule'!$M:$M,"&lt;&gt;"&amp;"")</f>
        <v>7</v>
      </c>
      <c r="G14">
        <f>COUNTIFS('Girls Schedule'!$F:$F,$A14,'Girls Schedule'!$J:$J,"V",'Girls Schedule'!$M:$M,"&lt;&gt;"&amp;"")+COUNTIFS('Girls Schedule'!$C:$C,$A14,'Girls Schedule'!$J:$J,"H",'Girls Schedule'!$M:$M,"&lt;&gt;"&amp;"")</f>
        <v>3</v>
      </c>
      <c r="H14">
        <f>COUNTIFS('Girls Schedule'!$F:$F,$A14,'Girls Schedule'!$J:$J,"H")+COUNTIFS('Girls Schedule'!$C:$C,$A14,'Girls Schedule'!$J:$J,"V")-F14</f>
        <v>8</v>
      </c>
      <c r="I14">
        <f>COUNTIFS('Girls Schedule'!$F:$F,$A14,'Girls Schedule'!$J:$J,"V")+COUNTIFS('Girls Schedule'!$C:$C,$A14,'Girls Schedule'!$J:$J,"H")-G14</f>
        <v>12</v>
      </c>
      <c r="J14" t="s">
        <v>60</v>
      </c>
      <c r="K14" t="s">
        <v>61</v>
      </c>
      <c r="L14" t="str">
        <f t="shared" si="2"/>
        <v>&lt;tr&gt;&lt;td class="DCI"&gt;Dakota&lt;br /&gt;Lancers&lt;/td&gt;</v>
      </c>
      <c r="M14" t="str">
        <f t="shared" si="10"/>
        <v>&lt;td&gt;15&lt;/td&gt;</v>
      </c>
      <c r="N14" t="str">
        <f t="shared" si="11"/>
        <v>&lt;td&gt;15&lt;/td&gt;</v>
      </c>
      <c r="O14" s="2" t="str">
        <f t="shared" si="4"/>
        <v>&lt;td&gt;0.500&lt;/td&gt;</v>
      </c>
      <c r="P14" t="str">
        <f t="shared" si="12"/>
        <v>&lt;td&gt;SCAC&lt;/td&gt;</v>
      </c>
      <c r="Q14" t="str">
        <f t="shared" si="13"/>
        <v>&lt;td&gt;7&lt;/td&gt;</v>
      </c>
      <c r="R14" t="str">
        <f t="shared" si="6"/>
        <v>&lt;td&gt;3&lt;/td&gt;&lt;/tr&gt;</v>
      </c>
    </row>
    <row r="15" spans="1:18" x14ac:dyDescent="0.25">
      <c r="A15" t="s">
        <v>5</v>
      </c>
      <c r="B15">
        <f t="shared" si="0"/>
        <v>21</v>
      </c>
      <c r="C15">
        <f t="shared" si="1"/>
        <v>9</v>
      </c>
      <c r="D15" s="1">
        <f t="shared" si="7"/>
        <v>0.7</v>
      </c>
      <c r="E15" t="s">
        <v>763</v>
      </c>
      <c r="F15">
        <f>COUNTIFS('Girls Schedule'!$F:$F,$A15,'Girls Schedule'!$J:$J,"H",'Girls Schedule'!$M:$M,"&lt;&gt;"&amp;"")+COUNTIFS('Girls Schedule'!$C:$C,$A15,'Girls Schedule'!$J:$J,"V",'Girls Schedule'!$M:$M,"&lt;&gt;"&amp;"")</f>
        <v>10</v>
      </c>
      <c r="G15">
        <f>COUNTIFS('Girls Schedule'!$F:$F,$A15,'Girls Schedule'!$J:$J,"V",'Girls Schedule'!$M:$M,"&lt;&gt;"&amp;"")+COUNTIFS('Girls Schedule'!$C:$C,$A15,'Girls Schedule'!$J:$J,"H",'Girls Schedule'!$M:$M,"&lt;&gt;"&amp;"")</f>
        <v>0</v>
      </c>
      <c r="H15">
        <f>COUNTIFS('Girls Schedule'!$F:$F,$A15,'Girls Schedule'!$J:$J,"H")+COUNTIFS('Girls Schedule'!$C:$C,$A15,'Girls Schedule'!$J:$J,"V")-F15</f>
        <v>11</v>
      </c>
      <c r="I15">
        <f>COUNTIFS('Girls Schedule'!$F:$F,$A15,'Girls Schedule'!$J:$J,"V")+COUNTIFS('Girls Schedule'!$C:$C,$A15,'Girls Schedule'!$J:$J,"H")-G15</f>
        <v>9</v>
      </c>
      <c r="J15" t="s">
        <v>62</v>
      </c>
      <c r="K15" t="s">
        <v>63</v>
      </c>
      <c r="L15" t="str">
        <f t="shared" si="2"/>
        <v>&lt;tr&gt;&lt;td class="GCI"&gt;Glenlawn&lt;br /&gt;Lions&lt;/td&gt;</v>
      </c>
      <c r="M15" t="str">
        <f t="shared" si="10"/>
        <v>&lt;td&gt;21&lt;/td&gt;</v>
      </c>
      <c r="N15" t="str">
        <f t="shared" si="11"/>
        <v>&lt;td&gt;9&lt;/td&gt;</v>
      </c>
      <c r="O15" s="2" t="str">
        <f t="shared" si="4"/>
        <v>&lt;td&gt;0.700&lt;/td&gt;</v>
      </c>
      <c r="P15" t="str">
        <f t="shared" si="12"/>
        <v>&lt;td&gt;SCAC&lt;/td&gt;</v>
      </c>
      <c r="Q15" t="str">
        <f t="shared" si="13"/>
        <v>&lt;td&gt;10&lt;/td&gt;</v>
      </c>
      <c r="R15" t="str">
        <f t="shared" si="6"/>
        <v>&lt;td&gt;0&lt;/td&gt;&lt;/tr&gt;</v>
      </c>
    </row>
    <row r="16" spans="1:18" x14ac:dyDescent="0.25">
      <c r="A16" t="s">
        <v>21</v>
      </c>
      <c r="B16">
        <f t="shared" si="0"/>
        <v>13</v>
      </c>
      <c r="C16">
        <f t="shared" si="1"/>
        <v>10</v>
      </c>
      <c r="D16" s="1">
        <f t="shared" si="7"/>
        <v>0.56521739130434778</v>
      </c>
      <c r="E16" t="s">
        <v>763</v>
      </c>
      <c r="F16">
        <f>COUNTIFS('Girls Schedule'!$F:$F,$A16,'Girls Schedule'!$J:$J,"H",'Girls Schedule'!$M:$M,"&lt;&gt;"&amp;"")+COUNTIFS('Girls Schedule'!$C:$C,$A16,'Girls Schedule'!$J:$J,"V",'Girls Schedule'!$M:$M,"&lt;&gt;"&amp;"")</f>
        <v>7</v>
      </c>
      <c r="G16">
        <f>COUNTIFS('Girls Schedule'!$F:$F,$A16,'Girls Schedule'!$J:$J,"V",'Girls Schedule'!$M:$M,"&lt;&gt;"&amp;"")+COUNTIFS('Girls Schedule'!$C:$C,$A16,'Girls Schedule'!$J:$J,"H",'Girls Schedule'!$M:$M,"&lt;&gt;"&amp;"")</f>
        <v>3</v>
      </c>
      <c r="H16">
        <f>COUNTIFS('Girls Schedule'!$F:$F,$A16,'Girls Schedule'!$J:$J,"H")+COUNTIFS('Girls Schedule'!$C:$C,$A16,'Girls Schedule'!$J:$J,"V")-F16</f>
        <v>6</v>
      </c>
      <c r="I16">
        <f>COUNTIFS('Girls Schedule'!$F:$F,$A16,'Girls Schedule'!$J:$J,"V")+COUNTIFS('Girls Schedule'!$C:$C,$A16,'Girls Schedule'!$J:$J,"H")-G16</f>
        <v>7</v>
      </c>
      <c r="J16" t="s">
        <v>64</v>
      </c>
      <c r="K16" t="s">
        <v>65</v>
      </c>
      <c r="L16" t="str">
        <f t="shared" si="2"/>
        <v>&lt;tr&gt;&lt;td class="JHB"&gt;J.H. Bruns&lt;br /&gt;Broncos&lt;/td&gt;</v>
      </c>
      <c r="M16" t="str">
        <f t="shared" si="10"/>
        <v>&lt;td&gt;13&lt;/td&gt;</v>
      </c>
      <c r="N16" t="str">
        <f t="shared" si="11"/>
        <v>&lt;td&gt;10&lt;/td&gt;</v>
      </c>
      <c r="O16" s="2" t="str">
        <f t="shared" si="4"/>
        <v>&lt;td&gt;0.565&lt;/td&gt;</v>
      </c>
      <c r="P16" t="str">
        <f t="shared" si="12"/>
        <v>&lt;td&gt;SCAC&lt;/td&gt;</v>
      </c>
      <c r="Q16" t="str">
        <f t="shared" si="13"/>
        <v>&lt;td&gt;7&lt;/td&gt;</v>
      </c>
      <c r="R16" t="str">
        <f t="shared" si="6"/>
        <v>&lt;td&gt;3&lt;/td&gt;&lt;/tr&gt;</v>
      </c>
    </row>
    <row r="17" spans="1:18" x14ac:dyDescent="0.25">
      <c r="A17" t="s">
        <v>22</v>
      </c>
      <c r="B17">
        <f t="shared" si="0"/>
        <v>9</v>
      </c>
      <c r="C17">
        <f t="shared" si="1"/>
        <v>15</v>
      </c>
      <c r="D17" s="1">
        <f t="shared" si="7"/>
        <v>0.375</v>
      </c>
      <c r="E17" t="s">
        <v>763</v>
      </c>
      <c r="F17">
        <f>COUNTIFS('Girls Schedule'!$F:$F,$A17,'Girls Schedule'!$J:$J,"H",'Girls Schedule'!$M:$M,"&lt;&gt;"&amp;"")+COUNTIFS('Girls Schedule'!$C:$C,$A17,'Girls Schedule'!$J:$J,"V",'Girls Schedule'!$M:$M,"&lt;&gt;"&amp;"")</f>
        <v>3</v>
      </c>
      <c r="G17">
        <f>COUNTIFS('Girls Schedule'!$F:$F,$A17,'Girls Schedule'!$J:$J,"V",'Girls Schedule'!$M:$M,"&lt;&gt;"&amp;"")+COUNTIFS('Girls Schedule'!$C:$C,$A17,'Girls Schedule'!$J:$J,"H",'Girls Schedule'!$M:$M,"&lt;&gt;"&amp;"")</f>
        <v>7</v>
      </c>
      <c r="H17">
        <f>COUNTIFS('Girls Schedule'!$F:$F,$A17,'Girls Schedule'!$J:$J,"H")+COUNTIFS('Girls Schedule'!$C:$C,$A17,'Girls Schedule'!$J:$J,"V")-F17</f>
        <v>6</v>
      </c>
      <c r="I17">
        <f>COUNTIFS('Girls Schedule'!$F:$F,$A17,'Girls Schedule'!$J:$J,"V")+COUNTIFS('Girls Schedule'!$C:$C,$A17,'Girls Schedule'!$J:$J,"H")-G17</f>
        <v>8</v>
      </c>
      <c r="J17" t="s">
        <v>66</v>
      </c>
      <c r="K17" t="s">
        <v>67</v>
      </c>
      <c r="L17" t="str">
        <f t="shared" si="2"/>
        <v>&lt;tr&gt;&lt;td class="SRSS"&gt;Steinbach&lt;br /&gt;Sabres&lt;/td&gt;</v>
      </c>
      <c r="M17" t="str">
        <f t="shared" si="10"/>
        <v>&lt;td&gt;9&lt;/td&gt;</v>
      </c>
      <c r="N17" t="str">
        <f t="shared" si="11"/>
        <v>&lt;td&gt;15&lt;/td&gt;</v>
      </c>
      <c r="O17" s="2" t="str">
        <f t="shared" si="4"/>
        <v>&lt;td&gt;0.375&lt;/td&gt;</v>
      </c>
      <c r="P17" t="str">
        <f t="shared" si="12"/>
        <v>&lt;td&gt;SCAC&lt;/td&gt;</v>
      </c>
      <c r="Q17" t="str">
        <f t="shared" si="13"/>
        <v>&lt;td&gt;3&lt;/td&gt;</v>
      </c>
      <c r="R17" t="str">
        <f t="shared" si="6"/>
        <v>&lt;td&gt;7&lt;/td&gt;&lt;/tr&gt;</v>
      </c>
    </row>
    <row r="18" spans="1:18" x14ac:dyDescent="0.25">
      <c r="A18" t="s">
        <v>24</v>
      </c>
      <c r="B18">
        <f t="shared" si="0"/>
        <v>13</v>
      </c>
      <c r="C18">
        <f t="shared" si="1"/>
        <v>14</v>
      </c>
      <c r="D18" s="1">
        <f t="shared" si="7"/>
        <v>0.48148148148148145</v>
      </c>
      <c r="E18" s="7" t="s">
        <v>38</v>
      </c>
      <c r="F18">
        <f>COUNTIFS('Girls Schedule'!$F:$F,$A18,'Girls Schedule'!$J:$J,"H",'Girls Schedule'!$M:$M,"&lt;&gt;"&amp;"")+COUNTIFS('Girls Schedule'!$C:$C,$A18,'Girls Schedule'!$J:$J,"V",'Girls Schedule'!$M:$M,"&lt;&gt;"&amp;"")</f>
        <v>5</v>
      </c>
      <c r="G18">
        <f>COUNTIFS('Girls Schedule'!$F:$F,$A18,'Girls Schedule'!$J:$J,"V",'Girls Schedule'!$M:$M,"&lt;&gt;"&amp;"")+COUNTIFS('Girls Schedule'!$C:$C,$A18,'Girls Schedule'!$J:$J,"H",'Girls Schedule'!$M:$M,"&lt;&gt;"&amp;"")</f>
        <v>7</v>
      </c>
      <c r="H18">
        <f>COUNTIFS('Girls Schedule'!$F:$F,$A18,'Girls Schedule'!$J:$J,"H")+COUNTIFS('Girls Schedule'!$C:$C,$A18,'Girls Schedule'!$J:$J,"V")-F18</f>
        <v>8</v>
      </c>
      <c r="I18">
        <f>COUNTIFS('Girls Schedule'!$F:$F,$A18,'Girls Schedule'!$J:$J,"V")+COUNTIFS('Girls Schedule'!$C:$C,$A18,'Girls Schedule'!$J:$J,"H")-G18</f>
        <v>7</v>
      </c>
      <c r="J18" t="s">
        <v>82</v>
      </c>
      <c r="K18" t="s">
        <v>83</v>
      </c>
      <c r="L18" t="str">
        <f t="shared" si="2"/>
        <v>&lt;tr&gt;&lt;td class="DMCI"&gt;Daniel McIntyre&lt;br /&gt;Maroons&lt;/td&gt;</v>
      </c>
      <c r="M18" t="str">
        <f t="shared" si="10"/>
        <v>&lt;td&gt;13&lt;/td&gt;</v>
      </c>
      <c r="N18" t="str">
        <f t="shared" si="11"/>
        <v>&lt;td&gt;14&lt;/td&gt;</v>
      </c>
      <c r="O18" s="2" t="str">
        <f t="shared" si="4"/>
        <v>&lt;td&gt;0.481&lt;/td&gt;</v>
      </c>
      <c r="P18" t="str">
        <f t="shared" si="12"/>
        <v>&lt;td&gt;WWAC-WAC-1&lt;/td&gt;</v>
      </c>
      <c r="Q18" t="str">
        <f t="shared" si="13"/>
        <v>&lt;td&gt;5&lt;/td&gt;</v>
      </c>
      <c r="R18" t="str">
        <f t="shared" si="6"/>
        <v>&lt;td&gt;7&lt;/td&gt;&lt;/tr&gt;</v>
      </c>
    </row>
    <row r="19" spans="1:18" x14ac:dyDescent="0.25">
      <c r="A19" t="s">
        <v>15</v>
      </c>
      <c r="B19">
        <f t="shared" si="0"/>
        <v>5</v>
      </c>
      <c r="C19">
        <f t="shared" si="1"/>
        <v>19</v>
      </c>
      <c r="D19" s="1">
        <f t="shared" si="7"/>
        <v>0.20833333333333334</v>
      </c>
      <c r="E19" s="7" t="s">
        <v>38</v>
      </c>
      <c r="F19">
        <f>COUNTIFS('Girls Schedule'!$F:$F,$A19,'Girls Schedule'!$J:$J,"H",'Girls Schedule'!$M:$M,"&lt;&gt;"&amp;"")+COUNTIFS('Girls Schedule'!$C:$C,$A19,'Girls Schedule'!$J:$J,"V",'Girls Schedule'!$M:$M,"&lt;&gt;"&amp;"")</f>
        <v>0</v>
      </c>
      <c r="G19">
        <f>COUNTIFS('Girls Schedule'!$F:$F,$A19,'Girls Schedule'!$J:$J,"V",'Girls Schedule'!$M:$M,"&lt;&gt;"&amp;"")+COUNTIFS('Girls Schedule'!$C:$C,$A19,'Girls Schedule'!$J:$J,"H",'Girls Schedule'!$M:$M,"&lt;&gt;"&amp;"")</f>
        <v>11</v>
      </c>
      <c r="H19">
        <f>COUNTIFS('Girls Schedule'!$F:$F,$A19,'Girls Schedule'!$J:$J,"H")+COUNTIFS('Girls Schedule'!$C:$C,$A19,'Girls Schedule'!$J:$J,"V")-F19</f>
        <v>5</v>
      </c>
      <c r="I19">
        <f>COUNTIFS('Girls Schedule'!$F:$F,$A19,'Girls Schedule'!$J:$J,"V")+COUNTIFS('Girls Schedule'!$C:$C,$A19,'Girls Schedule'!$J:$J,"H")-G19</f>
        <v>8</v>
      </c>
      <c r="J19" t="s">
        <v>68</v>
      </c>
      <c r="K19" t="s">
        <v>69</v>
      </c>
      <c r="L19" t="str">
        <f t="shared" si="2"/>
        <v>&lt;tr&gt;&lt;td class="FRC"&gt;Fort Richmond&lt;br /&gt;Centurions&lt;/td&gt;</v>
      </c>
      <c r="M19" t="str">
        <f t="shared" si="10"/>
        <v>&lt;td&gt;5&lt;/td&gt;</v>
      </c>
      <c r="N19" t="str">
        <f t="shared" si="11"/>
        <v>&lt;td&gt;19&lt;/td&gt;</v>
      </c>
      <c r="O19" s="2" t="str">
        <f t="shared" si="4"/>
        <v>&lt;td&gt;0.208&lt;/td&gt;</v>
      </c>
      <c r="P19" t="str">
        <f t="shared" si="12"/>
        <v>&lt;td&gt;WWAC-WAC-1&lt;/td&gt;</v>
      </c>
      <c r="Q19" t="str">
        <f t="shared" si="13"/>
        <v>&lt;td&gt;0&lt;/td&gt;</v>
      </c>
      <c r="R19" t="str">
        <f t="shared" si="6"/>
        <v>&lt;td&gt;11&lt;/td&gt;&lt;/tr&gt;</v>
      </c>
    </row>
    <row r="20" spans="1:18" x14ac:dyDescent="0.25">
      <c r="A20" t="s">
        <v>6</v>
      </c>
      <c r="B20">
        <f t="shared" si="0"/>
        <v>10</v>
      </c>
      <c r="C20">
        <f t="shared" si="1"/>
        <v>23</v>
      </c>
      <c r="D20" s="1">
        <f t="shared" si="7"/>
        <v>0.30303030303030304</v>
      </c>
      <c r="E20" s="7" t="s">
        <v>38</v>
      </c>
      <c r="F20">
        <f>COUNTIFS('Girls Schedule'!$F:$F,$A20,'Girls Schedule'!$J:$J,"H",'Girls Schedule'!$M:$M,"&lt;&gt;"&amp;"")+COUNTIFS('Girls Schedule'!$C:$C,$A20,'Girls Schedule'!$J:$J,"V",'Girls Schedule'!$M:$M,"&lt;&gt;"&amp;"")</f>
        <v>1</v>
      </c>
      <c r="G20">
        <f>COUNTIFS('Girls Schedule'!$F:$F,$A20,'Girls Schedule'!$J:$J,"V",'Girls Schedule'!$M:$M,"&lt;&gt;"&amp;"")+COUNTIFS('Girls Schedule'!$C:$C,$A20,'Girls Schedule'!$J:$J,"H",'Girls Schedule'!$M:$M,"&lt;&gt;"&amp;"")</f>
        <v>11</v>
      </c>
      <c r="H20">
        <f>COUNTIFS('Girls Schedule'!$F:$F,$A20,'Girls Schedule'!$J:$J,"H")+COUNTIFS('Girls Schedule'!$C:$C,$A20,'Girls Schedule'!$J:$J,"V")-F20</f>
        <v>9</v>
      </c>
      <c r="I20">
        <f>COUNTIFS('Girls Schedule'!$F:$F,$A20,'Girls Schedule'!$J:$J,"V")+COUNTIFS('Girls Schedule'!$C:$C,$A20,'Girls Schedule'!$J:$J,"H")-G20</f>
        <v>12</v>
      </c>
      <c r="J20" t="s">
        <v>70</v>
      </c>
      <c r="K20" t="s">
        <v>71</v>
      </c>
      <c r="L20" t="str">
        <f t="shared" si="2"/>
        <v>&lt;tr&gt;&lt;td class="JTC"&gt;John Taylor&lt;br /&gt;Pipers&lt;/td&gt;</v>
      </c>
      <c r="M20" t="str">
        <f t="shared" si="10"/>
        <v>&lt;td&gt;10&lt;/td&gt;</v>
      </c>
      <c r="N20" t="str">
        <f t="shared" si="11"/>
        <v>&lt;td&gt;23&lt;/td&gt;</v>
      </c>
      <c r="O20" s="2" t="str">
        <f t="shared" si="4"/>
        <v>&lt;td&gt;0.303&lt;/td&gt;</v>
      </c>
      <c r="P20" t="str">
        <f t="shared" si="12"/>
        <v>&lt;td&gt;WWAC-WAC-1&lt;/td&gt;</v>
      </c>
      <c r="Q20" t="str">
        <f t="shared" si="13"/>
        <v>&lt;td&gt;1&lt;/td&gt;</v>
      </c>
      <c r="R20" t="str">
        <f t="shared" si="6"/>
        <v>&lt;td&gt;11&lt;/td&gt;&lt;/tr&gt;</v>
      </c>
    </row>
    <row r="21" spans="1:18" x14ac:dyDescent="0.25">
      <c r="A21" t="s">
        <v>1</v>
      </c>
      <c r="B21">
        <f t="shared" si="0"/>
        <v>25</v>
      </c>
      <c r="C21">
        <f t="shared" si="1"/>
        <v>9</v>
      </c>
      <c r="D21" s="1">
        <f t="shared" si="7"/>
        <v>0.73529411764705888</v>
      </c>
      <c r="E21" s="7" t="s">
        <v>38</v>
      </c>
      <c r="F21">
        <f>COUNTIFS('Girls Schedule'!$F:$F,$A21,'Girls Schedule'!$J:$J,"H",'Girls Schedule'!$M:$M,"&lt;&gt;"&amp;"")+COUNTIFS('Girls Schedule'!$C:$C,$A21,'Girls Schedule'!$J:$J,"V",'Girls Schedule'!$M:$M,"&lt;&gt;"&amp;"")</f>
        <v>8</v>
      </c>
      <c r="G21">
        <f>COUNTIFS('Girls Schedule'!$F:$F,$A21,'Girls Schedule'!$J:$J,"V",'Girls Schedule'!$M:$M,"&lt;&gt;"&amp;"")+COUNTIFS('Girls Schedule'!$C:$C,$A21,'Girls Schedule'!$J:$J,"H",'Girls Schedule'!$M:$M,"&lt;&gt;"&amp;"")</f>
        <v>3</v>
      </c>
      <c r="H21">
        <f>COUNTIFS('Girls Schedule'!$F:$F,$A21,'Girls Schedule'!$J:$J,"H")+COUNTIFS('Girls Schedule'!$C:$C,$A21,'Girls Schedule'!$J:$J,"V")-F21</f>
        <v>17</v>
      </c>
      <c r="I21">
        <f>COUNTIFS('Girls Schedule'!$F:$F,$A21,'Girls Schedule'!$J:$J,"V")+COUNTIFS('Girls Schedule'!$C:$C,$A21,'Girls Schedule'!$J:$J,"H")-G21</f>
        <v>6</v>
      </c>
      <c r="J21" t="s">
        <v>74</v>
      </c>
      <c r="K21" t="s">
        <v>75</v>
      </c>
      <c r="L21" t="str">
        <f t="shared" si="2"/>
        <v>&lt;tr&gt;&lt;td class="OPHS"&gt;Oak Park&lt;br /&gt;Raiders&lt;/td&gt;</v>
      </c>
      <c r="M21" t="str">
        <f t="shared" si="10"/>
        <v>&lt;td&gt;25&lt;/td&gt;</v>
      </c>
      <c r="N21" t="str">
        <f t="shared" si="11"/>
        <v>&lt;td&gt;9&lt;/td&gt;</v>
      </c>
      <c r="O21" s="2" t="str">
        <f t="shared" si="4"/>
        <v>&lt;td&gt;0.735&lt;/td&gt;</v>
      </c>
      <c r="P21" t="str">
        <f t="shared" si="12"/>
        <v>&lt;td&gt;WWAC-WAC-1&lt;/td&gt;</v>
      </c>
      <c r="Q21" t="str">
        <f t="shared" si="13"/>
        <v>&lt;td&gt;8&lt;/td&gt;</v>
      </c>
      <c r="R21" t="str">
        <f t="shared" si="6"/>
        <v>&lt;td&gt;3&lt;/td&gt;&lt;/tr&gt;</v>
      </c>
    </row>
    <row r="22" spans="1:18" x14ac:dyDescent="0.25">
      <c r="A22" t="s">
        <v>9</v>
      </c>
      <c r="B22">
        <f t="shared" si="0"/>
        <v>35</v>
      </c>
      <c r="C22">
        <f t="shared" si="1"/>
        <v>1</v>
      </c>
      <c r="D22" s="1">
        <f t="shared" si="7"/>
        <v>0.97222222222222221</v>
      </c>
      <c r="E22" s="7" t="s">
        <v>38</v>
      </c>
      <c r="F22">
        <f>COUNTIFS('Girls Schedule'!$F:$F,$A22,'Girls Schedule'!$J:$J,"H",'Girls Schedule'!$M:$M,"&lt;&gt;"&amp;"")+COUNTIFS('Girls Schedule'!$C:$C,$A22,'Girls Schedule'!$J:$J,"V",'Girls Schedule'!$M:$M,"&lt;&gt;"&amp;"")</f>
        <v>12</v>
      </c>
      <c r="G22">
        <f>COUNTIFS('Girls Schedule'!$F:$F,$A22,'Girls Schedule'!$J:$J,"V",'Girls Schedule'!$M:$M,"&lt;&gt;"&amp;"")+COUNTIFS('Girls Schedule'!$C:$C,$A22,'Girls Schedule'!$J:$J,"H",'Girls Schedule'!$M:$M,"&lt;&gt;"&amp;"")</f>
        <v>0</v>
      </c>
      <c r="H22">
        <f>COUNTIFS('Girls Schedule'!$F:$F,$A22,'Girls Schedule'!$J:$J,"H")+COUNTIFS('Girls Schedule'!$C:$C,$A22,'Girls Schedule'!$J:$J,"V")-F22</f>
        <v>23</v>
      </c>
      <c r="I22">
        <f>COUNTIFS('Girls Schedule'!$F:$F,$A22,'Girls Schedule'!$J:$J,"V")+COUNTIFS('Girls Schedule'!$C:$C,$A22,'Girls Schedule'!$J:$J,"H")-G22</f>
        <v>1</v>
      </c>
      <c r="J22" t="s">
        <v>76</v>
      </c>
      <c r="K22" t="s">
        <v>77</v>
      </c>
      <c r="L22" t="str">
        <f t="shared" si="2"/>
        <v>&lt;tr&gt;&lt;td class="SiHS"&gt;Sisler&lt;br /&gt;Spartans&lt;/td&gt;</v>
      </c>
      <c r="M22" t="str">
        <f t="shared" si="10"/>
        <v>&lt;td&gt;35&lt;/td&gt;</v>
      </c>
      <c r="N22" t="str">
        <f t="shared" si="11"/>
        <v>&lt;td&gt;1&lt;/td&gt;</v>
      </c>
      <c r="O22" s="2" t="str">
        <f t="shared" si="4"/>
        <v>&lt;td&gt;0.972&lt;/td&gt;</v>
      </c>
      <c r="P22" t="str">
        <f t="shared" si="12"/>
        <v>&lt;td&gt;WWAC-WAC-1&lt;/td&gt;</v>
      </c>
      <c r="Q22" t="str">
        <f t="shared" si="13"/>
        <v>&lt;td&gt;12&lt;/td&gt;</v>
      </c>
      <c r="R22" t="str">
        <f t="shared" si="6"/>
        <v>&lt;td&gt;0&lt;/td&gt;&lt;/tr&gt;</v>
      </c>
    </row>
    <row r="23" spans="1:18" x14ac:dyDescent="0.25">
      <c r="A23" t="s">
        <v>111</v>
      </c>
      <c r="B23">
        <f t="shared" si="0"/>
        <v>16</v>
      </c>
      <c r="C23">
        <f t="shared" si="1"/>
        <v>10</v>
      </c>
      <c r="D23" s="1">
        <f t="shared" si="7"/>
        <v>0.61538461538461542</v>
      </c>
      <c r="E23" s="7" t="s">
        <v>38</v>
      </c>
      <c r="F23">
        <f>COUNTIFS('Girls Schedule'!$F:$F,$A23,'Girls Schedule'!$J:$J,"H",'Girls Schedule'!$M:$M,"&lt;&gt;"&amp;"")+COUNTIFS('Girls Schedule'!$C:$C,$A23,'Girls Schedule'!$J:$J,"V",'Girls Schedule'!$M:$M,"&lt;&gt;"&amp;"")</f>
        <v>5</v>
      </c>
      <c r="G23">
        <f>COUNTIFS('Girls Schedule'!$F:$F,$A23,'Girls Schedule'!$J:$J,"V",'Girls Schedule'!$M:$M,"&lt;&gt;"&amp;"")+COUNTIFS('Girls Schedule'!$C:$C,$A23,'Girls Schedule'!$J:$J,"H",'Girls Schedule'!$M:$M,"&lt;&gt;"&amp;"")</f>
        <v>6</v>
      </c>
      <c r="H23">
        <f>COUNTIFS('Girls Schedule'!$F:$F,$A23,'Girls Schedule'!$J:$J,"H")+COUNTIFS('Girls Schedule'!$C:$C,$A23,'Girls Schedule'!$J:$J,"V")-F23</f>
        <v>11</v>
      </c>
      <c r="I23">
        <f>COUNTIFS('Girls Schedule'!$F:$F,$A23,'Girls Schedule'!$J:$J,"V")+COUNTIFS('Girls Schedule'!$C:$C,$A23,'Girls Schedule'!$J:$J,"H")-G23</f>
        <v>4</v>
      </c>
      <c r="J23" t="s">
        <v>112</v>
      </c>
      <c r="K23" t="s">
        <v>113</v>
      </c>
      <c r="L23" t="str">
        <f t="shared" si="2"/>
        <v>&lt;tr&gt;&lt;td class="SMA"&gt;St. Mary's&lt;br /&gt;Flames&lt;/td&gt;</v>
      </c>
      <c r="M23" t="str">
        <f t="shared" si="10"/>
        <v>&lt;td&gt;16&lt;/td&gt;</v>
      </c>
      <c r="N23" t="str">
        <f t="shared" si="11"/>
        <v>&lt;td&gt;10&lt;/td&gt;</v>
      </c>
      <c r="O23" s="2" t="str">
        <f t="shared" si="4"/>
        <v>&lt;td&gt;0.615&lt;/td&gt;</v>
      </c>
      <c r="P23" t="str">
        <f t="shared" si="12"/>
        <v>&lt;td&gt;WWAC-WAC-1&lt;/td&gt;</v>
      </c>
      <c r="Q23" t="str">
        <f t="shared" si="13"/>
        <v>&lt;td&gt;5&lt;/td&gt;</v>
      </c>
      <c r="R23" t="str">
        <f t="shared" si="6"/>
        <v>&lt;td&gt;6&lt;/td&gt;&lt;/tr&gt;</v>
      </c>
    </row>
    <row r="24" spans="1:18" x14ac:dyDescent="0.25">
      <c r="A24" t="s">
        <v>14</v>
      </c>
      <c r="B24">
        <f t="shared" si="0"/>
        <v>15</v>
      </c>
      <c r="C24">
        <f t="shared" si="1"/>
        <v>18</v>
      </c>
      <c r="D24" s="1">
        <f t="shared" si="7"/>
        <v>0.45454545454545453</v>
      </c>
      <c r="E24" s="7" t="s">
        <v>38</v>
      </c>
      <c r="F24">
        <f>COUNTIFS('Girls Schedule'!$F:$F,$A24,'Girls Schedule'!$J:$J,"H",'Girls Schedule'!$M:$M,"&lt;&gt;"&amp;"")+COUNTIFS('Girls Schedule'!$C:$C,$A24,'Girls Schedule'!$J:$J,"V",'Girls Schedule'!$M:$M,"&lt;&gt;"&amp;"")</f>
        <v>3</v>
      </c>
      <c r="G24">
        <f>COUNTIFS('Girls Schedule'!$F:$F,$A24,'Girls Schedule'!$J:$J,"V",'Girls Schedule'!$M:$M,"&lt;&gt;"&amp;"")+COUNTIFS('Girls Schedule'!$C:$C,$A24,'Girls Schedule'!$J:$J,"H",'Girls Schedule'!$M:$M,"&lt;&gt;"&amp;"")</f>
        <v>9</v>
      </c>
      <c r="H24">
        <f>COUNTIFS('Girls Schedule'!$F:$F,$A24,'Girls Schedule'!$J:$J,"H")+COUNTIFS('Girls Schedule'!$C:$C,$A24,'Girls Schedule'!$J:$J,"V")-F24</f>
        <v>12</v>
      </c>
      <c r="I24">
        <f>COUNTIFS('Girls Schedule'!$F:$F,$A24,'Girls Schedule'!$J:$J,"V")+COUNTIFS('Girls Schedule'!$C:$C,$A24,'Girls Schedule'!$J:$J,"H")-G24</f>
        <v>9</v>
      </c>
      <c r="J24" t="s">
        <v>94</v>
      </c>
      <c r="K24" t="s">
        <v>95</v>
      </c>
      <c r="L24" t="str">
        <f t="shared" si="2"/>
        <v>&lt;tr&gt;&lt;td class="SHC"&gt;Sturgeon Heights&lt;br /&gt;Huskies&lt;/td&gt;</v>
      </c>
      <c r="M24" t="str">
        <f t="shared" si="10"/>
        <v>&lt;td&gt;15&lt;/td&gt;</v>
      </c>
      <c r="N24" t="str">
        <f t="shared" si="11"/>
        <v>&lt;td&gt;18&lt;/td&gt;</v>
      </c>
      <c r="O24" s="2" t="str">
        <f t="shared" si="4"/>
        <v>&lt;td&gt;0.455&lt;/td&gt;</v>
      </c>
      <c r="P24" t="str">
        <f t="shared" si="12"/>
        <v>&lt;td&gt;WWAC-WAC-1&lt;/td&gt;</v>
      </c>
      <c r="Q24" t="str">
        <f t="shared" si="13"/>
        <v>&lt;td&gt;3&lt;/td&gt;</v>
      </c>
      <c r="R24" t="str">
        <f t="shared" si="6"/>
        <v>&lt;td&gt;9&lt;/td&gt;&lt;/tr&gt;</v>
      </c>
    </row>
    <row r="25" spans="1:18" x14ac:dyDescent="0.25">
      <c r="A25" t="s">
        <v>23</v>
      </c>
      <c r="B25">
        <f t="shared" si="0"/>
        <v>22</v>
      </c>
      <c r="C25">
        <f t="shared" si="1"/>
        <v>6</v>
      </c>
      <c r="D25" s="1">
        <f t="shared" si="7"/>
        <v>0.7857142857142857</v>
      </c>
      <c r="E25" s="7" t="s">
        <v>38</v>
      </c>
      <c r="F25">
        <f>COUNTIFS('Girls Schedule'!$F:$F,$A25,'Girls Schedule'!$G:$G,$J25,'Girls Schedule'!$J:$J,"H",'Girls Schedule'!$M:$M,"&lt;&gt;"&amp;"")+COUNTIFS('Girls Schedule'!$C:$C,$A25,'Girls Schedule'!$D:$D,$J25,'Girls Schedule'!$J:$J,"V",'Girls Schedule'!$M:$M,"&lt;&gt;"&amp;"")</f>
        <v>10</v>
      </c>
      <c r="G25">
        <f>COUNTIFS('Girls Schedule'!$F:$F,$A25,'Girls Schedule'!$G:$G,$J25,'Girls Schedule'!$J:$J,"V",'Girls Schedule'!$M:$M,"&lt;&gt;"&amp;"")+COUNTIFS('Girls Schedule'!$C:$C,$A25,'Girls Schedule'!$D:$D,$J25,'Girls Schedule'!$J:$J,"H",'Girls Schedule'!$M:$M,"&lt;&gt;"&amp;"")</f>
        <v>1</v>
      </c>
      <c r="H25">
        <f>COUNTIFS('Girls Schedule'!$F:$F,$A25,'Girls Schedule'!$G:$G,$J25,'Girls Schedule'!$J:$J,"H")+COUNTIFS('Girls Schedule'!$C:$C,$A25,'Girls Schedule'!$D:$D,$J25,'Girls Schedule'!$J:$J,"V")-F25</f>
        <v>12</v>
      </c>
      <c r="I25">
        <f>COUNTIFS('Girls Schedule'!$F:$F,$A25,'Girls Schedule'!$G:$G,$J25,'Girls Schedule'!$J:$J,"V")+COUNTIFS('Girls Schedule'!$C:$C,$A25,'Girls Schedule'!$D:$D,$J25,'Girls Schedule'!$J:$J,"H")-G25</f>
        <v>5</v>
      </c>
      <c r="J25" t="s">
        <v>80</v>
      </c>
      <c r="K25" t="s">
        <v>81</v>
      </c>
      <c r="L25" t="str">
        <f t="shared" si="2"/>
        <v>&lt;tr&gt;&lt;td class="VMC"&gt;Vincent Massey&lt;br /&gt;Trojans&lt;/td&gt;</v>
      </c>
      <c r="M25" t="str">
        <f t="shared" si="10"/>
        <v>&lt;td&gt;22&lt;/td&gt;</v>
      </c>
      <c r="N25" t="str">
        <f t="shared" si="11"/>
        <v>&lt;td&gt;6&lt;/td&gt;</v>
      </c>
      <c r="O25" s="2" t="str">
        <f t="shared" si="4"/>
        <v>&lt;td&gt;0.786&lt;/td&gt;</v>
      </c>
      <c r="P25" t="str">
        <f t="shared" si="12"/>
        <v>&lt;td&gt;WWAC-WAC-1&lt;/td&gt;</v>
      </c>
      <c r="Q25" t="str">
        <f t="shared" si="13"/>
        <v>&lt;td&gt;10&lt;/td&gt;</v>
      </c>
      <c r="R25" t="str">
        <f t="shared" si="6"/>
        <v>&lt;td&gt;1&lt;/td&gt;&lt;/tr&gt;</v>
      </c>
    </row>
    <row r="26" spans="1:18" x14ac:dyDescent="0.25">
      <c r="A26" t="s">
        <v>13</v>
      </c>
      <c r="B26">
        <f t="shared" si="0"/>
        <v>17</v>
      </c>
      <c r="C26">
        <f t="shared" si="1"/>
        <v>10</v>
      </c>
      <c r="D26" s="1">
        <f t="shared" si="7"/>
        <v>0.62962962962962965</v>
      </c>
      <c r="E26" s="7" t="s">
        <v>38</v>
      </c>
      <c r="F26">
        <f>COUNTIFS('Girls Schedule'!$F:$F,$A26,'Girls Schedule'!$J:$J,"H",'Girls Schedule'!$M:$M,"&lt;&gt;"&amp;"")+COUNTIFS('Girls Schedule'!$C:$C,$A26,'Girls Schedule'!$J:$J,"V",'Girls Schedule'!$M:$M,"&lt;&gt;"&amp;"")</f>
        <v>8</v>
      </c>
      <c r="G26">
        <f>COUNTIFS('Girls Schedule'!$F:$F,$A26,'Girls Schedule'!$J:$J,"V",'Girls Schedule'!$M:$M,"&lt;&gt;"&amp;"")+COUNTIFS('Girls Schedule'!$C:$C,$A26,'Girls Schedule'!$J:$J,"H",'Girls Schedule'!$M:$M,"&lt;&gt;"&amp;"")</f>
        <v>4</v>
      </c>
      <c r="H26">
        <f>COUNTIFS('Girls Schedule'!$F:$F,$A26,'Girls Schedule'!$J:$J,"H")+COUNTIFS('Girls Schedule'!$C:$C,$A26,'Girls Schedule'!$J:$J,"V")-F26</f>
        <v>9</v>
      </c>
      <c r="I26">
        <f>COUNTIFS('Girls Schedule'!$F:$F,$A26,'Girls Schedule'!$J:$J,"V")+COUNTIFS('Girls Schedule'!$C:$C,$A26,'Girls Schedule'!$J:$J,"H")-G26</f>
        <v>6</v>
      </c>
      <c r="J26" t="s">
        <v>98</v>
      </c>
      <c r="K26" t="s">
        <v>99</v>
      </c>
      <c r="L26" t="str">
        <f t="shared" si="2"/>
        <v>&lt;tr&gt;&lt;td class="WWC"&gt;Westwood&lt;br /&gt;Warriors&lt;/td&gt;</v>
      </c>
      <c r="M26" t="str">
        <f t="shared" si="10"/>
        <v>&lt;td&gt;17&lt;/td&gt;</v>
      </c>
      <c r="N26" t="str">
        <f t="shared" si="11"/>
        <v>&lt;td&gt;10&lt;/td&gt;</v>
      </c>
      <c r="O26" s="2" t="str">
        <f t="shared" si="4"/>
        <v>&lt;td&gt;0.630&lt;/td&gt;</v>
      </c>
      <c r="P26" t="str">
        <f t="shared" si="12"/>
        <v>&lt;td&gt;WWAC-WAC-1&lt;/td&gt;</v>
      </c>
      <c r="Q26" t="str">
        <f t="shared" si="13"/>
        <v>&lt;td&gt;8&lt;/td&gt;</v>
      </c>
      <c r="R26" t="str">
        <f t="shared" si="6"/>
        <v>&lt;td&gt;4&lt;/td&gt;&lt;/tr&gt;</v>
      </c>
    </row>
    <row r="27" spans="1:18" x14ac:dyDescent="0.25">
      <c r="A27" t="s">
        <v>25</v>
      </c>
      <c r="B27">
        <f t="shared" si="0"/>
        <v>6</v>
      </c>
      <c r="C27">
        <f t="shared" si="1"/>
        <v>16</v>
      </c>
      <c r="D27" s="1">
        <f t="shared" si="7"/>
        <v>0.27272727272727271</v>
      </c>
      <c r="E27" s="7" t="s">
        <v>39</v>
      </c>
      <c r="F27">
        <f>COUNTIFS('Girls Schedule'!$F:$F,$A27,'Girls Schedule'!$J:$J,"H",'Girls Schedule'!$M:$M,"&lt;&gt;"&amp;"")+COUNTIFS('Girls Schedule'!$C:$C,$A27,'Girls Schedule'!$J:$J,"V",'Girls Schedule'!$M:$M,"&lt;&gt;"&amp;"")</f>
        <v>0</v>
      </c>
      <c r="G27">
        <f>COUNTIFS('Girls Schedule'!$F:$F,$A27,'Girls Schedule'!$J:$J,"V",'Girls Schedule'!$M:$M,"&lt;&gt;"&amp;"")+COUNTIFS('Girls Schedule'!$C:$C,$A27,'Girls Schedule'!$J:$J,"H",'Girls Schedule'!$M:$M,"&lt;&gt;"&amp;"")</f>
        <v>10</v>
      </c>
      <c r="H27">
        <f>COUNTIFS('Girls Schedule'!$F:$F,$A27,'Girls Schedule'!$J:$J,"H")+COUNTIFS('Girls Schedule'!$C:$C,$A27,'Girls Schedule'!$J:$J,"V")-F27</f>
        <v>6</v>
      </c>
      <c r="I27">
        <f>COUNTIFS('Girls Schedule'!$F:$F,$A27,'Girls Schedule'!$J:$J,"V")+COUNTIFS('Girls Schedule'!$C:$C,$A27,'Girls Schedule'!$J:$J,"H")-G27</f>
        <v>6</v>
      </c>
      <c r="J27" t="s">
        <v>84</v>
      </c>
      <c r="K27" t="s">
        <v>85</v>
      </c>
      <c r="L27" t="str">
        <f t="shared" si="2"/>
        <v>&lt;tr&gt;&lt;td class="EHS"&gt;Elmwood&lt;br /&gt;Giants&lt;/td&gt;</v>
      </c>
      <c r="M27" t="str">
        <f t="shared" si="10"/>
        <v>&lt;td&gt;6&lt;/td&gt;</v>
      </c>
      <c r="N27" t="str">
        <f t="shared" si="11"/>
        <v>&lt;td&gt;16&lt;/td&gt;</v>
      </c>
      <c r="O27" s="2" t="str">
        <f t="shared" si="4"/>
        <v>&lt;td&gt;0.273&lt;/td&gt;</v>
      </c>
      <c r="P27" t="str">
        <f t="shared" si="12"/>
        <v>&lt;td&gt;WWAC-WAC-2&lt;/td&gt;</v>
      </c>
      <c r="Q27" t="str">
        <f t="shared" si="13"/>
        <v>&lt;td&gt;0&lt;/td&gt;</v>
      </c>
      <c r="R27" t="str">
        <f t="shared" si="6"/>
        <v>&lt;td&gt;10&lt;/td&gt;&lt;/tr&gt;</v>
      </c>
    </row>
    <row r="28" spans="1:18" x14ac:dyDescent="0.25">
      <c r="A28" t="s">
        <v>26</v>
      </c>
      <c r="B28">
        <f t="shared" si="0"/>
        <v>12</v>
      </c>
      <c r="C28">
        <f t="shared" si="1"/>
        <v>7</v>
      </c>
      <c r="D28" s="1">
        <f t="shared" si="7"/>
        <v>0.63157894736842102</v>
      </c>
      <c r="E28" s="7" t="s">
        <v>39</v>
      </c>
      <c r="F28">
        <f>COUNTIFS('Girls Schedule'!$F:$F,$A28,'Girls Schedule'!$J:$J,"H",'Girls Schedule'!$M:$M,"&lt;&gt;"&amp;"")+COUNTIFS('Girls Schedule'!$C:$C,$A28,'Girls Schedule'!$J:$J,"V",'Girls Schedule'!$M:$M,"&lt;&gt;"&amp;"")</f>
        <v>5</v>
      </c>
      <c r="G28">
        <f>COUNTIFS('Girls Schedule'!$F:$F,$A28,'Girls Schedule'!$J:$J,"V",'Girls Schedule'!$M:$M,"&lt;&gt;"&amp;"")+COUNTIFS('Girls Schedule'!$C:$C,$A28,'Girls Schedule'!$J:$J,"H",'Girls Schedule'!$M:$M,"&lt;&gt;"&amp;"")</f>
        <v>5</v>
      </c>
      <c r="H28">
        <f>COUNTIFS('Girls Schedule'!$F:$F,$A28,'Girls Schedule'!$J:$J,"H")+COUNTIFS('Girls Schedule'!$C:$C,$A28,'Girls Schedule'!$J:$J,"V")-F28</f>
        <v>7</v>
      </c>
      <c r="I28">
        <f>COUNTIFS('Girls Schedule'!$F:$F,$A28,'Girls Schedule'!$J:$J,"V")+COUNTIFS('Girls Schedule'!$C:$C,$A28,'Girls Schedule'!$J:$J,"H")-G28</f>
        <v>2</v>
      </c>
      <c r="J28" t="s">
        <v>86</v>
      </c>
      <c r="K28" t="s">
        <v>87</v>
      </c>
      <c r="L28" t="str">
        <f t="shared" si="2"/>
        <v>&lt;tr&gt;&lt;td class="GBHS"&gt;Gordon Bell&lt;br /&gt;Panthers&lt;/td&gt;</v>
      </c>
      <c r="M28" t="str">
        <f t="shared" si="10"/>
        <v>&lt;td&gt;12&lt;/td&gt;</v>
      </c>
      <c r="N28" t="str">
        <f t="shared" si="11"/>
        <v>&lt;td&gt;7&lt;/td&gt;</v>
      </c>
      <c r="O28" s="2" t="str">
        <f t="shared" si="4"/>
        <v>&lt;td&gt;0.632&lt;/td&gt;</v>
      </c>
      <c r="P28" t="str">
        <f t="shared" si="12"/>
        <v>&lt;td&gt;WWAC-WAC-2&lt;/td&gt;</v>
      </c>
      <c r="Q28" t="str">
        <f t="shared" si="13"/>
        <v>&lt;td&gt;5&lt;/td&gt;</v>
      </c>
      <c r="R28" t="str">
        <f t="shared" si="6"/>
        <v>&lt;td&gt;5&lt;/td&gt;&lt;/tr&gt;</v>
      </c>
    </row>
    <row r="29" spans="1:18" x14ac:dyDescent="0.25">
      <c r="A29" t="s">
        <v>27</v>
      </c>
      <c r="B29">
        <f t="shared" si="0"/>
        <v>14</v>
      </c>
      <c r="C29">
        <f t="shared" si="1"/>
        <v>8</v>
      </c>
      <c r="D29" s="1">
        <f t="shared" si="7"/>
        <v>0.63636363636363635</v>
      </c>
      <c r="E29" s="7" t="s">
        <v>39</v>
      </c>
      <c r="F29">
        <f>COUNTIFS('Girls Schedule'!$F:$F,$A29,'Girls Schedule'!$J:$J,"H",'Girls Schedule'!$M:$M,"&lt;&gt;"&amp;"")+COUNTIFS('Girls Schedule'!$C:$C,$A29,'Girls Schedule'!$J:$J,"V",'Girls Schedule'!$M:$M,"&lt;&gt;"&amp;"")</f>
        <v>9</v>
      </c>
      <c r="G29">
        <f>COUNTIFS('Girls Schedule'!$F:$F,$A29,'Girls Schedule'!$J:$J,"V",'Girls Schedule'!$M:$M,"&lt;&gt;"&amp;"")+COUNTIFS('Girls Schedule'!$C:$C,$A29,'Girls Schedule'!$J:$J,"H",'Girls Schedule'!$M:$M,"&lt;&gt;"&amp;"")</f>
        <v>1</v>
      </c>
      <c r="H29">
        <f>COUNTIFS('Girls Schedule'!$F:$F,$A29,'Girls Schedule'!$J:$J,"H")+COUNTIFS('Girls Schedule'!$C:$C,$A29,'Girls Schedule'!$J:$J,"V")-F29</f>
        <v>5</v>
      </c>
      <c r="I29">
        <f>COUNTIFS('Girls Schedule'!$F:$F,$A29,'Girls Schedule'!$J:$J,"V")+COUNTIFS('Girls Schedule'!$C:$C,$A29,'Girls Schedule'!$J:$J,"H")-G29</f>
        <v>7</v>
      </c>
      <c r="J29" t="s">
        <v>88</v>
      </c>
      <c r="K29" t="s">
        <v>89</v>
      </c>
      <c r="L29" t="str">
        <f t="shared" si="2"/>
        <v>&lt;tr&gt;&lt;td class="GPHS"&gt;Grant Park&lt;br /&gt;Pirates&lt;/td&gt;</v>
      </c>
      <c r="M29" t="str">
        <f t="shared" si="10"/>
        <v>&lt;td&gt;14&lt;/td&gt;</v>
      </c>
      <c r="N29" t="str">
        <f t="shared" si="11"/>
        <v>&lt;td&gt;8&lt;/td&gt;</v>
      </c>
      <c r="O29" s="2" t="str">
        <f t="shared" si="4"/>
        <v>&lt;td&gt;0.636&lt;/td&gt;</v>
      </c>
      <c r="P29" t="str">
        <f t="shared" si="12"/>
        <v>&lt;td&gt;WWAC-WAC-2&lt;/td&gt;</v>
      </c>
      <c r="Q29" t="str">
        <f t="shared" si="13"/>
        <v>&lt;td&gt;9&lt;/td&gt;</v>
      </c>
      <c r="R29" t="str">
        <f t="shared" si="6"/>
        <v>&lt;td&gt;1&lt;/td&gt;&lt;/tr&gt;</v>
      </c>
    </row>
    <row r="30" spans="1:18" x14ac:dyDescent="0.25">
      <c r="A30" t="s">
        <v>10</v>
      </c>
      <c r="B30">
        <f>F30+H30</f>
        <v>10</v>
      </c>
      <c r="C30">
        <f>G30+I30</f>
        <v>19</v>
      </c>
      <c r="D30" s="1">
        <f>IF(ISERROR($B30/($B30+$C30)),0,$B30/($B30+$C30))</f>
        <v>0.34482758620689657</v>
      </c>
      <c r="E30" s="7" t="s">
        <v>39</v>
      </c>
      <c r="F30">
        <f>COUNTIFS('Girls Schedule'!$F:$F,$A30,'Girls Schedule'!$J:$J,"H",'Girls Schedule'!$M:$M,"&lt;&gt;"&amp;"")+COUNTIFS('Girls Schedule'!$C:$C,$A30,'Girls Schedule'!$J:$J,"V",'Girls Schedule'!$M:$M,"&lt;&gt;"&amp;"")</f>
        <v>5</v>
      </c>
      <c r="G30">
        <f>COUNTIFS('Girls Schedule'!$F:$F,$A30,'Girls Schedule'!$J:$J,"V",'Girls Schedule'!$M:$M,"&lt;&gt;"&amp;"")+COUNTIFS('Girls Schedule'!$C:$C,$A30,'Girls Schedule'!$J:$J,"H",'Girls Schedule'!$M:$M,"&lt;&gt;"&amp;"")</f>
        <v>5</v>
      </c>
      <c r="H30">
        <f>COUNTIFS('Girls Schedule'!$F:$F,$A30,'Girls Schedule'!$J:$J,"H")+COUNTIFS('Girls Schedule'!$C:$C,$A30,'Girls Schedule'!$J:$J,"V")-F30</f>
        <v>5</v>
      </c>
      <c r="I30">
        <f>COUNTIFS('Girls Schedule'!$F:$F,$A30,'Girls Schedule'!$J:$J,"V")+COUNTIFS('Girls Schedule'!$C:$C,$A30,'Girls Schedule'!$J:$J,"H")-G30</f>
        <v>14</v>
      </c>
      <c r="J30" t="s">
        <v>72</v>
      </c>
      <c r="K30" t="s">
        <v>73</v>
      </c>
      <c r="L30" t="str">
        <f>"&lt;tr&gt;&lt;td class="""&amp;J30&amp;"""&gt;"&amp;A30&amp;"&lt;br /&gt;"&amp;K30&amp;"&lt;/td&gt;"</f>
        <v>&lt;tr&gt;&lt;td class="KHS"&gt;Kelvin&lt;br /&gt;Clippers&lt;/td&gt;</v>
      </c>
      <c r="M30" t="str">
        <f>"&lt;td&gt;"&amp;B30&amp;"&lt;/td&gt;"</f>
        <v>&lt;td&gt;10&lt;/td&gt;</v>
      </c>
      <c r="N30" t="str">
        <f>"&lt;td&gt;"&amp;C30&amp;"&lt;/td&gt;"</f>
        <v>&lt;td&gt;19&lt;/td&gt;</v>
      </c>
      <c r="O30" s="2" t="str">
        <f>"&lt;td&gt;"&amp;TEXT(D30,"0.000")&amp;"&lt;/td&gt;"</f>
        <v>&lt;td&gt;0.345&lt;/td&gt;</v>
      </c>
      <c r="P30" t="str">
        <f>"&lt;td&gt;"&amp;E30&amp;"&lt;/td&gt;"</f>
        <v>&lt;td&gt;WWAC-WAC-2&lt;/td&gt;</v>
      </c>
      <c r="Q30" t="str">
        <f>"&lt;td&gt;"&amp;F30&amp;"&lt;/td&gt;"</f>
        <v>&lt;td&gt;5&lt;/td&gt;</v>
      </c>
      <c r="R30" t="str">
        <f>"&lt;td&gt;"&amp;G30&amp;"&lt;/td&gt;&lt;/tr&gt;"</f>
        <v>&lt;td&gt;5&lt;/td&gt;&lt;/tr&gt;</v>
      </c>
    </row>
    <row r="31" spans="1:18" x14ac:dyDescent="0.25">
      <c r="A31" t="s">
        <v>28</v>
      </c>
      <c r="B31">
        <f t="shared" si="0"/>
        <v>14</v>
      </c>
      <c r="C31">
        <f t="shared" si="1"/>
        <v>9</v>
      </c>
      <c r="D31" s="1">
        <f t="shared" si="7"/>
        <v>0.60869565217391308</v>
      </c>
      <c r="E31" s="7" t="s">
        <v>39</v>
      </c>
      <c r="F31">
        <f>COUNTIFS('Girls Schedule'!$F:$F,$A31,'Girls Schedule'!$J:$J,"H",'Girls Schedule'!$M:$M,"&lt;&gt;"&amp;"")+COUNTIFS('Girls Schedule'!$C:$C,$A31,'Girls Schedule'!$J:$J,"V",'Girls Schedule'!$M:$M,"&lt;&gt;"&amp;"")</f>
        <v>7</v>
      </c>
      <c r="G31">
        <f>COUNTIFS('Girls Schedule'!$F:$F,$A31,'Girls Schedule'!$J:$J,"V",'Girls Schedule'!$M:$M,"&lt;&gt;"&amp;"")+COUNTIFS('Girls Schedule'!$C:$C,$A31,'Girls Schedule'!$J:$J,"H",'Girls Schedule'!$M:$M,"&lt;&gt;"&amp;"")</f>
        <v>3</v>
      </c>
      <c r="H31">
        <f>COUNTIFS('Girls Schedule'!$F:$F,$A31,'Girls Schedule'!$J:$J,"H")+COUNTIFS('Girls Schedule'!$C:$C,$A31,'Girls Schedule'!$J:$J,"V")-F31</f>
        <v>7</v>
      </c>
      <c r="I31">
        <f>COUNTIFS('Girls Schedule'!$F:$F,$A31,'Girls Schedule'!$J:$J,"V")+COUNTIFS('Girls Schedule'!$C:$C,$A31,'Girls Schedule'!$J:$J,"H")-G31</f>
        <v>6</v>
      </c>
      <c r="J31" t="s">
        <v>90</v>
      </c>
      <c r="K31" t="s">
        <v>81</v>
      </c>
      <c r="L31" t="str">
        <f t="shared" si="2"/>
        <v>&lt;tr&gt;&lt;td class="PCI"&gt;Portage&lt;br /&gt;Trojans&lt;/td&gt;</v>
      </c>
      <c r="M31" t="str">
        <f t="shared" si="10"/>
        <v>&lt;td&gt;14&lt;/td&gt;</v>
      </c>
      <c r="N31" t="str">
        <f t="shared" si="11"/>
        <v>&lt;td&gt;9&lt;/td&gt;</v>
      </c>
      <c r="O31" s="2" t="str">
        <f t="shared" si="4"/>
        <v>&lt;td&gt;0.609&lt;/td&gt;</v>
      </c>
      <c r="P31" t="str">
        <f t="shared" si="12"/>
        <v>&lt;td&gt;WWAC-WAC-2&lt;/td&gt;</v>
      </c>
      <c r="Q31" t="str">
        <f t="shared" si="13"/>
        <v>&lt;td&gt;7&lt;/td&gt;</v>
      </c>
      <c r="R31" t="str">
        <f t="shared" si="6"/>
        <v>&lt;td&gt;3&lt;/td&gt;&lt;/tr&gt;</v>
      </c>
    </row>
    <row r="32" spans="1:18" x14ac:dyDescent="0.25">
      <c r="A32" t="s">
        <v>29</v>
      </c>
      <c r="B32">
        <f t="shared" si="0"/>
        <v>10</v>
      </c>
      <c r="C32">
        <f t="shared" si="1"/>
        <v>10</v>
      </c>
      <c r="D32" s="1">
        <f t="shared" si="7"/>
        <v>0.5</v>
      </c>
      <c r="E32" s="7" t="s">
        <v>39</v>
      </c>
      <c r="F32">
        <f>COUNTIFS('Girls Schedule'!$F:$F,$A32,'Girls Schedule'!$J:$J,"H",'Girls Schedule'!$M:$M,"&lt;&gt;"&amp;"")+COUNTIFS('Girls Schedule'!$C:$C,$A32,'Girls Schedule'!$J:$J,"V",'Girls Schedule'!$M:$M,"&lt;&gt;"&amp;"")</f>
        <v>6</v>
      </c>
      <c r="G32">
        <f>COUNTIFS('Girls Schedule'!$F:$F,$A32,'Girls Schedule'!$J:$J,"V",'Girls Schedule'!$M:$M,"&lt;&gt;"&amp;"")+COUNTIFS('Girls Schedule'!$C:$C,$A32,'Girls Schedule'!$J:$J,"H",'Girls Schedule'!$M:$M,"&lt;&gt;"&amp;"")</f>
        <v>4</v>
      </c>
      <c r="H32">
        <f>COUNTIFS('Girls Schedule'!$F:$F,$A32,'Girls Schedule'!$J:$J,"H")+COUNTIFS('Girls Schedule'!$C:$C,$A32,'Girls Schedule'!$J:$J,"V")-F32</f>
        <v>4</v>
      </c>
      <c r="I32">
        <f>COUNTIFS('Girls Schedule'!$F:$F,$A32,'Girls Schedule'!$J:$J,"V")+COUNTIFS('Girls Schedule'!$C:$C,$A32,'Girls Schedule'!$J:$J,"H")-G32</f>
        <v>6</v>
      </c>
      <c r="J32" t="s">
        <v>91</v>
      </c>
      <c r="K32" t="s">
        <v>57</v>
      </c>
      <c r="L32" t="str">
        <f t="shared" si="2"/>
        <v>&lt;tr&gt;&lt;td class="ShHS"&gt;Shaftesbury&lt;br /&gt;Titans&lt;/td&gt;</v>
      </c>
      <c r="M32" t="str">
        <f t="shared" si="10"/>
        <v>&lt;td&gt;10&lt;/td&gt;</v>
      </c>
      <c r="N32" t="str">
        <f t="shared" si="11"/>
        <v>&lt;td&gt;10&lt;/td&gt;</v>
      </c>
      <c r="O32" s="2" t="str">
        <f t="shared" si="4"/>
        <v>&lt;td&gt;0.500&lt;/td&gt;</v>
      </c>
      <c r="P32" t="str">
        <f t="shared" si="12"/>
        <v>&lt;td&gt;WWAC-WAC-2&lt;/td&gt;</v>
      </c>
      <c r="Q32" t="str">
        <f t="shared" si="13"/>
        <v>&lt;td&gt;6&lt;/td&gt;</v>
      </c>
      <c r="R32" t="str">
        <f t="shared" si="6"/>
        <v>&lt;td&gt;4&lt;/td&gt;&lt;/tr&gt;</v>
      </c>
    </row>
    <row r="33" spans="1:18" x14ac:dyDescent="0.25">
      <c r="A33" t="s">
        <v>30</v>
      </c>
      <c r="B33">
        <f t="shared" si="0"/>
        <v>3</v>
      </c>
      <c r="C33">
        <f t="shared" si="1"/>
        <v>13</v>
      </c>
      <c r="D33" s="1">
        <f t="shared" si="7"/>
        <v>0.1875</v>
      </c>
      <c r="E33" s="7" t="s">
        <v>39</v>
      </c>
      <c r="F33">
        <f>COUNTIFS('Girls Schedule'!$F:$F,$A33,'Girls Schedule'!$J:$J,"H",'Girls Schedule'!$M:$M,"&lt;&gt;"&amp;"")+COUNTIFS('Girls Schedule'!$C:$C,$A33,'Girls Schedule'!$J:$J,"V",'Girls Schedule'!$M:$M,"&lt;&gt;"&amp;"")</f>
        <v>1</v>
      </c>
      <c r="G33">
        <f>COUNTIFS('Girls Schedule'!$F:$F,$A33,'Girls Schedule'!$J:$J,"V",'Girls Schedule'!$M:$M,"&lt;&gt;"&amp;"")+COUNTIFS('Girls Schedule'!$C:$C,$A33,'Girls Schedule'!$J:$J,"H",'Girls Schedule'!$M:$M,"&lt;&gt;"&amp;"")</f>
        <v>9</v>
      </c>
      <c r="H33">
        <f>COUNTIFS('Girls Schedule'!$F:$F,$A33,'Girls Schedule'!$J:$J,"H")+COUNTIFS('Girls Schedule'!$C:$C,$A33,'Girls Schedule'!$J:$J,"V")-F33</f>
        <v>2</v>
      </c>
      <c r="I33">
        <f>COUNTIFS('Girls Schedule'!$F:$F,$A33,'Girls Schedule'!$J:$J,"V")+COUNTIFS('Girls Schedule'!$C:$C,$A33,'Girls Schedule'!$J:$J,"H")-G33</f>
        <v>4</v>
      </c>
      <c r="J33" t="s">
        <v>92</v>
      </c>
      <c r="K33" t="s">
        <v>93</v>
      </c>
      <c r="L33" t="str">
        <f t="shared" si="2"/>
        <v>&lt;tr&gt;&lt;td class="SJHS"&gt;St. John's&lt;br /&gt;Tigers&lt;/td&gt;</v>
      </c>
      <c r="M33" t="str">
        <f t="shared" si="10"/>
        <v>&lt;td&gt;3&lt;/td&gt;</v>
      </c>
      <c r="N33" t="str">
        <f t="shared" si="11"/>
        <v>&lt;td&gt;13&lt;/td&gt;</v>
      </c>
      <c r="O33" s="2" t="str">
        <f t="shared" si="4"/>
        <v>&lt;td&gt;0.188&lt;/td&gt;</v>
      </c>
      <c r="P33" t="str">
        <f t="shared" si="12"/>
        <v>&lt;td&gt;WWAC-WAC-2&lt;/td&gt;</v>
      </c>
      <c r="Q33" t="str">
        <f t="shared" si="13"/>
        <v>&lt;td&gt;1&lt;/td&gt;</v>
      </c>
      <c r="R33" t="str">
        <f t="shared" si="6"/>
        <v>&lt;td&gt;9&lt;/td&gt;&lt;/tr&gt;</v>
      </c>
    </row>
    <row r="34" spans="1:18" x14ac:dyDescent="0.25">
      <c r="A34" t="s">
        <v>31</v>
      </c>
      <c r="B34">
        <f t="shared" si="0"/>
        <v>25</v>
      </c>
      <c r="C34">
        <f t="shared" si="1"/>
        <v>6</v>
      </c>
      <c r="D34" s="1">
        <f t="shared" si="7"/>
        <v>0.80645161290322576</v>
      </c>
      <c r="E34" s="7" t="s">
        <v>39</v>
      </c>
      <c r="F34">
        <f>COUNTIFS('Girls Schedule'!$F:$F,$A34,'Girls Schedule'!$J:$J,"H",'Girls Schedule'!$M:$M,"&lt;&gt;"&amp;"")+COUNTIFS('Girls Schedule'!$C:$C,$A34,'Girls Schedule'!$J:$J,"V",'Girls Schedule'!$M:$M,"&lt;&gt;"&amp;"")</f>
        <v>10</v>
      </c>
      <c r="G34">
        <f>COUNTIFS('Girls Schedule'!$F:$F,$A34,'Girls Schedule'!$J:$J,"V",'Girls Schedule'!$M:$M,"&lt;&gt;"&amp;"")+COUNTIFS('Girls Schedule'!$C:$C,$A34,'Girls Schedule'!$J:$J,"H",'Girls Schedule'!$M:$M,"&lt;&gt;"&amp;"")</f>
        <v>0</v>
      </c>
      <c r="H34">
        <f>COUNTIFS('Girls Schedule'!$F:$F,$A34,'Girls Schedule'!$J:$J,"H")+COUNTIFS('Girls Schedule'!$C:$C,$A34,'Girls Schedule'!$J:$J,"V")-F34</f>
        <v>15</v>
      </c>
      <c r="I34">
        <f>COUNTIFS('Girls Schedule'!$F:$F,$A34,'Girls Schedule'!$J:$J,"V")+COUNTIFS('Girls Schedule'!$C:$C,$A34,'Girls Schedule'!$J:$J,"H")-G34</f>
        <v>6</v>
      </c>
      <c r="J34" t="s">
        <v>96</v>
      </c>
      <c r="K34" t="s">
        <v>97</v>
      </c>
      <c r="L34" t="str">
        <f t="shared" si="2"/>
        <v>&lt;tr&gt;&lt;td class="TVHS"&gt;Tec Voc&lt;br /&gt;Hornets&lt;/td&gt;</v>
      </c>
      <c r="M34" t="str">
        <f t="shared" si="10"/>
        <v>&lt;td&gt;25&lt;/td&gt;</v>
      </c>
      <c r="N34" t="str">
        <f t="shared" si="11"/>
        <v>&lt;td&gt;6&lt;/td&gt;</v>
      </c>
      <c r="O34" s="2" t="str">
        <f t="shared" si="4"/>
        <v>&lt;td&gt;0.806&lt;/td&gt;</v>
      </c>
      <c r="P34" t="str">
        <f t="shared" si="12"/>
        <v>&lt;td&gt;WWAC-WAC-2&lt;/td&gt;</v>
      </c>
      <c r="Q34" t="str">
        <f t="shared" si="13"/>
        <v>&lt;td&gt;10&lt;/td&gt;</v>
      </c>
      <c r="R34" t="str">
        <f t="shared" si="6"/>
        <v>&lt;td&gt;0&lt;/td&gt;&lt;/tr&gt;</v>
      </c>
    </row>
    <row r="35" spans="1:18" x14ac:dyDescent="0.25">
      <c r="A35" t="s">
        <v>162</v>
      </c>
      <c r="B35">
        <f t="shared" ref="B35" si="14">F35+H35</f>
        <v>15</v>
      </c>
      <c r="C35">
        <f t="shared" ref="C35" si="15">G35+I35</f>
        <v>10</v>
      </c>
      <c r="D35" s="1">
        <f t="shared" si="7"/>
        <v>0.6</v>
      </c>
      <c r="E35" t="s">
        <v>163</v>
      </c>
      <c r="F35">
        <f>COUNTIFS('Girls Schedule'!$F:$F,$A35,'Girls Schedule'!$J:$J,"H",'Girls Schedule'!$M:$M,"&lt;&gt;"&amp;"")+COUNTIFS('Girls Schedule'!$C:$C,$A35,'Girls Schedule'!$J:$J,"V",'Girls Schedule'!$M:$M,"&lt;&gt;"&amp;"")</f>
        <v>6</v>
      </c>
      <c r="G35">
        <f>COUNTIFS('Girls Schedule'!$F:$F,$A35,'Girls Schedule'!$J:$J,"V",'Girls Schedule'!$M:$M,"&lt;&gt;"&amp;"")+COUNTIFS('Girls Schedule'!$C:$C,$A35,'Girls Schedule'!$J:$J,"H",'Girls Schedule'!$M:$M,"&lt;&gt;"&amp;"")</f>
        <v>0</v>
      </c>
      <c r="H35">
        <f>COUNTIFS('Girls Schedule'!$F:$F,$A35,'Girls Schedule'!$J:$J,"H")+COUNTIFS('Girls Schedule'!$C:$C,$A35,'Girls Schedule'!$J:$J,"V")-F35</f>
        <v>9</v>
      </c>
      <c r="I35">
        <f>COUNTIFS('Girls Schedule'!$F:$F,$A35,'Girls Schedule'!$J:$J,"V")+COUNTIFS('Girls Schedule'!$C:$C,$A35,'Girls Schedule'!$J:$J,"H")-G35</f>
        <v>10</v>
      </c>
      <c r="J35" t="s">
        <v>164</v>
      </c>
      <c r="K35" t="s">
        <v>165</v>
      </c>
      <c r="L35" t="str">
        <f t="shared" ref="L35" si="16">"&lt;tr&gt;&lt;td class="""&amp;J35&amp;"""&gt;"&amp;A35&amp;"&lt;br /&gt;"&amp;K35&amp;"&lt;/td&gt;"</f>
        <v>&lt;tr&gt;&lt;td class="GVC"&gt;Garden Valley&lt;br /&gt;Zodiacs&lt;/td&gt;</v>
      </c>
      <c r="M35" t="str">
        <f t="shared" ref="M35" si="17">"&lt;td&gt;"&amp;B35&amp;"&lt;/td&gt;"</f>
        <v>&lt;td&gt;15&lt;/td&gt;</v>
      </c>
      <c r="N35" t="str">
        <f t="shared" ref="N35" si="18">"&lt;td&gt;"&amp;C35&amp;"&lt;/td&gt;"</f>
        <v>&lt;td&gt;10&lt;/td&gt;</v>
      </c>
      <c r="O35" s="2" t="str">
        <f t="shared" ref="O35" si="19">"&lt;td&gt;"&amp;TEXT(D35,"0.000")&amp;"&lt;/td&gt;"</f>
        <v>&lt;td&gt;0.600&lt;/td&gt;</v>
      </c>
      <c r="P35" t="str">
        <f t="shared" ref="P35" si="20">"&lt;td&gt;"&amp;E35&amp;"&lt;/td&gt;"</f>
        <v>&lt;td&gt;Zone 4&lt;/td&gt;</v>
      </c>
      <c r="Q35" t="str">
        <f t="shared" ref="Q35" si="21">"&lt;td&gt;"&amp;F35&amp;"&lt;/td&gt;"</f>
        <v>&lt;td&gt;6&lt;/td&gt;</v>
      </c>
      <c r="R35" t="str">
        <f t="shared" ref="R35" si="22">"&lt;td&gt;"&amp;G35&amp;"&lt;/td&gt;&lt;/tr&gt;"</f>
        <v>&lt;td&gt;0&lt;/td&gt;&lt;/tr&gt;</v>
      </c>
    </row>
    <row r="36" spans="1:18" x14ac:dyDescent="0.25">
      <c r="A36" t="s">
        <v>32</v>
      </c>
      <c r="B36">
        <f t="shared" si="0"/>
        <v>16</v>
      </c>
      <c r="C36">
        <f t="shared" si="1"/>
        <v>9</v>
      </c>
      <c r="D36" s="1">
        <f t="shared" si="7"/>
        <v>0.64</v>
      </c>
      <c r="E36" t="s">
        <v>40</v>
      </c>
      <c r="F36">
        <f>COUNTIFS('Girls Schedule'!$F:$F,$A36,'Girls Schedule'!$J:$J,"H",'Girls Schedule'!$M:$M,"&lt;&gt;"&amp;"")+COUNTIFS('Girls Schedule'!$C:$C,$A36,'Girls Schedule'!$J:$J,"V",'Girls Schedule'!$M:$M,"&lt;&gt;"&amp;"")</f>
        <v>1</v>
      </c>
      <c r="G36">
        <f>COUNTIFS('Girls Schedule'!$F:$F,$A36,'Girls Schedule'!$J:$J,"V",'Girls Schedule'!$M:$M,"&lt;&gt;"&amp;"")+COUNTIFS('Girls Schedule'!$C:$C,$A36,'Girls Schedule'!$J:$J,"H",'Girls Schedule'!$M:$M,"&lt;&gt;"&amp;"")</f>
        <v>1</v>
      </c>
      <c r="H36">
        <f>COUNTIFS('Girls Schedule'!$F:$F,$A36,'Girls Schedule'!$J:$J,"H")+COUNTIFS('Girls Schedule'!$C:$C,$A36,'Girls Schedule'!$J:$J,"V")-F36</f>
        <v>15</v>
      </c>
      <c r="I36">
        <f>COUNTIFS('Girls Schedule'!$F:$F,$A36,'Girls Schedule'!$J:$J,"V")+COUNTIFS('Girls Schedule'!$C:$C,$A36,'Girls Schedule'!$J:$J,"H")-G36</f>
        <v>8</v>
      </c>
      <c r="J36" t="s">
        <v>100</v>
      </c>
      <c r="K36" t="s">
        <v>101</v>
      </c>
      <c r="L36" t="str">
        <f t="shared" si="2"/>
        <v>&lt;tr&gt;&lt;td class="CPRS"&gt;Crocus Plains&lt;br /&gt;Plainsmen&lt;/td&gt;</v>
      </c>
      <c r="M36" t="str">
        <f t="shared" si="10"/>
        <v>&lt;td&gt;16&lt;/td&gt;</v>
      </c>
      <c r="N36" t="str">
        <f t="shared" si="11"/>
        <v>&lt;td&gt;9&lt;/td&gt;</v>
      </c>
      <c r="O36" s="2" t="str">
        <f t="shared" si="4"/>
        <v>&lt;td&gt;0.640&lt;/td&gt;</v>
      </c>
      <c r="P36" t="str">
        <f t="shared" si="12"/>
        <v>&lt;td&gt;Zone 15&lt;/td&gt;</v>
      </c>
      <c r="Q36" t="str">
        <f t="shared" si="13"/>
        <v>&lt;td&gt;1&lt;/td&gt;</v>
      </c>
      <c r="R36" t="str">
        <f t="shared" si="6"/>
        <v>&lt;td&gt;1&lt;/td&gt;&lt;/tr&gt;</v>
      </c>
    </row>
    <row r="37" spans="1:18" x14ac:dyDescent="0.25">
      <c r="A37" t="s">
        <v>23</v>
      </c>
      <c r="B37">
        <f t="shared" si="0"/>
        <v>8</v>
      </c>
      <c r="C37">
        <f t="shared" si="1"/>
        <v>12</v>
      </c>
      <c r="D37" s="1">
        <f t="shared" si="7"/>
        <v>0.4</v>
      </c>
      <c r="E37" t="s">
        <v>40</v>
      </c>
      <c r="F37">
        <f>COUNTIFS('Girls Schedule'!$F:$F,$A37,'Girls Schedule'!$G:$G,$J37,'Girls Schedule'!$J:$J,"H",'Girls Schedule'!$M:$M,"&lt;&gt;"&amp;"")+COUNTIFS('Girls Schedule'!$C:$C,$A37,'Girls Schedule'!$D:$D,$J37,'Girls Schedule'!$J:$J,"V",'Girls Schedule'!$M:$M,"&lt;&gt;"&amp;"")</f>
        <v>1</v>
      </c>
      <c r="G37">
        <f>COUNTIFS('Girls Schedule'!$F:$F,$A37,'Girls Schedule'!$G:$G,$J37,'Girls Schedule'!$J:$J,"V",'Girls Schedule'!$M:$M,"&lt;&gt;"&amp;"")+COUNTIFS('Girls Schedule'!$C:$C,$A37,'Girls Schedule'!$D:$D,$J37,'Girls Schedule'!$J:$J,"H",'Girls Schedule'!$M:$M,"&lt;&gt;"&amp;"")</f>
        <v>1</v>
      </c>
      <c r="H37">
        <f>COUNTIFS('Girls Schedule'!$F:$F,$A37,'Girls Schedule'!$G:$G,$J37,'Girls Schedule'!$J:$J,"H")+COUNTIFS('Girls Schedule'!$C:$C,$A37,'Girls Schedule'!$D:$D,$J37,'Girls Schedule'!$J:$J,"V")-F37</f>
        <v>7</v>
      </c>
      <c r="I37">
        <f>COUNTIFS('Girls Schedule'!$F:$F,$A37,'Girls Schedule'!$G:$G,$J37,'Girls Schedule'!$J:$J,"V")+COUNTIFS('Girls Schedule'!$C:$C,$A37,'Girls Schedule'!$D:$D,$J37,'Girls Schedule'!$J:$J,"H")-G37</f>
        <v>11</v>
      </c>
      <c r="J37" t="s">
        <v>102</v>
      </c>
      <c r="K37" t="s">
        <v>103</v>
      </c>
      <c r="L37" t="str">
        <f t="shared" si="2"/>
        <v>&lt;tr&gt;&lt;td class="VMHS"&gt;Vincent Massey&lt;br /&gt;Vikings&lt;/td&gt;</v>
      </c>
      <c r="M37" t="str">
        <f t="shared" si="10"/>
        <v>&lt;td&gt;8&lt;/td&gt;</v>
      </c>
      <c r="N37" t="str">
        <f t="shared" si="11"/>
        <v>&lt;td&gt;12&lt;/td&gt;</v>
      </c>
      <c r="O37" s="2" t="str">
        <f t="shared" si="4"/>
        <v>&lt;td&gt;0.400&lt;/td&gt;</v>
      </c>
      <c r="P37" t="str">
        <f t="shared" si="12"/>
        <v>&lt;td&gt;Zone 15&lt;/td&gt;</v>
      </c>
      <c r="Q37" t="str">
        <f t="shared" si="13"/>
        <v>&lt;td&gt;1&lt;/td&gt;</v>
      </c>
      <c r="R37" t="str">
        <f t="shared" si="6"/>
        <v>&lt;td&gt;1&lt;/td&gt;&lt;/tr&gt;</v>
      </c>
    </row>
    <row r="38" spans="1:18" x14ac:dyDescent="0.25">
      <c r="A38" t="s">
        <v>259</v>
      </c>
      <c r="B38">
        <f t="shared" ref="B38" si="23">F38+H38</f>
        <v>74</v>
      </c>
      <c r="C38">
        <f t="shared" ref="C38" si="24">G38+I38</f>
        <v>93</v>
      </c>
      <c r="D38" s="1">
        <f t="shared" si="7"/>
        <v>0.44311377245508982</v>
      </c>
      <c r="F38">
        <f>COUNTIFS('Girls Schedule'!$J:$J,"H",'Girls Schedule'!$M:$M,"&lt;&gt;"&amp;"")+COUNTIFS('Girls Schedule'!$J:$J,"V",'Girls Schedule'!$M:$M,"&lt;&gt;"&amp;"")-SUM(F2:F37)</f>
        <v>15</v>
      </c>
      <c r="G38">
        <f>COUNTIFS('Girls Schedule'!$J:$J,"V",'Girls Schedule'!$M:$M,"&lt;&gt;"&amp;"")+COUNTIFS('Girls Schedule'!$J:$J,"H",'Girls Schedule'!$M:$M,"&lt;&gt;"&amp;"")-SUM(G2:G37)</f>
        <v>31</v>
      </c>
      <c r="H38">
        <f>COUNTIFS('Girls Schedule'!$J:$J,"H")+COUNTIFS('Girls Schedule'!$J:$J,"V")-F38-SUM(H2:H37)-SUM(F2:F37)</f>
        <v>59</v>
      </c>
      <c r="I38">
        <f>COUNTIFS('Girls Schedule'!$J:$J,"V")+COUNTIFS('Girls Schedule'!$J:$J,"H")-G38-SUM(I2:I37)-SUM(G2:G37)</f>
        <v>62</v>
      </c>
    </row>
  </sheetData>
  <conditionalFormatting sqref="D2:D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O30:O37 O2:O20 O21:O29 F25:I2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33"/>
  <sheetViews>
    <sheetView workbookViewId="0">
      <pane ySplit="1" topLeftCell="A544" activePane="bottomLeft" state="frozen"/>
      <selection pane="bottomLeft" activeCell="H553" activeCellId="1" sqref="E553:E556 H553:H556"/>
    </sheetView>
  </sheetViews>
  <sheetFormatPr defaultRowHeight="15" x14ac:dyDescent="0.25"/>
  <cols>
    <col min="1" max="1" width="10.42578125" style="5" bestFit="1" customWidth="1"/>
    <col min="2" max="2" width="9" style="6" bestFit="1" customWidth="1"/>
    <col min="7" max="7" width="10.85546875" bestFit="1" customWidth="1"/>
    <col min="10" max="10" width="2.85546875" bestFit="1" customWidth="1"/>
  </cols>
  <sheetData>
    <row r="1" spans="1:20" x14ac:dyDescent="0.25">
      <c r="A1" s="5" t="s">
        <v>146</v>
      </c>
      <c r="B1" s="6" t="s">
        <v>147</v>
      </c>
      <c r="C1" t="s">
        <v>148</v>
      </c>
      <c r="D1" t="s">
        <v>152</v>
      </c>
      <c r="E1" t="s">
        <v>149</v>
      </c>
      <c r="F1" t="s">
        <v>150</v>
      </c>
      <c r="G1" t="s">
        <v>153</v>
      </c>
      <c r="H1" t="s">
        <v>149</v>
      </c>
      <c r="I1" t="s">
        <v>155</v>
      </c>
      <c r="J1" t="s">
        <v>156</v>
      </c>
      <c r="K1" t="s">
        <v>151</v>
      </c>
      <c r="L1" t="s">
        <v>172</v>
      </c>
      <c r="M1" t="s">
        <v>154</v>
      </c>
      <c r="N1" t="str">
        <f>"&lt;tr&gt; &lt;th width=""8%""&gt;"&amp;A1&amp;"&lt;/th&gt;"</f>
        <v>&lt;tr&gt; &lt;th width="8%"&gt;Date&lt;/th&gt;</v>
      </c>
      <c r="O1" t="str">
        <f>"&lt;th width=""10%""&gt;"&amp;B1&amp;"&lt;/th&gt;"</f>
        <v>&lt;th width="10%"&gt;Time&lt;/th&gt;</v>
      </c>
      <c r="P1" t="str">
        <f>"&lt;th width=""16%""&gt;"&amp;C1&amp;"&lt;/th&gt;"</f>
        <v>&lt;th width="16%"&gt;Visitor&lt;/th&gt;</v>
      </c>
      <c r="Q1" t="str">
        <f>"&lt;th width=""10%""&gt;"&amp;E1&amp;"&lt;/th&gt;"</f>
        <v>&lt;th width="10%"&gt;Score&lt;/th&gt;</v>
      </c>
      <c r="R1" t="str">
        <f>"&lt;th width=""16%""&gt;"&amp;F1&amp;"&lt;/th&gt;"</f>
        <v>&lt;th width="16%"&gt;Home&lt;/th&gt;</v>
      </c>
      <c r="S1" t="str">
        <f>"&lt;th width=""40%""&gt;"&amp;K1&amp;"&lt;/th&gt; &lt;/tr&gt;"</f>
        <v>&lt;th width="40%"&gt;Event&lt;/th&gt; &lt;/tr&gt;</v>
      </c>
      <c r="T1" s="5">
        <f ca="1">TODAY()</f>
        <v>42443</v>
      </c>
    </row>
    <row r="2" spans="1:20" x14ac:dyDescent="0.25">
      <c r="A2" s="5">
        <v>42342</v>
      </c>
      <c r="B2" s="6">
        <v>0.67361111111111116</v>
      </c>
      <c r="C2" t="s">
        <v>104</v>
      </c>
      <c r="D2" t="s">
        <v>105</v>
      </c>
      <c r="E2">
        <v>38</v>
      </c>
      <c r="F2" t="s">
        <v>167</v>
      </c>
      <c r="H2">
        <v>65</v>
      </c>
      <c r="J2" t="str">
        <f t="shared" ref="J2:J33" si="0">IF(H2&gt;E2,"H",IF(E2&gt;H2,"V",""))</f>
        <v>H</v>
      </c>
      <c r="K2" t="s">
        <v>187</v>
      </c>
      <c r="L2" t="s">
        <v>174</v>
      </c>
      <c r="N2" t="str">
        <f t="shared" ref="N2:N65" si="1">"&lt;tr&gt; &lt;td&gt;"&amp;TEXT(A2,"MMM. D")&amp;"&lt;/td&gt;"</f>
        <v>&lt;tr&gt; &lt;td&gt;Dec. 4&lt;/td&gt;</v>
      </c>
      <c r="O2" t="str">
        <f t="shared" ref="O2:O65" si="2">"&lt;td&gt;"&amp;IF(B2&gt;0,TEXT(B2,"H:MM AM/PM"),"")&amp;"&lt;/td&gt;"</f>
        <v>&lt;td&gt;4:10 PM&lt;/td&gt;</v>
      </c>
      <c r="P2" t="str">
        <f t="shared" ref="P2:P65" si="3">"&lt;td class="""&amp;D2&amp;"sched""&gt;"&amp;C2&amp;"&lt;/td&gt;"</f>
        <v>&lt;td class="SCIsched"&gt;Springfield&lt;/td&gt;</v>
      </c>
      <c r="Q2" t="str">
        <f t="shared" ref="Q2:Q65" si="4">"&lt;td&gt;"&amp;E2&amp;" - "&amp;H2&amp;IF(I2&gt;0," "&amp;I2,"")&amp;"&lt;/td&gt;"</f>
        <v>&lt;td&gt;38 - 65&lt;/td&gt;</v>
      </c>
      <c r="R2" t="str">
        <f t="shared" ref="R2:R65" si="5">"&lt;td class="""&amp;G2&amp;"sched""&gt;"&amp;F2&amp;"&lt;/td&gt;"</f>
        <v>&lt;td class="sched"&gt;Gray&lt;/td&gt;</v>
      </c>
      <c r="S2" t="str">
        <f t="shared" ref="S2:S65" si="6">"&lt;td&gt;"&amp;K2&amp;" "&amp;L2&amp;"&lt;/td&gt; &lt;/tr&gt;"</f>
        <v>&lt;td&gt;Sanford EarlyCat Quarterfinal 2&lt;/td&gt; &lt;/tr&gt;</v>
      </c>
    </row>
    <row r="3" spans="1:20" x14ac:dyDescent="0.25">
      <c r="A3" s="5">
        <v>42342</v>
      </c>
      <c r="B3" s="6">
        <v>0.73958333333333337</v>
      </c>
      <c r="C3" t="s">
        <v>135</v>
      </c>
      <c r="D3" t="s">
        <v>136</v>
      </c>
      <c r="E3">
        <v>46</v>
      </c>
      <c r="F3" t="s">
        <v>200</v>
      </c>
      <c r="H3">
        <v>70</v>
      </c>
      <c r="J3" t="str">
        <f t="shared" si="0"/>
        <v>H</v>
      </c>
      <c r="K3" t="s">
        <v>187</v>
      </c>
      <c r="L3" t="s">
        <v>175</v>
      </c>
      <c r="N3" t="str">
        <f t="shared" si="1"/>
        <v>&lt;tr&gt; &lt;td&gt;Dec. 4&lt;/td&gt;</v>
      </c>
      <c r="O3" t="str">
        <f t="shared" si="2"/>
        <v>&lt;td&gt;5:45 PM&lt;/td&gt;</v>
      </c>
      <c r="P3" t="str">
        <f t="shared" si="3"/>
        <v>&lt;td class="NPCsched"&gt;Northlands Parkway&lt;/td&gt;</v>
      </c>
      <c r="Q3" t="str">
        <f t="shared" si="4"/>
        <v>&lt;td&gt;46 - 70&lt;/td&gt;</v>
      </c>
      <c r="R3" t="str">
        <f t="shared" si="5"/>
        <v>&lt;td class="sched"&gt;St. Norbert&lt;/td&gt;</v>
      </c>
      <c r="S3" t="str">
        <f t="shared" si="6"/>
        <v>&lt;td&gt;Sanford EarlyCat Quarterfinal 3&lt;/td&gt; &lt;/tr&gt;</v>
      </c>
    </row>
    <row r="4" spans="1:20" x14ac:dyDescent="0.25">
      <c r="A4" s="5">
        <v>42342</v>
      </c>
      <c r="C4" t="s">
        <v>7</v>
      </c>
      <c r="D4" t="s">
        <v>7</v>
      </c>
      <c r="E4">
        <v>55</v>
      </c>
      <c r="F4" t="s">
        <v>9</v>
      </c>
      <c r="G4" t="s">
        <v>76</v>
      </c>
      <c r="H4">
        <v>78</v>
      </c>
      <c r="J4" t="str">
        <f t="shared" si="0"/>
        <v>H</v>
      </c>
      <c r="K4" t="s">
        <v>269</v>
      </c>
      <c r="L4" t="s">
        <v>179</v>
      </c>
      <c r="N4" t="str">
        <f t="shared" si="1"/>
        <v>&lt;tr&gt; &lt;td&gt;Dec. 4&lt;/td&gt;</v>
      </c>
      <c r="O4" t="str">
        <f t="shared" si="2"/>
        <v>&lt;td&gt;&lt;/td&gt;</v>
      </c>
      <c r="P4" t="str">
        <f t="shared" si="3"/>
        <v>&lt;td class="MBCIsched"&gt;MBCI&lt;/td&gt;</v>
      </c>
      <c r="Q4" t="str">
        <f t="shared" si="4"/>
        <v>&lt;td&gt;55 - 78&lt;/td&gt;</v>
      </c>
      <c r="R4" t="str">
        <f t="shared" si="5"/>
        <v>&lt;td class="SiHSsched"&gt;Sisler&lt;/td&gt;</v>
      </c>
      <c r="S4" t="str">
        <f t="shared" si="6"/>
        <v>&lt;td&gt;Reiver Tip-Off Semifinal 1&lt;/td&gt; &lt;/tr&gt;</v>
      </c>
    </row>
    <row r="5" spans="1:20" x14ac:dyDescent="0.25">
      <c r="A5" s="5">
        <v>42342</v>
      </c>
      <c r="C5" t="s">
        <v>12</v>
      </c>
      <c r="D5" t="s">
        <v>54</v>
      </c>
      <c r="E5">
        <v>66</v>
      </c>
      <c r="F5" t="s">
        <v>253</v>
      </c>
      <c r="H5">
        <v>84</v>
      </c>
      <c r="J5" t="str">
        <f t="shared" si="0"/>
        <v>H</v>
      </c>
      <c r="K5" t="s">
        <v>269</v>
      </c>
      <c r="L5" t="s">
        <v>197</v>
      </c>
      <c r="N5" t="str">
        <f t="shared" si="1"/>
        <v>&lt;tr&gt; &lt;td&gt;Dec. 4&lt;/td&gt;</v>
      </c>
      <c r="O5" t="str">
        <f t="shared" si="2"/>
        <v>&lt;td&gt;&lt;/td&gt;</v>
      </c>
      <c r="P5" t="str">
        <f t="shared" si="3"/>
        <v>&lt;td class="LSsched"&gt;Selkirk&lt;/td&gt;</v>
      </c>
      <c r="Q5" t="str">
        <f t="shared" si="4"/>
        <v>&lt;td&gt;66 - 84&lt;/td&gt;</v>
      </c>
      <c r="R5" t="str">
        <f t="shared" si="5"/>
        <v>&lt;td class="sched"&gt;St. James&lt;/td&gt;</v>
      </c>
      <c r="S5" t="str">
        <f t="shared" si="6"/>
        <v>&lt;td&gt;Reiver Tip-Off Quarterfinal&lt;/td&gt; &lt;/tr&gt;</v>
      </c>
    </row>
    <row r="6" spans="1:20" x14ac:dyDescent="0.25">
      <c r="A6" s="5">
        <v>42342</v>
      </c>
      <c r="C6" t="s">
        <v>20</v>
      </c>
      <c r="D6" t="s">
        <v>58</v>
      </c>
      <c r="E6">
        <v>82</v>
      </c>
      <c r="F6" t="s">
        <v>32</v>
      </c>
      <c r="G6" t="s">
        <v>100</v>
      </c>
      <c r="H6">
        <v>72</v>
      </c>
      <c r="J6" t="str">
        <f t="shared" si="0"/>
        <v>V</v>
      </c>
      <c r="K6" t="s">
        <v>720</v>
      </c>
      <c r="N6" t="str">
        <f t="shared" si="1"/>
        <v>&lt;tr&gt; &lt;td&gt;Dec. 4&lt;/td&gt;</v>
      </c>
      <c r="O6" t="str">
        <f t="shared" si="2"/>
        <v>&lt;td&gt;&lt;/td&gt;</v>
      </c>
      <c r="P6" t="str">
        <f t="shared" si="3"/>
        <v>&lt;td class="WKCsched"&gt;West Kildonan&lt;/td&gt;</v>
      </c>
      <c r="Q6" t="str">
        <f t="shared" si="4"/>
        <v>&lt;td&gt;82 - 72&lt;/td&gt;</v>
      </c>
      <c r="R6" t="str">
        <f t="shared" si="5"/>
        <v>&lt;td class="CPRSsched"&gt;Crocus Plains&lt;/td&gt;</v>
      </c>
      <c r="S6" t="str">
        <f t="shared" si="6"/>
        <v>&lt;td&gt;Kelvin Preseason &lt;/td&gt; &lt;/tr&gt;</v>
      </c>
    </row>
    <row r="7" spans="1:20" x14ac:dyDescent="0.25">
      <c r="A7" s="5">
        <v>42342</v>
      </c>
      <c r="C7" t="s">
        <v>28</v>
      </c>
      <c r="D7" t="s">
        <v>90</v>
      </c>
      <c r="E7">
        <v>64</v>
      </c>
      <c r="F7" t="s">
        <v>10</v>
      </c>
      <c r="G7" t="s">
        <v>72</v>
      </c>
      <c r="H7">
        <v>81</v>
      </c>
      <c r="J7" t="str">
        <f t="shared" si="0"/>
        <v>H</v>
      </c>
      <c r="K7" t="s">
        <v>720</v>
      </c>
      <c r="N7" t="str">
        <f t="shared" si="1"/>
        <v>&lt;tr&gt; &lt;td&gt;Dec. 4&lt;/td&gt;</v>
      </c>
      <c r="O7" t="str">
        <f t="shared" si="2"/>
        <v>&lt;td&gt;&lt;/td&gt;</v>
      </c>
      <c r="P7" t="str">
        <f t="shared" si="3"/>
        <v>&lt;td class="PCIsched"&gt;Portage&lt;/td&gt;</v>
      </c>
      <c r="Q7" t="str">
        <f t="shared" si="4"/>
        <v>&lt;td&gt;64 - 81&lt;/td&gt;</v>
      </c>
      <c r="R7" t="str">
        <f t="shared" si="5"/>
        <v>&lt;td class="KHSsched"&gt;Kelvin&lt;/td&gt;</v>
      </c>
      <c r="S7" t="str">
        <f t="shared" si="6"/>
        <v>&lt;td&gt;Kelvin Preseason &lt;/td&gt; &lt;/tr&gt;</v>
      </c>
    </row>
    <row r="8" spans="1:20" x14ac:dyDescent="0.25">
      <c r="A8" s="5">
        <v>42343</v>
      </c>
      <c r="B8" s="6">
        <v>0.375</v>
      </c>
      <c r="C8" t="s">
        <v>104</v>
      </c>
      <c r="D8" t="s">
        <v>105</v>
      </c>
      <c r="E8">
        <v>50</v>
      </c>
      <c r="F8" t="s">
        <v>166</v>
      </c>
      <c r="H8">
        <v>40</v>
      </c>
      <c r="J8" t="str">
        <f t="shared" si="0"/>
        <v>V</v>
      </c>
      <c r="K8" t="s">
        <v>187</v>
      </c>
      <c r="L8" t="s">
        <v>177</v>
      </c>
      <c r="N8" t="str">
        <f t="shared" si="1"/>
        <v>&lt;tr&gt; &lt;td&gt;Dec. 5&lt;/td&gt;</v>
      </c>
      <c r="O8" t="str">
        <f t="shared" si="2"/>
        <v>&lt;td&gt;9:00 AM&lt;/td&gt;</v>
      </c>
      <c r="P8" t="str">
        <f t="shared" si="3"/>
        <v>&lt;td class="SCIsched"&gt;Springfield&lt;/td&gt;</v>
      </c>
      <c r="Q8" t="str">
        <f t="shared" si="4"/>
        <v>&lt;td&gt;50 - 40&lt;/td&gt;</v>
      </c>
      <c r="R8" t="str">
        <f t="shared" si="5"/>
        <v>&lt;td class="sched"&gt;Sanford&lt;/td&gt;</v>
      </c>
      <c r="S8" t="str">
        <f t="shared" si="6"/>
        <v>&lt;td&gt;Sanford EarlyCat Consolation Semi 1&lt;/td&gt; &lt;/tr&gt;</v>
      </c>
    </row>
    <row r="9" spans="1:20" x14ac:dyDescent="0.25">
      <c r="A9" s="5">
        <v>42343</v>
      </c>
      <c r="B9" s="6">
        <v>0.44097222222222227</v>
      </c>
      <c r="C9" t="s">
        <v>280</v>
      </c>
      <c r="E9">
        <v>69</v>
      </c>
      <c r="F9" t="s">
        <v>135</v>
      </c>
      <c r="G9" t="s">
        <v>136</v>
      </c>
      <c r="H9">
        <v>53</v>
      </c>
      <c r="J9" t="str">
        <f t="shared" si="0"/>
        <v>V</v>
      </c>
      <c r="K9" t="s">
        <v>187</v>
      </c>
      <c r="L9" t="s">
        <v>178</v>
      </c>
      <c r="N9" t="str">
        <f t="shared" si="1"/>
        <v>&lt;tr&gt; &lt;td&gt;Dec. 5&lt;/td&gt;</v>
      </c>
      <c r="O9" t="str">
        <f t="shared" si="2"/>
        <v>&lt;td&gt;10:35 AM&lt;/td&gt;</v>
      </c>
      <c r="P9" t="str">
        <f t="shared" si="3"/>
        <v>&lt;td class="sched"&gt;Faith&lt;/td&gt;</v>
      </c>
      <c r="Q9" t="str">
        <f t="shared" si="4"/>
        <v>&lt;td&gt;69 - 53&lt;/td&gt;</v>
      </c>
      <c r="R9" t="str">
        <f t="shared" si="5"/>
        <v>&lt;td class="NPCsched"&gt;Northlands Parkway&lt;/td&gt;</v>
      </c>
      <c r="S9" t="str">
        <f t="shared" si="6"/>
        <v>&lt;td&gt;Sanford EarlyCat Consolation Semi 2&lt;/td&gt; &lt;/tr&gt;</v>
      </c>
    </row>
    <row r="10" spans="1:20" x14ac:dyDescent="0.25">
      <c r="A10" s="5">
        <v>42343</v>
      </c>
      <c r="B10" s="6">
        <v>0.63888888888888895</v>
      </c>
      <c r="C10" t="s">
        <v>135</v>
      </c>
      <c r="D10" t="s">
        <v>136</v>
      </c>
      <c r="E10">
        <v>81</v>
      </c>
      <c r="F10" t="s">
        <v>166</v>
      </c>
      <c r="H10">
        <v>54</v>
      </c>
      <c r="J10" t="str">
        <f t="shared" si="0"/>
        <v>V</v>
      </c>
      <c r="K10" t="s">
        <v>187</v>
      </c>
      <c r="L10" t="s">
        <v>181</v>
      </c>
      <c r="N10" t="str">
        <f t="shared" si="1"/>
        <v>&lt;tr&gt; &lt;td&gt;Dec. 5&lt;/td&gt;</v>
      </c>
      <c r="O10" t="str">
        <f t="shared" si="2"/>
        <v>&lt;td&gt;3:20 PM&lt;/td&gt;</v>
      </c>
      <c r="P10" t="str">
        <f t="shared" si="3"/>
        <v>&lt;td class="NPCsched"&gt;Northlands Parkway&lt;/td&gt;</v>
      </c>
      <c r="Q10" t="str">
        <f t="shared" si="4"/>
        <v>&lt;td&gt;81 - 54&lt;/td&gt;</v>
      </c>
      <c r="R10" t="str">
        <f t="shared" si="5"/>
        <v>&lt;td class="sched"&gt;Sanford&lt;/td&gt;</v>
      </c>
      <c r="S10" t="str">
        <f t="shared" si="6"/>
        <v>&lt;td&gt;Sanford EarlyCat 7th Place&lt;/td&gt; &lt;/tr&gt;</v>
      </c>
    </row>
    <row r="11" spans="1:20" x14ac:dyDescent="0.25">
      <c r="A11" s="5">
        <v>42343</v>
      </c>
      <c r="B11" s="6">
        <v>0.70486111111111116</v>
      </c>
      <c r="C11" t="s">
        <v>280</v>
      </c>
      <c r="E11">
        <v>78</v>
      </c>
      <c r="F11" t="s">
        <v>104</v>
      </c>
      <c r="G11" t="s">
        <v>105</v>
      </c>
      <c r="H11">
        <v>67</v>
      </c>
      <c r="J11" t="str">
        <f t="shared" si="0"/>
        <v>V</v>
      </c>
      <c r="K11" t="s">
        <v>187</v>
      </c>
      <c r="L11" t="s">
        <v>182</v>
      </c>
      <c r="N11" t="str">
        <f t="shared" si="1"/>
        <v>&lt;tr&gt; &lt;td&gt;Dec. 5&lt;/td&gt;</v>
      </c>
      <c r="O11" t="str">
        <f t="shared" si="2"/>
        <v>&lt;td&gt;4:55 PM&lt;/td&gt;</v>
      </c>
      <c r="P11" t="str">
        <f t="shared" si="3"/>
        <v>&lt;td class="sched"&gt;Faith&lt;/td&gt;</v>
      </c>
      <c r="Q11" t="str">
        <f t="shared" si="4"/>
        <v>&lt;td&gt;78 - 67&lt;/td&gt;</v>
      </c>
      <c r="R11" t="str">
        <f t="shared" si="5"/>
        <v>&lt;td class="SCIsched"&gt;Springfield&lt;/td&gt;</v>
      </c>
      <c r="S11" t="str">
        <f t="shared" si="6"/>
        <v>&lt;td&gt;Sanford EarlyCat Consolation Final&lt;/td&gt; &lt;/tr&gt;</v>
      </c>
    </row>
    <row r="12" spans="1:20" x14ac:dyDescent="0.25">
      <c r="A12" s="5">
        <v>42343</v>
      </c>
      <c r="C12" t="s">
        <v>253</v>
      </c>
      <c r="E12">
        <v>63</v>
      </c>
      <c r="F12" t="s">
        <v>2</v>
      </c>
      <c r="G12" t="s">
        <v>43</v>
      </c>
      <c r="H12">
        <v>81</v>
      </c>
      <c r="J12" t="str">
        <f t="shared" si="0"/>
        <v>H</v>
      </c>
      <c r="K12" t="s">
        <v>269</v>
      </c>
      <c r="L12" t="s">
        <v>180</v>
      </c>
      <c r="N12" t="str">
        <f t="shared" si="1"/>
        <v>&lt;tr&gt; &lt;td&gt;Dec. 5&lt;/td&gt;</v>
      </c>
      <c r="O12" t="str">
        <f t="shared" si="2"/>
        <v>&lt;td&gt;&lt;/td&gt;</v>
      </c>
      <c r="P12" t="str">
        <f t="shared" si="3"/>
        <v>&lt;td class="sched"&gt;St. James&lt;/td&gt;</v>
      </c>
      <c r="Q12" t="str">
        <f t="shared" si="4"/>
        <v>&lt;td&gt;63 - 81&lt;/td&gt;</v>
      </c>
      <c r="R12" t="str">
        <f t="shared" si="5"/>
        <v>&lt;td class="KECsched"&gt;Kildonan-East&lt;/td&gt;</v>
      </c>
      <c r="S12" t="str">
        <f t="shared" si="6"/>
        <v>&lt;td&gt;Reiver Tip-Off Semifinal 2&lt;/td&gt; &lt;/tr&gt;</v>
      </c>
    </row>
    <row r="13" spans="1:20" x14ac:dyDescent="0.25">
      <c r="A13" s="5">
        <v>42343</v>
      </c>
      <c r="C13" t="s">
        <v>12</v>
      </c>
      <c r="D13" t="s">
        <v>54</v>
      </c>
      <c r="E13">
        <v>55</v>
      </c>
      <c r="F13" t="s">
        <v>7</v>
      </c>
      <c r="G13" t="s">
        <v>7</v>
      </c>
      <c r="H13">
        <v>76</v>
      </c>
      <c r="J13" t="str">
        <f t="shared" si="0"/>
        <v>H</v>
      </c>
      <c r="K13" t="s">
        <v>269</v>
      </c>
      <c r="L13" t="s">
        <v>224</v>
      </c>
      <c r="N13" t="str">
        <f t="shared" si="1"/>
        <v>&lt;tr&gt; &lt;td&gt;Dec. 5&lt;/td&gt;</v>
      </c>
      <c r="O13" t="str">
        <f t="shared" si="2"/>
        <v>&lt;td&gt;&lt;/td&gt;</v>
      </c>
      <c r="P13" t="str">
        <f t="shared" si="3"/>
        <v>&lt;td class="LSsched"&gt;Selkirk&lt;/td&gt;</v>
      </c>
      <c r="Q13" t="str">
        <f t="shared" si="4"/>
        <v>&lt;td&gt;55 - 76&lt;/td&gt;</v>
      </c>
      <c r="R13" t="str">
        <f t="shared" si="5"/>
        <v>&lt;td class="MBCIsched"&gt;MBCI&lt;/td&gt;</v>
      </c>
      <c r="S13" t="str">
        <f t="shared" si="6"/>
        <v>&lt;td&gt;Reiver Tip-Off 5th Place&lt;/td&gt; &lt;/tr&gt;</v>
      </c>
    </row>
    <row r="14" spans="1:20" x14ac:dyDescent="0.25">
      <c r="A14" s="5">
        <v>42343</v>
      </c>
      <c r="C14" t="s">
        <v>9</v>
      </c>
      <c r="D14" t="s">
        <v>76</v>
      </c>
      <c r="E14">
        <v>84</v>
      </c>
      <c r="F14" t="s">
        <v>2</v>
      </c>
      <c r="G14" t="s">
        <v>43</v>
      </c>
      <c r="H14">
        <v>65</v>
      </c>
      <c r="J14" t="str">
        <f t="shared" si="0"/>
        <v>V</v>
      </c>
      <c r="K14" t="s">
        <v>269</v>
      </c>
      <c r="L14" t="s">
        <v>184</v>
      </c>
      <c r="N14" t="str">
        <f t="shared" si="1"/>
        <v>&lt;tr&gt; &lt;td&gt;Dec. 5&lt;/td&gt;</v>
      </c>
      <c r="O14" t="str">
        <f t="shared" si="2"/>
        <v>&lt;td&gt;&lt;/td&gt;</v>
      </c>
      <c r="P14" t="str">
        <f t="shared" si="3"/>
        <v>&lt;td class="SiHSsched"&gt;Sisler&lt;/td&gt;</v>
      </c>
      <c r="Q14" t="str">
        <f t="shared" si="4"/>
        <v>&lt;td&gt;84 - 65&lt;/td&gt;</v>
      </c>
      <c r="R14" t="str">
        <f t="shared" si="5"/>
        <v>&lt;td class="KECsched"&gt;Kildonan-East&lt;/td&gt;</v>
      </c>
      <c r="S14" t="str">
        <f t="shared" si="6"/>
        <v>&lt;td&gt;Reiver Tip-Off Championship&lt;/td&gt; &lt;/tr&gt;</v>
      </c>
    </row>
    <row r="15" spans="1:20" x14ac:dyDescent="0.25">
      <c r="A15" s="5">
        <v>42343</v>
      </c>
      <c r="C15" t="s">
        <v>20</v>
      </c>
      <c r="D15" t="s">
        <v>58</v>
      </c>
      <c r="E15">
        <v>60</v>
      </c>
      <c r="F15" t="s">
        <v>10</v>
      </c>
      <c r="G15" t="s">
        <v>72</v>
      </c>
      <c r="H15">
        <v>69</v>
      </c>
      <c r="J15" t="str">
        <f t="shared" si="0"/>
        <v>H</v>
      </c>
      <c r="K15" t="s">
        <v>720</v>
      </c>
      <c r="N15" t="str">
        <f t="shared" si="1"/>
        <v>&lt;tr&gt; &lt;td&gt;Dec. 5&lt;/td&gt;</v>
      </c>
      <c r="O15" t="str">
        <f t="shared" si="2"/>
        <v>&lt;td&gt;&lt;/td&gt;</v>
      </c>
      <c r="P15" t="str">
        <f t="shared" si="3"/>
        <v>&lt;td class="WKCsched"&gt;West Kildonan&lt;/td&gt;</v>
      </c>
      <c r="Q15" t="str">
        <f t="shared" si="4"/>
        <v>&lt;td&gt;60 - 69&lt;/td&gt;</v>
      </c>
      <c r="R15" t="str">
        <f t="shared" si="5"/>
        <v>&lt;td class="KHSsched"&gt;Kelvin&lt;/td&gt;</v>
      </c>
      <c r="S15" t="str">
        <f t="shared" si="6"/>
        <v>&lt;td&gt;Kelvin Preseason &lt;/td&gt; &lt;/tr&gt;</v>
      </c>
    </row>
    <row r="16" spans="1:20" x14ac:dyDescent="0.25">
      <c r="A16" s="5">
        <v>42343</v>
      </c>
      <c r="C16" t="s">
        <v>32</v>
      </c>
      <c r="D16" t="s">
        <v>100</v>
      </c>
      <c r="E16">
        <v>54</v>
      </c>
      <c r="F16" t="s">
        <v>28</v>
      </c>
      <c r="G16" t="s">
        <v>90</v>
      </c>
      <c r="H16">
        <v>46</v>
      </c>
      <c r="J16" t="str">
        <f t="shared" si="0"/>
        <v>V</v>
      </c>
      <c r="K16" t="s">
        <v>720</v>
      </c>
      <c r="N16" t="str">
        <f t="shared" si="1"/>
        <v>&lt;tr&gt; &lt;td&gt;Dec. 5&lt;/td&gt;</v>
      </c>
      <c r="O16" t="str">
        <f t="shared" si="2"/>
        <v>&lt;td&gt;&lt;/td&gt;</v>
      </c>
      <c r="P16" t="str">
        <f t="shared" si="3"/>
        <v>&lt;td class="CPRSsched"&gt;Crocus Plains&lt;/td&gt;</v>
      </c>
      <c r="Q16" t="str">
        <f t="shared" si="4"/>
        <v>&lt;td&gt;54 - 46&lt;/td&gt;</v>
      </c>
      <c r="R16" t="str">
        <f t="shared" si="5"/>
        <v>&lt;td class="PCIsched"&gt;Portage&lt;/td&gt;</v>
      </c>
      <c r="S16" t="str">
        <f t="shared" si="6"/>
        <v>&lt;td&gt;Kelvin Preseason &lt;/td&gt; &lt;/tr&gt;</v>
      </c>
    </row>
    <row r="17" spans="1:19" x14ac:dyDescent="0.25">
      <c r="A17" s="5">
        <v>42343</v>
      </c>
      <c r="C17" t="s">
        <v>28</v>
      </c>
      <c r="D17" t="s">
        <v>90</v>
      </c>
      <c r="E17">
        <v>69</v>
      </c>
      <c r="F17" t="s">
        <v>20</v>
      </c>
      <c r="G17" t="s">
        <v>58</v>
      </c>
      <c r="H17">
        <v>66</v>
      </c>
      <c r="J17" t="str">
        <f t="shared" si="0"/>
        <v>V</v>
      </c>
      <c r="K17" t="s">
        <v>720</v>
      </c>
      <c r="N17" t="str">
        <f t="shared" si="1"/>
        <v>&lt;tr&gt; &lt;td&gt;Dec. 5&lt;/td&gt;</v>
      </c>
      <c r="O17" t="str">
        <f t="shared" si="2"/>
        <v>&lt;td&gt;&lt;/td&gt;</v>
      </c>
      <c r="P17" t="str">
        <f t="shared" si="3"/>
        <v>&lt;td class="PCIsched"&gt;Portage&lt;/td&gt;</v>
      </c>
      <c r="Q17" t="str">
        <f t="shared" si="4"/>
        <v>&lt;td&gt;69 - 66&lt;/td&gt;</v>
      </c>
      <c r="R17" t="str">
        <f t="shared" si="5"/>
        <v>&lt;td class="WKCsched"&gt;West Kildonan&lt;/td&gt;</v>
      </c>
      <c r="S17" t="str">
        <f t="shared" si="6"/>
        <v>&lt;td&gt;Kelvin Preseason &lt;/td&gt; &lt;/tr&gt;</v>
      </c>
    </row>
    <row r="18" spans="1:19" x14ac:dyDescent="0.25">
      <c r="A18" s="5">
        <v>42343</v>
      </c>
      <c r="C18" t="s">
        <v>32</v>
      </c>
      <c r="D18" t="s">
        <v>100</v>
      </c>
      <c r="E18">
        <v>49</v>
      </c>
      <c r="F18" t="s">
        <v>10</v>
      </c>
      <c r="G18" t="s">
        <v>72</v>
      </c>
      <c r="H18">
        <v>66</v>
      </c>
      <c r="J18" t="str">
        <f t="shared" si="0"/>
        <v>H</v>
      </c>
      <c r="K18" t="s">
        <v>720</v>
      </c>
      <c r="N18" t="str">
        <f t="shared" si="1"/>
        <v>&lt;tr&gt; &lt;td&gt;Dec. 5&lt;/td&gt;</v>
      </c>
      <c r="O18" t="str">
        <f t="shared" si="2"/>
        <v>&lt;td&gt;&lt;/td&gt;</v>
      </c>
      <c r="P18" t="str">
        <f t="shared" si="3"/>
        <v>&lt;td class="CPRSsched"&gt;Crocus Plains&lt;/td&gt;</v>
      </c>
      <c r="Q18" t="str">
        <f t="shared" si="4"/>
        <v>&lt;td&gt;49 - 66&lt;/td&gt;</v>
      </c>
      <c r="R18" t="str">
        <f t="shared" si="5"/>
        <v>&lt;td class="KHSsched"&gt;Kelvin&lt;/td&gt;</v>
      </c>
      <c r="S18" t="str">
        <f t="shared" si="6"/>
        <v>&lt;td&gt;Kelvin Preseason &lt;/td&gt; &lt;/tr&gt;</v>
      </c>
    </row>
    <row r="19" spans="1:19" x14ac:dyDescent="0.25">
      <c r="A19" s="5">
        <v>42345</v>
      </c>
      <c r="B19" s="6">
        <v>0.8125</v>
      </c>
      <c r="C19" t="s">
        <v>17</v>
      </c>
      <c r="D19" t="s">
        <v>50</v>
      </c>
      <c r="E19">
        <v>70</v>
      </c>
      <c r="F19" t="s">
        <v>16</v>
      </c>
      <c r="G19" t="s">
        <v>45</v>
      </c>
      <c r="H19">
        <v>100</v>
      </c>
      <c r="J19" t="str">
        <f t="shared" si="0"/>
        <v>H</v>
      </c>
      <c r="K19" t="s">
        <v>37</v>
      </c>
      <c r="L19" t="s">
        <v>228</v>
      </c>
      <c r="M19" t="s">
        <v>229</v>
      </c>
      <c r="N19" t="str">
        <f t="shared" si="1"/>
        <v>&lt;tr&gt; &lt;td&gt;Dec. 7&lt;/td&gt;</v>
      </c>
      <c r="O19" t="str">
        <f t="shared" si="2"/>
        <v>&lt;td&gt;7:30 PM&lt;/td&gt;</v>
      </c>
      <c r="P19" t="str">
        <f t="shared" si="3"/>
        <v>&lt;td class="MMCIsched"&gt;Murdoch MacKay&lt;/td&gt;</v>
      </c>
      <c r="Q19" t="str">
        <f t="shared" si="4"/>
        <v>&lt;td&gt;70 - 100&lt;/td&gt;</v>
      </c>
      <c r="R19" t="str">
        <f t="shared" si="5"/>
        <v>&lt;td class="MCsched"&gt;Maples&lt;/td&gt;</v>
      </c>
      <c r="S19" t="str">
        <f t="shared" si="6"/>
        <v>&lt;td&gt;KPAC Regular Season&lt;/td&gt; &lt;/tr&gt;</v>
      </c>
    </row>
    <row r="20" spans="1:19" x14ac:dyDescent="0.25">
      <c r="A20" s="5">
        <v>42345</v>
      </c>
      <c r="B20" s="6">
        <v>0.8125</v>
      </c>
      <c r="C20" t="s">
        <v>7</v>
      </c>
      <c r="D20" t="s">
        <v>7</v>
      </c>
      <c r="E20">
        <v>56</v>
      </c>
      <c r="F20" t="s">
        <v>18</v>
      </c>
      <c r="G20" t="s">
        <v>52</v>
      </c>
      <c r="H20">
        <v>64</v>
      </c>
      <c r="J20" t="str">
        <f t="shared" si="0"/>
        <v>H</v>
      </c>
      <c r="K20" t="s">
        <v>37</v>
      </c>
      <c r="L20" t="s">
        <v>228</v>
      </c>
      <c r="M20" t="s">
        <v>229</v>
      </c>
      <c r="N20" t="str">
        <f t="shared" si="1"/>
        <v>&lt;tr&gt; &lt;td&gt;Dec. 7&lt;/td&gt;</v>
      </c>
      <c r="O20" t="str">
        <f t="shared" si="2"/>
        <v>&lt;td&gt;7:30 PM&lt;/td&gt;</v>
      </c>
      <c r="P20" t="str">
        <f t="shared" si="3"/>
        <v>&lt;td class="MBCIsched"&gt;MBCI&lt;/td&gt;</v>
      </c>
      <c r="Q20" t="str">
        <f t="shared" si="4"/>
        <v>&lt;td&gt;56 - 64&lt;/td&gt;</v>
      </c>
      <c r="R20" t="str">
        <f t="shared" si="5"/>
        <v>&lt;td class="RECsched"&gt;River East&lt;/td&gt;</v>
      </c>
      <c r="S20" t="str">
        <f t="shared" si="6"/>
        <v>&lt;td&gt;KPAC Regular Season&lt;/td&gt; &lt;/tr&gt;</v>
      </c>
    </row>
    <row r="21" spans="1:19" x14ac:dyDescent="0.25">
      <c r="A21" s="5">
        <v>42347</v>
      </c>
      <c r="B21" s="6">
        <v>0.75</v>
      </c>
      <c r="C21" t="s">
        <v>11</v>
      </c>
      <c r="D21" t="s">
        <v>48</v>
      </c>
      <c r="E21">
        <v>57</v>
      </c>
      <c r="F21" t="s">
        <v>16</v>
      </c>
      <c r="G21" t="s">
        <v>45</v>
      </c>
      <c r="H21">
        <v>84</v>
      </c>
      <c r="J21" t="str">
        <f t="shared" si="0"/>
        <v>H</v>
      </c>
      <c r="K21" t="s">
        <v>37</v>
      </c>
      <c r="L21" t="s">
        <v>228</v>
      </c>
      <c r="M21" t="s">
        <v>229</v>
      </c>
      <c r="N21" t="str">
        <f t="shared" si="1"/>
        <v>&lt;tr&gt; &lt;td&gt;Dec. 9&lt;/td&gt;</v>
      </c>
      <c r="O21" t="str">
        <f t="shared" si="2"/>
        <v>&lt;td&gt;6:00 PM&lt;/td&gt;</v>
      </c>
      <c r="P21" t="str">
        <f t="shared" si="3"/>
        <v>&lt;td class="MMCsched"&gt;Miles Macdonell&lt;/td&gt;</v>
      </c>
      <c r="Q21" t="str">
        <f t="shared" si="4"/>
        <v>&lt;td&gt;57 - 84&lt;/td&gt;</v>
      </c>
      <c r="R21" t="str">
        <f t="shared" si="5"/>
        <v>&lt;td class="MCsched"&gt;Maples&lt;/td&gt;</v>
      </c>
      <c r="S21" t="str">
        <f t="shared" si="6"/>
        <v>&lt;td&gt;KPAC Regular Season&lt;/td&gt; &lt;/tr&gt;</v>
      </c>
    </row>
    <row r="22" spans="1:19" x14ac:dyDescent="0.25">
      <c r="A22" s="5">
        <v>42347</v>
      </c>
      <c r="B22" s="6">
        <v>0.75</v>
      </c>
      <c r="C22" t="s">
        <v>104</v>
      </c>
      <c r="D22" t="s">
        <v>105</v>
      </c>
      <c r="E22">
        <v>30</v>
      </c>
      <c r="F22" t="s">
        <v>2</v>
      </c>
      <c r="G22" t="s">
        <v>43</v>
      </c>
      <c r="H22">
        <v>122</v>
      </c>
      <c r="J22" t="str">
        <f t="shared" si="0"/>
        <v>H</v>
      </c>
      <c r="K22" t="s">
        <v>37</v>
      </c>
      <c r="L22" t="s">
        <v>228</v>
      </c>
      <c r="M22" t="s">
        <v>229</v>
      </c>
      <c r="N22" t="str">
        <f t="shared" si="1"/>
        <v>&lt;tr&gt; &lt;td&gt;Dec. 9&lt;/td&gt;</v>
      </c>
      <c r="O22" t="str">
        <f t="shared" si="2"/>
        <v>&lt;td&gt;6:00 PM&lt;/td&gt;</v>
      </c>
      <c r="P22" t="str">
        <f t="shared" si="3"/>
        <v>&lt;td class="SCIsched"&gt;Springfield&lt;/td&gt;</v>
      </c>
      <c r="Q22" t="str">
        <f t="shared" si="4"/>
        <v>&lt;td&gt;30 - 122&lt;/td&gt;</v>
      </c>
      <c r="R22" t="str">
        <f t="shared" si="5"/>
        <v>&lt;td class="KECsched"&gt;Kildonan-East&lt;/td&gt;</v>
      </c>
      <c r="S22" t="str">
        <f t="shared" si="6"/>
        <v>&lt;td&gt;KPAC Regular Season&lt;/td&gt; &lt;/tr&gt;</v>
      </c>
    </row>
    <row r="23" spans="1:19" x14ac:dyDescent="0.25">
      <c r="A23" s="5">
        <v>42347</v>
      </c>
      <c r="B23" s="6">
        <v>0.75</v>
      </c>
      <c r="C23" t="s">
        <v>20</v>
      </c>
      <c r="D23" t="s">
        <v>58</v>
      </c>
      <c r="E23">
        <v>62</v>
      </c>
      <c r="F23" t="s">
        <v>12</v>
      </c>
      <c r="G23" t="s">
        <v>54</v>
      </c>
      <c r="H23">
        <v>57</v>
      </c>
      <c r="J23" t="str">
        <f t="shared" si="0"/>
        <v>V</v>
      </c>
      <c r="K23" t="s">
        <v>37</v>
      </c>
      <c r="L23" t="s">
        <v>228</v>
      </c>
      <c r="M23" t="s">
        <v>229</v>
      </c>
      <c r="N23" t="str">
        <f t="shared" si="1"/>
        <v>&lt;tr&gt; &lt;td&gt;Dec. 9&lt;/td&gt;</v>
      </c>
      <c r="O23" t="str">
        <f t="shared" si="2"/>
        <v>&lt;td&gt;6:00 PM&lt;/td&gt;</v>
      </c>
      <c r="P23" t="str">
        <f t="shared" si="3"/>
        <v>&lt;td class="WKCsched"&gt;West Kildonan&lt;/td&gt;</v>
      </c>
      <c r="Q23" t="str">
        <f t="shared" si="4"/>
        <v>&lt;td&gt;62 - 57&lt;/td&gt;</v>
      </c>
      <c r="R23" t="str">
        <f t="shared" si="5"/>
        <v>&lt;td class="LSsched"&gt;Selkirk&lt;/td&gt;</v>
      </c>
      <c r="S23" t="str">
        <f t="shared" si="6"/>
        <v>&lt;td&gt;KPAC Regular Season&lt;/td&gt; &lt;/tr&gt;</v>
      </c>
    </row>
    <row r="24" spans="1:19" x14ac:dyDescent="0.25">
      <c r="A24" s="5">
        <v>42347</v>
      </c>
      <c r="B24" s="6">
        <v>0.75</v>
      </c>
      <c r="C24" t="s">
        <v>17</v>
      </c>
      <c r="D24" t="s">
        <v>50</v>
      </c>
      <c r="E24">
        <v>69</v>
      </c>
      <c r="F24" t="s">
        <v>7</v>
      </c>
      <c r="G24" t="s">
        <v>7</v>
      </c>
      <c r="H24">
        <v>74</v>
      </c>
      <c r="J24" t="str">
        <f t="shared" si="0"/>
        <v>H</v>
      </c>
      <c r="K24" t="s">
        <v>37</v>
      </c>
      <c r="L24" t="s">
        <v>228</v>
      </c>
      <c r="M24" t="s">
        <v>229</v>
      </c>
      <c r="N24" t="str">
        <f t="shared" si="1"/>
        <v>&lt;tr&gt; &lt;td&gt;Dec. 9&lt;/td&gt;</v>
      </c>
      <c r="O24" t="str">
        <f t="shared" si="2"/>
        <v>&lt;td&gt;6:00 PM&lt;/td&gt;</v>
      </c>
      <c r="P24" t="str">
        <f t="shared" si="3"/>
        <v>&lt;td class="MMCIsched"&gt;Murdoch MacKay&lt;/td&gt;</v>
      </c>
      <c r="Q24" t="str">
        <f t="shared" si="4"/>
        <v>&lt;td&gt;69 - 74&lt;/td&gt;</v>
      </c>
      <c r="R24" t="str">
        <f t="shared" si="5"/>
        <v>&lt;td class="MBCIsched"&gt;MBCI&lt;/td&gt;</v>
      </c>
      <c r="S24" t="str">
        <f t="shared" si="6"/>
        <v>&lt;td&gt;KPAC Regular Season&lt;/td&gt; &lt;/tr&gt;</v>
      </c>
    </row>
    <row r="25" spans="1:19" x14ac:dyDescent="0.25">
      <c r="A25" s="5">
        <v>42348</v>
      </c>
      <c r="B25" s="6">
        <v>0.66666666666666663</v>
      </c>
      <c r="C25" t="s">
        <v>18</v>
      </c>
      <c r="D25" t="s">
        <v>52</v>
      </c>
      <c r="E25">
        <v>47</v>
      </c>
      <c r="F25" t="s">
        <v>1</v>
      </c>
      <c r="G25" t="s">
        <v>74</v>
      </c>
      <c r="H25">
        <v>97</v>
      </c>
      <c r="J25" t="str">
        <f t="shared" si="0"/>
        <v>H</v>
      </c>
      <c r="K25" t="s">
        <v>210</v>
      </c>
      <c r="L25" t="s">
        <v>212</v>
      </c>
      <c r="N25" t="str">
        <f t="shared" si="1"/>
        <v>&lt;tr&gt; &lt;td&gt;Dec. 10&lt;/td&gt;</v>
      </c>
      <c r="O25" t="str">
        <f t="shared" si="2"/>
        <v>&lt;td&gt;4:00 PM&lt;/td&gt;</v>
      </c>
      <c r="P25" t="str">
        <f t="shared" si="3"/>
        <v>&lt;td class="RECsched"&gt;River East&lt;/td&gt;</v>
      </c>
      <c r="Q25" t="str">
        <f t="shared" si="4"/>
        <v>&lt;td&gt;47 - 97&lt;/td&gt;</v>
      </c>
      <c r="R25" t="str">
        <f t="shared" si="5"/>
        <v>&lt;td class="OPHSsched"&gt;Oak Park&lt;/td&gt;</v>
      </c>
      <c r="S25" t="str">
        <f t="shared" si="6"/>
        <v>&lt;td&gt;BSSI Pool B&lt;/td&gt; &lt;/tr&gt;</v>
      </c>
    </row>
    <row r="26" spans="1:19" x14ac:dyDescent="0.25">
      <c r="A26" s="5">
        <v>42348</v>
      </c>
      <c r="B26" s="6">
        <v>0.66666666666666663</v>
      </c>
      <c r="C26" t="s">
        <v>22</v>
      </c>
      <c r="D26" t="s">
        <v>66</v>
      </c>
      <c r="E26">
        <v>45</v>
      </c>
      <c r="F26" t="s">
        <v>32</v>
      </c>
      <c r="G26" t="s">
        <v>100</v>
      </c>
      <c r="H26">
        <v>67</v>
      </c>
      <c r="J26" t="str">
        <f t="shared" si="0"/>
        <v>H</v>
      </c>
      <c r="K26" t="s">
        <v>210</v>
      </c>
      <c r="L26" t="s">
        <v>216</v>
      </c>
      <c r="N26" t="str">
        <f t="shared" si="1"/>
        <v>&lt;tr&gt; &lt;td&gt;Dec. 10&lt;/td&gt;</v>
      </c>
      <c r="O26" t="str">
        <f t="shared" si="2"/>
        <v>&lt;td&gt;4:00 PM&lt;/td&gt;</v>
      </c>
      <c r="P26" t="str">
        <f t="shared" si="3"/>
        <v>&lt;td class="SRSSsched"&gt;Steinbach&lt;/td&gt;</v>
      </c>
      <c r="Q26" t="str">
        <f t="shared" si="4"/>
        <v>&lt;td&gt;45 - 67&lt;/td&gt;</v>
      </c>
      <c r="R26" t="str">
        <f t="shared" si="5"/>
        <v>&lt;td class="CPRSsched"&gt;Crocus Plains&lt;/td&gt;</v>
      </c>
      <c r="S26" t="str">
        <f t="shared" si="6"/>
        <v>&lt;td&gt;BSSI Pool F&lt;/td&gt; &lt;/tr&gt;</v>
      </c>
    </row>
    <row r="27" spans="1:19" x14ac:dyDescent="0.25">
      <c r="A27" s="5">
        <v>42348</v>
      </c>
      <c r="B27" s="6">
        <v>0.66666666666666663</v>
      </c>
      <c r="C27" t="s">
        <v>30</v>
      </c>
      <c r="D27" t="s">
        <v>92</v>
      </c>
      <c r="E27">
        <v>94</v>
      </c>
      <c r="F27" t="s">
        <v>217</v>
      </c>
      <c r="H27">
        <v>26</v>
      </c>
      <c r="J27" t="str">
        <f t="shared" si="0"/>
        <v>V</v>
      </c>
      <c r="K27" t="s">
        <v>210</v>
      </c>
      <c r="L27" t="s">
        <v>216</v>
      </c>
      <c r="N27" t="str">
        <f t="shared" si="1"/>
        <v>&lt;tr&gt; &lt;td&gt;Dec. 10&lt;/td&gt;</v>
      </c>
      <c r="O27" t="str">
        <f t="shared" si="2"/>
        <v>&lt;td&gt;4:00 PM&lt;/td&gt;</v>
      </c>
      <c r="P27" t="str">
        <f t="shared" si="3"/>
        <v>&lt;td class="SJHSsched"&gt;St. John's&lt;/td&gt;</v>
      </c>
      <c r="Q27" t="str">
        <f t="shared" si="4"/>
        <v>&lt;td&gt;94 - 26&lt;/td&gt;</v>
      </c>
      <c r="R27" t="str">
        <f t="shared" si="5"/>
        <v>&lt;td class="sched"&gt;Beaver Brae&lt;/td&gt;</v>
      </c>
      <c r="S27" t="str">
        <f t="shared" si="6"/>
        <v>&lt;td&gt;BSSI Pool F&lt;/td&gt; &lt;/tr&gt;</v>
      </c>
    </row>
    <row r="28" spans="1:19" x14ac:dyDescent="0.25">
      <c r="A28" s="5">
        <v>42348</v>
      </c>
      <c r="B28" s="6">
        <v>0.66666666666666663</v>
      </c>
      <c r="C28" t="s">
        <v>218</v>
      </c>
      <c r="E28">
        <v>52</v>
      </c>
      <c r="F28" t="s">
        <v>23</v>
      </c>
      <c r="G28" t="s">
        <v>102</v>
      </c>
      <c r="H28">
        <v>66</v>
      </c>
      <c r="J28" t="str">
        <f t="shared" si="0"/>
        <v>H</v>
      </c>
      <c r="K28" t="s">
        <v>210</v>
      </c>
      <c r="L28" t="s">
        <v>219</v>
      </c>
      <c r="N28" t="str">
        <f t="shared" si="1"/>
        <v>&lt;tr&gt; &lt;td&gt;Dec. 10&lt;/td&gt;</v>
      </c>
      <c r="O28" t="str">
        <f t="shared" si="2"/>
        <v>&lt;td&gt;4:00 PM&lt;/td&gt;</v>
      </c>
      <c r="P28" t="str">
        <f t="shared" si="3"/>
        <v>&lt;td class="sched"&gt;Stonewall&lt;/td&gt;</v>
      </c>
      <c r="Q28" t="str">
        <f t="shared" si="4"/>
        <v>&lt;td&gt;52 - 66&lt;/td&gt;</v>
      </c>
      <c r="R28" t="str">
        <f t="shared" si="5"/>
        <v>&lt;td class="VMHSsched"&gt;Vincent Massey&lt;/td&gt;</v>
      </c>
      <c r="S28" t="str">
        <f t="shared" si="6"/>
        <v>&lt;td&gt;BSSI Pool H&lt;/td&gt; &lt;/tr&gt;</v>
      </c>
    </row>
    <row r="29" spans="1:19" x14ac:dyDescent="0.25">
      <c r="A29" s="5">
        <v>42348</v>
      </c>
      <c r="B29" s="6">
        <v>0.66666666666666663</v>
      </c>
      <c r="C29" t="s">
        <v>220</v>
      </c>
      <c r="E29">
        <v>42</v>
      </c>
      <c r="F29" t="s">
        <v>162</v>
      </c>
      <c r="G29" t="s">
        <v>164</v>
      </c>
      <c r="H29">
        <v>69</v>
      </c>
      <c r="J29" t="str">
        <f t="shared" si="0"/>
        <v>H</v>
      </c>
      <c r="K29" t="s">
        <v>210</v>
      </c>
      <c r="L29" t="s">
        <v>219</v>
      </c>
      <c r="N29" t="str">
        <f t="shared" si="1"/>
        <v>&lt;tr&gt; &lt;td&gt;Dec. 10&lt;/td&gt;</v>
      </c>
      <c r="O29" t="str">
        <f t="shared" si="2"/>
        <v>&lt;td&gt;4:00 PM&lt;/td&gt;</v>
      </c>
      <c r="P29" t="str">
        <f t="shared" si="3"/>
        <v>&lt;td class="sched"&gt;Swan Valley&lt;/td&gt;</v>
      </c>
      <c r="Q29" t="str">
        <f t="shared" si="4"/>
        <v>&lt;td&gt;42 - 69&lt;/td&gt;</v>
      </c>
      <c r="R29" t="str">
        <f t="shared" si="5"/>
        <v>&lt;td class="GVCsched"&gt;Garden Valley&lt;/td&gt;</v>
      </c>
      <c r="S29" t="str">
        <f t="shared" si="6"/>
        <v>&lt;td&gt;BSSI Pool H&lt;/td&gt; &lt;/tr&gt;</v>
      </c>
    </row>
    <row r="30" spans="1:19" x14ac:dyDescent="0.25">
      <c r="A30" s="5">
        <v>42348</v>
      </c>
      <c r="B30" s="6">
        <v>0.74305555555555547</v>
      </c>
      <c r="C30" t="s">
        <v>7</v>
      </c>
      <c r="D30" t="s">
        <v>7</v>
      </c>
      <c r="E30">
        <v>83</v>
      </c>
      <c r="F30" t="s">
        <v>213</v>
      </c>
      <c r="G30" t="s">
        <v>540</v>
      </c>
      <c r="H30">
        <v>101</v>
      </c>
      <c r="J30" t="str">
        <f t="shared" si="0"/>
        <v>H</v>
      </c>
      <c r="K30" t="s">
        <v>210</v>
      </c>
      <c r="L30" t="s">
        <v>212</v>
      </c>
      <c r="N30" t="str">
        <f t="shared" si="1"/>
        <v>&lt;tr&gt; &lt;td&gt;Dec. 10&lt;/td&gt;</v>
      </c>
      <c r="O30" t="str">
        <f t="shared" si="2"/>
        <v>&lt;td&gt;5:50 PM&lt;/td&gt;</v>
      </c>
      <c r="P30" t="str">
        <f t="shared" si="3"/>
        <v>&lt;td class="MBCIsched"&gt;MBCI&lt;/td&gt;</v>
      </c>
      <c r="Q30" t="str">
        <f t="shared" si="4"/>
        <v>&lt;td&gt;83 - 101&lt;/td&gt;</v>
      </c>
      <c r="R30" t="str">
        <f t="shared" si="5"/>
        <v>&lt;td class="SJRsched"&gt;St. John's-Ravenscourt&lt;/td&gt;</v>
      </c>
      <c r="S30" t="str">
        <f t="shared" si="6"/>
        <v>&lt;td&gt;BSSI Pool B&lt;/td&gt; &lt;/tr&gt;</v>
      </c>
    </row>
    <row r="31" spans="1:19" x14ac:dyDescent="0.25">
      <c r="A31" s="5">
        <v>42348</v>
      </c>
      <c r="B31" s="6">
        <v>0.74305555555555547</v>
      </c>
      <c r="C31" t="s">
        <v>11</v>
      </c>
      <c r="D31" t="s">
        <v>48</v>
      </c>
      <c r="E31">
        <v>66</v>
      </c>
      <c r="F31" t="s">
        <v>8</v>
      </c>
      <c r="G31" t="s">
        <v>60</v>
      </c>
      <c r="H31">
        <v>82</v>
      </c>
      <c r="J31" t="str">
        <f t="shared" si="0"/>
        <v>H</v>
      </c>
      <c r="K31" t="s">
        <v>210</v>
      </c>
      <c r="L31" t="s">
        <v>214</v>
      </c>
      <c r="N31" t="str">
        <f t="shared" si="1"/>
        <v>&lt;tr&gt; &lt;td&gt;Dec. 10&lt;/td&gt;</v>
      </c>
      <c r="O31" t="str">
        <f t="shared" si="2"/>
        <v>&lt;td&gt;5:50 PM&lt;/td&gt;</v>
      </c>
      <c r="P31" t="str">
        <f t="shared" si="3"/>
        <v>&lt;td class="MMCsched"&gt;Miles Macdonell&lt;/td&gt;</v>
      </c>
      <c r="Q31" t="str">
        <f t="shared" si="4"/>
        <v>&lt;td&gt;66 - 82&lt;/td&gt;</v>
      </c>
      <c r="R31" t="str">
        <f t="shared" si="5"/>
        <v>&lt;td class="DCIsched"&gt;Dakota&lt;/td&gt;</v>
      </c>
      <c r="S31" t="str">
        <f t="shared" si="6"/>
        <v>&lt;td&gt;BSSI Pool C&lt;/td&gt; &lt;/tr&gt;</v>
      </c>
    </row>
    <row r="32" spans="1:19" x14ac:dyDescent="0.25">
      <c r="A32" s="5">
        <v>42348</v>
      </c>
      <c r="B32" s="6">
        <v>0.74305555555555547</v>
      </c>
      <c r="C32" t="s">
        <v>23</v>
      </c>
      <c r="D32" t="s">
        <v>80</v>
      </c>
      <c r="E32">
        <v>85</v>
      </c>
      <c r="F32" t="s">
        <v>16</v>
      </c>
      <c r="G32" t="s">
        <v>45</v>
      </c>
      <c r="H32">
        <v>98</v>
      </c>
      <c r="J32" t="str">
        <f t="shared" si="0"/>
        <v>H</v>
      </c>
      <c r="K32" t="s">
        <v>210</v>
      </c>
      <c r="L32" t="s">
        <v>214</v>
      </c>
      <c r="N32" t="str">
        <f t="shared" si="1"/>
        <v>&lt;tr&gt; &lt;td&gt;Dec. 10&lt;/td&gt;</v>
      </c>
      <c r="O32" t="str">
        <f t="shared" si="2"/>
        <v>&lt;td&gt;5:50 PM&lt;/td&gt;</v>
      </c>
      <c r="P32" t="str">
        <f t="shared" si="3"/>
        <v>&lt;td class="VMCsched"&gt;Vincent Massey&lt;/td&gt;</v>
      </c>
      <c r="Q32" t="str">
        <f t="shared" si="4"/>
        <v>&lt;td&gt;85 - 98&lt;/td&gt;</v>
      </c>
      <c r="R32" t="str">
        <f t="shared" si="5"/>
        <v>&lt;td class="MCsched"&gt;Maples&lt;/td&gt;</v>
      </c>
      <c r="S32" t="str">
        <f t="shared" si="6"/>
        <v>&lt;td&gt;BSSI Pool C&lt;/td&gt; &lt;/tr&gt;</v>
      </c>
    </row>
    <row r="33" spans="1:19" x14ac:dyDescent="0.25">
      <c r="A33" s="5">
        <v>42348</v>
      </c>
      <c r="B33" s="6">
        <v>0.74305555555555547</v>
      </c>
      <c r="C33" t="s">
        <v>21</v>
      </c>
      <c r="D33" t="s">
        <v>64</v>
      </c>
      <c r="E33">
        <v>44</v>
      </c>
      <c r="F33" t="s">
        <v>2</v>
      </c>
      <c r="G33" t="s">
        <v>43</v>
      </c>
      <c r="H33">
        <v>81</v>
      </c>
      <c r="J33" t="str">
        <f t="shared" si="0"/>
        <v>H</v>
      </c>
      <c r="K33" t="s">
        <v>210</v>
      </c>
      <c r="L33" t="s">
        <v>215</v>
      </c>
      <c r="N33" t="str">
        <f t="shared" si="1"/>
        <v>&lt;tr&gt; &lt;td&gt;Dec. 10&lt;/td&gt;</v>
      </c>
      <c r="O33" t="str">
        <f t="shared" si="2"/>
        <v>&lt;td&gt;5:50 PM&lt;/td&gt;</v>
      </c>
      <c r="P33" t="str">
        <f t="shared" si="3"/>
        <v>&lt;td class="JHBsched"&gt;J.H. Bruns&lt;/td&gt;</v>
      </c>
      <c r="Q33" t="str">
        <f t="shared" si="4"/>
        <v>&lt;td&gt;44 - 81&lt;/td&gt;</v>
      </c>
      <c r="R33" t="str">
        <f t="shared" si="5"/>
        <v>&lt;td class="KECsched"&gt;Kildonan-East&lt;/td&gt;</v>
      </c>
      <c r="S33" t="str">
        <f t="shared" si="6"/>
        <v>&lt;td&gt;BSSI Pool D&lt;/td&gt; &lt;/tr&gt;</v>
      </c>
    </row>
    <row r="34" spans="1:19" x14ac:dyDescent="0.25">
      <c r="A34" s="5">
        <v>42348</v>
      </c>
      <c r="B34" s="6">
        <v>0.81944444444444453</v>
      </c>
      <c r="C34" t="s">
        <v>5</v>
      </c>
      <c r="D34" t="s">
        <v>62</v>
      </c>
      <c r="E34">
        <v>54</v>
      </c>
      <c r="F34" t="s">
        <v>15</v>
      </c>
      <c r="G34" t="s">
        <v>68</v>
      </c>
      <c r="H34">
        <v>75</v>
      </c>
      <c r="J34" t="str">
        <f t="shared" ref="J34:J65" si="7">IF(H34&gt;E34,"H",IF(E34&gt;H34,"V",""))</f>
        <v>H</v>
      </c>
      <c r="K34" t="s">
        <v>210</v>
      </c>
      <c r="L34" t="s">
        <v>211</v>
      </c>
      <c r="N34" t="str">
        <f t="shared" si="1"/>
        <v>&lt;tr&gt; &lt;td&gt;Dec. 10&lt;/td&gt;</v>
      </c>
      <c r="O34" t="str">
        <f t="shared" si="2"/>
        <v>&lt;td&gt;7:40 PM&lt;/td&gt;</v>
      </c>
      <c r="P34" t="str">
        <f t="shared" si="3"/>
        <v>&lt;td class="GCIsched"&gt;Glenlawn&lt;/td&gt;</v>
      </c>
      <c r="Q34" t="str">
        <f t="shared" si="4"/>
        <v>&lt;td&gt;54 - 75&lt;/td&gt;</v>
      </c>
      <c r="R34" t="str">
        <f t="shared" si="5"/>
        <v>&lt;td class="FRCsched"&gt;Fort Richmond&lt;/td&gt;</v>
      </c>
      <c r="S34" t="str">
        <f t="shared" si="6"/>
        <v>&lt;td&gt;BSSI Pool A&lt;/td&gt; &lt;/tr&gt;</v>
      </c>
    </row>
    <row r="35" spans="1:19" x14ac:dyDescent="0.25">
      <c r="A35" s="5">
        <v>42348</v>
      </c>
      <c r="B35" s="6">
        <v>0.81944444444444453</v>
      </c>
      <c r="C35" t="s">
        <v>13</v>
      </c>
      <c r="D35" t="s">
        <v>98</v>
      </c>
      <c r="E35">
        <v>35</v>
      </c>
      <c r="F35" t="s">
        <v>4</v>
      </c>
      <c r="G35" t="s">
        <v>41</v>
      </c>
      <c r="H35">
        <v>89</v>
      </c>
      <c r="J35" t="str">
        <f t="shared" si="7"/>
        <v>H</v>
      </c>
      <c r="K35" t="s">
        <v>210</v>
      </c>
      <c r="L35" t="s">
        <v>211</v>
      </c>
      <c r="N35" t="str">
        <f t="shared" si="1"/>
        <v>&lt;tr&gt; &lt;td&gt;Dec. 10&lt;/td&gt;</v>
      </c>
      <c r="O35" t="str">
        <f t="shared" si="2"/>
        <v>&lt;td&gt;7:40 PM&lt;/td&gt;</v>
      </c>
      <c r="P35" t="str">
        <f t="shared" si="3"/>
        <v>&lt;td class="WWCsched"&gt;Westwood&lt;/td&gt;</v>
      </c>
      <c r="Q35" t="str">
        <f t="shared" si="4"/>
        <v>&lt;td&gt;35 - 89&lt;/td&gt;</v>
      </c>
      <c r="R35" t="str">
        <f t="shared" si="5"/>
        <v>&lt;td class="GCCsched"&gt;Garden City&lt;/td&gt;</v>
      </c>
      <c r="S35" t="str">
        <f t="shared" si="6"/>
        <v>&lt;td&gt;BSSI Pool A&lt;/td&gt; &lt;/tr&gt;</v>
      </c>
    </row>
    <row r="36" spans="1:19" x14ac:dyDescent="0.25">
      <c r="A36" s="5">
        <v>42348</v>
      </c>
      <c r="B36" s="6">
        <v>0.81944444444444453</v>
      </c>
      <c r="C36" t="s">
        <v>10</v>
      </c>
      <c r="D36" t="s">
        <v>72</v>
      </c>
      <c r="E36">
        <v>82</v>
      </c>
      <c r="F36" t="s">
        <v>32</v>
      </c>
      <c r="G36" t="s">
        <v>100</v>
      </c>
      <c r="H36">
        <v>58</v>
      </c>
      <c r="J36" t="str">
        <f t="shared" si="7"/>
        <v>V</v>
      </c>
      <c r="K36" t="s">
        <v>210</v>
      </c>
      <c r="L36" t="s">
        <v>282</v>
      </c>
      <c r="N36" t="str">
        <f t="shared" si="1"/>
        <v>&lt;tr&gt; &lt;td&gt;Dec. 10&lt;/td&gt;</v>
      </c>
      <c r="O36" t="str">
        <f t="shared" si="2"/>
        <v>&lt;td&gt;7:40 PM&lt;/td&gt;</v>
      </c>
      <c r="P36" t="str">
        <f t="shared" si="3"/>
        <v>&lt;td class="KHSsched"&gt;Kelvin&lt;/td&gt;</v>
      </c>
      <c r="Q36" t="str">
        <f t="shared" si="4"/>
        <v>&lt;td&gt;82 - 58&lt;/td&gt;</v>
      </c>
      <c r="R36" t="str">
        <f t="shared" si="5"/>
        <v>&lt;td class="CPRSsched"&gt;Crocus Plains&lt;/td&gt;</v>
      </c>
      <c r="S36" t="str">
        <f t="shared" si="6"/>
        <v>&lt;td&gt;BSSI Exhibition&lt;/td&gt; &lt;/tr&gt;</v>
      </c>
    </row>
    <row r="37" spans="1:19" x14ac:dyDescent="0.25">
      <c r="A37" s="5">
        <v>42349</v>
      </c>
      <c r="B37" s="6">
        <v>0.375</v>
      </c>
      <c r="C37" t="s">
        <v>217</v>
      </c>
      <c r="E37">
        <v>32</v>
      </c>
      <c r="F37" t="s">
        <v>32</v>
      </c>
      <c r="G37" t="s">
        <v>100</v>
      </c>
      <c r="H37">
        <v>73</v>
      </c>
      <c r="J37" t="str">
        <f t="shared" si="7"/>
        <v>H</v>
      </c>
      <c r="K37" t="s">
        <v>210</v>
      </c>
      <c r="L37" t="s">
        <v>216</v>
      </c>
      <c r="N37" t="str">
        <f t="shared" si="1"/>
        <v>&lt;tr&gt; &lt;td&gt;Dec. 11&lt;/td&gt;</v>
      </c>
      <c r="O37" t="str">
        <f t="shared" si="2"/>
        <v>&lt;td&gt;9:00 AM&lt;/td&gt;</v>
      </c>
      <c r="P37" t="str">
        <f t="shared" si="3"/>
        <v>&lt;td class="sched"&gt;Beaver Brae&lt;/td&gt;</v>
      </c>
      <c r="Q37" t="str">
        <f t="shared" si="4"/>
        <v>&lt;td&gt;32 - 73&lt;/td&gt;</v>
      </c>
      <c r="R37" t="str">
        <f t="shared" si="5"/>
        <v>&lt;td class="CPRSsched"&gt;Crocus Plains&lt;/td&gt;</v>
      </c>
      <c r="S37" t="str">
        <f t="shared" si="6"/>
        <v>&lt;td&gt;BSSI Pool F&lt;/td&gt; &lt;/tr&gt;</v>
      </c>
    </row>
    <row r="38" spans="1:19" x14ac:dyDescent="0.25">
      <c r="A38" s="5">
        <v>42349</v>
      </c>
      <c r="B38" s="6">
        <v>0.375</v>
      </c>
      <c r="C38" t="s">
        <v>22</v>
      </c>
      <c r="D38" t="s">
        <v>66</v>
      </c>
      <c r="E38">
        <v>40</v>
      </c>
      <c r="F38" t="s">
        <v>30</v>
      </c>
      <c r="G38" t="s">
        <v>92</v>
      </c>
      <c r="H38">
        <v>85</v>
      </c>
      <c r="J38" t="str">
        <f t="shared" si="7"/>
        <v>H</v>
      </c>
      <c r="K38" t="s">
        <v>210</v>
      </c>
      <c r="L38" t="s">
        <v>216</v>
      </c>
      <c r="N38" t="str">
        <f t="shared" si="1"/>
        <v>&lt;tr&gt; &lt;td&gt;Dec. 11&lt;/td&gt;</v>
      </c>
      <c r="O38" t="str">
        <f t="shared" si="2"/>
        <v>&lt;td&gt;9:00 AM&lt;/td&gt;</v>
      </c>
      <c r="P38" t="str">
        <f t="shared" si="3"/>
        <v>&lt;td class="SRSSsched"&gt;Steinbach&lt;/td&gt;</v>
      </c>
      <c r="Q38" t="str">
        <f t="shared" si="4"/>
        <v>&lt;td&gt;40 - 85&lt;/td&gt;</v>
      </c>
      <c r="R38" t="str">
        <f t="shared" si="5"/>
        <v>&lt;td class="SJHSsched"&gt;St. John's&lt;/td&gt;</v>
      </c>
      <c r="S38" t="str">
        <f t="shared" si="6"/>
        <v>&lt;td&gt;BSSI Pool F&lt;/td&gt; &lt;/tr&gt;</v>
      </c>
    </row>
    <row r="39" spans="1:19" x14ac:dyDescent="0.25">
      <c r="A39" s="5">
        <v>42349</v>
      </c>
      <c r="B39" s="6">
        <v>0.375</v>
      </c>
      <c r="C39" t="s">
        <v>162</v>
      </c>
      <c r="D39" t="s">
        <v>164</v>
      </c>
      <c r="E39">
        <v>68</v>
      </c>
      <c r="F39" t="s">
        <v>23</v>
      </c>
      <c r="G39" t="s">
        <v>102</v>
      </c>
      <c r="H39">
        <v>53</v>
      </c>
      <c r="J39" t="str">
        <f t="shared" si="7"/>
        <v>V</v>
      </c>
      <c r="K39" t="s">
        <v>210</v>
      </c>
      <c r="L39" t="s">
        <v>219</v>
      </c>
      <c r="N39" t="str">
        <f t="shared" si="1"/>
        <v>&lt;tr&gt; &lt;td&gt;Dec. 11&lt;/td&gt;</v>
      </c>
      <c r="O39" t="str">
        <f t="shared" si="2"/>
        <v>&lt;td&gt;9:00 AM&lt;/td&gt;</v>
      </c>
      <c r="P39" t="str">
        <f t="shared" si="3"/>
        <v>&lt;td class="GVCsched"&gt;Garden Valley&lt;/td&gt;</v>
      </c>
      <c r="Q39" t="str">
        <f t="shared" si="4"/>
        <v>&lt;td&gt;68 - 53&lt;/td&gt;</v>
      </c>
      <c r="R39" t="str">
        <f t="shared" si="5"/>
        <v>&lt;td class="VMHSsched"&gt;Vincent Massey&lt;/td&gt;</v>
      </c>
      <c r="S39" t="str">
        <f t="shared" si="6"/>
        <v>&lt;td&gt;BSSI Pool H&lt;/td&gt; &lt;/tr&gt;</v>
      </c>
    </row>
    <row r="40" spans="1:19" x14ac:dyDescent="0.25">
      <c r="A40" s="5">
        <v>42349</v>
      </c>
      <c r="B40" s="6">
        <v>0.4513888888888889</v>
      </c>
      <c r="C40" t="s">
        <v>1</v>
      </c>
      <c r="D40" t="s">
        <v>74</v>
      </c>
      <c r="E40">
        <v>91</v>
      </c>
      <c r="F40" t="s">
        <v>7</v>
      </c>
      <c r="G40" t="s">
        <v>7</v>
      </c>
      <c r="H40">
        <v>48</v>
      </c>
      <c r="J40" t="str">
        <f t="shared" si="7"/>
        <v>V</v>
      </c>
      <c r="K40" t="s">
        <v>210</v>
      </c>
      <c r="L40" t="s">
        <v>212</v>
      </c>
      <c r="N40" t="str">
        <f t="shared" si="1"/>
        <v>&lt;tr&gt; &lt;td&gt;Dec. 11&lt;/td&gt;</v>
      </c>
      <c r="O40" t="str">
        <f t="shared" si="2"/>
        <v>&lt;td&gt;10:50 AM&lt;/td&gt;</v>
      </c>
      <c r="P40" t="str">
        <f t="shared" si="3"/>
        <v>&lt;td class="OPHSsched"&gt;Oak Park&lt;/td&gt;</v>
      </c>
      <c r="Q40" t="str">
        <f t="shared" si="4"/>
        <v>&lt;td&gt;91 - 48&lt;/td&gt;</v>
      </c>
      <c r="R40" t="str">
        <f t="shared" si="5"/>
        <v>&lt;td class="MBCIsched"&gt;MBCI&lt;/td&gt;</v>
      </c>
      <c r="S40" t="str">
        <f t="shared" si="6"/>
        <v>&lt;td&gt;BSSI Pool B&lt;/td&gt; &lt;/tr&gt;</v>
      </c>
    </row>
    <row r="41" spans="1:19" x14ac:dyDescent="0.25">
      <c r="A41" s="5">
        <v>42349</v>
      </c>
      <c r="B41" s="6">
        <v>0.52777777777777779</v>
      </c>
      <c r="C41" t="s">
        <v>213</v>
      </c>
      <c r="D41" t="s">
        <v>540</v>
      </c>
      <c r="E41">
        <v>71</v>
      </c>
      <c r="F41" t="s">
        <v>18</v>
      </c>
      <c r="G41" t="s">
        <v>52</v>
      </c>
      <c r="H41">
        <v>57</v>
      </c>
      <c r="J41" t="str">
        <f t="shared" si="7"/>
        <v>V</v>
      </c>
      <c r="K41" t="s">
        <v>210</v>
      </c>
      <c r="L41" t="s">
        <v>212</v>
      </c>
      <c r="N41" t="str">
        <f t="shared" si="1"/>
        <v>&lt;tr&gt; &lt;td&gt;Dec. 11&lt;/td&gt;</v>
      </c>
      <c r="O41" t="str">
        <f t="shared" si="2"/>
        <v>&lt;td&gt;12:40 PM&lt;/td&gt;</v>
      </c>
      <c r="P41" t="str">
        <f t="shared" si="3"/>
        <v>&lt;td class="SJRsched"&gt;St. John's-Ravenscourt&lt;/td&gt;</v>
      </c>
      <c r="Q41" t="str">
        <f t="shared" si="4"/>
        <v>&lt;td&gt;71 - 57&lt;/td&gt;</v>
      </c>
      <c r="R41" t="str">
        <f t="shared" si="5"/>
        <v>&lt;td class="RECsched"&gt;River East&lt;/td&gt;</v>
      </c>
      <c r="S41" t="str">
        <f t="shared" si="6"/>
        <v>&lt;td&gt;BSSI Pool B&lt;/td&gt; &lt;/tr&gt;</v>
      </c>
    </row>
    <row r="42" spans="1:19" x14ac:dyDescent="0.25">
      <c r="A42" s="5">
        <v>42349</v>
      </c>
      <c r="B42" s="6">
        <v>0.52777777777777779</v>
      </c>
      <c r="C42" t="s">
        <v>8</v>
      </c>
      <c r="D42" t="s">
        <v>60</v>
      </c>
      <c r="E42">
        <v>72</v>
      </c>
      <c r="F42" t="s">
        <v>23</v>
      </c>
      <c r="G42" t="s">
        <v>80</v>
      </c>
      <c r="H42">
        <v>70</v>
      </c>
      <c r="J42" t="str">
        <f t="shared" si="7"/>
        <v>V</v>
      </c>
      <c r="K42" t="s">
        <v>210</v>
      </c>
      <c r="L42" t="s">
        <v>214</v>
      </c>
      <c r="N42" t="str">
        <f t="shared" si="1"/>
        <v>&lt;tr&gt; &lt;td&gt;Dec. 11&lt;/td&gt;</v>
      </c>
      <c r="O42" t="str">
        <f t="shared" si="2"/>
        <v>&lt;td&gt;12:40 PM&lt;/td&gt;</v>
      </c>
      <c r="P42" t="str">
        <f t="shared" si="3"/>
        <v>&lt;td class="DCIsched"&gt;Dakota&lt;/td&gt;</v>
      </c>
      <c r="Q42" t="str">
        <f t="shared" si="4"/>
        <v>&lt;td&gt;72 - 70&lt;/td&gt;</v>
      </c>
      <c r="R42" t="str">
        <f t="shared" si="5"/>
        <v>&lt;td class="VMCsched"&gt;Vincent Massey&lt;/td&gt;</v>
      </c>
      <c r="S42" t="str">
        <f t="shared" si="6"/>
        <v>&lt;td&gt;BSSI Pool C&lt;/td&gt; &lt;/tr&gt;</v>
      </c>
    </row>
    <row r="43" spans="1:19" x14ac:dyDescent="0.25">
      <c r="A43" s="5">
        <v>42349</v>
      </c>
      <c r="B43" s="6">
        <v>0.52777777777777779</v>
      </c>
      <c r="C43" t="s">
        <v>16</v>
      </c>
      <c r="D43" t="s">
        <v>45</v>
      </c>
      <c r="E43">
        <v>99</v>
      </c>
      <c r="F43" t="s">
        <v>11</v>
      </c>
      <c r="G43" t="s">
        <v>48</v>
      </c>
      <c r="H43">
        <v>49</v>
      </c>
      <c r="J43" t="str">
        <f t="shared" si="7"/>
        <v>V</v>
      </c>
      <c r="K43" t="s">
        <v>210</v>
      </c>
      <c r="L43" t="s">
        <v>214</v>
      </c>
      <c r="N43" t="str">
        <f t="shared" si="1"/>
        <v>&lt;tr&gt; &lt;td&gt;Dec. 11&lt;/td&gt;</v>
      </c>
      <c r="O43" t="str">
        <f t="shared" si="2"/>
        <v>&lt;td&gt;12:40 PM&lt;/td&gt;</v>
      </c>
      <c r="P43" t="str">
        <f t="shared" si="3"/>
        <v>&lt;td class="MCsched"&gt;Maples&lt;/td&gt;</v>
      </c>
      <c r="Q43" t="str">
        <f t="shared" si="4"/>
        <v>&lt;td&gt;99 - 49&lt;/td&gt;</v>
      </c>
      <c r="R43" t="str">
        <f t="shared" si="5"/>
        <v>&lt;td class="MMCsched"&gt;Miles Macdonell&lt;/td&gt;</v>
      </c>
      <c r="S43" t="str">
        <f t="shared" si="6"/>
        <v>&lt;td&gt;BSSI Pool C&lt;/td&gt; &lt;/tr&gt;</v>
      </c>
    </row>
    <row r="44" spans="1:19" x14ac:dyDescent="0.25">
      <c r="A44" s="5">
        <v>42349</v>
      </c>
      <c r="B44" s="6">
        <v>0.52777777777777779</v>
      </c>
      <c r="C44" t="s">
        <v>10</v>
      </c>
      <c r="D44" t="s">
        <v>72</v>
      </c>
      <c r="E44">
        <v>55</v>
      </c>
      <c r="F44" t="s">
        <v>21</v>
      </c>
      <c r="G44" t="s">
        <v>64</v>
      </c>
      <c r="H44">
        <v>38</v>
      </c>
      <c r="J44" t="str">
        <f t="shared" si="7"/>
        <v>V</v>
      </c>
      <c r="K44" t="s">
        <v>210</v>
      </c>
      <c r="L44" t="s">
        <v>215</v>
      </c>
      <c r="N44" t="str">
        <f t="shared" si="1"/>
        <v>&lt;tr&gt; &lt;td&gt;Dec. 11&lt;/td&gt;</v>
      </c>
      <c r="O44" t="str">
        <f t="shared" si="2"/>
        <v>&lt;td&gt;12:40 PM&lt;/td&gt;</v>
      </c>
      <c r="P44" t="str">
        <f t="shared" si="3"/>
        <v>&lt;td class="KHSsched"&gt;Kelvin&lt;/td&gt;</v>
      </c>
      <c r="Q44" t="str">
        <f t="shared" si="4"/>
        <v>&lt;td&gt;55 - 38&lt;/td&gt;</v>
      </c>
      <c r="R44" t="str">
        <f t="shared" si="5"/>
        <v>&lt;td class="JHBsched"&gt;J.H. Bruns&lt;/td&gt;</v>
      </c>
      <c r="S44" t="str">
        <f t="shared" si="6"/>
        <v>&lt;td&gt;BSSI Pool D&lt;/td&gt; &lt;/tr&gt;</v>
      </c>
    </row>
    <row r="45" spans="1:19" x14ac:dyDescent="0.25">
      <c r="A45" s="5">
        <v>42349</v>
      </c>
      <c r="B45" s="6">
        <v>0.52777777777777779</v>
      </c>
      <c r="C45" t="s">
        <v>2</v>
      </c>
      <c r="D45" t="s">
        <v>43</v>
      </c>
      <c r="E45">
        <v>82</v>
      </c>
      <c r="F45" t="s">
        <v>256</v>
      </c>
      <c r="H45">
        <v>46</v>
      </c>
      <c r="J45" t="str">
        <f t="shared" si="7"/>
        <v>V</v>
      </c>
      <c r="K45" t="s">
        <v>210</v>
      </c>
      <c r="L45" t="s">
        <v>282</v>
      </c>
      <c r="N45" t="str">
        <f t="shared" si="1"/>
        <v>&lt;tr&gt; &lt;td&gt;Dec. 11&lt;/td&gt;</v>
      </c>
      <c r="O45" t="str">
        <f t="shared" si="2"/>
        <v>&lt;td&gt;12:40 PM&lt;/td&gt;</v>
      </c>
      <c r="P45" t="str">
        <f t="shared" si="3"/>
        <v>&lt;td class="KECsched"&gt;Kildonan-East&lt;/td&gt;</v>
      </c>
      <c r="Q45" t="str">
        <f t="shared" si="4"/>
        <v>&lt;td&gt;82 - 46&lt;/td&gt;</v>
      </c>
      <c r="R45" t="str">
        <f t="shared" si="5"/>
        <v>&lt;td class="sched"&gt;Neelin&lt;/td&gt;</v>
      </c>
      <c r="S45" t="str">
        <f t="shared" si="6"/>
        <v>&lt;td&gt;BSSI Exhibition&lt;/td&gt; &lt;/tr&gt;</v>
      </c>
    </row>
    <row r="46" spans="1:19" x14ac:dyDescent="0.25">
      <c r="A46" s="5">
        <v>42349</v>
      </c>
      <c r="B46" s="6">
        <v>0.60416666666666663</v>
      </c>
      <c r="C46" t="s">
        <v>15</v>
      </c>
      <c r="D46" t="s">
        <v>68</v>
      </c>
      <c r="E46">
        <v>74</v>
      </c>
      <c r="F46" t="s">
        <v>13</v>
      </c>
      <c r="G46" t="s">
        <v>98</v>
      </c>
      <c r="H46">
        <v>43</v>
      </c>
      <c r="J46" t="str">
        <f t="shared" si="7"/>
        <v>V</v>
      </c>
      <c r="K46" t="s">
        <v>210</v>
      </c>
      <c r="L46" t="s">
        <v>211</v>
      </c>
      <c r="N46" t="str">
        <f t="shared" si="1"/>
        <v>&lt;tr&gt; &lt;td&gt;Dec. 11&lt;/td&gt;</v>
      </c>
      <c r="O46" t="str">
        <f t="shared" si="2"/>
        <v>&lt;td&gt;2:30 PM&lt;/td&gt;</v>
      </c>
      <c r="P46" t="str">
        <f t="shared" si="3"/>
        <v>&lt;td class="FRCsched"&gt;Fort Richmond&lt;/td&gt;</v>
      </c>
      <c r="Q46" t="str">
        <f t="shared" si="4"/>
        <v>&lt;td&gt;74 - 43&lt;/td&gt;</v>
      </c>
      <c r="R46" t="str">
        <f t="shared" si="5"/>
        <v>&lt;td class="WWCsched"&gt;Westwood&lt;/td&gt;</v>
      </c>
      <c r="S46" t="str">
        <f t="shared" si="6"/>
        <v>&lt;td&gt;BSSI Pool A&lt;/td&gt; &lt;/tr&gt;</v>
      </c>
    </row>
    <row r="47" spans="1:19" x14ac:dyDescent="0.25">
      <c r="A47" s="5">
        <v>42349</v>
      </c>
      <c r="B47" s="6">
        <v>0.60416666666666663</v>
      </c>
      <c r="C47" t="s">
        <v>4</v>
      </c>
      <c r="D47" t="s">
        <v>41</v>
      </c>
      <c r="E47">
        <v>68</v>
      </c>
      <c r="F47" t="s">
        <v>5</v>
      </c>
      <c r="G47" t="s">
        <v>62</v>
      </c>
      <c r="H47">
        <v>46</v>
      </c>
      <c r="J47" t="str">
        <f t="shared" si="7"/>
        <v>V</v>
      </c>
      <c r="K47" t="s">
        <v>210</v>
      </c>
      <c r="L47" t="s">
        <v>211</v>
      </c>
      <c r="N47" t="str">
        <f t="shared" si="1"/>
        <v>&lt;tr&gt; &lt;td&gt;Dec. 11&lt;/td&gt;</v>
      </c>
      <c r="O47" t="str">
        <f t="shared" si="2"/>
        <v>&lt;td&gt;2:30 PM&lt;/td&gt;</v>
      </c>
      <c r="P47" t="str">
        <f t="shared" si="3"/>
        <v>&lt;td class="GCCsched"&gt;Garden City&lt;/td&gt;</v>
      </c>
      <c r="Q47" t="str">
        <f t="shared" si="4"/>
        <v>&lt;td&gt;68 - 46&lt;/td&gt;</v>
      </c>
      <c r="R47" t="str">
        <f t="shared" si="5"/>
        <v>&lt;td class="GCIsched"&gt;Glenlawn&lt;/td&gt;</v>
      </c>
      <c r="S47" t="str">
        <f t="shared" si="6"/>
        <v>&lt;td&gt;BSSI Pool A&lt;/td&gt; &lt;/tr&gt;</v>
      </c>
    </row>
    <row r="48" spans="1:19" x14ac:dyDescent="0.25">
      <c r="A48" s="5">
        <v>42349</v>
      </c>
      <c r="B48" s="6">
        <v>0.60416666666666663</v>
      </c>
      <c r="C48" t="s">
        <v>30</v>
      </c>
      <c r="D48" t="s">
        <v>92</v>
      </c>
      <c r="E48">
        <v>84</v>
      </c>
      <c r="F48" t="s">
        <v>32</v>
      </c>
      <c r="G48" t="s">
        <v>100</v>
      </c>
      <c r="H48">
        <v>73</v>
      </c>
      <c r="J48" t="str">
        <f t="shared" si="7"/>
        <v>V</v>
      </c>
      <c r="K48" t="s">
        <v>210</v>
      </c>
      <c r="L48" t="s">
        <v>216</v>
      </c>
      <c r="N48" t="str">
        <f t="shared" si="1"/>
        <v>&lt;tr&gt; &lt;td&gt;Dec. 11&lt;/td&gt;</v>
      </c>
      <c r="O48" t="str">
        <f t="shared" si="2"/>
        <v>&lt;td&gt;2:30 PM&lt;/td&gt;</v>
      </c>
      <c r="P48" t="str">
        <f t="shared" si="3"/>
        <v>&lt;td class="SJHSsched"&gt;St. John's&lt;/td&gt;</v>
      </c>
      <c r="Q48" t="str">
        <f t="shared" si="4"/>
        <v>&lt;td&gt;84 - 73&lt;/td&gt;</v>
      </c>
      <c r="R48" t="str">
        <f t="shared" si="5"/>
        <v>&lt;td class="CPRSsched"&gt;Crocus Plains&lt;/td&gt;</v>
      </c>
      <c r="S48" t="str">
        <f t="shared" si="6"/>
        <v>&lt;td&gt;BSSI Pool F&lt;/td&gt; &lt;/tr&gt;</v>
      </c>
    </row>
    <row r="49" spans="1:19" x14ac:dyDescent="0.25">
      <c r="A49" s="5">
        <v>42349</v>
      </c>
      <c r="B49" s="6">
        <v>0.60416666666666663</v>
      </c>
      <c r="C49" t="s">
        <v>104</v>
      </c>
      <c r="D49" t="s">
        <v>105</v>
      </c>
      <c r="E49">
        <v>45</v>
      </c>
      <c r="F49" t="s">
        <v>201</v>
      </c>
      <c r="H49">
        <v>66</v>
      </c>
      <c r="J49" t="str">
        <f t="shared" si="7"/>
        <v>H</v>
      </c>
      <c r="K49" t="s">
        <v>202</v>
      </c>
      <c r="L49" t="s">
        <v>173</v>
      </c>
      <c r="N49" t="str">
        <f t="shared" si="1"/>
        <v>&lt;tr&gt; &lt;td&gt;Dec. 11&lt;/td&gt;</v>
      </c>
      <c r="O49" t="str">
        <f t="shared" si="2"/>
        <v>&lt;td&gt;2:30 PM&lt;/td&gt;</v>
      </c>
      <c r="P49" t="str">
        <f t="shared" si="3"/>
        <v>&lt;td class="SCIsched"&gt;Springfield&lt;/td&gt;</v>
      </c>
      <c r="Q49" t="str">
        <f t="shared" si="4"/>
        <v>&lt;td&gt;45 - 66&lt;/td&gt;</v>
      </c>
      <c r="R49" t="str">
        <f t="shared" si="5"/>
        <v>&lt;td class="sched"&gt;Edward Schreyer&lt;/td&gt;</v>
      </c>
      <c r="S49" t="str">
        <f t="shared" si="6"/>
        <v>&lt;td&gt;Barons Earlybird Quarterfinal 1&lt;/td&gt; &lt;/tr&gt;</v>
      </c>
    </row>
    <row r="50" spans="1:19" x14ac:dyDescent="0.25">
      <c r="A50" s="5">
        <v>42349</v>
      </c>
      <c r="B50" s="6">
        <v>0.68055555555555547</v>
      </c>
      <c r="C50" t="s">
        <v>213</v>
      </c>
      <c r="D50" t="s">
        <v>540</v>
      </c>
      <c r="E50">
        <v>60</v>
      </c>
      <c r="F50" t="s">
        <v>1</v>
      </c>
      <c r="G50" t="s">
        <v>74</v>
      </c>
      <c r="H50">
        <v>87</v>
      </c>
      <c r="J50" t="str">
        <f t="shared" si="7"/>
        <v>H</v>
      </c>
      <c r="K50" t="s">
        <v>210</v>
      </c>
      <c r="L50" t="s">
        <v>212</v>
      </c>
      <c r="N50" t="str">
        <f t="shared" si="1"/>
        <v>&lt;tr&gt; &lt;td&gt;Dec. 11&lt;/td&gt;</v>
      </c>
      <c r="O50" t="str">
        <f t="shared" si="2"/>
        <v>&lt;td&gt;4:20 PM&lt;/td&gt;</v>
      </c>
      <c r="P50" t="str">
        <f t="shared" si="3"/>
        <v>&lt;td class="SJRsched"&gt;St. John's-Ravenscourt&lt;/td&gt;</v>
      </c>
      <c r="Q50" t="str">
        <f t="shared" si="4"/>
        <v>&lt;td&gt;60 - 87&lt;/td&gt;</v>
      </c>
      <c r="R50" t="str">
        <f t="shared" si="5"/>
        <v>&lt;td class="OPHSsched"&gt;Oak Park&lt;/td&gt;</v>
      </c>
      <c r="S50" t="str">
        <f t="shared" si="6"/>
        <v>&lt;td&gt;BSSI Pool B&lt;/td&gt; &lt;/tr&gt;</v>
      </c>
    </row>
    <row r="51" spans="1:19" x14ac:dyDescent="0.25">
      <c r="A51" s="5">
        <v>42349</v>
      </c>
      <c r="B51" s="6">
        <v>0.68055555555555547</v>
      </c>
      <c r="C51" t="s">
        <v>16</v>
      </c>
      <c r="D51" t="s">
        <v>45</v>
      </c>
      <c r="E51">
        <v>59</v>
      </c>
      <c r="F51" t="s">
        <v>8</v>
      </c>
      <c r="G51" t="s">
        <v>60</v>
      </c>
      <c r="H51">
        <v>65</v>
      </c>
      <c r="J51" t="str">
        <f t="shared" si="7"/>
        <v>H</v>
      </c>
      <c r="K51" t="s">
        <v>210</v>
      </c>
      <c r="L51" t="s">
        <v>214</v>
      </c>
      <c r="N51" t="str">
        <f t="shared" si="1"/>
        <v>&lt;tr&gt; &lt;td&gt;Dec. 11&lt;/td&gt;</v>
      </c>
      <c r="O51" t="str">
        <f t="shared" si="2"/>
        <v>&lt;td&gt;4:20 PM&lt;/td&gt;</v>
      </c>
      <c r="P51" t="str">
        <f t="shared" si="3"/>
        <v>&lt;td class="MCsched"&gt;Maples&lt;/td&gt;</v>
      </c>
      <c r="Q51" t="str">
        <f t="shared" si="4"/>
        <v>&lt;td&gt;59 - 65&lt;/td&gt;</v>
      </c>
      <c r="R51" t="str">
        <f t="shared" si="5"/>
        <v>&lt;td class="DCIsched"&gt;Dakota&lt;/td&gt;</v>
      </c>
      <c r="S51" t="str">
        <f t="shared" si="6"/>
        <v>&lt;td&gt;BSSI Pool C&lt;/td&gt; &lt;/tr&gt;</v>
      </c>
    </row>
    <row r="52" spans="1:19" x14ac:dyDescent="0.25">
      <c r="A52" s="5">
        <v>42349</v>
      </c>
      <c r="B52" s="6">
        <v>0.68055555555555547</v>
      </c>
      <c r="C52" t="s">
        <v>217</v>
      </c>
      <c r="E52">
        <v>52</v>
      </c>
      <c r="F52" t="s">
        <v>22</v>
      </c>
      <c r="G52" t="s">
        <v>66</v>
      </c>
      <c r="H52">
        <v>62</v>
      </c>
      <c r="J52" t="str">
        <f t="shared" si="7"/>
        <v>H</v>
      </c>
      <c r="K52" t="s">
        <v>210</v>
      </c>
      <c r="L52" t="s">
        <v>216</v>
      </c>
      <c r="N52" t="str">
        <f t="shared" si="1"/>
        <v>&lt;tr&gt; &lt;td&gt;Dec. 11&lt;/td&gt;</v>
      </c>
      <c r="O52" t="str">
        <f t="shared" si="2"/>
        <v>&lt;td&gt;4:20 PM&lt;/td&gt;</v>
      </c>
      <c r="P52" t="str">
        <f t="shared" si="3"/>
        <v>&lt;td class="sched"&gt;Beaver Brae&lt;/td&gt;</v>
      </c>
      <c r="Q52" t="str">
        <f t="shared" si="4"/>
        <v>&lt;td&gt;52 - 62&lt;/td&gt;</v>
      </c>
      <c r="R52" t="str">
        <f t="shared" si="5"/>
        <v>&lt;td class="SRSSsched"&gt;Steinbach&lt;/td&gt;</v>
      </c>
      <c r="S52" t="str">
        <f t="shared" si="6"/>
        <v>&lt;td&gt;BSSI Pool F&lt;/td&gt; &lt;/tr&gt;</v>
      </c>
    </row>
    <row r="53" spans="1:19" x14ac:dyDescent="0.25">
      <c r="A53" s="5">
        <v>42349</v>
      </c>
      <c r="B53" s="6">
        <v>0.68055555555555547</v>
      </c>
      <c r="C53" t="s">
        <v>220</v>
      </c>
      <c r="E53">
        <v>64</v>
      </c>
      <c r="F53" t="s">
        <v>23</v>
      </c>
      <c r="G53" t="s">
        <v>102</v>
      </c>
      <c r="H53">
        <v>55</v>
      </c>
      <c r="J53" t="str">
        <f t="shared" si="7"/>
        <v>V</v>
      </c>
      <c r="K53" t="s">
        <v>210</v>
      </c>
      <c r="L53" t="s">
        <v>219</v>
      </c>
      <c r="N53" t="str">
        <f t="shared" si="1"/>
        <v>&lt;tr&gt; &lt;td&gt;Dec. 11&lt;/td&gt;</v>
      </c>
      <c r="O53" t="str">
        <f t="shared" si="2"/>
        <v>&lt;td&gt;4:20 PM&lt;/td&gt;</v>
      </c>
      <c r="P53" t="str">
        <f t="shared" si="3"/>
        <v>&lt;td class="sched"&gt;Swan Valley&lt;/td&gt;</v>
      </c>
      <c r="Q53" t="str">
        <f t="shared" si="4"/>
        <v>&lt;td&gt;64 - 55&lt;/td&gt;</v>
      </c>
      <c r="R53" t="str">
        <f t="shared" si="5"/>
        <v>&lt;td class="VMHSsched"&gt;Vincent Massey&lt;/td&gt;</v>
      </c>
      <c r="S53" t="str">
        <f t="shared" si="6"/>
        <v>&lt;td&gt;BSSI Pool H&lt;/td&gt; &lt;/tr&gt;</v>
      </c>
    </row>
    <row r="54" spans="1:19" x14ac:dyDescent="0.25">
      <c r="A54" s="5">
        <v>42349</v>
      </c>
      <c r="B54" s="6">
        <v>0.75694444444444453</v>
      </c>
      <c r="C54" t="s">
        <v>18</v>
      </c>
      <c r="D54" t="s">
        <v>52</v>
      </c>
      <c r="E54">
        <v>71</v>
      </c>
      <c r="F54" t="s">
        <v>7</v>
      </c>
      <c r="G54" t="s">
        <v>7</v>
      </c>
      <c r="H54">
        <v>64</v>
      </c>
      <c r="J54" t="str">
        <f t="shared" si="7"/>
        <v>V</v>
      </c>
      <c r="K54" t="s">
        <v>210</v>
      </c>
      <c r="L54" t="s">
        <v>212</v>
      </c>
      <c r="N54" t="str">
        <f t="shared" si="1"/>
        <v>&lt;tr&gt; &lt;td&gt;Dec. 11&lt;/td&gt;</v>
      </c>
      <c r="O54" t="str">
        <f t="shared" si="2"/>
        <v>&lt;td&gt;6:10 PM&lt;/td&gt;</v>
      </c>
      <c r="P54" t="str">
        <f t="shared" si="3"/>
        <v>&lt;td class="RECsched"&gt;River East&lt;/td&gt;</v>
      </c>
      <c r="Q54" t="str">
        <f t="shared" si="4"/>
        <v>&lt;td&gt;71 - 64&lt;/td&gt;</v>
      </c>
      <c r="R54" t="str">
        <f t="shared" si="5"/>
        <v>&lt;td class="MBCIsched"&gt;MBCI&lt;/td&gt;</v>
      </c>
      <c r="S54" t="str">
        <f t="shared" si="6"/>
        <v>&lt;td&gt;BSSI Pool B&lt;/td&gt; &lt;/tr&gt;</v>
      </c>
    </row>
    <row r="55" spans="1:19" x14ac:dyDescent="0.25">
      <c r="A55" s="5">
        <v>42349</v>
      </c>
      <c r="B55" s="6">
        <v>0.75694444444444453</v>
      </c>
      <c r="C55" t="s">
        <v>11</v>
      </c>
      <c r="D55" t="s">
        <v>48</v>
      </c>
      <c r="E55">
        <v>48</v>
      </c>
      <c r="F55" t="s">
        <v>23</v>
      </c>
      <c r="G55" t="s">
        <v>80</v>
      </c>
      <c r="H55">
        <v>99</v>
      </c>
      <c r="J55" t="str">
        <f t="shared" si="7"/>
        <v>H</v>
      </c>
      <c r="K55" t="s">
        <v>210</v>
      </c>
      <c r="L55" t="s">
        <v>214</v>
      </c>
      <c r="N55" t="str">
        <f t="shared" si="1"/>
        <v>&lt;tr&gt; &lt;td&gt;Dec. 11&lt;/td&gt;</v>
      </c>
      <c r="O55" t="str">
        <f t="shared" si="2"/>
        <v>&lt;td&gt;6:10 PM&lt;/td&gt;</v>
      </c>
      <c r="P55" t="str">
        <f t="shared" si="3"/>
        <v>&lt;td class="MMCsched"&gt;Miles Macdonell&lt;/td&gt;</v>
      </c>
      <c r="Q55" t="str">
        <f t="shared" si="4"/>
        <v>&lt;td&gt;48 - 99&lt;/td&gt;</v>
      </c>
      <c r="R55" t="str">
        <f t="shared" si="5"/>
        <v>&lt;td class="VMCsched"&gt;Vincent Massey&lt;/td&gt;</v>
      </c>
      <c r="S55" t="str">
        <f t="shared" si="6"/>
        <v>&lt;td&gt;BSSI Pool C&lt;/td&gt; &lt;/tr&gt;</v>
      </c>
    </row>
    <row r="56" spans="1:19" x14ac:dyDescent="0.25">
      <c r="A56" s="5">
        <v>42349</v>
      </c>
      <c r="B56" s="6">
        <v>0.75694444444444453</v>
      </c>
      <c r="C56" t="s">
        <v>10</v>
      </c>
      <c r="D56" t="s">
        <v>72</v>
      </c>
      <c r="E56">
        <v>79</v>
      </c>
      <c r="F56" t="s">
        <v>2</v>
      </c>
      <c r="G56" t="s">
        <v>43</v>
      </c>
      <c r="H56">
        <v>76</v>
      </c>
      <c r="I56" t="s">
        <v>290</v>
      </c>
      <c r="J56" t="str">
        <f t="shared" si="7"/>
        <v>V</v>
      </c>
      <c r="K56" t="s">
        <v>210</v>
      </c>
      <c r="L56" t="s">
        <v>215</v>
      </c>
      <c r="N56" t="str">
        <f t="shared" si="1"/>
        <v>&lt;tr&gt; &lt;td&gt;Dec. 11&lt;/td&gt;</v>
      </c>
      <c r="O56" t="str">
        <f t="shared" si="2"/>
        <v>&lt;td&gt;6:10 PM&lt;/td&gt;</v>
      </c>
      <c r="P56" t="str">
        <f t="shared" si="3"/>
        <v>&lt;td class="KHSsched"&gt;Kelvin&lt;/td&gt;</v>
      </c>
      <c r="Q56" t="str">
        <f t="shared" si="4"/>
        <v>&lt;td&gt;79 - 76 2OT&lt;/td&gt;</v>
      </c>
      <c r="R56" t="str">
        <f t="shared" si="5"/>
        <v>&lt;td class="KECsched"&gt;Kildonan-East&lt;/td&gt;</v>
      </c>
      <c r="S56" t="str">
        <f t="shared" si="6"/>
        <v>&lt;td&gt;BSSI Pool D&lt;/td&gt; &lt;/tr&gt;</v>
      </c>
    </row>
    <row r="57" spans="1:19" x14ac:dyDescent="0.25">
      <c r="A57" s="5">
        <v>42349</v>
      </c>
      <c r="B57" s="6">
        <v>0.75694444444444453</v>
      </c>
      <c r="C57" t="s">
        <v>218</v>
      </c>
      <c r="E57">
        <v>28</v>
      </c>
      <c r="F57" t="s">
        <v>162</v>
      </c>
      <c r="G57" t="s">
        <v>164</v>
      </c>
      <c r="H57">
        <v>85</v>
      </c>
      <c r="J57" t="str">
        <f t="shared" si="7"/>
        <v>H</v>
      </c>
      <c r="K57" t="s">
        <v>210</v>
      </c>
      <c r="L57" t="s">
        <v>219</v>
      </c>
      <c r="N57" t="str">
        <f t="shared" si="1"/>
        <v>&lt;tr&gt; &lt;td&gt;Dec. 11&lt;/td&gt;</v>
      </c>
      <c r="O57" t="str">
        <f t="shared" si="2"/>
        <v>&lt;td&gt;6:10 PM&lt;/td&gt;</v>
      </c>
      <c r="P57" t="str">
        <f t="shared" si="3"/>
        <v>&lt;td class="sched"&gt;Stonewall&lt;/td&gt;</v>
      </c>
      <c r="Q57" t="str">
        <f t="shared" si="4"/>
        <v>&lt;td&gt;28 - 85&lt;/td&gt;</v>
      </c>
      <c r="R57" t="str">
        <f t="shared" si="5"/>
        <v>&lt;td class="GVCsched"&gt;Garden Valley&lt;/td&gt;</v>
      </c>
      <c r="S57" t="str">
        <f t="shared" si="6"/>
        <v>&lt;td&gt;BSSI Pool H&lt;/td&gt; &lt;/tr&gt;</v>
      </c>
    </row>
    <row r="58" spans="1:19" x14ac:dyDescent="0.25">
      <c r="A58" s="5">
        <v>42349</v>
      </c>
      <c r="B58" s="6">
        <v>0.83333333333333337</v>
      </c>
      <c r="C58" t="s">
        <v>15</v>
      </c>
      <c r="D58" t="s">
        <v>68</v>
      </c>
      <c r="E58">
        <v>49</v>
      </c>
      <c r="F58" t="s">
        <v>4</v>
      </c>
      <c r="G58" t="s">
        <v>41</v>
      </c>
      <c r="H58">
        <v>86</v>
      </c>
      <c r="J58" t="str">
        <f t="shared" si="7"/>
        <v>H</v>
      </c>
      <c r="K58" t="s">
        <v>210</v>
      </c>
      <c r="L58" t="s">
        <v>211</v>
      </c>
      <c r="N58" t="str">
        <f t="shared" si="1"/>
        <v>&lt;tr&gt; &lt;td&gt;Dec. 11&lt;/td&gt;</v>
      </c>
      <c r="O58" t="str">
        <f t="shared" si="2"/>
        <v>&lt;td&gt;8:00 PM&lt;/td&gt;</v>
      </c>
      <c r="P58" t="str">
        <f t="shared" si="3"/>
        <v>&lt;td class="FRCsched"&gt;Fort Richmond&lt;/td&gt;</v>
      </c>
      <c r="Q58" t="str">
        <f t="shared" si="4"/>
        <v>&lt;td&gt;49 - 86&lt;/td&gt;</v>
      </c>
      <c r="R58" t="str">
        <f t="shared" si="5"/>
        <v>&lt;td class="GCCsched"&gt;Garden City&lt;/td&gt;</v>
      </c>
      <c r="S58" t="str">
        <f t="shared" si="6"/>
        <v>&lt;td&gt;BSSI Pool A&lt;/td&gt; &lt;/tr&gt;</v>
      </c>
    </row>
    <row r="59" spans="1:19" x14ac:dyDescent="0.25">
      <c r="A59" s="5">
        <v>42349</v>
      </c>
      <c r="B59" s="6">
        <v>0.83333333333333337</v>
      </c>
      <c r="C59" t="s">
        <v>13</v>
      </c>
      <c r="D59" t="s">
        <v>98</v>
      </c>
      <c r="E59">
        <v>52</v>
      </c>
      <c r="F59" t="s">
        <v>5</v>
      </c>
      <c r="G59" t="s">
        <v>62</v>
      </c>
      <c r="H59">
        <v>87</v>
      </c>
      <c r="J59" t="str">
        <f t="shared" si="7"/>
        <v>H</v>
      </c>
      <c r="K59" t="s">
        <v>210</v>
      </c>
      <c r="L59" t="s">
        <v>211</v>
      </c>
      <c r="N59" t="str">
        <f t="shared" si="1"/>
        <v>&lt;tr&gt; &lt;td&gt;Dec. 11&lt;/td&gt;</v>
      </c>
      <c r="O59" t="str">
        <f t="shared" si="2"/>
        <v>&lt;td&gt;8:00 PM&lt;/td&gt;</v>
      </c>
      <c r="P59" t="str">
        <f t="shared" si="3"/>
        <v>&lt;td class="WWCsched"&gt;Westwood&lt;/td&gt;</v>
      </c>
      <c r="Q59" t="str">
        <f t="shared" si="4"/>
        <v>&lt;td&gt;52 - 87&lt;/td&gt;</v>
      </c>
      <c r="R59" t="str">
        <f t="shared" si="5"/>
        <v>&lt;td class="GCIsched"&gt;Glenlawn&lt;/td&gt;</v>
      </c>
      <c r="S59" t="str">
        <f t="shared" si="6"/>
        <v>&lt;td&gt;BSSI Pool A&lt;/td&gt; &lt;/tr&gt;</v>
      </c>
    </row>
    <row r="60" spans="1:19" x14ac:dyDescent="0.25">
      <c r="A60" s="5">
        <v>42349</v>
      </c>
      <c r="B60" s="6">
        <v>0.83333333333333337</v>
      </c>
      <c r="C60" t="s">
        <v>21</v>
      </c>
      <c r="D60" t="s">
        <v>64</v>
      </c>
      <c r="E60">
        <v>57</v>
      </c>
      <c r="F60" t="s">
        <v>23</v>
      </c>
      <c r="G60" t="s">
        <v>102</v>
      </c>
      <c r="H60">
        <v>63</v>
      </c>
      <c r="J60" t="str">
        <f t="shared" si="7"/>
        <v>H</v>
      </c>
      <c r="K60" t="s">
        <v>210</v>
      </c>
      <c r="L60" t="s">
        <v>282</v>
      </c>
      <c r="N60" t="str">
        <f t="shared" si="1"/>
        <v>&lt;tr&gt; &lt;td&gt;Dec. 11&lt;/td&gt;</v>
      </c>
      <c r="O60" t="str">
        <f t="shared" si="2"/>
        <v>&lt;td&gt;8:00 PM&lt;/td&gt;</v>
      </c>
      <c r="P60" t="str">
        <f t="shared" si="3"/>
        <v>&lt;td class="JHBsched"&gt;J.H. Bruns&lt;/td&gt;</v>
      </c>
      <c r="Q60" t="str">
        <f t="shared" si="4"/>
        <v>&lt;td&gt;57 - 63&lt;/td&gt;</v>
      </c>
      <c r="R60" t="str">
        <f t="shared" si="5"/>
        <v>&lt;td class="VMHSsched"&gt;Vincent Massey&lt;/td&gt;</v>
      </c>
      <c r="S60" t="str">
        <f t="shared" si="6"/>
        <v>&lt;td&gt;BSSI Exhibition&lt;/td&gt; &lt;/tr&gt;</v>
      </c>
    </row>
    <row r="61" spans="1:19" x14ac:dyDescent="0.25">
      <c r="A61" s="5">
        <v>42350</v>
      </c>
      <c r="B61" s="6">
        <v>0.33333333333333331</v>
      </c>
      <c r="C61" t="s">
        <v>22</v>
      </c>
      <c r="D61" t="s">
        <v>66</v>
      </c>
      <c r="E61">
        <v>64</v>
      </c>
      <c r="F61" t="s">
        <v>286</v>
      </c>
      <c r="H61">
        <v>50</v>
      </c>
      <c r="J61" t="str">
        <f t="shared" si="7"/>
        <v>V</v>
      </c>
      <c r="K61" t="s">
        <v>227</v>
      </c>
      <c r="L61" t="s">
        <v>225</v>
      </c>
      <c r="N61" t="str">
        <f t="shared" si="1"/>
        <v>&lt;tr&gt; &lt;td&gt;Dec. 12&lt;/td&gt;</v>
      </c>
      <c r="O61" t="str">
        <f t="shared" si="2"/>
        <v>&lt;td&gt;8:00 AM&lt;/td&gt;</v>
      </c>
      <c r="P61" t="str">
        <f t="shared" si="3"/>
        <v>&lt;td class="SRSSsched"&gt;Steinbach&lt;/td&gt;</v>
      </c>
      <c r="Q61" t="str">
        <f t="shared" si="4"/>
        <v>&lt;td&gt;64 - 50&lt;/td&gt;</v>
      </c>
      <c r="R61" t="str">
        <f t="shared" si="5"/>
        <v>&lt;td class="sched"&gt;Neelin JV&lt;/td&gt;</v>
      </c>
      <c r="S61" t="str">
        <f t="shared" si="6"/>
        <v>&lt;td&gt;BSSI Tri-Star 9th Place Semi 1&lt;/td&gt; &lt;/tr&gt;</v>
      </c>
    </row>
    <row r="62" spans="1:19" x14ac:dyDescent="0.25">
      <c r="A62" s="5">
        <v>42350</v>
      </c>
      <c r="B62" s="6">
        <v>0.33333333333333331</v>
      </c>
      <c r="C62" t="s">
        <v>157</v>
      </c>
      <c r="E62">
        <v>74</v>
      </c>
      <c r="F62" t="s">
        <v>23</v>
      </c>
      <c r="G62" t="s">
        <v>102</v>
      </c>
      <c r="H62">
        <v>37</v>
      </c>
      <c r="J62" t="str">
        <f t="shared" si="7"/>
        <v>V</v>
      </c>
      <c r="K62" t="s">
        <v>227</v>
      </c>
      <c r="L62" t="s">
        <v>226</v>
      </c>
      <c r="N62" t="str">
        <f t="shared" si="1"/>
        <v>&lt;tr&gt; &lt;td&gt;Dec. 12&lt;/td&gt;</v>
      </c>
      <c r="O62" t="str">
        <f t="shared" si="2"/>
        <v>&lt;td&gt;8:00 AM&lt;/td&gt;</v>
      </c>
      <c r="P62" t="str">
        <f t="shared" si="3"/>
        <v>&lt;td class="sched"&gt;R.D. Parker&lt;/td&gt;</v>
      </c>
      <c r="Q62" t="str">
        <f t="shared" si="4"/>
        <v>&lt;td&gt;74 - 37&lt;/td&gt;</v>
      </c>
      <c r="R62" t="str">
        <f t="shared" si="5"/>
        <v>&lt;td class="VMHSsched"&gt;Vincent Massey&lt;/td&gt;</v>
      </c>
      <c r="S62" t="str">
        <f t="shared" si="6"/>
        <v>&lt;td&gt;BSSI Tri-Star 9th Place Semi 2&lt;/td&gt; &lt;/tr&gt;</v>
      </c>
    </row>
    <row r="63" spans="1:19" x14ac:dyDescent="0.25">
      <c r="A63" s="5">
        <v>42350</v>
      </c>
      <c r="B63" s="6">
        <v>0.375</v>
      </c>
      <c r="C63" t="s">
        <v>170</v>
      </c>
      <c r="E63">
        <v>70</v>
      </c>
      <c r="F63" t="s">
        <v>104</v>
      </c>
      <c r="G63" t="s">
        <v>105</v>
      </c>
      <c r="H63">
        <v>63</v>
      </c>
      <c r="J63" t="str">
        <f t="shared" si="7"/>
        <v>V</v>
      </c>
      <c r="K63" t="s">
        <v>202</v>
      </c>
      <c r="L63" t="s">
        <v>177</v>
      </c>
      <c r="N63" t="str">
        <f t="shared" si="1"/>
        <v>&lt;tr&gt; &lt;td&gt;Dec. 12&lt;/td&gt;</v>
      </c>
      <c r="O63" t="str">
        <f t="shared" si="2"/>
        <v>&lt;td&gt;9:00 AM&lt;/td&gt;</v>
      </c>
      <c r="P63" t="str">
        <f t="shared" si="3"/>
        <v>&lt;td class="sched"&gt;St. Boniface&lt;/td&gt;</v>
      </c>
      <c r="Q63" t="str">
        <f t="shared" si="4"/>
        <v>&lt;td&gt;70 - 63&lt;/td&gt;</v>
      </c>
      <c r="R63" t="str">
        <f t="shared" si="5"/>
        <v>&lt;td class="SCIsched"&gt;Springfield&lt;/td&gt;</v>
      </c>
      <c r="S63" t="str">
        <f t="shared" si="6"/>
        <v>&lt;td&gt;Barons Earlybird Consolation Semi 1&lt;/td&gt; &lt;/tr&gt;</v>
      </c>
    </row>
    <row r="64" spans="1:19" x14ac:dyDescent="0.25">
      <c r="A64" s="5">
        <v>42350</v>
      </c>
      <c r="B64" s="6">
        <v>0.40972222222222227</v>
      </c>
      <c r="C64" t="s">
        <v>7</v>
      </c>
      <c r="D64" t="s">
        <v>7</v>
      </c>
      <c r="E64">
        <v>79</v>
      </c>
      <c r="F64" t="s">
        <v>11</v>
      </c>
      <c r="G64" t="s">
        <v>48</v>
      </c>
      <c r="H64">
        <v>54</v>
      </c>
      <c r="J64" t="str">
        <f t="shared" si="7"/>
        <v>V</v>
      </c>
      <c r="K64" t="s">
        <v>221</v>
      </c>
      <c r="L64" t="s">
        <v>283</v>
      </c>
      <c r="N64" t="str">
        <f t="shared" si="1"/>
        <v>&lt;tr&gt; &lt;td&gt;Dec. 12&lt;/td&gt;</v>
      </c>
      <c r="O64" t="str">
        <f t="shared" si="2"/>
        <v>&lt;td&gt;9:50 AM&lt;/td&gt;</v>
      </c>
      <c r="P64" t="str">
        <f t="shared" si="3"/>
        <v>&lt;td class="MBCIsched"&gt;MBCI&lt;/td&gt;</v>
      </c>
      <c r="Q64" t="str">
        <f t="shared" si="4"/>
        <v>&lt;td&gt;79 - 54&lt;/td&gt;</v>
      </c>
      <c r="R64" t="str">
        <f t="shared" si="5"/>
        <v>&lt;td class="MMCsched"&gt;Miles Macdonell&lt;/td&gt;</v>
      </c>
      <c r="S64" t="str">
        <f t="shared" si="6"/>
        <v>&lt;td&gt;BSSI Victoria Inn 13th Place Game 1&lt;/td&gt; &lt;/tr&gt;</v>
      </c>
    </row>
    <row r="65" spans="1:19" x14ac:dyDescent="0.25">
      <c r="A65" s="5">
        <v>42350</v>
      </c>
      <c r="B65" s="6">
        <v>0.40972222222222227</v>
      </c>
      <c r="C65" t="s">
        <v>32</v>
      </c>
      <c r="D65" t="s">
        <v>100</v>
      </c>
      <c r="E65">
        <v>92</v>
      </c>
      <c r="F65" t="s">
        <v>287</v>
      </c>
      <c r="H65">
        <v>77</v>
      </c>
      <c r="J65" t="str">
        <f t="shared" si="7"/>
        <v>V</v>
      </c>
      <c r="K65" t="s">
        <v>227</v>
      </c>
      <c r="L65" t="s">
        <v>222</v>
      </c>
      <c r="N65" t="str">
        <f t="shared" si="1"/>
        <v>&lt;tr&gt; &lt;td&gt;Dec. 12&lt;/td&gt;</v>
      </c>
      <c r="O65" t="str">
        <f t="shared" si="2"/>
        <v>&lt;td&gt;9:50 AM&lt;/td&gt;</v>
      </c>
      <c r="P65" t="str">
        <f t="shared" si="3"/>
        <v>&lt;td class="CPRSsched"&gt;Crocus Plains&lt;/td&gt;</v>
      </c>
      <c r="Q65" t="str">
        <f t="shared" si="4"/>
        <v>&lt;td&gt;92 - 77&lt;/td&gt;</v>
      </c>
      <c r="R65" t="str">
        <f t="shared" si="5"/>
        <v>&lt;td class="sched"&gt;Killarney&lt;/td&gt;</v>
      </c>
      <c r="S65" t="str">
        <f t="shared" si="6"/>
        <v>&lt;td&gt;BSSI Tri-Star 5th Place Semi 1&lt;/td&gt; &lt;/tr&gt;</v>
      </c>
    </row>
    <row r="66" spans="1:19" x14ac:dyDescent="0.25">
      <c r="A66" s="5">
        <v>42350</v>
      </c>
      <c r="B66" s="6">
        <v>0.40972222222222227</v>
      </c>
      <c r="C66" t="s">
        <v>288</v>
      </c>
      <c r="E66">
        <v>90</v>
      </c>
      <c r="F66" t="s">
        <v>30</v>
      </c>
      <c r="G66" t="s">
        <v>92</v>
      </c>
      <c r="H66">
        <v>65</v>
      </c>
      <c r="J66" t="str">
        <f t="shared" ref="J66:J97" si="8">IF(H66&gt;E66,"H",IF(E66&gt;H66,"V",""))</f>
        <v>V</v>
      </c>
      <c r="K66" t="s">
        <v>227</v>
      </c>
      <c r="L66" t="s">
        <v>179</v>
      </c>
      <c r="N66" t="str">
        <f t="shared" ref="N66:N129" si="9">"&lt;tr&gt; &lt;td&gt;"&amp;TEXT(A66,"MMM. D")&amp;"&lt;/td&gt;"</f>
        <v>&lt;tr&gt; &lt;td&gt;Dec. 12&lt;/td&gt;</v>
      </c>
      <c r="O66" t="str">
        <f t="shared" ref="O66:O129" si="10">"&lt;td&gt;"&amp;IF(B66&gt;0,TEXT(B66,"H:MM AM/PM"),"")&amp;"&lt;/td&gt;"</f>
        <v>&lt;td&gt;9:50 AM&lt;/td&gt;</v>
      </c>
      <c r="P66" t="str">
        <f t="shared" ref="P66:P129" si="11">"&lt;td class="""&amp;D66&amp;"sched""&gt;"&amp;C66&amp;"&lt;/td&gt;"</f>
        <v>&lt;td class="sched"&gt;Lloydminster&lt;/td&gt;</v>
      </c>
      <c r="Q66" t="str">
        <f t="shared" ref="Q66:Q129" si="12">"&lt;td&gt;"&amp;E66&amp;" - "&amp;H66&amp;IF(I66&gt;0," "&amp;I66,"")&amp;"&lt;/td&gt;"</f>
        <v>&lt;td&gt;90 - 65&lt;/td&gt;</v>
      </c>
      <c r="R66" t="str">
        <f t="shared" ref="R66:R129" si="13">"&lt;td class="""&amp;G66&amp;"sched""&gt;"&amp;F66&amp;"&lt;/td&gt;"</f>
        <v>&lt;td class="SJHSsched"&gt;St. John's&lt;/td&gt;</v>
      </c>
      <c r="S66" t="str">
        <f t="shared" ref="S66:S129" si="14">"&lt;td&gt;"&amp;K66&amp;" "&amp;L66&amp;"&lt;/td&gt; &lt;/tr&gt;"</f>
        <v>&lt;td&gt;BSSI Tri-Star Semifinal 1&lt;/td&gt; &lt;/tr&gt;</v>
      </c>
    </row>
    <row r="67" spans="1:19" x14ac:dyDescent="0.25">
      <c r="A67" s="5">
        <v>42350</v>
      </c>
      <c r="B67" s="6">
        <v>0.40972222222222227</v>
      </c>
      <c r="C67" t="s">
        <v>289</v>
      </c>
      <c r="E67">
        <v>63</v>
      </c>
      <c r="F67" t="s">
        <v>162</v>
      </c>
      <c r="G67" t="s">
        <v>164</v>
      </c>
      <c r="H67">
        <v>38</v>
      </c>
      <c r="J67" t="str">
        <f t="shared" si="8"/>
        <v>V</v>
      </c>
      <c r="K67" t="s">
        <v>227</v>
      </c>
      <c r="L67" t="s">
        <v>180</v>
      </c>
      <c r="N67" t="str">
        <f t="shared" si="9"/>
        <v>&lt;tr&gt; &lt;td&gt;Dec. 12&lt;/td&gt;</v>
      </c>
      <c r="O67" t="str">
        <f t="shared" si="10"/>
        <v>&lt;td&gt;9:50 AM&lt;/td&gt;</v>
      </c>
      <c r="P67" t="str">
        <f t="shared" si="11"/>
        <v>&lt;td class="sched"&gt;Glenboro&lt;/td&gt;</v>
      </c>
      <c r="Q67" t="str">
        <f t="shared" si="12"/>
        <v>&lt;td&gt;63 - 38&lt;/td&gt;</v>
      </c>
      <c r="R67" t="str">
        <f t="shared" si="13"/>
        <v>&lt;td class="GVCsched"&gt;Garden Valley&lt;/td&gt;</v>
      </c>
      <c r="S67" t="str">
        <f t="shared" si="14"/>
        <v>&lt;td&gt;BSSI Tri-Star Semifinal 2&lt;/td&gt; &lt;/tr&gt;</v>
      </c>
    </row>
    <row r="68" spans="1:19" x14ac:dyDescent="0.25">
      <c r="A68" s="5">
        <v>42350</v>
      </c>
      <c r="B68" s="6">
        <v>0.4861111111111111</v>
      </c>
      <c r="C68" t="s">
        <v>21</v>
      </c>
      <c r="D68" t="s">
        <v>64</v>
      </c>
      <c r="E68">
        <v>43</v>
      </c>
      <c r="F68" t="s">
        <v>5</v>
      </c>
      <c r="G68" t="s">
        <v>62</v>
      </c>
      <c r="H68">
        <v>69</v>
      </c>
      <c r="J68" t="str">
        <f t="shared" si="8"/>
        <v>H</v>
      </c>
      <c r="K68" t="s">
        <v>221</v>
      </c>
      <c r="L68" t="s">
        <v>225</v>
      </c>
      <c r="N68" t="str">
        <f t="shared" si="9"/>
        <v>&lt;tr&gt; &lt;td&gt;Dec. 12&lt;/td&gt;</v>
      </c>
      <c r="O68" t="str">
        <f t="shared" si="10"/>
        <v>&lt;td&gt;11:40 AM&lt;/td&gt;</v>
      </c>
      <c r="P68" t="str">
        <f t="shared" si="11"/>
        <v>&lt;td class="JHBsched"&gt;J.H. Bruns&lt;/td&gt;</v>
      </c>
      <c r="Q68" t="str">
        <f t="shared" si="12"/>
        <v>&lt;td&gt;43 - 69&lt;/td&gt;</v>
      </c>
      <c r="R68" t="str">
        <f t="shared" si="13"/>
        <v>&lt;td class="GCIsched"&gt;Glenlawn&lt;/td&gt;</v>
      </c>
      <c r="S68" t="str">
        <f t="shared" si="14"/>
        <v>&lt;td&gt;BSSI Victoria Inn 9th Place Semi 1&lt;/td&gt; &lt;/tr&gt;</v>
      </c>
    </row>
    <row r="69" spans="1:19" x14ac:dyDescent="0.25">
      <c r="A69" s="5">
        <v>42350</v>
      </c>
      <c r="B69" s="6">
        <v>0.4861111111111111</v>
      </c>
      <c r="C69" t="s">
        <v>23</v>
      </c>
      <c r="D69" t="s">
        <v>80</v>
      </c>
      <c r="E69">
        <v>74</v>
      </c>
      <c r="F69" t="s">
        <v>18</v>
      </c>
      <c r="G69" t="s">
        <v>52</v>
      </c>
      <c r="H69">
        <v>46</v>
      </c>
      <c r="J69" t="str">
        <f t="shared" si="8"/>
        <v>V</v>
      </c>
      <c r="K69" t="s">
        <v>221</v>
      </c>
      <c r="L69" t="s">
        <v>226</v>
      </c>
      <c r="N69" t="str">
        <f t="shared" si="9"/>
        <v>&lt;tr&gt; &lt;td&gt;Dec. 12&lt;/td&gt;</v>
      </c>
      <c r="O69" t="str">
        <f t="shared" si="10"/>
        <v>&lt;td&gt;11:40 AM&lt;/td&gt;</v>
      </c>
      <c r="P69" t="str">
        <f t="shared" si="11"/>
        <v>&lt;td class="VMCsched"&gt;Vincent Massey&lt;/td&gt;</v>
      </c>
      <c r="Q69" t="str">
        <f t="shared" si="12"/>
        <v>&lt;td&gt;74 - 46&lt;/td&gt;</v>
      </c>
      <c r="R69" t="str">
        <f t="shared" si="13"/>
        <v>&lt;td class="RECsched"&gt;River East&lt;/td&gt;</v>
      </c>
      <c r="S69" t="str">
        <f t="shared" si="14"/>
        <v>&lt;td&gt;BSSI Victoria Inn 9th Place Semi 2&lt;/td&gt; &lt;/tr&gt;</v>
      </c>
    </row>
    <row r="70" spans="1:19" x14ac:dyDescent="0.25">
      <c r="A70" s="5">
        <v>42350</v>
      </c>
      <c r="B70" s="6">
        <v>0.4861111111111111</v>
      </c>
      <c r="C70" t="s">
        <v>2</v>
      </c>
      <c r="D70" t="s">
        <v>43</v>
      </c>
      <c r="E70">
        <v>79</v>
      </c>
      <c r="F70" t="s">
        <v>15</v>
      </c>
      <c r="G70" t="s">
        <v>68</v>
      </c>
      <c r="H70">
        <v>69</v>
      </c>
      <c r="J70" t="str">
        <f t="shared" si="8"/>
        <v>V</v>
      </c>
      <c r="K70" t="s">
        <v>221</v>
      </c>
      <c r="L70" t="s">
        <v>222</v>
      </c>
      <c r="N70" t="str">
        <f t="shared" si="9"/>
        <v>&lt;tr&gt; &lt;td&gt;Dec. 12&lt;/td&gt;</v>
      </c>
      <c r="O70" t="str">
        <f t="shared" si="10"/>
        <v>&lt;td&gt;11:40 AM&lt;/td&gt;</v>
      </c>
      <c r="P70" t="str">
        <f t="shared" si="11"/>
        <v>&lt;td class="KECsched"&gt;Kildonan-East&lt;/td&gt;</v>
      </c>
      <c r="Q70" t="str">
        <f t="shared" si="12"/>
        <v>&lt;td&gt;79 - 69&lt;/td&gt;</v>
      </c>
      <c r="R70" t="str">
        <f t="shared" si="13"/>
        <v>&lt;td class="FRCsched"&gt;Fort Richmond&lt;/td&gt;</v>
      </c>
      <c r="S70" t="str">
        <f t="shared" si="14"/>
        <v>&lt;td&gt;BSSI Victoria Inn 5th Place Semi 1&lt;/td&gt; &lt;/tr&gt;</v>
      </c>
    </row>
    <row r="71" spans="1:19" x14ac:dyDescent="0.25">
      <c r="A71" s="5">
        <v>42350</v>
      </c>
      <c r="B71" s="6">
        <v>0.4861111111111111</v>
      </c>
      <c r="C71" t="s">
        <v>16</v>
      </c>
      <c r="D71" t="s">
        <v>45</v>
      </c>
      <c r="E71">
        <v>58</v>
      </c>
      <c r="F71" t="s">
        <v>213</v>
      </c>
      <c r="G71" t="s">
        <v>540</v>
      </c>
      <c r="H71">
        <v>92</v>
      </c>
      <c r="J71" t="str">
        <f t="shared" si="8"/>
        <v>H</v>
      </c>
      <c r="K71" t="s">
        <v>221</v>
      </c>
      <c r="L71" t="s">
        <v>223</v>
      </c>
      <c r="N71" t="str">
        <f t="shared" si="9"/>
        <v>&lt;tr&gt; &lt;td&gt;Dec. 12&lt;/td&gt;</v>
      </c>
      <c r="O71" t="str">
        <f t="shared" si="10"/>
        <v>&lt;td&gt;11:40 AM&lt;/td&gt;</v>
      </c>
      <c r="P71" t="str">
        <f t="shared" si="11"/>
        <v>&lt;td class="MCsched"&gt;Maples&lt;/td&gt;</v>
      </c>
      <c r="Q71" t="str">
        <f t="shared" si="12"/>
        <v>&lt;td&gt;58 - 92&lt;/td&gt;</v>
      </c>
      <c r="R71" t="str">
        <f t="shared" si="13"/>
        <v>&lt;td class="SJRsched"&gt;St. John's-Ravenscourt&lt;/td&gt;</v>
      </c>
      <c r="S71" t="str">
        <f t="shared" si="14"/>
        <v>&lt;td&gt;BSSI Victoria Inn 5th Place Semi 2&lt;/td&gt; &lt;/tr&gt;</v>
      </c>
    </row>
    <row r="72" spans="1:19" x14ac:dyDescent="0.25">
      <c r="A72" s="5">
        <v>42350</v>
      </c>
      <c r="B72" s="6">
        <v>0.4861111111111111</v>
      </c>
      <c r="C72" t="s">
        <v>10</v>
      </c>
      <c r="D72" t="s">
        <v>72</v>
      </c>
      <c r="E72">
        <v>57</v>
      </c>
      <c r="F72" t="s">
        <v>4</v>
      </c>
      <c r="G72" t="s">
        <v>41</v>
      </c>
      <c r="H72">
        <v>73</v>
      </c>
      <c r="J72" t="str">
        <f t="shared" si="8"/>
        <v>H</v>
      </c>
      <c r="K72" t="s">
        <v>221</v>
      </c>
      <c r="L72" t="s">
        <v>179</v>
      </c>
      <c r="N72" t="str">
        <f t="shared" si="9"/>
        <v>&lt;tr&gt; &lt;td&gt;Dec. 12&lt;/td&gt;</v>
      </c>
      <c r="O72" t="str">
        <f t="shared" si="10"/>
        <v>&lt;td&gt;11:40 AM&lt;/td&gt;</v>
      </c>
      <c r="P72" t="str">
        <f t="shared" si="11"/>
        <v>&lt;td class="KHSsched"&gt;Kelvin&lt;/td&gt;</v>
      </c>
      <c r="Q72" t="str">
        <f t="shared" si="12"/>
        <v>&lt;td&gt;57 - 73&lt;/td&gt;</v>
      </c>
      <c r="R72" t="str">
        <f t="shared" si="13"/>
        <v>&lt;td class="GCCsched"&gt;Garden City&lt;/td&gt;</v>
      </c>
      <c r="S72" t="str">
        <f t="shared" si="14"/>
        <v>&lt;td&gt;BSSI Victoria Inn Semifinal 1&lt;/td&gt; &lt;/tr&gt;</v>
      </c>
    </row>
    <row r="73" spans="1:19" x14ac:dyDescent="0.25">
      <c r="A73" s="5">
        <v>42350</v>
      </c>
      <c r="B73" s="6">
        <v>0.5625</v>
      </c>
      <c r="C73" t="s">
        <v>8</v>
      </c>
      <c r="D73" t="s">
        <v>60</v>
      </c>
      <c r="E73">
        <v>51</v>
      </c>
      <c r="F73" t="s">
        <v>1</v>
      </c>
      <c r="G73" t="s">
        <v>74</v>
      </c>
      <c r="H73">
        <v>82</v>
      </c>
      <c r="J73" t="str">
        <f t="shared" si="8"/>
        <v>H</v>
      </c>
      <c r="K73" t="s">
        <v>221</v>
      </c>
      <c r="L73" t="s">
        <v>180</v>
      </c>
      <c r="N73" t="str">
        <f t="shared" si="9"/>
        <v>&lt;tr&gt; &lt;td&gt;Dec. 12&lt;/td&gt;</v>
      </c>
      <c r="O73" t="str">
        <f t="shared" si="10"/>
        <v>&lt;td&gt;1:30 PM&lt;/td&gt;</v>
      </c>
      <c r="P73" t="str">
        <f t="shared" si="11"/>
        <v>&lt;td class="DCIsched"&gt;Dakota&lt;/td&gt;</v>
      </c>
      <c r="Q73" t="str">
        <f t="shared" si="12"/>
        <v>&lt;td&gt;51 - 82&lt;/td&gt;</v>
      </c>
      <c r="R73" t="str">
        <f t="shared" si="13"/>
        <v>&lt;td class="OPHSsched"&gt;Oak Park&lt;/td&gt;</v>
      </c>
      <c r="S73" t="str">
        <f t="shared" si="14"/>
        <v>&lt;td&gt;BSSI Victoria Inn Semifinal 2&lt;/td&gt; &lt;/tr&gt;</v>
      </c>
    </row>
    <row r="74" spans="1:19" x14ac:dyDescent="0.25">
      <c r="A74" s="5">
        <v>42350</v>
      </c>
      <c r="B74" s="6">
        <v>0.5625</v>
      </c>
      <c r="C74" t="s">
        <v>23</v>
      </c>
      <c r="D74" t="s">
        <v>102</v>
      </c>
      <c r="E74">
        <v>69</v>
      </c>
      <c r="F74" t="s">
        <v>286</v>
      </c>
      <c r="H74">
        <v>51</v>
      </c>
      <c r="J74" t="str">
        <f t="shared" si="8"/>
        <v>V</v>
      </c>
      <c r="K74" t="s">
        <v>227</v>
      </c>
      <c r="L74" t="s">
        <v>194</v>
      </c>
      <c r="N74" t="str">
        <f t="shared" si="9"/>
        <v>&lt;tr&gt; &lt;td&gt;Dec. 12&lt;/td&gt;</v>
      </c>
      <c r="O74" t="str">
        <f t="shared" si="10"/>
        <v>&lt;td&gt;1:30 PM&lt;/td&gt;</v>
      </c>
      <c r="P74" t="str">
        <f t="shared" si="11"/>
        <v>&lt;td class="VMHSsched"&gt;Vincent Massey&lt;/td&gt;</v>
      </c>
      <c r="Q74" t="str">
        <f t="shared" si="12"/>
        <v>&lt;td&gt;69 - 51&lt;/td&gt;</v>
      </c>
      <c r="R74" t="str">
        <f t="shared" si="13"/>
        <v>&lt;td class="sched"&gt;Neelin JV&lt;/td&gt;</v>
      </c>
      <c r="S74" t="str">
        <f t="shared" si="14"/>
        <v>&lt;td&gt;BSSI Tri-Star 11th Place&lt;/td&gt; &lt;/tr&gt;</v>
      </c>
    </row>
    <row r="75" spans="1:19" x14ac:dyDescent="0.25">
      <c r="A75" s="5">
        <v>42350</v>
      </c>
      <c r="B75" s="6">
        <v>0.5625</v>
      </c>
      <c r="C75" t="s">
        <v>162</v>
      </c>
      <c r="D75" t="s">
        <v>164</v>
      </c>
      <c r="E75">
        <v>50</v>
      </c>
      <c r="F75" t="s">
        <v>30</v>
      </c>
      <c r="G75" t="s">
        <v>92</v>
      </c>
      <c r="H75">
        <v>81</v>
      </c>
      <c r="J75" t="str">
        <f t="shared" si="8"/>
        <v>H</v>
      </c>
      <c r="K75" t="s">
        <v>227</v>
      </c>
      <c r="L75" t="s">
        <v>183</v>
      </c>
      <c r="N75" t="str">
        <f t="shared" si="9"/>
        <v>&lt;tr&gt; &lt;td&gt;Dec. 12&lt;/td&gt;</v>
      </c>
      <c r="O75" t="str">
        <f t="shared" si="10"/>
        <v>&lt;td&gt;1:30 PM&lt;/td&gt;</v>
      </c>
      <c r="P75" t="str">
        <f t="shared" si="11"/>
        <v>&lt;td class="GVCsched"&gt;Garden Valley&lt;/td&gt;</v>
      </c>
      <c r="Q75" t="str">
        <f t="shared" si="12"/>
        <v>&lt;td&gt;50 - 81&lt;/td&gt;</v>
      </c>
      <c r="R75" t="str">
        <f t="shared" si="13"/>
        <v>&lt;td class="SJHSsched"&gt;St. John's&lt;/td&gt;</v>
      </c>
      <c r="S75" t="str">
        <f t="shared" si="14"/>
        <v>&lt;td&gt;BSSI Tri-Star 3rd Place&lt;/td&gt; &lt;/tr&gt;</v>
      </c>
    </row>
    <row r="76" spans="1:19" x14ac:dyDescent="0.25">
      <c r="A76" s="5">
        <v>42350</v>
      </c>
      <c r="B76" s="6">
        <v>0.5625</v>
      </c>
      <c r="C76" t="s">
        <v>292</v>
      </c>
      <c r="E76">
        <v>74</v>
      </c>
      <c r="F76" t="s">
        <v>104</v>
      </c>
      <c r="G76" t="s">
        <v>105</v>
      </c>
      <c r="H76">
        <v>52</v>
      </c>
      <c r="J76" t="str">
        <f t="shared" si="8"/>
        <v>V</v>
      </c>
      <c r="K76" t="s">
        <v>202</v>
      </c>
      <c r="L76" t="s">
        <v>181</v>
      </c>
      <c r="N76" t="str">
        <f t="shared" si="9"/>
        <v>&lt;tr&gt; &lt;td&gt;Dec. 12&lt;/td&gt;</v>
      </c>
      <c r="O76" t="str">
        <f t="shared" si="10"/>
        <v>&lt;td&gt;1:30 PM&lt;/td&gt;</v>
      </c>
      <c r="P76" t="str">
        <f t="shared" si="11"/>
        <v>&lt;td class="sched"&gt;U of W Collegiate&lt;/td&gt;</v>
      </c>
      <c r="Q76" t="str">
        <f t="shared" si="12"/>
        <v>&lt;td&gt;74 - 52&lt;/td&gt;</v>
      </c>
      <c r="R76" t="str">
        <f t="shared" si="13"/>
        <v>&lt;td class="SCIsched"&gt;Springfield&lt;/td&gt;</v>
      </c>
      <c r="S76" t="str">
        <f t="shared" si="14"/>
        <v>&lt;td&gt;Barons Earlybird 7th Place&lt;/td&gt; &lt;/tr&gt;</v>
      </c>
    </row>
    <row r="77" spans="1:19" x14ac:dyDescent="0.25">
      <c r="A77" s="5">
        <v>42350</v>
      </c>
      <c r="B77" s="6">
        <v>0.63888888888888895</v>
      </c>
      <c r="C77" t="s">
        <v>11</v>
      </c>
      <c r="D77" t="s">
        <v>48</v>
      </c>
      <c r="E77">
        <v>85</v>
      </c>
      <c r="F77" t="s">
        <v>13</v>
      </c>
      <c r="G77" t="s">
        <v>98</v>
      </c>
      <c r="H77">
        <v>40</v>
      </c>
      <c r="J77" t="str">
        <f t="shared" si="8"/>
        <v>V</v>
      </c>
      <c r="K77" t="s">
        <v>221</v>
      </c>
      <c r="L77" t="s">
        <v>284</v>
      </c>
      <c r="N77" t="str">
        <f t="shared" si="9"/>
        <v>&lt;tr&gt; &lt;td&gt;Dec. 12&lt;/td&gt;</v>
      </c>
      <c r="O77" t="str">
        <f t="shared" si="10"/>
        <v>&lt;td&gt;3:20 PM&lt;/td&gt;</v>
      </c>
      <c r="P77" t="str">
        <f t="shared" si="11"/>
        <v>&lt;td class="MMCsched"&gt;Miles Macdonell&lt;/td&gt;</v>
      </c>
      <c r="Q77" t="str">
        <f t="shared" si="12"/>
        <v>&lt;td&gt;85 - 40&lt;/td&gt;</v>
      </c>
      <c r="R77" t="str">
        <f t="shared" si="13"/>
        <v>&lt;td class="WWCsched"&gt;Westwood&lt;/td&gt;</v>
      </c>
      <c r="S77" t="str">
        <f t="shared" si="14"/>
        <v>&lt;td&gt;BSSI Victoria Inn 13th Place Game 2&lt;/td&gt; &lt;/tr&gt;</v>
      </c>
    </row>
    <row r="78" spans="1:19" x14ac:dyDescent="0.25">
      <c r="A78" s="5">
        <v>42350</v>
      </c>
      <c r="B78" s="6">
        <v>0.63888888888888895</v>
      </c>
      <c r="C78" t="s">
        <v>18</v>
      </c>
      <c r="D78" t="s">
        <v>52</v>
      </c>
      <c r="E78">
        <v>73</v>
      </c>
      <c r="F78" t="s">
        <v>21</v>
      </c>
      <c r="G78" t="s">
        <v>64</v>
      </c>
      <c r="H78">
        <v>53</v>
      </c>
      <c r="J78" t="str">
        <f t="shared" si="8"/>
        <v>V</v>
      </c>
      <c r="K78" t="s">
        <v>221</v>
      </c>
      <c r="L78" t="s">
        <v>194</v>
      </c>
      <c r="N78" t="str">
        <f t="shared" si="9"/>
        <v>&lt;tr&gt; &lt;td&gt;Dec. 12&lt;/td&gt;</v>
      </c>
      <c r="O78" t="str">
        <f t="shared" si="10"/>
        <v>&lt;td&gt;3:20 PM&lt;/td&gt;</v>
      </c>
      <c r="P78" t="str">
        <f t="shared" si="11"/>
        <v>&lt;td class="RECsched"&gt;River East&lt;/td&gt;</v>
      </c>
      <c r="Q78" t="str">
        <f t="shared" si="12"/>
        <v>&lt;td&gt;73 - 53&lt;/td&gt;</v>
      </c>
      <c r="R78" t="str">
        <f t="shared" si="13"/>
        <v>&lt;td class="JHBsched"&gt;J.H. Bruns&lt;/td&gt;</v>
      </c>
      <c r="S78" t="str">
        <f t="shared" si="14"/>
        <v>&lt;td&gt;BSSI Victoria Inn 11th Place&lt;/td&gt; &lt;/tr&gt;</v>
      </c>
    </row>
    <row r="79" spans="1:19" x14ac:dyDescent="0.25">
      <c r="A79" s="5">
        <v>42350</v>
      </c>
      <c r="B79" s="6">
        <v>0.63888888888888895</v>
      </c>
      <c r="C79" t="s">
        <v>157</v>
      </c>
      <c r="E79">
        <v>54</v>
      </c>
      <c r="F79" t="s">
        <v>22</v>
      </c>
      <c r="G79" t="s">
        <v>66</v>
      </c>
      <c r="H79">
        <v>61</v>
      </c>
      <c r="J79" t="str">
        <f t="shared" si="8"/>
        <v>H</v>
      </c>
      <c r="K79" t="s">
        <v>227</v>
      </c>
      <c r="L79" t="s">
        <v>195</v>
      </c>
      <c r="N79" t="str">
        <f t="shared" si="9"/>
        <v>&lt;tr&gt; &lt;td&gt;Dec. 12&lt;/td&gt;</v>
      </c>
      <c r="O79" t="str">
        <f t="shared" si="10"/>
        <v>&lt;td&gt;3:20 PM&lt;/td&gt;</v>
      </c>
      <c r="P79" t="str">
        <f t="shared" si="11"/>
        <v>&lt;td class="sched"&gt;R.D. Parker&lt;/td&gt;</v>
      </c>
      <c r="Q79" t="str">
        <f t="shared" si="12"/>
        <v>&lt;td&gt;54 - 61&lt;/td&gt;</v>
      </c>
      <c r="R79" t="str">
        <f t="shared" si="13"/>
        <v>&lt;td class="SRSSsched"&gt;Steinbach&lt;/td&gt;</v>
      </c>
      <c r="S79" t="str">
        <f t="shared" si="14"/>
        <v>&lt;td&gt;BSSI Tri-Star 9th Place&lt;/td&gt; &lt;/tr&gt;</v>
      </c>
    </row>
    <row r="80" spans="1:19" x14ac:dyDescent="0.25">
      <c r="A80" s="5">
        <v>42350</v>
      </c>
      <c r="B80" s="6">
        <v>0.63888888888888895</v>
      </c>
      <c r="C80" t="s">
        <v>256</v>
      </c>
      <c r="E80">
        <v>61</v>
      </c>
      <c r="F80" t="s">
        <v>32</v>
      </c>
      <c r="G80" t="s">
        <v>100</v>
      </c>
      <c r="H80">
        <v>88</v>
      </c>
      <c r="J80" t="str">
        <f t="shared" si="8"/>
        <v>H</v>
      </c>
      <c r="K80" t="s">
        <v>227</v>
      </c>
      <c r="L80" t="s">
        <v>224</v>
      </c>
      <c r="N80" t="str">
        <f t="shared" si="9"/>
        <v>&lt;tr&gt; &lt;td&gt;Dec. 12&lt;/td&gt;</v>
      </c>
      <c r="O80" t="str">
        <f t="shared" si="10"/>
        <v>&lt;td&gt;3:20 PM&lt;/td&gt;</v>
      </c>
      <c r="P80" t="str">
        <f t="shared" si="11"/>
        <v>&lt;td class="sched"&gt;Neelin&lt;/td&gt;</v>
      </c>
      <c r="Q80" t="str">
        <f t="shared" si="12"/>
        <v>&lt;td&gt;61 - 88&lt;/td&gt;</v>
      </c>
      <c r="R80" t="str">
        <f t="shared" si="13"/>
        <v>&lt;td class="CPRSsched"&gt;Crocus Plains&lt;/td&gt;</v>
      </c>
      <c r="S80" t="str">
        <f t="shared" si="14"/>
        <v>&lt;td&gt;BSSI Tri-Star 5th Place&lt;/td&gt; &lt;/tr&gt;</v>
      </c>
    </row>
    <row r="81" spans="1:19" x14ac:dyDescent="0.25">
      <c r="A81" s="5">
        <v>42350</v>
      </c>
      <c r="B81" s="6">
        <v>0.71527777777777779</v>
      </c>
      <c r="C81" t="s">
        <v>13</v>
      </c>
      <c r="D81" t="s">
        <v>98</v>
      </c>
      <c r="E81">
        <v>23</v>
      </c>
      <c r="F81" t="s">
        <v>7</v>
      </c>
      <c r="G81" t="s">
        <v>7</v>
      </c>
      <c r="H81">
        <v>50</v>
      </c>
      <c r="J81" t="str">
        <f t="shared" si="8"/>
        <v>H</v>
      </c>
      <c r="K81" t="s">
        <v>221</v>
      </c>
      <c r="L81" t="s">
        <v>285</v>
      </c>
      <c r="N81" t="str">
        <f t="shared" si="9"/>
        <v>&lt;tr&gt; &lt;td&gt;Dec. 12&lt;/td&gt;</v>
      </c>
      <c r="O81" t="str">
        <f t="shared" si="10"/>
        <v>&lt;td&gt;5:10 PM&lt;/td&gt;</v>
      </c>
      <c r="P81" t="str">
        <f t="shared" si="11"/>
        <v>&lt;td class="WWCsched"&gt;Westwood&lt;/td&gt;</v>
      </c>
      <c r="Q81" t="str">
        <f t="shared" si="12"/>
        <v>&lt;td&gt;23 - 50&lt;/td&gt;</v>
      </c>
      <c r="R81" t="str">
        <f t="shared" si="13"/>
        <v>&lt;td class="MBCIsched"&gt;MBCI&lt;/td&gt;</v>
      </c>
      <c r="S81" t="str">
        <f t="shared" si="14"/>
        <v>&lt;td&gt;BSSI Victoria Inn 13th Place Game 3&lt;/td&gt; &lt;/tr&gt;</v>
      </c>
    </row>
    <row r="82" spans="1:19" x14ac:dyDescent="0.25">
      <c r="A82" s="5">
        <v>42350</v>
      </c>
      <c r="B82" s="6">
        <v>0.71527777777777779</v>
      </c>
      <c r="C82" t="s">
        <v>23</v>
      </c>
      <c r="D82" t="s">
        <v>80</v>
      </c>
      <c r="E82">
        <v>66</v>
      </c>
      <c r="F82" t="s">
        <v>5</v>
      </c>
      <c r="G82" t="s">
        <v>62</v>
      </c>
      <c r="H82">
        <v>53</v>
      </c>
      <c r="J82" t="str">
        <f t="shared" si="8"/>
        <v>V</v>
      </c>
      <c r="K82" t="s">
        <v>221</v>
      </c>
      <c r="L82" t="s">
        <v>195</v>
      </c>
      <c r="N82" t="str">
        <f t="shared" si="9"/>
        <v>&lt;tr&gt; &lt;td&gt;Dec. 12&lt;/td&gt;</v>
      </c>
      <c r="O82" t="str">
        <f t="shared" si="10"/>
        <v>&lt;td&gt;5:10 PM&lt;/td&gt;</v>
      </c>
      <c r="P82" t="str">
        <f t="shared" si="11"/>
        <v>&lt;td class="VMCsched"&gt;Vincent Massey&lt;/td&gt;</v>
      </c>
      <c r="Q82" t="str">
        <f t="shared" si="12"/>
        <v>&lt;td&gt;66 - 53&lt;/td&gt;</v>
      </c>
      <c r="R82" t="str">
        <f t="shared" si="13"/>
        <v>&lt;td class="GCIsched"&gt;Glenlawn&lt;/td&gt;</v>
      </c>
      <c r="S82" t="str">
        <f t="shared" si="14"/>
        <v>&lt;td&gt;BSSI Victoria Inn 9th Place&lt;/td&gt; &lt;/tr&gt;</v>
      </c>
    </row>
    <row r="83" spans="1:19" x14ac:dyDescent="0.25">
      <c r="A83" s="5">
        <v>42350</v>
      </c>
      <c r="B83" s="6">
        <v>0.71527777777777779</v>
      </c>
      <c r="C83" t="s">
        <v>16</v>
      </c>
      <c r="D83" t="s">
        <v>45</v>
      </c>
      <c r="E83">
        <v>114</v>
      </c>
      <c r="F83" t="s">
        <v>15</v>
      </c>
      <c r="G83" t="s">
        <v>68</v>
      </c>
      <c r="H83">
        <v>106</v>
      </c>
      <c r="J83" t="str">
        <f t="shared" si="8"/>
        <v>V</v>
      </c>
      <c r="K83" t="s">
        <v>221</v>
      </c>
      <c r="L83" t="s">
        <v>181</v>
      </c>
      <c r="N83" t="str">
        <f t="shared" si="9"/>
        <v>&lt;tr&gt; &lt;td&gt;Dec. 12&lt;/td&gt;</v>
      </c>
      <c r="O83" t="str">
        <f t="shared" si="10"/>
        <v>&lt;td&gt;5:10 PM&lt;/td&gt;</v>
      </c>
      <c r="P83" t="str">
        <f t="shared" si="11"/>
        <v>&lt;td class="MCsched"&gt;Maples&lt;/td&gt;</v>
      </c>
      <c r="Q83" t="str">
        <f t="shared" si="12"/>
        <v>&lt;td&gt;114 - 106&lt;/td&gt;</v>
      </c>
      <c r="R83" t="str">
        <f t="shared" si="13"/>
        <v>&lt;td class="FRCsched"&gt;Fort Richmond&lt;/td&gt;</v>
      </c>
      <c r="S83" t="str">
        <f t="shared" si="14"/>
        <v>&lt;td&gt;BSSI Victoria Inn 7th Place&lt;/td&gt; &lt;/tr&gt;</v>
      </c>
    </row>
    <row r="84" spans="1:19" x14ac:dyDescent="0.25">
      <c r="A84" s="5">
        <v>42350</v>
      </c>
      <c r="B84" s="6">
        <v>0.71527777777777779</v>
      </c>
      <c r="C84" t="s">
        <v>213</v>
      </c>
      <c r="D84" t="s">
        <v>540</v>
      </c>
      <c r="E84">
        <v>84</v>
      </c>
      <c r="F84" t="s">
        <v>2</v>
      </c>
      <c r="G84" t="s">
        <v>43</v>
      </c>
      <c r="H84">
        <v>56</v>
      </c>
      <c r="J84" t="str">
        <f t="shared" si="8"/>
        <v>V</v>
      </c>
      <c r="K84" t="s">
        <v>221</v>
      </c>
      <c r="L84" t="s">
        <v>224</v>
      </c>
      <c r="N84" t="str">
        <f t="shared" si="9"/>
        <v>&lt;tr&gt; &lt;td&gt;Dec. 12&lt;/td&gt;</v>
      </c>
      <c r="O84" t="str">
        <f t="shared" si="10"/>
        <v>&lt;td&gt;5:10 PM&lt;/td&gt;</v>
      </c>
      <c r="P84" t="str">
        <f t="shared" si="11"/>
        <v>&lt;td class="SJRsched"&gt;St. John's-Ravenscourt&lt;/td&gt;</v>
      </c>
      <c r="Q84" t="str">
        <f t="shared" si="12"/>
        <v>&lt;td&gt;84 - 56&lt;/td&gt;</v>
      </c>
      <c r="R84" t="str">
        <f t="shared" si="13"/>
        <v>&lt;td class="KECsched"&gt;Kildonan-East&lt;/td&gt;</v>
      </c>
      <c r="S84" t="str">
        <f t="shared" si="14"/>
        <v>&lt;td&gt;BSSI Victoria Inn 5th Place&lt;/td&gt; &lt;/tr&gt;</v>
      </c>
    </row>
    <row r="85" spans="1:19" x14ac:dyDescent="0.25">
      <c r="A85" s="5">
        <v>42350</v>
      </c>
      <c r="B85" s="6">
        <v>0.79166666666666663</v>
      </c>
      <c r="C85" t="s">
        <v>8</v>
      </c>
      <c r="D85" t="s">
        <v>60</v>
      </c>
      <c r="E85">
        <v>67</v>
      </c>
      <c r="F85" t="s">
        <v>10</v>
      </c>
      <c r="G85" t="s">
        <v>72</v>
      </c>
      <c r="H85">
        <v>44</v>
      </c>
      <c r="J85" t="str">
        <f t="shared" si="8"/>
        <v>V</v>
      </c>
      <c r="K85" t="s">
        <v>221</v>
      </c>
      <c r="L85" t="s">
        <v>183</v>
      </c>
      <c r="N85" t="str">
        <f t="shared" si="9"/>
        <v>&lt;tr&gt; &lt;td&gt;Dec. 12&lt;/td&gt;</v>
      </c>
      <c r="O85" t="str">
        <f t="shared" si="10"/>
        <v>&lt;td&gt;7:00 PM&lt;/td&gt;</v>
      </c>
      <c r="P85" t="str">
        <f t="shared" si="11"/>
        <v>&lt;td class="DCIsched"&gt;Dakota&lt;/td&gt;</v>
      </c>
      <c r="Q85" t="str">
        <f t="shared" si="12"/>
        <v>&lt;td&gt;67 - 44&lt;/td&gt;</v>
      </c>
      <c r="R85" t="str">
        <f t="shared" si="13"/>
        <v>&lt;td class="KHSsched"&gt;Kelvin&lt;/td&gt;</v>
      </c>
      <c r="S85" t="str">
        <f t="shared" si="14"/>
        <v>&lt;td&gt;BSSI Victoria Inn 3rd Place&lt;/td&gt; &lt;/tr&gt;</v>
      </c>
    </row>
    <row r="86" spans="1:19" x14ac:dyDescent="0.25">
      <c r="A86" s="5">
        <v>42350</v>
      </c>
      <c r="B86" s="6">
        <v>0.79166666666666663</v>
      </c>
      <c r="C86" t="s">
        <v>1</v>
      </c>
      <c r="D86" t="s">
        <v>74</v>
      </c>
      <c r="E86">
        <v>87</v>
      </c>
      <c r="F86" t="s">
        <v>4</v>
      </c>
      <c r="G86" t="s">
        <v>41</v>
      </c>
      <c r="H86">
        <v>69</v>
      </c>
      <c r="J86" t="str">
        <f t="shared" si="8"/>
        <v>V</v>
      </c>
      <c r="K86" t="s">
        <v>221</v>
      </c>
      <c r="L86" t="s">
        <v>184</v>
      </c>
      <c r="N86" t="str">
        <f t="shared" si="9"/>
        <v>&lt;tr&gt; &lt;td&gt;Dec. 12&lt;/td&gt;</v>
      </c>
      <c r="O86" t="str">
        <f t="shared" si="10"/>
        <v>&lt;td&gt;7:00 PM&lt;/td&gt;</v>
      </c>
      <c r="P86" t="str">
        <f t="shared" si="11"/>
        <v>&lt;td class="OPHSsched"&gt;Oak Park&lt;/td&gt;</v>
      </c>
      <c r="Q86" t="str">
        <f t="shared" si="12"/>
        <v>&lt;td&gt;87 - 69&lt;/td&gt;</v>
      </c>
      <c r="R86" t="str">
        <f t="shared" si="13"/>
        <v>&lt;td class="GCCsched"&gt;Garden City&lt;/td&gt;</v>
      </c>
      <c r="S86" t="str">
        <f t="shared" si="14"/>
        <v>&lt;td&gt;BSSI Victoria Inn Championship&lt;/td&gt; &lt;/tr&gt;</v>
      </c>
    </row>
    <row r="87" spans="1:19" x14ac:dyDescent="0.25">
      <c r="A87" s="5">
        <v>42352</v>
      </c>
      <c r="B87" s="6">
        <v>0.8125</v>
      </c>
      <c r="C87" t="s">
        <v>104</v>
      </c>
      <c r="D87" t="s">
        <v>105</v>
      </c>
      <c r="E87">
        <v>39</v>
      </c>
      <c r="F87" t="s">
        <v>19</v>
      </c>
      <c r="G87" t="s">
        <v>56</v>
      </c>
      <c r="H87">
        <v>50</v>
      </c>
      <c r="J87" t="str">
        <f t="shared" si="8"/>
        <v>H</v>
      </c>
      <c r="K87" t="s">
        <v>37</v>
      </c>
      <c r="L87" t="s">
        <v>228</v>
      </c>
      <c r="M87" t="s">
        <v>229</v>
      </c>
      <c r="N87" t="str">
        <f t="shared" si="9"/>
        <v>&lt;tr&gt; &lt;td&gt;Dec. 14&lt;/td&gt;</v>
      </c>
      <c r="O87" t="str">
        <f t="shared" si="10"/>
        <v>&lt;td&gt;7:30 PM&lt;/td&gt;</v>
      </c>
      <c r="P87" t="str">
        <f t="shared" si="11"/>
        <v>&lt;td class="SCIsched"&gt;Springfield&lt;/td&gt;</v>
      </c>
      <c r="Q87" t="str">
        <f t="shared" si="12"/>
        <v>&lt;td&gt;39 - 50&lt;/td&gt;</v>
      </c>
      <c r="R87" t="str">
        <f t="shared" si="13"/>
        <v>&lt;td class="TCIsched"&gt;Transcona&lt;/td&gt;</v>
      </c>
      <c r="S87" t="str">
        <f t="shared" si="14"/>
        <v>&lt;td&gt;KPAC Regular Season&lt;/td&gt; &lt;/tr&gt;</v>
      </c>
    </row>
    <row r="88" spans="1:19" x14ac:dyDescent="0.25">
      <c r="A88" s="5">
        <v>42352</v>
      </c>
      <c r="B88" s="6">
        <v>0.8125</v>
      </c>
      <c r="C88" t="s">
        <v>2</v>
      </c>
      <c r="D88" t="s">
        <v>43</v>
      </c>
      <c r="E88">
        <v>104</v>
      </c>
      <c r="F88" t="s">
        <v>11</v>
      </c>
      <c r="G88" t="s">
        <v>48</v>
      </c>
      <c r="H88">
        <v>66</v>
      </c>
      <c r="J88" t="str">
        <f t="shared" si="8"/>
        <v>V</v>
      </c>
      <c r="K88" t="s">
        <v>37</v>
      </c>
      <c r="L88" t="s">
        <v>228</v>
      </c>
      <c r="M88" t="s">
        <v>229</v>
      </c>
      <c r="N88" t="str">
        <f t="shared" si="9"/>
        <v>&lt;tr&gt; &lt;td&gt;Dec. 14&lt;/td&gt;</v>
      </c>
      <c r="O88" t="str">
        <f t="shared" si="10"/>
        <v>&lt;td&gt;7:30 PM&lt;/td&gt;</v>
      </c>
      <c r="P88" t="str">
        <f t="shared" si="11"/>
        <v>&lt;td class="KECsched"&gt;Kildonan-East&lt;/td&gt;</v>
      </c>
      <c r="Q88" t="str">
        <f t="shared" si="12"/>
        <v>&lt;td&gt;104 - 66&lt;/td&gt;</v>
      </c>
      <c r="R88" t="str">
        <f t="shared" si="13"/>
        <v>&lt;td class="MMCsched"&gt;Miles Macdonell&lt;/td&gt;</v>
      </c>
      <c r="S88" t="str">
        <f t="shared" si="14"/>
        <v>&lt;td&gt;KPAC Regular Season&lt;/td&gt; &lt;/tr&gt;</v>
      </c>
    </row>
    <row r="89" spans="1:19" x14ac:dyDescent="0.25">
      <c r="A89" s="5">
        <v>42352</v>
      </c>
      <c r="B89" s="6">
        <v>0.8125</v>
      </c>
      <c r="C89" t="s">
        <v>4</v>
      </c>
      <c r="D89" t="s">
        <v>41</v>
      </c>
      <c r="E89">
        <v>101</v>
      </c>
      <c r="F89" t="s">
        <v>12</v>
      </c>
      <c r="G89" t="s">
        <v>54</v>
      </c>
      <c r="H89">
        <v>36</v>
      </c>
      <c r="J89" t="str">
        <f t="shared" si="8"/>
        <v>V</v>
      </c>
      <c r="K89" t="s">
        <v>37</v>
      </c>
      <c r="L89" t="s">
        <v>228</v>
      </c>
      <c r="M89" t="s">
        <v>229</v>
      </c>
      <c r="N89" t="str">
        <f t="shared" si="9"/>
        <v>&lt;tr&gt; &lt;td&gt;Dec. 14&lt;/td&gt;</v>
      </c>
      <c r="O89" t="str">
        <f t="shared" si="10"/>
        <v>&lt;td&gt;7:30 PM&lt;/td&gt;</v>
      </c>
      <c r="P89" t="str">
        <f t="shared" si="11"/>
        <v>&lt;td class="GCCsched"&gt;Garden City&lt;/td&gt;</v>
      </c>
      <c r="Q89" t="str">
        <f t="shared" si="12"/>
        <v>&lt;td&gt;101 - 36&lt;/td&gt;</v>
      </c>
      <c r="R89" t="str">
        <f t="shared" si="13"/>
        <v>&lt;td class="LSsched"&gt;Selkirk&lt;/td&gt;</v>
      </c>
      <c r="S89" t="str">
        <f t="shared" si="14"/>
        <v>&lt;td&gt;KPAC Regular Season&lt;/td&gt; &lt;/tr&gt;</v>
      </c>
    </row>
    <row r="90" spans="1:19" x14ac:dyDescent="0.25">
      <c r="A90" s="5">
        <v>42352</v>
      </c>
      <c r="C90" t="s">
        <v>13</v>
      </c>
      <c r="D90" t="s">
        <v>98</v>
      </c>
      <c r="E90">
        <v>35</v>
      </c>
      <c r="F90" t="s">
        <v>24</v>
      </c>
      <c r="G90" t="s">
        <v>82</v>
      </c>
      <c r="H90">
        <v>90</v>
      </c>
      <c r="J90" t="str">
        <f t="shared" si="8"/>
        <v>H</v>
      </c>
      <c r="K90" t="s">
        <v>296</v>
      </c>
      <c r="L90" t="s">
        <v>173</v>
      </c>
      <c r="N90" t="str">
        <f t="shared" si="9"/>
        <v>&lt;tr&gt; &lt;td&gt;Dec. 14&lt;/td&gt;</v>
      </c>
      <c r="O90" t="str">
        <f t="shared" si="10"/>
        <v>&lt;td&gt;&lt;/td&gt;</v>
      </c>
      <c r="P90" t="str">
        <f t="shared" si="11"/>
        <v>&lt;td class="WWCsched"&gt;Westwood&lt;/td&gt;</v>
      </c>
      <c r="Q90" t="str">
        <f t="shared" si="12"/>
        <v>&lt;td&gt;35 - 90&lt;/td&gt;</v>
      </c>
      <c r="R90" t="str">
        <f t="shared" si="13"/>
        <v>&lt;td class="DMCIsched"&gt;Daniel McIntyre&lt;/td&gt;</v>
      </c>
      <c r="S90" t="str">
        <f t="shared" si="14"/>
        <v>&lt;td&gt;DMIT Quarterfinal 1&lt;/td&gt; &lt;/tr&gt;</v>
      </c>
    </row>
    <row r="91" spans="1:19" x14ac:dyDescent="0.25">
      <c r="A91" s="5">
        <v>42352</v>
      </c>
      <c r="C91" t="s">
        <v>26</v>
      </c>
      <c r="D91" t="s">
        <v>86</v>
      </c>
      <c r="E91">
        <v>38</v>
      </c>
      <c r="F91" t="s">
        <v>9</v>
      </c>
      <c r="G91" t="s">
        <v>76</v>
      </c>
      <c r="H91">
        <v>73</v>
      </c>
      <c r="J91" t="str">
        <f t="shared" si="8"/>
        <v>H</v>
      </c>
      <c r="K91" t="s">
        <v>296</v>
      </c>
      <c r="L91" t="s">
        <v>174</v>
      </c>
      <c r="N91" t="str">
        <f t="shared" si="9"/>
        <v>&lt;tr&gt; &lt;td&gt;Dec. 14&lt;/td&gt;</v>
      </c>
      <c r="O91" t="str">
        <f t="shared" si="10"/>
        <v>&lt;td&gt;&lt;/td&gt;</v>
      </c>
      <c r="P91" t="str">
        <f t="shared" si="11"/>
        <v>&lt;td class="GBHSsched"&gt;Gordon Bell&lt;/td&gt;</v>
      </c>
      <c r="Q91" t="str">
        <f t="shared" si="12"/>
        <v>&lt;td&gt;38 - 73&lt;/td&gt;</v>
      </c>
      <c r="R91" t="str">
        <f t="shared" si="13"/>
        <v>&lt;td class="SiHSsched"&gt;Sisler&lt;/td&gt;</v>
      </c>
      <c r="S91" t="str">
        <f t="shared" si="14"/>
        <v>&lt;td&gt;DMIT Quarterfinal 2&lt;/td&gt; &lt;/tr&gt;</v>
      </c>
    </row>
    <row r="92" spans="1:19" x14ac:dyDescent="0.25">
      <c r="A92" s="5">
        <v>42352</v>
      </c>
      <c r="C92" t="s">
        <v>5</v>
      </c>
      <c r="D92" t="s">
        <v>62</v>
      </c>
      <c r="E92">
        <v>76</v>
      </c>
      <c r="F92" t="s">
        <v>31</v>
      </c>
      <c r="G92" t="s">
        <v>96</v>
      </c>
      <c r="H92">
        <v>72</v>
      </c>
      <c r="J92" t="str">
        <f t="shared" si="8"/>
        <v>V</v>
      </c>
      <c r="K92" t="s">
        <v>296</v>
      </c>
      <c r="L92" t="s">
        <v>175</v>
      </c>
      <c r="N92" t="str">
        <f t="shared" si="9"/>
        <v>&lt;tr&gt; &lt;td&gt;Dec. 14&lt;/td&gt;</v>
      </c>
      <c r="O92" t="str">
        <f t="shared" si="10"/>
        <v>&lt;td&gt;&lt;/td&gt;</v>
      </c>
      <c r="P92" t="str">
        <f t="shared" si="11"/>
        <v>&lt;td class="GCIsched"&gt;Glenlawn&lt;/td&gt;</v>
      </c>
      <c r="Q92" t="str">
        <f t="shared" si="12"/>
        <v>&lt;td&gt;76 - 72&lt;/td&gt;</v>
      </c>
      <c r="R92" t="str">
        <f t="shared" si="13"/>
        <v>&lt;td class="TVHSsched"&gt;Tec Voc&lt;/td&gt;</v>
      </c>
      <c r="S92" t="str">
        <f t="shared" si="14"/>
        <v>&lt;td&gt;DMIT Quarterfinal 3&lt;/td&gt; &lt;/tr&gt;</v>
      </c>
    </row>
    <row r="93" spans="1:19" x14ac:dyDescent="0.25">
      <c r="A93" s="5">
        <v>42352</v>
      </c>
      <c r="C93" t="s">
        <v>3</v>
      </c>
      <c r="D93" t="s">
        <v>78</v>
      </c>
      <c r="E93">
        <v>83</v>
      </c>
      <c r="F93" t="s">
        <v>16</v>
      </c>
      <c r="G93" t="s">
        <v>45</v>
      </c>
      <c r="H93">
        <v>69</v>
      </c>
      <c r="J93" t="str">
        <f t="shared" si="8"/>
        <v>V</v>
      </c>
      <c r="K93" t="s">
        <v>296</v>
      </c>
      <c r="L93" t="s">
        <v>176</v>
      </c>
      <c r="N93" t="str">
        <f t="shared" si="9"/>
        <v>&lt;tr&gt; &lt;td&gt;Dec. 14&lt;/td&gt;</v>
      </c>
      <c r="O93" t="str">
        <f t="shared" si="10"/>
        <v>&lt;td&gt;&lt;/td&gt;</v>
      </c>
      <c r="P93" t="str">
        <f t="shared" si="11"/>
        <v>&lt;td class="SPHSsched"&gt;St. Paul's&lt;/td&gt;</v>
      </c>
      <c r="Q93" t="str">
        <f t="shared" si="12"/>
        <v>&lt;td&gt;83 - 69&lt;/td&gt;</v>
      </c>
      <c r="R93" t="str">
        <f t="shared" si="13"/>
        <v>&lt;td class="MCsched"&gt;Maples&lt;/td&gt;</v>
      </c>
      <c r="S93" t="str">
        <f t="shared" si="14"/>
        <v>&lt;td&gt;DMIT Quarterfinal 4&lt;/td&gt; &lt;/tr&gt;</v>
      </c>
    </row>
    <row r="94" spans="1:19" x14ac:dyDescent="0.25">
      <c r="A94" s="5">
        <v>42353</v>
      </c>
      <c r="B94" s="6">
        <v>0.6875</v>
      </c>
      <c r="C94" t="s">
        <v>27</v>
      </c>
      <c r="D94" t="s">
        <v>88</v>
      </c>
      <c r="E94">
        <v>54</v>
      </c>
      <c r="F94" t="s">
        <v>3</v>
      </c>
      <c r="G94" t="s">
        <v>78</v>
      </c>
      <c r="H94">
        <v>86</v>
      </c>
      <c r="J94" t="str">
        <f t="shared" si="8"/>
        <v>H</v>
      </c>
      <c r="K94" t="s">
        <v>251</v>
      </c>
      <c r="L94" t="s">
        <v>228</v>
      </c>
      <c r="M94" t="s">
        <v>229</v>
      </c>
      <c r="N94" t="str">
        <f t="shared" si="9"/>
        <v>&lt;tr&gt; &lt;td&gt;Dec. 15&lt;/td&gt;</v>
      </c>
      <c r="O94" t="str">
        <f t="shared" si="10"/>
        <v>&lt;td&gt;4:30 PM&lt;/td&gt;</v>
      </c>
      <c r="P94" t="str">
        <f t="shared" si="11"/>
        <v>&lt;td class="GPHSsched"&gt;Grant Park&lt;/td&gt;</v>
      </c>
      <c r="Q94" t="str">
        <f t="shared" si="12"/>
        <v>&lt;td&gt;54 - 86&lt;/td&gt;</v>
      </c>
      <c r="R94" t="str">
        <f t="shared" si="13"/>
        <v>&lt;td class="SPHSsched"&gt;St. Paul's&lt;/td&gt;</v>
      </c>
      <c r="S94" t="str">
        <f t="shared" si="14"/>
        <v>&lt;td&gt;WWAC-WAC Tier 1 Regular Season&lt;/td&gt; &lt;/tr&gt;</v>
      </c>
    </row>
    <row r="95" spans="1:19" x14ac:dyDescent="0.25">
      <c r="A95" s="5">
        <v>42353</v>
      </c>
      <c r="B95" s="6">
        <v>0.82291666666666663</v>
      </c>
      <c r="C95" t="s">
        <v>32</v>
      </c>
      <c r="D95" t="s">
        <v>100</v>
      </c>
      <c r="E95">
        <v>72</v>
      </c>
      <c r="F95" t="s">
        <v>23</v>
      </c>
      <c r="G95" t="s">
        <v>102</v>
      </c>
      <c r="H95">
        <v>52</v>
      </c>
      <c r="J95" t="str">
        <f t="shared" si="8"/>
        <v>V</v>
      </c>
      <c r="K95" t="s">
        <v>40</v>
      </c>
      <c r="L95" t="s">
        <v>228</v>
      </c>
      <c r="M95" t="s">
        <v>229</v>
      </c>
      <c r="N95" t="str">
        <f t="shared" si="9"/>
        <v>&lt;tr&gt; &lt;td&gt;Dec. 15&lt;/td&gt;</v>
      </c>
      <c r="O95" t="str">
        <f t="shared" si="10"/>
        <v>&lt;td&gt;7:45 PM&lt;/td&gt;</v>
      </c>
      <c r="P95" t="str">
        <f t="shared" si="11"/>
        <v>&lt;td class="CPRSsched"&gt;Crocus Plains&lt;/td&gt;</v>
      </c>
      <c r="Q95" t="str">
        <f t="shared" si="12"/>
        <v>&lt;td&gt;72 - 52&lt;/td&gt;</v>
      </c>
      <c r="R95" t="str">
        <f t="shared" si="13"/>
        <v>&lt;td class="VMHSsched"&gt;Vincent Massey&lt;/td&gt;</v>
      </c>
      <c r="S95" t="str">
        <f t="shared" si="14"/>
        <v>&lt;td&gt;Zone 15 Regular Season&lt;/td&gt; &lt;/tr&gt;</v>
      </c>
    </row>
    <row r="96" spans="1:19" x14ac:dyDescent="0.25">
      <c r="A96" s="5">
        <v>42353</v>
      </c>
      <c r="C96" t="s">
        <v>26</v>
      </c>
      <c r="D96" t="s">
        <v>86</v>
      </c>
      <c r="E96">
        <v>93</v>
      </c>
      <c r="F96" t="s">
        <v>13</v>
      </c>
      <c r="G96" t="s">
        <v>98</v>
      </c>
      <c r="H96">
        <v>28</v>
      </c>
      <c r="J96" t="str">
        <f t="shared" si="8"/>
        <v>V</v>
      </c>
      <c r="K96" t="s">
        <v>296</v>
      </c>
      <c r="L96" t="s">
        <v>177</v>
      </c>
      <c r="N96" t="str">
        <f t="shared" si="9"/>
        <v>&lt;tr&gt; &lt;td&gt;Dec. 15&lt;/td&gt;</v>
      </c>
      <c r="O96" t="str">
        <f t="shared" si="10"/>
        <v>&lt;td&gt;&lt;/td&gt;</v>
      </c>
      <c r="P96" t="str">
        <f t="shared" si="11"/>
        <v>&lt;td class="GBHSsched"&gt;Gordon Bell&lt;/td&gt;</v>
      </c>
      <c r="Q96" t="str">
        <f t="shared" si="12"/>
        <v>&lt;td&gt;93 - 28&lt;/td&gt;</v>
      </c>
      <c r="R96" t="str">
        <f t="shared" si="13"/>
        <v>&lt;td class="WWCsched"&gt;Westwood&lt;/td&gt;</v>
      </c>
      <c r="S96" t="str">
        <f t="shared" si="14"/>
        <v>&lt;td&gt;DMIT Consolation Semi 1&lt;/td&gt; &lt;/tr&gt;</v>
      </c>
    </row>
    <row r="97" spans="1:19" x14ac:dyDescent="0.25">
      <c r="A97" s="5">
        <v>42353</v>
      </c>
      <c r="C97" t="s">
        <v>9</v>
      </c>
      <c r="D97" t="s">
        <v>76</v>
      </c>
      <c r="E97">
        <v>84</v>
      </c>
      <c r="F97" t="s">
        <v>24</v>
      </c>
      <c r="G97" t="s">
        <v>82</v>
      </c>
      <c r="H97">
        <v>58</v>
      </c>
      <c r="J97" t="str">
        <f t="shared" si="8"/>
        <v>V</v>
      </c>
      <c r="K97" t="s">
        <v>296</v>
      </c>
      <c r="L97" t="s">
        <v>179</v>
      </c>
      <c r="N97" t="str">
        <f t="shared" si="9"/>
        <v>&lt;tr&gt; &lt;td&gt;Dec. 15&lt;/td&gt;</v>
      </c>
      <c r="O97" t="str">
        <f t="shared" si="10"/>
        <v>&lt;td&gt;&lt;/td&gt;</v>
      </c>
      <c r="P97" t="str">
        <f t="shared" si="11"/>
        <v>&lt;td class="SiHSsched"&gt;Sisler&lt;/td&gt;</v>
      </c>
      <c r="Q97" t="str">
        <f t="shared" si="12"/>
        <v>&lt;td&gt;84 - 58&lt;/td&gt;</v>
      </c>
      <c r="R97" t="str">
        <f t="shared" si="13"/>
        <v>&lt;td class="DMCIsched"&gt;Daniel McIntyre&lt;/td&gt;</v>
      </c>
      <c r="S97" t="str">
        <f t="shared" si="14"/>
        <v>&lt;td&gt;DMIT Semifinal 1&lt;/td&gt; &lt;/tr&gt;</v>
      </c>
    </row>
    <row r="98" spans="1:19" x14ac:dyDescent="0.25">
      <c r="A98" s="5">
        <v>42353</v>
      </c>
      <c r="C98" t="s">
        <v>198</v>
      </c>
      <c r="E98">
        <v>49</v>
      </c>
      <c r="F98" t="s">
        <v>29</v>
      </c>
      <c r="G98" t="s">
        <v>91</v>
      </c>
      <c r="H98">
        <v>68</v>
      </c>
      <c r="J98" t="str">
        <f t="shared" ref="J98:J129" si="15">IF(H98&gt;E98,"H",IF(E98&gt;H98,"V",""))</f>
        <v>H</v>
      </c>
      <c r="K98" t="s">
        <v>550</v>
      </c>
      <c r="L98" t="s">
        <v>175</v>
      </c>
      <c r="N98" t="str">
        <f t="shared" si="9"/>
        <v>&lt;tr&gt; &lt;td&gt;Dec. 15&lt;/td&gt;</v>
      </c>
      <c r="O98" t="str">
        <f t="shared" si="10"/>
        <v>&lt;td&gt;&lt;/td&gt;</v>
      </c>
      <c r="P98" t="str">
        <f t="shared" si="11"/>
        <v>&lt;td class="sched"&gt;Windsor Park&lt;/td&gt;</v>
      </c>
      <c r="Q98" t="str">
        <f t="shared" si="12"/>
        <v>&lt;td&gt;49 - 68&lt;/td&gt;</v>
      </c>
      <c r="R98" t="str">
        <f t="shared" si="13"/>
        <v>&lt;td class="ShHSsched"&gt;Shaftesbury&lt;/td&gt;</v>
      </c>
      <c r="S98" t="str">
        <f t="shared" si="14"/>
        <v>&lt;td&gt;St. James Holiday Classic Quarterfinal 3&lt;/td&gt; &lt;/tr&gt;</v>
      </c>
    </row>
    <row r="99" spans="1:19" x14ac:dyDescent="0.25">
      <c r="A99" s="5">
        <v>42353</v>
      </c>
      <c r="C99" t="s">
        <v>240</v>
      </c>
      <c r="E99">
        <v>64</v>
      </c>
      <c r="F99" t="s">
        <v>28</v>
      </c>
      <c r="G99" t="s">
        <v>90</v>
      </c>
      <c r="H99">
        <v>63</v>
      </c>
      <c r="J99" t="str">
        <f t="shared" si="15"/>
        <v>V</v>
      </c>
      <c r="K99" t="s">
        <v>550</v>
      </c>
      <c r="L99" t="s">
        <v>174</v>
      </c>
      <c r="N99" t="str">
        <f t="shared" si="9"/>
        <v>&lt;tr&gt; &lt;td&gt;Dec. 15&lt;/td&gt;</v>
      </c>
      <c r="O99" t="str">
        <f t="shared" si="10"/>
        <v>&lt;td&gt;&lt;/td&gt;</v>
      </c>
      <c r="P99" t="str">
        <f t="shared" si="11"/>
        <v>&lt;td class="sched"&gt;Nelson McIntyre&lt;/td&gt;</v>
      </c>
      <c r="Q99" t="str">
        <f t="shared" si="12"/>
        <v>&lt;td&gt;64 - 63&lt;/td&gt;</v>
      </c>
      <c r="R99" t="str">
        <f t="shared" si="13"/>
        <v>&lt;td class="PCIsched"&gt;Portage&lt;/td&gt;</v>
      </c>
      <c r="S99" t="str">
        <f t="shared" si="14"/>
        <v>&lt;td&gt;St. James Holiday Classic Quarterfinal 2&lt;/td&gt; &lt;/tr&gt;</v>
      </c>
    </row>
    <row r="100" spans="1:19" x14ac:dyDescent="0.25">
      <c r="A100" s="5">
        <v>42354</v>
      </c>
      <c r="B100" s="6">
        <v>0.75</v>
      </c>
      <c r="C100" t="s">
        <v>11</v>
      </c>
      <c r="D100" t="s">
        <v>48</v>
      </c>
      <c r="E100">
        <v>50</v>
      </c>
      <c r="F100" t="s">
        <v>20</v>
      </c>
      <c r="G100" t="s">
        <v>58</v>
      </c>
      <c r="H100">
        <v>77</v>
      </c>
      <c r="J100" t="str">
        <f t="shared" si="15"/>
        <v>H</v>
      </c>
      <c r="K100" t="s">
        <v>37</v>
      </c>
      <c r="L100" t="s">
        <v>228</v>
      </c>
      <c r="M100" t="s">
        <v>229</v>
      </c>
      <c r="N100" t="str">
        <f t="shared" si="9"/>
        <v>&lt;tr&gt; &lt;td&gt;Dec. 16&lt;/td&gt;</v>
      </c>
      <c r="O100" t="str">
        <f t="shared" si="10"/>
        <v>&lt;td&gt;6:00 PM&lt;/td&gt;</v>
      </c>
      <c r="P100" t="str">
        <f t="shared" si="11"/>
        <v>&lt;td class="MMCsched"&gt;Miles Macdonell&lt;/td&gt;</v>
      </c>
      <c r="Q100" t="str">
        <f t="shared" si="12"/>
        <v>&lt;td&gt;50 - 77&lt;/td&gt;</v>
      </c>
      <c r="R100" t="str">
        <f t="shared" si="13"/>
        <v>&lt;td class="WKCsched"&gt;West Kildonan&lt;/td&gt;</v>
      </c>
      <c r="S100" t="str">
        <f t="shared" si="14"/>
        <v>&lt;td&gt;KPAC Regular Season&lt;/td&gt; &lt;/tr&gt;</v>
      </c>
    </row>
    <row r="101" spans="1:19" x14ac:dyDescent="0.25">
      <c r="A101" s="5">
        <v>42354</v>
      </c>
      <c r="B101" s="6">
        <v>0.8125</v>
      </c>
      <c r="C101" t="s">
        <v>7</v>
      </c>
      <c r="D101" t="s">
        <v>7</v>
      </c>
      <c r="E101">
        <v>63</v>
      </c>
      <c r="F101" t="s">
        <v>2</v>
      </c>
      <c r="G101" t="s">
        <v>43</v>
      </c>
      <c r="H101">
        <v>104</v>
      </c>
      <c r="J101" t="str">
        <f t="shared" si="15"/>
        <v>H</v>
      </c>
      <c r="K101" t="s">
        <v>37</v>
      </c>
      <c r="L101" t="s">
        <v>228</v>
      </c>
      <c r="M101" t="s">
        <v>229</v>
      </c>
      <c r="N101" t="str">
        <f t="shared" si="9"/>
        <v>&lt;tr&gt; &lt;td&gt;Dec. 16&lt;/td&gt;</v>
      </c>
      <c r="O101" t="str">
        <f t="shared" si="10"/>
        <v>&lt;td&gt;7:30 PM&lt;/td&gt;</v>
      </c>
      <c r="P101" t="str">
        <f t="shared" si="11"/>
        <v>&lt;td class="MBCIsched"&gt;MBCI&lt;/td&gt;</v>
      </c>
      <c r="Q101" t="str">
        <f t="shared" si="12"/>
        <v>&lt;td&gt;63 - 104&lt;/td&gt;</v>
      </c>
      <c r="R101" t="str">
        <f t="shared" si="13"/>
        <v>&lt;td class="KECsched"&gt;Kildonan-East&lt;/td&gt;</v>
      </c>
      <c r="S101" t="str">
        <f t="shared" si="14"/>
        <v>&lt;td&gt;KPAC Regular Season&lt;/td&gt; &lt;/tr&gt;</v>
      </c>
    </row>
    <row r="102" spans="1:19" x14ac:dyDescent="0.25">
      <c r="A102" s="5">
        <v>42354</v>
      </c>
      <c r="C102" t="s">
        <v>16</v>
      </c>
      <c r="D102" t="s">
        <v>45</v>
      </c>
      <c r="E102">
        <v>87</v>
      </c>
      <c r="F102" t="s">
        <v>31</v>
      </c>
      <c r="G102" t="s">
        <v>96</v>
      </c>
      <c r="H102">
        <v>66</v>
      </c>
      <c r="J102" t="str">
        <f t="shared" si="15"/>
        <v>V</v>
      </c>
      <c r="K102" t="s">
        <v>296</v>
      </c>
      <c r="L102" t="s">
        <v>178</v>
      </c>
      <c r="N102" t="str">
        <f t="shared" si="9"/>
        <v>&lt;tr&gt; &lt;td&gt;Dec. 16&lt;/td&gt;</v>
      </c>
      <c r="O102" t="str">
        <f t="shared" si="10"/>
        <v>&lt;td&gt;&lt;/td&gt;</v>
      </c>
      <c r="P102" t="str">
        <f t="shared" si="11"/>
        <v>&lt;td class="MCsched"&gt;Maples&lt;/td&gt;</v>
      </c>
      <c r="Q102" t="str">
        <f t="shared" si="12"/>
        <v>&lt;td&gt;87 - 66&lt;/td&gt;</v>
      </c>
      <c r="R102" t="str">
        <f t="shared" si="13"/>
        <v>&lt;td class="TVHSsched"&gt;Tec Voc&lt;/td&gt;</v>
      </c>
      <c r="S102" t="str">
        <f t="shared" si="14"/>
        <v>&lt;td&gt;DMIT Consolation Semi 2&lt;/td&gt; &lt;/tr&gt;</v>
      </c>
    </row>
    <row r="103" spans="1:19" x14ac:dyDescent="0.25">
      <c r="A103" s="5">
        <v>42354</v>
      </c>
      <c r="C103" t="s">
        <v>3</v>
      </c>
      <c r="D103" t="s">
        <v>78</v>
      </c>
      <c r="E103">
        <v>80</v>
      </c>
      <c r="F103" t="s">
        <v>5</v>
      </c>
      <c r="G103" t="s">
        <v>62</v>
      </c>
      <c r="H103">
        <v>47</v>
      </c>
      <c r="J103" t="str">
        <f t="shared" si="15"/>
        <v>V</v>
      </c>
      <c r="K103" t="s">
        <v>296</v>
      </c>
      <c r="L103" t="s">
        <v>180</v>
      </c>
      <c r="N103" t="str">
        <f t="shared" si="9"/>
        <v>&lt;tr&gt; &lt;td&gt;Dec. 16&lt;/td&gt;</v>
      </c>
      <c r="O103" t="str">
        <f t="shared" si="10"/>
        <v>&lt;td&gt;&lt;/td&gt;</v>
      </c>
      <c r="P103" t="str">
        <f t="shared" si="11"/>
        <v>&lt;td class="SPHSsched"&gt;St. Paul's&lt;/td&gt;</v>
      </c>
      <c r="Q103" t="str">
        <f t="shared" si="12"/>
        <v>&lt;td&gt;80 - 47&lt;/td&gt;</v>
      </c>
      <c r="R103" t="str">
        <f t="shared" si="13"/>
        <v>&lt;td class="GCIsched"&gt;Glenlawn&lt;/td&gt;</v>
      </c>
      <c r="S103" t="str">
        <f t="shared" si="14"/>
        <v>&lt;td&gt;DMIT Semifinal 2&lt;/td&gt; &lt;/tr&gt;</v>
      </c>
    </row>
    <row r="104" spans="1:19" x14ac:dyDescent="0.25">
      <c r="A104" s="5">
        <v>42354</v>
      </c>
      <c r="C104" t="s">
        <v>28</v>
      </c>
      <c r="D104" t="s">
        <v>90</v>
      </c>
      <c r="E104">
        <v>70</v>
      </c>
      <c r="F104" t="s">
        <v>272</v>
      </c>
      <c r="H104">
        <v>69</v>
      </c>
      <c r="J104" t="str">
        <f t="shared" si="15"/>
        <v>V</v>
      </c>
      <c r="K104" t="s">
        <v>550</v>
      </c>
      <c r="L104" t="s">
        <v>177</v>
      </c>
      <c r="N104" t="str">
        <f t="shared" si="9"/>
        <v>&lt;tr&gt; &lt;td&gt;Dec. 16&lt;/td&gt;</v>
      </c>
      <c r="O104" t="str">
        <f t="shared" si="10"/>
        <v>&lt;td&gt;&lt;/td&gt;</v>
      </c>
      <c r="P104" t="str">
        <f t="shared" si="11"/>
        <v>&lt;td class="PCIsched"&gt;Portage&lt;/td&gt;</v>
      </c>
      <c r="Q104" t="str">
        <f t="shared" si="12"/>
        <v>&lt;td&gt;70 - 69&lt;/td&gt;</v>
      </c>
      <c r="R104" t="str">
        <f t="shared" si="13"/>
        <v>&lt;td class="sched"&gt;Lorette&lt;/td&gt;</v>
      </c>
      <c r="S104" t="str">
        <f t="shared" si="14"/>
        <v>&lt;td&gt;St. James Holiday Classic Consolation Semi 1&lt;/td&gt; &lt;/tr&gt;</v>
      </c>
    </row>
    <row r="105" spans="1:19" x14ac:dyDescent="0.25">
      <c r="A105" s="5">
        <v>42355</v>
      </c>
      <c r="C105" t="s">
        <v>208</v>
      </c>
      <c r="E105">
        <v>72</v>
      </c>
      <c r="F105" t="s">
        <v>29</v>
      </c>
      <c r="G105" t="s">
        <v>91</v>
      </c>
      <c r="H105">
        <v>75</v>
      </c>
      <c r="J105" t="str">
        <f t="shared" si="15"/>
        <v>H</v>
      </c>
      <c r="K105" t="s">
        <v>550</v>
      </c>
      <c r="L105" t="s">
        <v>180</v>
      </c>
      <c r="N105" t="str">
        <f t="shared" si="9"/>
        <v>&lt;tr&gt; &lt;td&gt;Dec. 17&lt;/td&gt;</v>
      </c>
      <c r="O105" t="str">
        <f t="shared" si="10"/>
        <v>&lt;td&gt;&lt;/td&gt;</v>
      </c>
      <c r="P105" t="str">
        <f t="shared" si="11"/>
        <v>&lt;td class="sched"&gt;Linden Christian&lt;/td&gt;</v>
      </c>
      <c r="Q105" t="str">
        <f t="shared" si="12"/>
        <v>&lt;td&gt;72 - 75&lt;/td&gt;</v>
      </c>
      <c r="R105" t="str">
        <f t="shared" si="13"/>
        <v>&lt;td class="ShHSsched"&gt;Shaftesbury&lt;/td&gt;</v>
      </c>
      <c r="S105" t="str">
        <f t="shared" si="14"/>
        <v>&lt;td&gt;St. James Holiday Classic Semifinal 2&lt;/td&gt; &lt;/tr&gt;</v>
      </c>
    </row>
    <row r="106" spans="1:19" x14ac:dyDescent="0.25">
      <c r="A106" s="5">
        <v>42355</v>
      </c>
      <c r="C106" t="s">
        <v>31</v>
      </c>
      <c r="D106" t="s">
        <v>96</v>
      </c>
      <c r="E106">
        <v>66</v>
      </c>
      <c r="F106" t="s">
        <v>13</v>
      </c>
      <c r="G106" t="s">
        <v>98</v>
      </c>
      <c r="H106">
        <v>17</v>
      </c>
      <c r="J106" t="str">
        <f t="shared" si="15"/>
        <v>V</v>
      </c>
      <c r="K106" t="s">
        <v>296</v>
      </c>
      <c r="L106" t="s">
        <v>181</v>
      </c>
      <c r="N106" t="str">
        <f t="shared" si="9"/>
        <v>&lt;tr&gt; &lt;td&gt;Dec. 17&lt;/td&gt;</v>
      </c>
      <c r="O106" t="str">
        <f t="shared" si="10"/>
        <v>&lt;td&gt;&lt;/td&gt;</v>
      </c>
      <c r="P106" t="str">
        <f t="shared" si="11"/>
        <v>&lt;td class="TVHSsched"&gt;Tec Voc&lt;/td&gt;</v>
      </c>
      <c r="Q106" t="str">
        <f t="shared" si="12"/>
        <v>&lt;td&gt;66 - 17&lt;/td&gt;</v>
      </c>
      <c r="R106" t="str">
        <f t="shared" si="13"/>
        <v>&lt;td class="WWCsched"&gt;Westwood&lt;/td&gt;</v>
      </c>
      <c r="S106" t="str">
        <f t="shared" si="14"/>
        <v>&lt;td&gt;DMIT 7th Place&lt;/td&gt; &lt;/tr&gt;</v>
      </c>
    </row>
    <row r="107" spans="1:19" x14ac:dyDescent="0.25">
      <c r="A107" s="5">
        <v>42355</v>
      </c>
      <c r="C107" t="s">
        <v>16</v>
      </c>
      <c r="D107" t="s">
        <v>45</v>
      </c>
      <c r="E107">
        <v>84</v>
      </c>
      <c r="F107" t="s">
        <v>26</v>
      </c>
      <c r="G107" t="s">
        <v>86</v>
      </c>
      <c r="H107">
        <v>50</v>
      </c>
      <c r="J107" t="str">
        <f t="shared" si="15"/>
        <v>V</v>
      </c>
      <c r="K107" t="s">
        <v>296</v>
      </c>
      <c r="L107" t="s">
        <v>182</v>
      </c>
      <c r="N107" t="str">
        <f t="shared" si="9"/>
        <v>&lt;tr&gt; &lt;td&gt;Dec. 17&lt;/td&gt;</v>
      </c>
      <c r="O107" t="str">
        <f t="shared" si="10"/>
        <v>&lt;td&gt;&lt;/td&gt;</v>
      </c>
      <c r="P107" t="str">
        <f t="shared" si="11"/>
        <v>&lt;td class="MCsched"&gt;Maples&lt;/td&gt;</v>
      </c>
      <c r="Q107" t="str">
        <f t="shared" si="12"/>
        <v>&lt;td&gt;84 - 50&lt;/td&gt;</v>
      </c>
      <c r="R107" t="str">
        <f t="shared" si="13"/>
        <v>&lt;td class="GBHSsched"&gt;Gordon Bell&lt;/td&gt;</v>
      </c>
      <c r="S107" t="str">
        <f t="shared" si="14"/>
        <v>&lt;td&gt;DMIT Consolation Final&lt;/td&gt; &lt;/tr&gt;</v>
      </c>
    </row>
    <row r="108" spans="1:19" x14ac:dyDescent="0.25">
      <c r="A108" s="5">
        <v>42356</v>
      </c>
      <c r="C108" t="s">
        <v>198</v>
      </c>
      <c r="E108">
        <v>65</v>
      </c>
      <c r="F108" t="s">
        <v>28</v>
      </c>
      <c r="G108" t="s">
        <v>90</v>
      </c>
      <c r="H108">
        <v>75</v>
      </c>
      <c r="J108" t="str">
        <f t="shared" si="15"/>
        <v>H</v>
      </c>
      <c r="K108" t="s">
        <v>550</v>
      </c>
      <c r="L108" t="s">
        <v>182</v>
      </c>
      <c r="N108" t="str">
        <f t="shared" si="9"/>
        <v>&lt;tr&gt; &lt;td&gt;Dec. 18&lt;/td&gt;</v>
      </c>
      <c r="O108" t="str">
        <f t="shared" si="10"/>
        <v>&lt;td&gt;&lt;/td&gt;</v>
      </c>
      <c r="P108" t="str">
        <f t="shared" si="11"/>
        <v>&lt;td class="sched"&gt;Windsor Park&lt;/td&gt;</v>
      </c>
      <c r="Q108" t="str">
        <f t="shared" si="12"/>
        <v>&lt;td&gt;65 - 75&lt;/td&gt;</v>
      </c>
      <c r="R108" t="str">
        <f t="shared" si="13"/>
        <v>&lt;td class="PCIsched"&gt;Portage&lt;/td&gt;</v>
      </c>
      <c r="S108" t="str">
        <f t="shared" si="14"/>
        <v>&lt;td&gt;St. James Holiday Classic Consolation Final&lt;/td&gt; &lt;/tr&gt;</v>
      </c>
    </row>
    <row r="109" spans="1:19" x14ac:dyDescent="0.25">
      <c r="A109" s="5">
        <v>42356</v>
      </c>
      <c r="C109" t="s">
        <v>29</v>
      </c>
      <c r="D109" t="s">
        <v>91</v>
      </c>
      <c r="E109">
        <v>62</v>
      </c>
      <c r="F109" t="s">
        <v>253</v>
      </c>
      <c r="H109">
        <v>96</v>
      </c>
      <c r="J109" t="str">
        <f t="shared" si="15"/>
        <v>H</v>
      </c>
      <c r="K109" t="s">
        <v>550</v>
      </c>
      <c r="L109" t="s">
        <v>184</v>
      </c>
      <c r="N109" t="str">
        <f t="shared" si="9"/>
        <v>&lt;tr&gt; &lt;td&gt;Dec. 18&lt;/td&gt;</v>
      </c>
      <c r="O109" t="str">
        <f t="shared" si="10"/>
        <v>&lt;td&gt;&lt;/td&gt;</v>
      </c>
      <c r="P109" t="str">
        <f t="shared" si="11"/>
        <v>&lt;td class="ShHSsched"&gt;Shaftesbury&lt;/td&gt;</v>
      </c>
      <c r="Q109" t="str">
        <f t="shared" si="12"/>
        <v>&lt;td&gt;62 - 96&lt;/td&gt;</v>
      </c>
      <c r="R109" t="str">
        <f t="shared" si="13"/>
        <v>&lt;td class="sched"&gt;St. James&lt;/td&gt;</v>
      </c>
      <c r="S109" t="str">
        <f t="shared" si="14"/>
        <v>&lt;td&gt;St. James Holiday Classic Championship&lt;/td&gt; &lt;/tr&gt;</v>
      </c>
    </row>
    <row r="110" spans="1:19" x14ac:dyDescent="0.25">
      <c r="A110" s="5">
        <v>42356</v>
      </c>
      <c r="C110" t="s">
        <v>5</v>
      </c>
      <c r="D110" t="s">
        <v>62</v>
      </c>
      <c r="E110">
        <v>82</v>
      </c>
      <c r="F110" t="s">
        <v>24</v>
      </c>
      <c r="G110" t="s">
        <v>82</v>
      </c>
      <c r="H110">
        <v>71</v>
      </c>
      <c r="J110" t="str">
        <f t="shared" si="15"/>
        <v>V</v>
      </c>
      <c r="K110" t="s">
        <v>296</v>
      </c>
      <c r="L110" t="s">
        <v>183</v>
      </c>
      <c r="N110" t="str">
        <f t="shared" si="9"/>
        <v>&lt;tr&gt; &lt;td&gt;Dec. 18&lt;/td&gt;</v>
      </c>
      <c r="O110" t="str">
        <f t="shared" si="10"/>
        <v>&lt;td&gt;&lt;/td&gt;</v>
      </c>
      <c r="P110" t="str">
        <f t="shared" si="11"/>
        <v>&lt;td class="GCIsched"&gt;Glenlawn&lt;/td&gt;</v>
      </c>
      <c r="Q110" t="str">
        <f t="shared" si="12"/>
        <v>&lt;td&gt;82 - 71&lt;/td&gt;</v>
      </c>
      <c r="R110" t="str">
        <f t="shared" si="13"/>
        <v>&lt;td class="DMCIsched"&gt;Daniel McIntyre&lt;/td&gt;</v>
      </c>
      <c r="S110" t="str">
        <f t="shared" si="14"/>
        <v>&lt;td&gt;DMIT 3rd Place&lt;/td&gt; &lt;/tr&gt;</v>
      </c>
    </row>
    <row r="111" spans="1:19" x14ac:dyDescent="0.25">
      <c r="A111" s="5">
        <v>42356</v>
      </c>
      <c r="C111" t="s">
        <v>3</v>
      </c>
      <c r="D111" t="s">
        <v>78</v>
      </c>
      <c r="E111">
        <v>94</v>
      </c>
      <c r="F111" t="s">
        <v>9</v>
      </c>
      <c r="G111" t="s">
        <v>76</v>
      </c>
      <c r="H111">
        <v>87</v>
      </c>
      <c r="I111" t="s">
        <v>155</v>
      </c>
      <c r="J111" t="str">
        <f t="shared" si="15"/>
        <v>V</v>
      </c>
      <c r="K111" t="s">
        <v>296</v>
      </c>
      <c r="L111" t="s">
        <v>184</v>
      </c>
      <c r="N111" t="str">
        <f t="shared" si="9"/>
        <v>&lt;tr&gt; &lt;td&gt;Dec. 18&lt;/td&gt;</v>
      </c>
      <c r="O111" t="str">
        <f t="shared" si="10"/>
        <v>&lt;td&gt;&lt;/td&gt;</v>
      </c>
      <c r="P111" t="str">
        <f t="shared" si="11"/>
        <v>&lt;td class="SPHSsched"&gt;St. Paul's&lt;/td&gt;</v>
      </c>
      <c r="Q111" t="str">
        <f t="shared" si="12"/>
        <v>&lt;td&gt;94 - 87 OT&lt;/td&gt;</v>
      </c>
      <c r="R111" t="str">
        <f t="shared" si="13"/>
        <v>&lt;td class="SiHSsched"&gt;Sisler&lt;/td&gt;</v>
      </c>
      <c r="S111" t="str">
        <f t="shared" si="14"/>
        <v>&lt;td&gt;DMIT Championship&lt;/td&gt; &lt;/tr&gt;</v>
      </c>
    </row>
    <row r="112" spans="1:19" x14ac:dyDescent="0.25">
      <c r="A112" s="5">
        <v>42365</v>
      </c>
      <c r="B112" s="6">
        <v>0.5</v>
      </c>
      <c r="C112" t="s">
        <v>23</v>
      </c>
      <c r="D112" t="s">
        <v>80</v>
      </c>
      <c r="E112">
        <v>64</v>
      </c>
      <c r="F112" t="s">
        <v>1</v>
      </c>
      <c r="G112" t="s">
        <v>74</v>
      </c>
      <c r="H112">
        <v>75</v>
      </c>
      <c r="J112" t="str">
        <f t="shared" si="15"/>
        <v>H</v>
      </c>
      <c r="K112" t="s">
        <v>270</v>
      </c>
      <c r="L112" t="s">
        <v>173</v>
      </c>
      <c r="N112" t="str">
        <f t="shared" si="9"/>
        <v>&lt;tr&gt; &lt;td&gt;Dec. 27&lt;/td&gt;</v>
      </c>
      <c r="O112" t="str">
        <f t="shared" si="10"/>
        <v>&lt;td&gt;12:00 PM&lt;/td&gt;</v>
      </c>
      <c r="P112" t="str">
        <f t="shared" si="11"/>
        <v>&lt;td class="VMCsched"&gt;Vincent Massey&lt;/td&gt;</v>
      </c>
      <c r="Q112" t="str">
        <f t="shared" si="12"/>
        <v>&lt;td&gt;64 - 75&lt;/td&gt;</v>
      </c>
      <c r="R112" t="str">
        <f t="shared" si="13"/>
        <v>&lt;td class="OPHSsched"&gt;Oak Park&lt;/td&gt;</v>
      </c>
      <c r="S112" t="str">
        <f t="shared" si="14"/>
        <v>&lt;td&gt;Wesmen Classic Quarterfinal 1&lt;/td&gt; &lt;/tr&gt;</v>
      </c>
    </row>
    <row r="113" spans="1:19" x14ac:dyDescent="0.25">
      <c r="A113" s="5">
        <v>42365</v>
      </c>
      <c r="B113" s="6">
        <v>0.58333333333333337</v>
      </c>
      <c r="C113" t="s">
        <v>6</v>
      </c>
      <c r="D113" t="s">
        <v>70</v>
      </c>
      <c r="E113">
        <v>113</v>
      </c>
      <c r="F113" t="s">
        <v>27</v>
      </c>
      <c r="G113" t="s">
        <v>88</v>
      </c>
      <c r="H113">
        <v>45</v>
      </c>
      <c r="J113" t="str">
        <f t="shared" si="15"/>
        <v>V</v>
      </c>
      <c r="K113" t="s">
        <v>270</v>
      </c>
      <c r="L113" t="s">
        <v>174</v>
      </c>
      <c r="N113" t="str">
        <f t="shared" si="9"/>
        <v>&lt;tr&gt; &lt;td&gt;Dec. 27&lt;/td&gt;</v>
      </c>
      <c r="O113" t="str">
        <f t="shared" si="10"/>
        <v>&lt;td&gt;2:00 PM&lt;/td&gt;</v>
      </c>
      <c r="P113" t="str">
        <f t="shared" si="11"/>
        <v>&lt;td class="JTCsched"&gt;John Taylor&lt;/td&gt;</v>
      </c>
      <c r="Q113" t="str">
        <f t="shared" si="12"/>
        <v>&lt;td&gt;113 - 45&lt;/td&gt;</v>
      </c>
      <c r="R113" t="str">
        <f t="shared" si="13"/>
        <v>&lt;td class="GPHSsched"&gt;Grant Park&lt;/td&gt;</v>
      </c>
      <c r="S113" t="str">
        <f t="shared" si="14"/>
        <v>&lt;td&gt;Wesmen Classic Quarterfinal 2&lt;/td&gt; &lt;/tr&gt;</v>
      </c>
    </row>
    <row r="114" spans="1:19" x14ac:dyDescent="0.25">
      <c r="A114" s="5">
        <v>42365</v>
      </c>
      <c r="B114" s="6">
        <v>0.65625</v>
      </c>
      <c r="C114" t="s">
        <v>4</v>
      </c>
      <c r="D114" t="s">
        <v>41</v>
      </c>
      <c r="E114">
        <v>69</v>
      </c>
      <c r="F114" t="s">
        <v>15</v>
      </c>
      <c r="G114" t="s">
        <v>68</v>
      </c>
      <c r="H114">
        <v>56</v>
      </c>
      <c r="J114" t="str">
        <f t="shared" si="15"/>
        <v>V</v>
      </c>
      <c r="K114" t="s">
        <v>270</v>
      </c>
      <c r="L114" t="s">
        <v>175</v>
      </c>
      <c r="N114" t="str">
        <f t="shared" si="9"/>
        <v>&lt;tr&gt; &lt;td&gt;Dec. 27&lt;/td&gt;</v>
      </c>
      <c r="O114" t="str">
        <f t="shared" si="10"/>
        <v>&lt;td&gt;3:45 PM&lt;/td&gt;</v>
      </c>
      <c r="P114" t="str">
        <f t="shared" si="11"/>
        <v>&lt;td class="GCCsched"&gt;Garden City&lt;/td&gt;</v>
      </c>
      <c r="Q114" t="str">
        <f t="shared" si="12"/>
        <v>&lt;td&gt;69 - 56&lt;/td&gt;</v>
      </c>
      <c r="R114" t="str">
        <f t="shared" si="13"/>
        <v>&lt;td class="FRCsched"&gt;Fort Richmond&lt;/td&gt;</v>
      </c>
      <c r="S114" t="str">
        <f t="shared" si="14"/>
        <v>&lt;td&gt;Wesmen Classic Quarterfinal 3&lt;/td&gt; &lt;/tr&gt;</v>
      </c>
    </row>
    <row r="115" spans="1:19" x14ac:dyDescent="0.25">
      <c r="A115" s="5">
        <v>42365</v>
      </c>
      <c r="B115" s="6">
        <v>0.72916666666666663</v>
      </c>
      <c r="C115" t="s">
        <v>271</v>
      </c>
      <c r="E115">
        <v>46</v>
      </c>
      <c r="F115" t="s">
        <v>2</v>
      </c>
      <c r="G115" t="s">
        <v>43</v>
      </c>
      <c r="H115">
        <v>73</v>
      </c>
      <c r="J115" t="str">
        <f t="shared" si="15"/>
        <v>H</v>
      </c>
      <c r="K115" t="s">
        <v>270</v>
      </c>
      <c r="L115" t="s">
        <v>176</v>
      </c>
      <c r="N115" t="str">
        <f t="shared" si="9"/>
        <v>&lt;tr&gt; &lt;td&gt;Dec. 27&lt;/td&gt;</v>
      </c>
      <c r="O115" t="str">
        <f t="shared" si="10"/>
        <v>&lt;td&gt;5:30 PM&lt;/td&gt;</v>
      </c>
      <c r="P115" t="str">
        <f t="shared" si="11"/>
        <v>&lt;td class="sched"&gt;St. Ignatius&lt;/td&gt;</v>
      </c>
      <c r="Q115" t="str">
        <f t="shared" si="12"/>
        <v>&lt;td&gt;46 - 73&lt;/td&gt;</v>
      </c>
      <c r="R115" t="str">
        <f t="shared" si="13"/>
        <v>&lt;td class="KECsched"&gt;Kildonan-East&lt;/td&gt;</v>
      </c>
      <c r="S115" t="str">
        <f t="shared" si="14"/>
        <v>&lt;td&gt;Wesmen Classic Quarterfinal 4&lt;/td&gt; &lt;/tr&gt;</v>
      </c>
    </row>
    <row r="116" spans="1:19" x14ac:dyDescent="0.25">
      <c r="A116" s="5">
        <v>42366</v>
      </c>
      <c r="B116" s="6">
        <v>0.39583333333333331</v>
      </c>
      <c r="C116" t="s">
        <v>27</v>
      </c>
      <c r="D116" t="s">
        <v>88</v>
      </c>
      <c r="E116">
        <v>59</v>
      </c>
      <c r="F116" t="s">
        <v>23</v>
      </c>
      <c r="G116" t="s">
        <v>80</v>
      </c>
      <c r="H116">
        <v>72</v>
      </c>
      <c r="J116" t="str">
        <f t="shared" si="15"/>
        <v>H</v>
      </c>
      <c r="K116" t="s">
        <v>270</v>
      </c>
      <c r="L116" t="s">
        <v>177</v>
      </c>
      <c r="N116" t="str">
        <f t="shared" si="9"/>
        <v>&lt;tr&gt; &lt;td&gt;Dec. 28&lt;/td&gt;</v>
      </c>
      <c r="O116" t="str">
        <f t="shared" si="10"/>
        <v>&lt;td&gt;9:30 AM&lt;/td&gt;</v>
      </c>
      <c r="P116" t="str">
        <f t="shared" si="11"/>
        <v>&lt;td class="GPHSsched"&gt;Grant Park&lt;/td&gt;</v>
      </c>
      <c r="Q116" t="str">
        <f t="shared" si="12"/>
        <v>&lt;td&gt;59 - 72&lt;/td&gt;</v>
      </c>
      <c r="R116" t="str">
        <f t="shared" si="13"/>
        <v>&lt;td class="VMCsched"&gt;Vincent Massey&lt;/td&gt;</v>
      </c>
      <c r="S116" t="str">
        <f t="shared" si="14"/>
        <v>&lt;td&gt;Wesmen Classic Consolation Semi 1&lt;/td&gt; &lt;/tr&gt;</v>
      </c>
    </row>
    <row r="117" spans="1:19" x14ac:dyDescent="0.25">
      <c r="A117" s="5">
        <v>42366</v>
      </c>
      <c r="B117" s="6">
        <v>0.66666666666666663</v>
      </c>
      <c r="C117" t="s">
        <v>6</v>
      </c>
      <c r="D117" t="s">
        <v>70</v>
      </c>
      <c r="E117">
        <v>91</v>
      </c>
      <c r="F117" t="s">
        <v>1</v>
      </c>
      <c r="G117" t="s">
        <v>74</v>
      </c>
      <c r="H117">
        <v>64</v>
      </c>
      <c r="J117" t="str">
        <f t="shared" si="15"/>
        <v>V</v>
      </c>
      <c r="K117" t="s">
        <v>270</v>
      </c>
      <c r="L117" t="s">
        <v>179</v>
      </c>
      <c r="N117" t="str">
        <f t="shared" si="9"/>
        <v>&lt;tr&gt; &lt;td&gt;Dec. 28&lt;/td&gt;</v>
      </c>
      <c r="O117" t="str">
        <f t="shared" si="10"/>
        <v>&lt;td&gt;4:00 PM&lt;/td&gt;</v>
      </c>
      <c r="P117" t="str">
        <f t="shared" si="11"/>
        <v>&lt;td class="JTCsched"&gt;John Taylor&lt;/td&gt;</v>
      </c>
      <c r="Q117" t="str">
        <f t="shared" si="12"/>
        <v>&lt;td&gt;91 - 64&lt;/td&gt;</v>
      </c>
      <c r="R117" t="str">
        <f t="shared" si="13"/>
        <v>&lt;td class="OPHSsched"&gt;Oak Park&lt;/td&gt;</v>
      </c>
      <c r="S117" t="str">
        <f t="shared" si="14"/>
        <v>&lt;td&gt;Wesmen Classic Semifinal 1&lt;/td&gt; &lt;/tr&gt;</v>
      </c>
    </row>
    <row r="118" spans="1:19" x14ac:dyDescent="0.25">
      <c r="A118" s="5">
        <v>42367</v>
      </c>
      <c r="B118" s="6">
        <v>0.39583333333333331</v>
      </c>
      <c r="C118" t="s">
        <v>271</v>
      </c>
      <c r="E118">
        <v>53</v>
      </c>
      <c r="F118" t="s">
        <v>15</v>
      </c>
      <c r="G118" t="s">
        <v>68</v>
      </c>
      <c r="H118">
        <v>72</v>
      </c>
      <c r="J118" t="str">
        <f t="shared" si="15"/>
        <v>H</v>
      </c>
      <c r="K118" t="s">
        <v>270</v>
      </c>
      <c r="L118" t="s">
        <v>178</v>
      </c>
      <c r="N118" t="str">
        <f t="shared" si="9"/>
        <v>&lt;tr&gt; &lt;td&gt;Dec. 29&lt;/td&gt;</v>
      </c>
      <c r="O118" t="str">
        <f t="shared" si="10"/>
        <v>&lt;td&gt;9:30 AM&lt;/td&gt;</v>
      </c>
      <c r="P118" t="str">
        <f t="shared" si="11"/>
        <v>&lt;td class="sched"&gt;St. Ignatius&lt;/td&gt;</v>
      </c>
      <c r="Q118" t="str">
        <f t="shared" si="12"/>
        <v>&lt;td&gt;53 - 72&lt;/td&gt;</v>
      </c>
      <c r="R118" t="str">
        <f t="shared" si="13"/>
        <v>&lt;td class="FRCsched"&gt;Fort Richmond&lt;/td&gt;</v>
      </c>
      <c r="S118" t="str">
        <f t="shared" si="14"/>
        <v>&lt;td&gt;Wesmen Classic Consolation Semi 2&lt;/td&gt; &lt;/tr&gt;</v>
      </c>
    </row>
    <row r="119" spans="1:19" x14ac:dyDescent="0.25">
      <c r="A119" s="5">
        <v>42367</v>
      </c>
      <c r="B119" s="6">
        <v>0.66666666666666663</v>
      </c>
      <c r="C119" t="s">
        <v>2</v>
      </c>
      <c r="D119" t="s">
        <v>43</v>
      </c>
      <c r="E119">
        <v>62</v>
      </c>
      <c r="F119" t="s">
        <v>4</v>
      </c>
      <c r="G119" t="s">
        <v>41</v>
      </c>
      <c r="H119">
        <v>71</v>
      </c>
      <c r="J119" t="str">
        <f t="shared" si="15"/>
        <v>H</v>
      </c>
      <c r="K119" t="s">
        <v>270</v>
      </c>
      <c r="L119" t="s">
        <v>180</v>
      </c>
      <c r="N119" t="str">
        <f t="shared" si="9"/>
        <v>&lt;tr&gt; &lt;td&gt;Dec. 29&lt;/td&gt;</v>
      </c>
      <c r="O119" t="str">
        <f t="shared" si="10"/>
        <v>&lt;td&gt;4:00 PM&lt;/td&gt;</v>
      </c>
      <c r="P119" t="str">
        <f t="shared" si="11"/>
        <v>&lt;td class="KECsched"&gt;Kildonan-East&lt;/td&gt;</v>
      </c>
      <c r="Q119" t="str">
        <f t="shared" si="12"/>
        <v>&lt;td&gt;62 - 71&lt;/td&gt;</v>
      </c>
      <c r="R119" t="str">
        <f t="shared" si="13"/>
        <v>&lt;td class="GCCsched"&gt;Garden City&lt;/td&gt;</v>
      </c>
      <c r="S119" t="str">
        <f t="shared" si="14"/>
        <v>&lt;td&gt;Wesmen Classic Semifinal 2&lt;/td&gt; &lt;/tr&gt;</v>
      </c>
    </row>
    <row r="120" spans="1:19" x14ac:dyDescent="0.25">
      <c r="A120" s="5">
        <v>42368</v>
      </c>
      <c r="B120" s="6">
        <v>0.33333333333333331</v>
      </c>
      <c r="C120" t="s">
        <v>15</v>
      </c>
      <c r="D120" t="s">
        <v>68</v>
      </c>
      <c r="E120">
        <v>87</v>
      </c>
      <c r="F120" t="s">
        <v>23</v>
      </c>
      <c r="G120" t="s">
        <v>80</v>
      </c>
      <c r="H120">
        <v>89</v>
      </c>
      <c r="J120" t="str">
        <f t="shared" si="15"/>
        <v>H</v>
      </c>
      <c r="K120" t="s">
        <v>270</v>
      </c>
      <c r="L120" t="s">
        <v>182</v>
      </c>
      <c r="N120" t="str">
        <f t="shared" si="9"/>
        <v>&lt;tr&gt; &lt;td&gt;Dec. 30&lt;/td&gt;</v>
      </c>
      <c r="O120" t="str">
        <f t="shared" si="10"/>
        <v>&lt;td&gt;8:00 AM&lt;/td&gt;</v>
      </c>
      <c r="P120" t="str">
        <f t="shared" si="11"/>
        <v>&lt;td class="FRCsched"&gt;Fort Richmond&lt;/td&gt;</v>
      </c>
      <c r="Q120" t="str">
        <f t="shared" si="12"/>
        <v>&lt;td&gt;87 - 89&lt;/td&gt;</v>
      </c>
      <c r="R120" t="str">
        <f t="shared" si="13"/>
        <v>&lt;td class="VMCsched"&gt;Vincent Massey&lt;/td&gt;</v>
      </c>
      <c r="S120" t="str">
        <f t="shared" si="14"/>
        <v>&lt;td&gt;Wesmen Classic Consolation Final&lt;/td&gt; &lt;/tr&gt;</v>
      </c>
    </row>
    <row r="121" spans="1:19" x14ac:dyDescent="0.25">
      <c r="A121" s="5">
        <v>42368</v>
      </c>
      <c r="B121" s="6">
        <v>0.39583333333333331</v>
      </c>
      <c r="C121" t="s">
        <v>2</v>
      </c>
      <c r="D121" t="s">
        <v>43</v>
      </c>
      <c r="E121">
        <v>61</v>
      </c>
      <c r="F121" t="s">
        <v>1</v>
      </c>
      <c r="G121" t="s">
        <v>74</v>
      </c>
      <c r="H121">
        <v>65</v>
      </c>
      <c r="J121" t="str">
        <f t="shared" si="15"/>
        <v>H</v>
      </c>
      <c r="K121" t="s">
        <v>270</v>
      </c>
      <c r="L121" t="s">
        <v>183</v>
      </c>
      <c r="N121" t="str">
        <f t="shared" si="9"/>
        <v>&lt;tr&gt; &lt;td&gt;Dec. 30&lt;/td&gt;</v>
      </c>
      <c r="O121" t="str">
        <f t="shared" si="10"/>
        <v>&lt;td&gt;9:30 AM&lt;/td&gt;</v>
      </c>
      <c r="P121" t="str">
        <f t="shared" si="11"/>
        <v>&lt;td class="KECsched"&gt;Kildonan-East&lt;/td&gt;</v>
      </c>
      <c r="Q121" t="str">
        <f t="shared" si="12"/>
        <v>&lt;td&gt;61 - 65&lt;/td&gt;</v>
      </c>
      <c r="R121" t="str">
        <f t="shared" si="13"/>
        <v>&lt;td class="OPHSsched"&gt;Oak Park&lt;/td&gt;</v>
      </c>
      <c r="S121" t="str">
        <f t="shared" si="14"/>
        <v>&lt;td&gt;Wesmen Classic 3rd Place&lt;/td&gt; &lt;/tr&gt;</v>
      </c>
    </row>
    <row r="122" spans="1:19" x14ac:dyDescent="0.25">
      <c r="A122" s="5">
        <v>42368</v>
      </c>
      <c r="B122" s="6">
        <v>0.75</v>
      </c>
      <c r="C122" t="s">
        <v>4</v>
      </c>
      <c r="D122" t="s">
        <v>41</v>
      </c>
      <c r="E122">
        <v>80</v>
      </c>
      <c r="F122" t="s">
        <v>6</v>
      </c>
      <c r="G122" t="s">
        <v>70</v>
      </c>
      <c r="H122">
        <v>84</v>
      </c>
      <c r="J122" t="str">
        <f t="shared" si="15"/>
        <v>H</v>
      </c>
      <c r="K122" t="s">
        <v>270</v>
      </c>
      <c r="L122" t="s">
        <v>184</v>
      </c>
      <c r="N122" t="str">
        <f t="shared" si="9"/>
        <v>&lt;tr&gt; &lt;td&gt;Dec. 30&lt;/td&gt;</v>
      </c>
      <c r="O122" t="str">
        <f t="shared" si="10"/>
        <v>&lt;td&gt;6:00 PM&lt;/td&gt;</v>
      </c>
      <c r="P122" t="str">
        <f t="shared" si="11"/>
        <v>&lt;td class="GCCsched"&gt;Garden City&lt;/td&gt;</v>
      </c>
      <c r="Q122" t="str">
        <f t="shared" si="12"/>
        <v>&lt;td&gt;80 - 84&lt;/td&gt;</v>
      </c>
      <c r="R122" t="str">
        <f t="shared" si="13"/>
        <v>&lt;td class="JTCsched"&gt;John Taylor&lt;/td&gt;</v>
      </c>
      <c r="S122" t="str">
        <f t="shared" si="14"/>
        <v>&lt;td&gt;Wesmen Classic Championship&lt;/td&gt; &lt;/tr&gt;</v>
      </c>
    </row>
    <row r="123" spans="1:19" x14ac:dyDescent="0.25">
      <c r="A123" s="5">
        <v>42373</v>
      </c>
      <c r="B123" s="6">
        <v>0.76041666666666663</v>
      </c>
      <c r="C123" t="s">
        <v>25</v>
      </c>
      <c r="D123" t="s">
        <v>84</v>
      </c>
      <c r="E123">
        <v>69</v>
      </c>
      <c r="F123" t="s">
        <v>29</v>
      </c>
      <c r="G123" t="s">
        <v>91</v>
      </c>
      <c r="H123">
        <v>73</v>
      </c>
      <c r="J123" t="str">
        <f t="shared" si="15"/>
        <v>H</v>
      </c>
      <c r="K123" t="s">
        <v>252</v>
      </c>
      <c r="L123" t="s">
        <v>228</v>
      </c>
      <c r="M123" t="s">
        <v>229</v>
      </c>
      <c r="N123" t="str">
        <f t="shared" si="9"/>
        <v>&lt;tr&gt; &lt;td&gt;Jan. 4&lt;/td&gt;</v>
      </c>
      <c r="O123" t="str">
        <f t="shared" si="10"/>
        <v>&lt;td&gt;6:15 PM&lt;/td&gt;</v>
      </c>
      <c r="P123" t="str">
        <f t="shared" si="11"/>
        <v>&lt;td class="EHSsched"&gt;Elmwood&lt;/td&gt;</v>
      </c>
      <c r="Q123" t="str">
        <f t="shared" si="12"/>
        <v>&lt;td&gt;69 - 73&lt;/td&gt;</v>
      </c>
      <c r="R123" t="str">
        <f t="shared" si="13"/>
        <v>&lt;td class="ShHSsched"&gt;Shaftesbury&lt;/td&gt;</v>
      </c>
      <c r="S123" t="str">
        <f t="shared" si="14"/>
        <v>&lt;td&gt;WWAC-WAC Tier 2 Regular Season&lt;/td&gt; &lt;/tr&gt;</v>
      </c>
    </row>
    <row r="124" spans="1:19" x14ac:dyDescent="0.25">
      <c r="A124" s="5">
        <v>42373</v>
      </c>
      <c r="B124" s="6">
        <v>0.76041666666666663</v>
      </c>
      <c r="C124" t="s">
        <v>26</v>
      </c>
      <c r="D124" t="s">
        <v>86</v>
      </c>
      <c r="E124">
        <v>58</v>
      </c>
      <c r="F124" t="s">
        <v>31</v>
      </c>
      <c r="G124" t="s">
        <v>96</v>
      </c>
      <c r="H124">
        <v>68</v>
      </c>
      <c r="J124" t="str">
        <f t="shared" si="15"/>
        <v>H</v>
      </c>
      <c r="K124" t="s">
        <v>252</v>
      </c>
      <c r="L124" t="s">
        <v>228</v>
      </c>
      <c r="M124" t="s">
        <v>229</v>
      </c>
      <c r="N124" t="str">
        <f t="shared" si="9"/>
        <v>&lt;tr&gt; &lt;td&gt;Jan. 4&lt;/td&gt;</v>
      </c>
      <c r="O124" t="str">
        <f t="shared" si="10"/>
        <v>&lt;td&gt;6:15 PM&lt;/td&gt;</v>
      </c>
      <c r="P124" t="str">
        <f t="shared" si="11"/>
        <v>&lt;td class="GBHSsched"&gt;Gordon Bell&lt;/td&gt;</v>
      </c>
      <c r="Q124" t="str">
        <f t="shared" si="12"/>
        <v>&lt;td&gt;58 - 68&lt;/td&gt;</v>
      </c>
      <c r="R124" t="str">
        <f t="shared" si="13"/>
        <v>&lt;td class="TVHSsched"&gt;Tec Voc&lt;/td&gt;</v>
      </c>
      <c r="S124" t="str">
        <f t="shared" si="14"/>
        <v>&lt;td&gt;WWAC-WAC Tier 2 Regular Season&lt;/td&gt; &lt;/tr&gt;</v>
      </c>
    </row>
    <row r="125" spans="1:19" x14ac:dyDescent="0.25">
      <c r="A125" s="5">
        <v>42373</v>
      </c>
      <c r="B125" s="6">
        <v>0.76041666666666663</v>
      </c>
      <c r="C125" t="s">
        <v>13</v>
      </c>
      <c r="D125" t="s">
        <v>98</v>
      </c>
      <c r="E125">
        <v>49</v>
      </c>
      <c r="F125" t="s">
        <v>171</v>
      </c>
      <c r="H125">
        <v>38</v>
      </c>
      <c r="J125" t="str">
        <f t="shared" si="15"/>
        <v>V</v>
      </c>
      <c r="K125" t="s">
        <v>252</v>
      </c>
      <c r="L125" t="s">
        <v>228</v>
      </c>
      <c r="M125" t="s">
        <v>229</v>
      </c>
      <c r="N125" t="str">
        <f t="shared" si="9"/>
        <v>&lt;tr&gt; &lt;td&gt;Jan. 4&lt;/td&gt;</v>
      </c>
      <c r="O125" t="str">
        <f t="shared" si="10"/>
        <v>&lt;td&gt;6:15 PM&lt;/td&gt;</v>
      </c>
      <c r="P125" t="str">
        <f t="shared" si="11"/>
        <v>&lt;td class="WWCsched"&gt;Westwood&lt;/td&gt;</v>
      </c>
      <c r="Q125" t="str">
        <f t="shared" si="12"/>
        <v>&lt;td&gt;49 - 38&lt;/td&gt;</v>
      </c>
      <c r="R125" t="str">
        <f t="shared" si="13"/>
        <v>&lt;td class="sched"&gt;Churchill&lt;/td&gt;</v>
      </c>
      <c r="S125" t="str">
        <f t="shared" si="14"/>
        <v>&lt;td&gt;WWAC-WAC Tier 2 Regular Season&lt;/td&gt; &lt;/tr&gt;</v>
      </c>
    </row>
    <row r="126" spans="1:19" x14ac:dyDescent="0.25">
      <c r="A126" s="5">
        <v>42373</v>
      </c>
      <c r="B126" s="6">
        <v>0.76041666666666663</v>
      </c>
      <c r="C126" t="s">
        <v>6</v>
      </c>
      <c r="D126" t="s">
        <v>70</v>
      </c>
      <c r="E126">
        <v>86</v>
      </c>
      <c r="F126" t="s">
        <v>9</v>
      </c>
      <c r="G126" t="s">
        <v>76</v>
      </c>
      <c r="H126">
        <v>69</v>
      </c>
      <c r="J126" t="str">
        <f t="shared" si="15"/>
        <v>V</v>
      </c>
      <c r="K126" t="s">
        <v>251</v>
      </c>
      <c r="L126" t="s">
        <v>228</v>
      </c>
      <c r="M126" t="s">
        <v>229</v>
      </c>
      <c r="N126" t="str">
        <f t="shared" si="9"/>
        <v>&lt;tr&gt; &lt;td&gt;Jan. 4&lt;/td&gt;</v>
      </c>
      <c r="O126" t="str">
        <f t="shared" si="10"/>
        <v>&lt;td&gt;6:15 PM&lt;/td&gt;</v>
      </c>
      <c r="P126" t="str">
        <f t="shared" si="11"/>
        <v>&lt;td class="JTCsched"&gt;John Taylor&lt;/td&gt;</v>
      </c>
      <c r="Q126" t="str">
        <f t="shared" si="12"/>
        <v>&lt;td&gt;86 - 69&lt;/td&gt;</v>
      </c>
      <c r="R126" t="str">
        <f t="shared" si="13"/>
        <v>&lt;td class="SiHSsched"&gt;Sisler&lt;/td&gt;</v>
      </c>
      <c r="S126" t="str">
        <f t="shared" si="14"/>
        <v>&lt;td&gt;WWAC-WAC Tier 1 Regular Season&lt;/td&gt; &lt;/tr&gt;</v>
      </c>
    </row>
    <row r="127" spans="1:19" x14ac:dyDescent="0.25">
      <c r="A127" s="5">
        <v>42373</v>
      </c>
      <c r="B127" s="6">
        <v>0.76041666666666663</v>
      </c>
      <c r="C127" t="s">
        <v>3</v>
      </c>
      <c r="D127" t="s">
        <v>78</v>
      </c>
      <c r="E127">
        <v>73</v>
      </c>
      <c r="F127" t="s">
        <v>23</v>
      </c>
      <c r="G127" t="s">
        <v>80</v>
      </c>
      <c r="H127">
        <v>60</v>
      </c>
      <c r="J127" t="str">
        <f t="shared" si="15"/>
        <v>V</v>
      </c>
      <c r="K127" t="s">
        <v>251</v>
      </c>
      <c r="L127" t="s">
        <v>228</v>
      </c>
      <c r="M127" t="s">
        <v>229</v>
      </c>
      <c r="N127" t="str">
        <f t="shared" si="9"/>
        <v>&lt;tr&gt; &lt;td&gt;Jan. 4&lt;/td&gt;</v>
      </c>
      <c r="O127" t="str">
        <f t="shared" si="10"/>
        <v>&lt;td&gt;6:15 PM&lt;/td&gt;</v>
      </c>
      <c r="P127" t="str">
        <f t="shared" si="11"/>
        <v>&lt;td class="SPHSsched"&gt;St. Paul's&lt;/td&gt;</v>
      </c>
      <c r="Q127" t="str">
        <f t="shared" si="12"/>
        <v>&lt;td&gt;73 - 60&lt;/td&gt;</v>
      </c>
      <c r="R127" t="str">
        <f t="shared" si="13"/>
        <v>&lt;td class="VMCsched"&gt;Vincent Massey&lt;/td&gt;</v>
      </c>
      <c r="S127" t="str">
        <f t="shared" si="14"/>
        <v>&lt;td&gt;WWAC-WAC Tier 1 Regular Season&lt;/td&gt; &lt;/tr&gt;</v>
      </c>
    </row>
    <row r="128" spans="1:19" x14ac:dyDescent="0.25">
      <c r="A128" s="5">
        <v>42373</v>
      </c>
      <c r="B128" s="6">
        <v>0.76041666666666663</v>
      </c>
      <c r="C128" t="s">
        <v>10</v>
      </c>
      <c r="D128" t="s">
        <v>72</v>
      </c>
      <c r="E128">
        <v>91</v>
      </c>
      <c r="F128" t="s">
        <v>24</v>
      </c>
      <c r="G128" t="s">
        <v>82</v>
      </c>
      <c r="H128">
        <v>88</v>
      </c>
      <c r="J128" t="str">
        <f t="shared" si="15"/>
        <v>V</v>
      </c>
      <c r="K128" t="s">
        <v>251</v>
      </c>
      <c r="L128" t="s">
        <v>228</v>
      </c>
      <c r="M128" t="s">
        <v>229</v>
      </c>
      <c r="N128" t="str">
        <f t="shared" si="9"/>
        <v>&lt;tr&gt; &lt;td&gt;Jan. 4&lt;/td&gt;</v>
      </c>
      <c r="O128" t="str">
        <f t="shared" si="10"/>
        <v>&lt;td&gt;6:15 PM&lt;/td&gt;</v>
      </c>
      <c r="P128" t="str">
        <f t="shared" si="11"/>
        <v>&lt;td class="KHSsched"&gt;Kelvin&lt;/td&gt;</v>
      </c>
      <c r="Q128" t="str">
        <f t="shared" si="12"/>
        <v>&lt;td&gt;91 - 88&lt;/td&gt;</v>
      </c>
      <c r="R128" t="str">
        <f t="shared" si="13"/>
        <v>&lt;td class="DMCIsched"&gt;Daniel McIntyre&lt;/td&gt;</v>
      </c>
      <c r="S128" t="str">
        <f t="shared" si="14"/>
        <v>&lt;td&gt;WWAC-WAC Tier 1 Regular Season&lt;/td&gt; &lt;/tr&gt;</v>
      </c>
    </row>
    <row r="129" spans="1:19" x14ac:dyDescent="0.25">
      <c r="A129" s="5">
        <v>42373</v>
      </c>
      <c r="B129" s="6">
        <v>0.76041666666666663</v>
      </c>
      <c r="C129" t="s">
        <v>1</v>
      </c>
      <c r="D129" t="s">
        <v>74</v>
      </c>
      <c r="E129">
        <v>84</v>
      </c>
      <c r="F129" t="s">
        <v>15</v>
      </c>
      <c r="G129" t="s">
        <v>68</v>
      </c>
      <c r="H129">
        <v>71</v>
      </c>
      <c r="J129" t="str">
        <f t="shared" si="15"/>
        <v>V</v>
      </c>
      <c r="K129" t="s">
        <v>251</v>
      </c>
      <c r="L129" t="s">
        <v>228</v>
      </c>
      <c r="M129" t="s">
        <v>229</v>
      </c>
      <c r="N129" t="str">
        <f t="shared" si="9"/>
        <v>&lt;tr&gt; &lt;td&gt;Jan. 4&lt;/td&gt;</v>
      </c>
      <c r="O129" t="str">
        <f t="shared" si="10"/>
        <v>&lt;td&gt;6:15 PM&lt;/td&gt;</v>
      </c>
      <c r="P129" t="str">
        <f t="shared" si="11"/>
        <v>&lt;td class="OPHSsched"&gt;Oak Park&lt;/td&gt;</v>
      </c>
      <c r="Q129" t="str">
        <f t="shared" si="12"/>
        <v>&lt;td&gt;84 - 71&lt;/td&gt;</v>
      </c>
      <c r="R129" t="str">
        <f t="shared" si="13"/>
        <v>&lt;td class="FRCsched"&gt;Fort Richmond&lt;/td&gt;</v>
      </c>
      <c r="S129" t="str">
        <f t="shared" si="14"/>
        <v>&lt;td&gt;WWAC-WAC Tier 1 Regular Season&lt;/td&gt; &lt;/tr&gt;</v>
      </c>
    </row>
    <row r="130" spans="1:19" x14ac:dyDescent="0.25">
      <c r="A130" s="5">
        <v>42373</v>
      </c>
      <c r="B130" s="6">
        <v>0.76041666666666663</v>
      </c>
      <c r="C130" t="s">
        <v>14</v>
      </c>
      <c r="D130" t="s">
        <v>94</v>
      </c>
      <c r="E130">
        <v>56</v>
      </c>
      <c r="F130" t="s">
        <v>27</v>
      </c>
      <c r="G130" t="s">
        <v>88</v>
      </c>
      <c r="H130">
        <v>68</v>
      </c>
      <c r="J130" t="str">
        <f t="shared" ref="J130:J161" si="16">IF(H130&gt;E130,"H",IF(E130&gt;H130,"V",""))</f>
        <v>H</v>
      </c>
      <c r="K130" t="s">
        <v>251</v>
      </c>
      <c r="L130" t="s">
        <v>228</v>
      </c>
      <c r="M130" t="s">
        <v>229</v>
      </c>
      <c r="N130" t="str">
        <f t="shared" ref="N130:N193" si="17">"&lt;tr&gt; &lt;td&gt;"&amp;TEXT(A130,"MMM. D")&amp;"&lt;/td&gt;"</f>
        <v>&lt;tr&gt; &lt;td&gt;Jan. 4&lt;/td&gt;</v>
      </c>
      <c r="O130" t="str">
        <f t="shared" ref="O130:O193" si="18">"&lt;td&gt;"&amp;IF(B130&gt;0,TEXT(B130,"H:MM AM/PM"),"")&amp;"&lt;/td&gt;"</f>
        <v>&lt;td&gt;6:15 PM&lt;/td&gt;</v>
      </c>
      <c r="P130" t="str">
        <f t="shared" ref="P130:P193" si="19">"&lt;td class="""&amp;D130&amp;"sched""&gt;"&amp;C130&amp;"&lt;/td&gt;"</f>
        <v>&lt;td class="SHCsched"&gt;Sturgeon Heights&lt;/td&gt;</v>
      </c>
      <c r="Q130" t="str">
        <f t="shared" ref="Q130:Q193" si="20">"&lt;td&gt;"&amp;E130&amp;" - "&amp;H130&amp;IF(I130&gt;0," "&amp;I130,"")&amp;"&lt;/td&gt;"</f>
        <v>&lt;td&gt;56 - 68&lt;/td&gt;</v>
      </c>
      <c r="R130" t="str">
        <f t="shared" ref="R130:R193" si="21">"&lt;td class="""&amp;G130&amp;"sched""&gt;"&amp;F130&amp;"&lt;/td&gt;"</f>
        <v>&lt;td class="GPHSsched"&gt;Grant Park&lt;/td&gt;</v>
      </c>
      <c r="S130" t="str">
        <f t="shared" ref="S130:S193" si="22">"&lt;td&gt;"&amp;K130&amp;" "&amp;L130&amp;"&lt;/td&gt; &lt;/tr&gt;"</f>
        <v>&lt;td&gt;WWAC-WAC Tier 1 Regular Season&lt;/td&gt; &lt;/tr&gt;</v>
      </c>
    </row>
    <row r="131" spans="1:19" x14ac:dyDescent="0.25">
      <c r="A131" s="5">
        <v>42373</v>
      </c>
      <c r="B131" s="6">
        <v>0.8125</v>
      </c>
      <c r="C131" t="s">
        <v>4</v>
      </c>
      <c r="D131" t="s">
        <v>41</v>
      </c>
      <c r="E131">
        <v>113</v>
      </c>
      <c r="F131" t="s">
        <v>7</v>
      </c>
      <c r="G131" t="s">
        <v>7</v>
      </c>
      <c r="H131">
        <v>49</v>
      </c>
      <c r="J131" t="str">
        <f t="shared" si="16"/>
        <v>V</v>
      </c>
      <c r="K131" t="s">
        <v>37</v>
      </c>
      <c r="L131" t="s">
        <v>228</v>
      </c>
      <c r="M131" t="s">
        <v>229</v>
      </c>
      <c r="N131" t="str">
        <f t="shared" si="17"/>
        <v>&lt;tr&gt; &lt;td&gt;Jan. 4&lt;/td&gt;</v>
      </c>
      <c r="O131" t="str">
        <f t="shared" si="18"/>
        <v>&lt;td&gt;7:30 PM&lt;/td&gt;</v>
      </c>
      <c r="P131" t="str">
        <f t="shared" si="19"/>
        <v>&lt;td class="GCCsched"&gt;Garden City&lt;/td&gt;</v>
      </c>
      <c r="Q131" t="str">
        <f t="shared" si="20"/>
        <v>&lt;td&gt;113 - 49&lt;/td&gt;</v>
      </c>
      <c r="R131" t="str">
        <f t="shared" si="21"/>
        <v>&lt;td class="MBCIsched"&gt;MBCI&lt;/td&gt;</v>
      </c>
      <c r="S131" t="str">
        <f t="shared" si="22"/>
        <v>&lt;td&gt;KPAC Regular Season&lt;/td&gt; &lt;/tr&gt;</v>
      </c>
    </row>
    <row r="132" spans="1:19" x14ac:dyDescent="0.25">
      <c r="A132" s="5">
        <v>42373</v>
      </c>
      <c r="B132" s="6">
        <v>0.8125</v>
      </c>
      <c r="C132" t="s">
        <v>12</v>
      </c>
      <c r="D132" t="s">
        <v>54</v>
      </c>
      <c r="E132">
        <v>53</v>
      </c>
      <c r="F132" t="s">
        <v>18</v>
      </c>
      <c r="G132" t="s">
        <v>52</v>
      </c>
      <c r="H132">
        <v>79</v>
      </c>
      <c r="J132" t="str">
        <f t="shared" si="16"/>
        <v>H</v>
      </c>
      <c r="K132" t="s">
        <v>37</v>
      </c>
      <c r="L132" t="s">
        <v>228</v>
      </c>
      <c r="M132" t="s">
        <v>229</v>
      </c>
      <c r="N132" t="str">
        <f t="shared" si="17"/>
        <v>&lt;tr&gt; &lt;td&gt;Jan. 4&lt;/td&gt;</v>
      </c>
      <c r="O132" t="str">
        <f t="shared" si="18"/>
        <v>&lt;td&gt;7:30 PM&lt;/td&gt;</v>
      </c>
      <c r="P132" t="str">
        <f t="shared" si="19"/>
        <v>&lt;td class="LSsched"&gt;Selkirk&lt;/td&gt;</v>
      </c>
      <c r="Q132" t="str">
        <f t="shared" si="20"/>
        <v>&lt;td&gt;53 - 79&lt;/td&gt;</v>
      </c>
      <c r="R132" t="str">
        <f t="shared" si="21"/>
        <v>&lt;td class="RECsched"&gt;River East&lt;/td&gt;</v>
      </c>
      <c r="S132" t="str">
        <f t="shared" si="22"/>
        <v>&lt;td&gt;KPAC Regular Season&lt;/td&gt; &lt;/tr&gt;</v>
      </c>
    </row>
    <row r="133" spans="1:19" x14ac:dyDescent="0.25">
      <c r="A133" s="5">
        <v>42373</v>
      </c>
      <c r="B133" s="6">
        <v>0.8125</v>
      </c>
      <c r="C133" t="s">
        <v>20</v>
      </c>
      <c r="D133" t="s">
        <v>58</v>
      </c>
      <c r="E133">
        <v>68</v>
      </c>
      <c r="F133" t="s">
        <v>17</v>
      </c>
      <c r="G133" t="s">
        <v>50</v>
      </c>
      <c r="H133">
        <v>70</v>
      </c>
      <c r="J133" t="str">
        <f t="shared" si="16"/>
        <v>H</v>
      </c>
      <c r="K133" t="s">
        <v>37</v>
      </c>
      <c r="L133" t="s">
        <v>228</v>
      </c>
      <c r="M133" t="s">
        <v>229</v>
      </c>
      <c r="N133" t="str">
        <f t="shared" si="17"/>
        <v>&lt;tr&gt; &lt;td&gt;Jan. 4&lt;/td&gt;</v>
      </c>
      <c r="O133" t="str">
        <f t="shared" si="18"/>
        <v>&lt;td&gt;7:30 PM&lt;/td&gt;</v>
      </c>
      <c r="P133" t="str">
        <f t="shared" si="19"/>
        <v>&lt;td class="WKCsched"&gt;West Kildonan&lt;/td&gt;</v>
      </c>
      <c r="Q133" t="str">
        <f t="shared" si="20"/>
        <v>&lt;td&gt;68 - 70&lt;/td&gt;</v>
      </c>
      <c r="R133" t="str">
        <f t="shared" si="21"/>
        <v>&lt;td class="MMCIsched"&gt;Murdoch MacKay&lt;/td&gt;</v>
      </c>
      <c r="S133" t="str">
        <f t="shared" si="22"/>
        <v>&lt;td&gt;KPAC Regular Season&lt;/td&gt; &lt;/tr&gt;</v>
      </c>
    </row>
    <row r="134" spans="1:19" x14ac:dyDescent="0.25">
      <c r="A134" s="5">
        <v>42373</v>
      </c>
      <c r="B134" s="6">
        <v>0.8125</v>
      </c>
      <c r="C134" t="s">
        <v>135</v>
      </c>
      <c r="D134" t="s">
        <v>136</v>
      </c>
      <c r="E134">
        <v>50</v>
      </c>
      <c r="F134" t="s">
        <v>237</v>
      </c>
      <c r="H134">
        <v>54</v>
      </c>
      <c r="J134" t="str">
        <f t="shared" si="16"/>
        <v>H</v>
      </c>
      <c r="K134" t="s">
        <v>236</v>
      </c>
      <c r="L134" t="s">
        <v>228</v>
      </c>
      <c r="M134" t="s">
        <v>229</v>
      </c>
      <c r="N134" t="str">
        <f t="shared" si="17"/>
        <v>&lt;tr&gt; &lt;td&gt;Jan. 4&lt;/td&gt;</v>
      </c>
      <c r="O134" t="str">
        <f t="shared" si="18"/>
        <v>&lt;td&gt;7:30 PM&lt;/td&gt;</v>
      </c>
      <c r="P134" t="str">
        <f t="shared" si="19"/>
        <v>&lt;td class="NPCsched"&gt;Northlands Parkway&lt;/td&gt;</v>
      </c>
      <c r="Q134" t="str">
        <f t="shared" si="20"/>
        <v>&lt;td&gt;50 - 54&lt;/td&gt;</v>
      </c>
      <c r="R134" t="str">
        <f t="shared" si="21"/>
        <v>&lt;td class="sched"&gt;Westgate&lt;/td&gt;</v>
      </c>
      <c r="S134" t="str">
        <f t="shared" si="22"/>
        <v>&lt;td&gt;SCAC Tier 2 Regular Season&lt;/td&gt; &lt;/tr&gt;</v>
      </c>
    </row>
    <row r="135" spans="1:19" x14ac:dyDescent="0.25">
      <c r="A135" s="5">
        <v>42373</v>
      </c>
      <c r="B135" s="6">
        <v>0.8125</v>
      </c>
      <c r="C135" t="s">
        <v>213</v>
      </c>
      <c r="D135" t="s">
        <v>540</v>
      </c>
      <c r="E135">
        <v>72</v>
      </c>
      <c r="F135" t="s">
        <v>5</v>
      </c>
      <c r="G135" t="s">
        <v>62</v>
      </c>
      <c r="H135">
        <v>59</v>
      </c>
      <c r="J135" t="str">
        <f t="shared" si="16"/>
        <v>V</v>
      </c>
      <c r="K135" t="s">
        <v>281</v>
      </c>
      <c r="L135" t="s">
        <v>228</v>
      </c>
      <c r="M135" t="s">
        <v>229</v>
      </c>
      <c r="N135" t="str">
        <f t="shared" si="17"/>
        <v>&lt;tr&gt; &lt;td&gt;Jan. 4&lt;/td&gt;</v>
      </c>
      <c r="O135" t="str">
        <f t="shared" si="18"/>
        <v>&lt;td&gt;7:30 PM&lt;/td&gt;</v>
      </c>
      <c r="P135" t="str">
        <f t="shared" si="19"/>
        <v>&lt;td class="SJRsched"&gt;St. John's-Ravenscourt&lt;/td&gt;</v>
      </c>
      <c r="Q135" t="str">
        <f t="shared" si="20"/>
        <v>&lt;td&gt;72 - 59&lt;/td&gt;</v>
      </c>
      <c r="R135" t="str">
        <f t="shared" si="21"/>
        <v>&lt;td class="GCIsched"&gt;Glenlawn&lt;/td&gt;</v>
      </c>
      <c r="S135" t="str">
        <f t="shared" si="22"/>
        <v>&lt;td&gt;SCAC Tier 1 Regular Season&lt;/td&gt; &lt;/tr&gt;</v>
      </c>
    </row>
    <row r="136" spans="1:19" x14ac:dyDescent="0.25">
      <c r="A136" s="5">
        <v>42373</v>
      </c>
      <c r="B136" s="6">
        <v>0.8125</v>
      </c>
      <c r="C136" t="s">
        <v>8</v>
      </c>
      <c r="D136" t="s">
        <v>60</v>
      </c>
      <c r="E136">
        <v>66</v>
      </c>
      <c r="F136" t="s">
        <v>22</v>
      </c>
      <c r="G136" t="s">
        <v>66</v>
      </c>
      <c r="H136">
        <v>50</v>
      </c>
      <c r="J136" t="str">
        <f t="shared" si="16"/>
        <v>V</v>
      </c>
      <c r="K136" t="s">
        <v>281</v>
      </c>
      <c r="L136" t="s">
        <v>228</v>
      </c>
      <c r="M136" t="s">
        <v>229</v>
      </c>
      <c r="N136" t="str">
        <f t="shared" si="17"/>
        <v>&lt;tr&gt; &lt;td&gt;Jan. 4&lt;/td&gt;</v>
      </c>
      <c r="O136" t="str">
        <f t="shared" si="18"/>
        <v>&lt;td&gt;7:30 PM&lt;/td&gt;</v>
      </c>
      <c r="P136" t="str">
        <f t="shared" si="19"/>
        <v>&lt;td class="DCIsched"&gt;Dakota&lt;/td&gt;</v>
      </c>
      <c r="Q136" t="str">
        <f t="shared" si="20"/>
        <v>&lt;td&gt;66 - 50&lt;/td&gt;</v>
      </c>
      <c r="R136" t="str">
        <f t="shared" si="21"/>
        <v>&lt;td class="SRSSsched"&gt;Steinbach&lt;/td&gt;</v>
      </c>
      <c r="S136" t="str">
        <f t="shared" si="22"/>
        <v>&lt;td&gt;SCAC Tier 1 Regular Season&lt;/td&gt; &lt;/tr&gt;</v>
      </c>
    </row>
    <row r="137" spans="1:19" x14ac:dyDescent="0.25">
      <c r="A137" s="5">
        <v>42374</v>
      </c>
      <c r="B137" s="6">
        <v>0.82291666666666663</v>
      </c>
      <c r="C137" t="s">
        <v>23</v>
      </c>
      <c r="D137" t="s">
        <v>102</v>
      </c>
      <c r="E137">
        <v>52</v>
      </c>
      <c r="F137" t="s">
        <v>256</v>
      </c>
      <c r="H137">
        <v>49</v>
      </c>
      <c r="J137" t="str">
        <f t="shared" si="16"/>
        <v>V</v>
      </c>
      <c r="K137" t="s">
        <v>40</v>
      </c>
      <c r="L137" t="s">
        <v>228</v>
      </c>
      <c r="M137" t="s">
        <v>229</v>
      </c>
      <c r="N137" t="str">
        <f t="shared" si="17"/>
        <v>&lt;tr&gt; &lt;td&gt;Jan. 5&lt;/td&gt;</v>
      </c>
      <c r="O137" t="str">
        <f t="shared" si="18"/>
        <v>&lt;td&gt;7:45 PM&lt;/td&gt;</v>
      </c>
      <c r="P137" t="str">
        <f t="shared" si="19"/>
        <v>&lt;td class="VMHSsched"&gt;Vincent Massey&lt;/td&gt;</v>
      </c>
      <c r="Q137" t="str">
        <f t="shared" si="20"/>
        <v>&lt;td&gt;52 - 49&lt;/td&gt;</v>
      </c>
      <c r="R137" t="str">
        <f t="shared" si="21"/>
        <v>&lt;td class="sched"&gt;Neelin&lt;/td&gt;</v>
      </c>
      <c r="S137" t="str">
        <f t="shared" si="22"/>
        <v>&lt;td&gt;Zone 15 Regular Season&lt;/td&gt; &lt;/tr&gt;</v>
      </c>
    </row>
    <row r="138" spans="1:19" x14ac:dyDescent="0.25">
      <c r="A138" s="5">
        <v>42374</v>
      </c>
      <c r="C138" t="s">
        <v>273</v>
      </c>
      <c r="E138">
        <v>55</v>
      </c>
      <c r="F138" t="s">
        <v>19</v>
      </c>
      <c r="G138" t="s">
        <v>56</v>
      </c>
      <c r="H138">
        <v>54</v>
      </c>
      <c r="J138" t="str">
        <f t="shared" si="16"/>
        <v>V</v>
      </c>
      <c r="K138" t="s">
        <v>272</v>
      </c>
      <c r="L138" t="s">
        <v>174</v>
      </c>
      <c r="N138" t="str">
        <f t="shared" si="17"/>
        <v>&lt;tr&gt; &lt;td&gt;Jan. 5&lt;/td&gt;</v>
      </c>
      <c r="O138" t="str">
        <f t="shared" si="18"/>
        <v>&lt;td&gt;&lt;/td&gt;</v>
      </c>
      <c r="P138" t="str">
        <f t="shared" si="19"/>
        <v>&lt;td class="sched"&gt;Ste. Anne&lt;/td&gt;</v>
      </c>
      <c r="Q138" t="str">
        <f t="shared" si="20"/>
        <v>&lt;td&gt;55 - 54&lt;/td&gt;</v>
      </c>
      <c r="R138" t="str">
        <f t="shared" si="21"/>
        <v>&lt;td class="TCIsched"&gt;Transcona&lt;/td&gt;</v>
      </c>
      <c r="S138" t="str">
        <f t="shared" si="22"/>
        <v>&lt;td&gt;Lorette Quarterfinal 2&lt;/td&gt; &lt;/tr&gt;</v>
      </c>
    </row>
    <row r="139" spans="1:19" x14ac:dyDescent="0.25">
      <c r="A139" s="5">
        <v>42375</v>
      </c>
      <c r="B139" s="6">
        <v>0.6875</v>
      </c>
      <c r="C139" t="s">
        <v>218</v>
      </c>
      <c r="E139">
        <v>62</v>
      </c>
      <c r="F139" t="s">
        <v>30</v>
      </c>
      <c r="G139" t="s">
        <v>92</v>
      </c>
      <c r="H139">
        <v>88</v>
      </c>
      <c r="J139" t="str">
        <f t="shared" si="16"/>
        <v>H</v>
      </c>
      <c r="K139" t="s">
        <v>252</v>
      </c>
      <c r="L139" t="s">
        <v>228</v>
      </c>
      <c r="M139" t="s">
        <v>229</v>
      </c>
      <c r="N139" t="str">
        <f t="shared" si="17"/>
        <v>&lt;tr&gt; &lt;td&gt;Jan. 6&lt;/td&gt;</v>
      </c>
      <c r="O139" t="str">
        <f t="shared" si="18"/>
        <v>&lt;td&gt;4:30 PM&lt;/td&gt;</v>
      </c>
      <c r="P139" t="str">
        <f t="shared" si="19"/>
        <v>&lt;td class="sched"&gt;Stonewall&lt;/td&gt;</v>
      </c>
      <c r="Q139" t="str">
        <f t="shared" si="20"/>
        <v>&lt;td&gt;62 - 88&lt;/td&gt;</v>
      </c>
      <c r="R139" t="str">
        <f t="shared" si="21"/>
        <v>&lt;td class="SJHSsched"&gt;St. John's&lt;/td&gt;</v>
      </c>
      <c r="S139" t="str">
        <f t="shared" si="22"/>
        <v>&lt;td&gt;WWAC-WAC Tier 2 Regular Season&lt;/td&gt; &lt;/tr&gt;</v>
      </c>
    </row>
    <row r="140" spans="1:19" x14ac:dyDescent="0.25">
      <c r="A140" s="5">
        <v>42375</v>
      </c>
      <c r="B140" s="6">
        <v>0.6875</v>
      </c>
      <c r="C140" t="s">
        <v>253</v>
      </c>
      <c r="E140">
        <v>77</v>
      </c>
      <c r="F140" t="s">
        <v>29</v>
      </c>
      <c r="G140" t="s">
        <v>91</v>
      </c>
      <c r="H140">
        <v>63</v>
      </c>
      <c r="J140" t="str">
        <f t="shared" si="16"/>
        <v>V</v>
      </c>
      <c r="K140" t="s">
        <v>252</v>
      </c>
      <c r="L140" t="s">
        <v>228</v>
      </c>
      <c r="M140" t="s">
        <v>229</v>
      </c>
      <c r="N140" t="str">
        <f t="shared" si="17"/>
        <v>&lt;tr&gt; &lt;td&gt;Jan. 6&lt;/td&gt;</v>
      </c>
      <c r="O140" t="str">
        <f t="shared" si="18"/>
        <v>&lt;td&gt;4:30 PM&lt;/td&gt;</v>
      </c>
      <c r="P140" t="str">
        <f t="shared" si="19"/>
        <v>&lt;td class="sched"&gt;St. James&lt;/td&gt;</v>
      </c>
      <c r="Q140" t="str">
        <f t="shared" si="20"/>
        <v>&lt;td&gt;77 - 63&lt;/td&gt;</v>
      </c>
      <c r="R140" t="str">
        <f t="shared" si="21"/>
        <v>&lt;td class="ShHSsched"&gt;Shaftesbury&lt;/td&gt;</v>
      </c>
      <c r="S140" t="str">
        <f t="shared" si="22"/>
        <v>&lt;td&gt;WWAC-WAC Tier 2 Regular Season&lt;/td&gt; &lt;/tr&gt;</v>
      </c>
    </row>
    <row r="141" spans="1:19" x14ac:dyDescent="0.25">
      <c r="A141" s="5">
        <v>42375</v>
      </c>
      <c r="B141" s="6">
        <v>0.6875</v>
      </c>
      <c r="C141" t="s">
        <v>24</v>
      </c>
      <c r="D141" t="s">
        <v>82</v>
      </c>
      <c r="E141">
        <v>90</v>
      </c>
      <c r="F141" t="s">
        <v>14</v>
      </c>
      <c r="G141" t="s">
        <v>94</v>
      </c>
      <c r="H141">
        <v>74</v>
      </c>
      <c r="J141" t="str">
        <f t="shared" si="16"/>
        <v>V</v>
      </c>
      <c r="K141" t="s">
        <v>251</v>
      </c>
      <c r="L141" t="s">
        <v>228</v>
      </c>
      <c r="M141" t="s">
        <v>229</v>
      </c>
      <c r="N141" t="str">
        <f t="shared" si="17"/>
        <v>&lt;tr&gt; &lt;td&gt;Jan. 6&lt;/td&gt;</v>
      </c>
      <c r="O141" t="str">
        <f t="shared" si="18"/>
        <v>&lt;td&gt;4:30 PM&lt;/td&gt;</v>
      </c>
      <c r="P141" t="str">
        <f t="shared" si="19"/>
        <v>&lt;td class="DMCIsched"&gt;Daniel McIntyre&lt;/td&gt;</v>
      </c>
      <c r="Q141" t="str">
        <f t="shared" si="20"/>
        <v>&lt;td&gt;90 - 74&lt;/td&gt;</v>
      </c>
      <c r="R141" t="str">
        <f t="shared" si="21"/>
        <v>&lt;td class="SHCsched"&gt;Sturgeon Heights&lt;/td&gt;</v>
      </c>
      <c r="S141" t="str">
        <f t="shared" si="22"/>
        <v>&lt;td&gt;WWAC-WAC Tier 1 Regular Season&lt;/td&gt; &lt;/tr&gt;</v>
      </c>
    </row>
    <row r="142" spans="1:19" x14ac:dyDescent="0.25">
      <c r="A142" s="5">
        <v>42375</v>
      </c>
      <c r="B142" s="6">
        <v>0.6875</v>
      </c>
      <c r="C142" t="s">
        <v>9</v>
      </c>
      <c r="D142" t="s">
        <v>76</v>
      </c>
      <c r="E142">
        <v>101</v>
      </c>
      <c r="F142" t="s">
        <v>27</v>
      </c>
      <c r="G142" t="s">
        <v>88</v>
      </c>
      <c r="H142">
        <v>73</v>
      </c>
      <c r="J142" t="str">
        <f t="shared" si="16"/>
        <v>V</v>
      </c>
      <c r="K142" t="s">
        <v>251</v>
      </c>
      <c r="L142" t="s">
        <v>228</v>
      </c>
      <c r="M142" t="s">
        <v>229</v>
      </c>
      <c r="N142" t="str">
        <f t="shared" si="17"/>
        <v>&lt;tr&gt; &lt;td&gt;Jan. 6&lt;/td&gt;</v>
      </c>
      <c r="O142" t="str">
        <f t="shared" si="18"/>
        <v>&lt;td&gt;4:30 PM&lt;/td&gt;</v>
      </c>
      <c r="P142" t="str">
        <f t="shared" si="19"/>
        <v>&lt;td class="SiHSsched"&gt;Sisler&lt;/td&gt;</v>
      </c>
      <c r="Q142" t="str">
        <f t="shared" si="20"/>
        <v>&lt;td&gt;101 - 73&lt;/td&gt;</v>
      </c>
      <c r="R142" t="str">
        <f t="shared" si="21"/>
        <v>&lt;td class="GPHSsched"&gt;Grant Park&lt;/td&gt;</v>
      </c>
      <c r="S142" t="str">
        <f t="shared" si="22"/>
        <v>&lt;td&gt;WWAC-WAC Tier 1 Regular Season&lt;/td&gt; &lt;/tr&gt;</v>
      </c>
    </row>
    <row r="143" spans="1:19" x14ac:dyDescent="0.25">
      <c r="A143" s="5">
        <v>42375</v>
      </c>
      <c r="B143" s="6">
        <v>0.6875</v>
      </c>
      <c r="C143" t="s">
        <v>3</v>
      </c>
      <c r="D143" t="s">
        <v>78</v>
      </c>
      <c r="E143">
        <v>63</v>
      </c>
      <c r="F143" t="s">
        <v>1</v>
      </c>
      <c r="G143" t="s">
        <v>74</v>
      </c>
      <c r="H143">
        <v>73</v>
      </c>
      <c r="J143" t="str">
        <f t="shared" si="16"/>
        <v>H</v>
      </c>
      <c r="K143" t="s">
        <v>251</v>
      </c>
      <c r="L143" t="s">
        <v>228</v>
      </c>
      <c r="M143" t="s">
        <v>229</v>
      </c>
      <c r="N143" t="str">
        <f t="shared" si="17"/>
        <v>&lt;tr&gt; &lt;td&gt;Jan. 6&lt;/td&gt;</v>
      </c>
      <c r="O143" t="str">
        <f t="shared" si="18"/>
        <v>&lt;td&gt;4:30 PM&lt;/td&gt;</v>
      </c>
      <c r="P143" t="str">
        <f t="shared" si="19"/>
        <v>&lt;td class="SPHSsched"&gt;St. Paul's&lt;/td&gt;</v>
      </c>
      <c r="Q143" t="str">
        <f t="shared" si="20"/>
        <v>&lt;td&gt;63 - 73&lt;/td&gt;</v>
      </c>
      <c r="R143" t="str">
        <f t="shared" si="21"/>
        <v>&lt;td class="OPHSsched"&gt;Oak Park&lt;/td&gt;</v>
      </c>
      <c r="S143" t="str">
        <f t="shared" si="22"/>
        <v>&lt;td&gt;WWAC-WAC Tier 1 Regular Season&lt;/td&gt; &lt;/tr&gt;</v>
      </c>
    </row>
    <row r="144" spans="1:19" x14ac:dyDescent="0.25">
      <c r="A144" s="5">
        <v>42375</v>
      </c>
      <c r="B144" s="6">
        <v>0.70833333333333337</v>
      </c>
      <c r="C144" t="s">
        <v>13</v>
      </c>
      <c r="D144" t="s">
        <v>98</v>
      </c>
      <c r="E144">
        <v>49</v>
      </c>
      <c r="F144" t="s">
        <v>28</v>
      </c>
      <c r="G144" t="s">
        <v>90</v>
      </c>
      <c r="H144">
        <v>68</v>
      </c>
      <c r="J144" t="str">
        <f t="shared" si="16"/>
        <v>H</v>
      </c>
      <c r="K144" t="s">
        <v>252</v>
      </c>
      <c r="L144" t="s">
        <v>228</v>
      </c>
      <c r="M144" t="s">
        <v>229</v>
      </c>
      <c r="N144" t="str">
        <f t="shared" si="17"/>
        <v>&lt;tr&gt; &lt;td&gt;Jan. 6&lt;/td&gt;</v>
      </c>
      <c r="O144" t="str">
        <f t="shared" si="18"/>
        <v>&lt;td&gt;5:00 PM&lt;/td&gt;</v>
      </c>
      <c r="P144" t="str">
        <f t="shared" si="19"/>
        <v>&lt;td class="WWCsched"&gt;Westwood&lt;/td&gt;</v>
      </c>
      <c r="Q144" t="str">
        <f t="shared" si="20"/>
        <v>&lt;td&gt;49 - 68&lt;/td&gt;</v>
      </c>
      <c r="R144" t="str">
        <f t="shared" si="21"/>
        <v>&lt;td class="PCIsched"&gt;Portage&lt;/td&gt;</v>
      </c>
      <c r="S144" t="str">
        <f t="shared" si="22"/>
        <v>&lt;td&gt;WWAC-WAC Tier 2 Regular Season&lt;/td&gt; &lt;/tr&gt;</v>
      </c>
    </row>
    <row r="145" spans="1:19" x14ac:dyDescent="0.25">
      <c r="A145" s="5">
        <v>42375</v>
      </c>
      <c r="B145" s="6">
        <v>0.75</v>
      </c>
      <c r="C145" t="s">
        <v>104</v>
      </c>
      <c r="D145" t="s">
        <v>105</v>
      </c>
      <c r="E145">
        <v>24</v>
      </c>
      <c r="F145" t="s">
        <v>11</v>
      </c>
      <c r="G145" t="s">
        <v>48</v>
      </c>
      <c r="H145">
        <v>76</v>
      </c>
      <c r="J145" t="str">
        <f t="shared" si="16"/>
        <v>H</v>
      </c>
      <c r="K145" t="s">
        <v>37</v>
      </c>
      <c r="L145" t="s">
        <v>228</v>
      </c>
      <c r="M145" t="s">
        <v>229</v>
      </c>
      <c r="N145" t="str">
        <f t="shared" si="17"/>
        <v>&lt;tr&gt; &lt;td&gt;Jan. 6&lt;/td&gt;</v>
      </c>
      <c r="O145" t="str">
        <f t="shared" si="18"/>
        <v>&lt;td&gt;6:00 PM&lt;/td&gt;</v>
      </c>
      <c r="P145" t="str">
        <f t="shared" si="19"/>
        <v>&lt;td class="SCIsched"&gt;Springfield&lt;/td&gt;</v>
      </c>
      <c r="Q145" t="str">
        <f t="shared" si="20"/>
        <v>&lt;td&gt;24 - 76&lt;/td&gt;</v>
      </c>
      <c r="R145" t="str">
        <f t="shared" si="21"/>
        <v>&lt;td class="MMCsched"&gt;Miles Macdonell&lt;/td&gt;</v>
      </c>
      <c r="S145" t="str">
        <f t="shared" si="22"/>
        <v>&lt;td&gt;KPAC Regular Season&lt;/td&gt; &lt;/tr&gt;</v>
      </c>
    </row>
    <row r="146" spans="1:19" x14ac:dyDescent="0.25">
      <c r="A146" s="5">
        <v>42375</v>
      </c>
      <c r="B146" s="6">
        <v>0.8125</v>
      </c>
      <c r="C146" t="s">
        <v>235</v>
      </c>
      <c r="E146">
        <v>64</v>
      </c>
      <c r="F146" t="s">
        <v>108</v>
      </c>
      <c r="G146" t="s">
        <v>109</v>
      </c>
      <c r="H146">
        <v>40</v>
      </c>
      <c r="J146" t="str">
        <f t="shared" si="16"/>
        <v>V</v>
      </c>
      <c r="K146" t="s">
        <v>236</v>
      </c>
      <c r="L146" t="s">
        <v>228</v>
      </c>
      <c r="M146" t="s">
        <v>229</v>
      </c>
      <c r="N146" t="str">
        <f t="shared" si="17"/>
        <v>&lt;tr&gt; &lt;td&gt;Jan. 6&lt;/td&gt;</v>
      </c>
      <c r="O146" t="str">
        <f t="shared" si="18"/>
        <v>&lt;td&gt;7:30 PM&lt;/td&gt;</v>
      </c>
      <c r="P146" t="str">
        <f t="shared" si="19"/>
        <v>&lt;td class="sched"&gt;Louis-Riel&lt;/td&gt;</v>
      </c>
      <c r="Q146" t="str">
        <f t="shared" si="20"/>
        <v>&lt;td&gt;64 - 40&lt;/td&gt;</v>
      </c>
      <c r="R146" t="str">
        <f t="shared" si="21"/>
        <v>&lt;td class="CJSsched"&gt;Jeanne-Sauv&amp;eacute;&lt;/td&gt;</v>
      </c>
      <c r="S146" t="str">
        <f t="shared" si="22"/>
        <v>&lt;td&gt;SCAC Tier 2 Regular Season&lt;/td&gt; &lt;/tr&gt;</v>
      </c>
    </row>
    <row r="147" spans="1:19" x14ac:dyDescent="0.25">
      <c r="A147" s="5">
        <v>42375</v>
      </c>
      <c r="B147" s="6">
        <v>0.8125</v>
      </c>
      <c r="C147" t="s">
        <v>135</v>
      </c>
      <c r="D147" t="s">
        <v>136</v>
      </c>
      <c r="E147">
        <v>78</v>
      </c>
      <c r="F147" t="s">
        <v>198</v>
      </c>
      <c r="H147">
        <v>69</v>
      </c>
      <c r="J147" t="str">
        <f t="shared" si="16"/>
        <v>V</v>
      </c>
      <c r="K147" t="s">
        <v>236</v>
      </c>
      <c r="L147" t="s">
        <v>228</v>
      </c>
      <c r="M147" t="s">
        <v>229</v>
      </c>
      <c r="N147" t="str">
        <f t="shared" si="17"/>
        <v>&lt;tr&gt; &lt;td&gt;Jan. 6&lt;/td&gt;</v>
      </c>
      <c r="O147" t="str">
        <f t="shared" si="18"/>
        <v>&lt;td&gt;7:30 PM&lt;/td&gt;</v>
      </c>
      <c r="P147" t="str">
        <f t="shared" si="19"/>
        <v>&lt;td class="NPCsched"&gt;Northlands Parkway&lt;/td&gt;</v>
      </c>
      <c r="Q147" t="str">
        <f t="shared" si="20"/>
        <v>&lt;td&gt;78 - 69&lt;/td&gt;</v>
      </c>
      <c r="R147" t="str">
        <f t="shared" si="21"/>
        <v>&lt;td class="sched"&gt;Windsor Park&lt;/td&gt;</v>
      </c>
      <c r="S147" t="str">
        <f t="shared" si="22"/>
        <v>&lt;td&gt;SCAC Tier 2 Regular Season&lt;/td&gt; &lt;/tr&gt;</v>
      </c>
    </row>
    <row r="148" spans="1:19" x14ac:dyDescent="0.25">
      <c r="A148" s="5">
        <v>42375</v>
      </c>
      <c r="B148" s="6">
        <v>0.8125</v>
      </c>
      <c r="C148" t="s">
        <v>21</v>
      </c>
      <c r="D148" t="s">
        <v>64</v>
      </c>
      <c r="E148">
        <v>55</v>
      </c>
      <c r="F148" t="s">
        <v>213</v>
      </c>
      <c r="G148" t="s">
        <v>540</v>
      </c>
      <c r="H148">
        <v>65</v>
      </c>
      <c r="J148" t="str">
        <f t="shared" si="16"/>
        <v>H</v>
      </c>
      <c r="K148" t="s">
        <v>281</v>
      </c>
      <c r="L148" t="s">
        <v>228</v>
      </c>
      <c r="M148" t="s">
        <v>229</v>
      </c>
      <c r="N148" t="str">
        <f t="shared" si="17"/>
        <v>&lt;tr&gt; &lt;td&gt;Jan. 6&lt;/td&gt;</v>
      </c>
      <c r="O148" t="str">
        <f t="shared" si="18"/>
        <v>&lt;td&gt;7:30 PM&lt;/td&gt;</v>
      </c>
      <c r="P148" t="str">
        <f t="shared" si="19"/>
        <v>&lt;td class="JHBsched"&gt;J.H. Bruns&lt;/td&gt;</v>
      </c>
      <c r="Q148" t="str">
        <f t="shared" si="20"/>
        <v>&lt;td&gt;55 - 65&lt;/td&gt;</v>
      </c>
      <c r="R148" t="str">
        <f t="shared" si="21"/>
        <v>&lt;td class="SJRsched"&gt;St. John's-Ravenscourt&lt;/td&gt;</v>
      </c>
      <c r="S148" t="str">
        <f t="shared" si="22"/>
        <v>&lt;td&gt;SCAC Tier 1 Regular Season&lt;/td&gt; &lt;/tr&gt;</v>
      </c>
    </row>
    <row r="149" spans="1:19" x14ac:dyDescent="0.25">
      <c r="A149" s="5">
        <v>42375</v>
      </c>
      <c r="B149" s="6">
        <v>0.83333333333333337</v>
      </c>
      <c r="C149" t="s">
        <v>22</v>
      </c>
      <c r="D149" t="s">
        <v>66</v>
      </c>
      <c r="E149">
        <v>60</v>
      </c>
      <c r="F149" t="s">
        <v>5</v>
      </c>
      <c r="G149" t="s">
        <v>62</v>
      </c>
      <c r="H149">
        <v>64</v>
      </c>
      <c r="J149" t="str">
        <f t="shared" si="16"/>
        <v>H</v>
      </c>
      <c r="K149" t="s">
        <v>281</v>
      </c>
      <c r="L149" t="s">
        <v>228</v>
      </c>
      <c r="M149" t="s">
        <v>229</v>
      </c>
      <c r="N149" t="str">
        <f t="shared" si="17"/>
        <v>&lt;tr&gt; &lt;td&gt;Jan. 6&lt;/td&gt;</v>
      </c>
      <c r="O149" t="str">
        <f t="shared" si="18"/>
        <v>&lt;td&gt;8:00 PM&lt;/td&gt;</v>
      </c>
      <c r="P149" t="str">
        <f t="shared" si="19"/>
        <v>&lt;td class="SRSSsched"&gt;Steinbach&lt;/td&gt;</v>
      </c>
      <c r="Q149" t="str">
        <f t="shared" si="20"/>
        <v>&lt;td&gt;60 - 64&lt;/td&gt;</v>
      </c>
      <c r="R149" t="str">
        <f t="shared" si="21"/>
        <v>&lt;td class="GCIsched"&gt;Glenlawn&lt;/td&gt;</v>
      </c>
      <c r="S149" t="str">
        <f t="shared" si="22"/>
        <v>&lt;td&gt;SCAC Tier 1 Regular Season&lt;/td&gt; &lt;/tr&gt;</v>
      </c>
    </row>
    <row r="150" spans="1:19" x14ac:dyDescent="0.25">
      <c r="A150" s="5">
        <v>42376</v>
      </c>
      <c r="B150" s="6">
        <v>0.54166666666666663</v>
      </c>
      <c r="C150" t="s">
        <v>24</v>
      </c>
      <c r="D150" t="s">
        <v>82</v>
      </c>
      <c r="E150">
        <v>80</v>
      </c>
      <c r="F150" t="s">
        <v>6</v>
      </c>
      <c r="G150" t="s">
        <v>70</v>
      </c>
      <c r="H150">
        <v>102</v>
      </c>
      <c r="J150" t="str">
        <f t="shared" si="16"/>
        <v>H</v>
      </c>
      <c r="K150" t="s">
        <v>551</v>
      </c>
      <c r="L150" t="s">
        <v>173</v>
      </c>
      <c r="N150" t="str">
        <f t="shared" si="17"/>
        <v>&lt;tr&gt; &lt;td&gt;Jan. 7&lt;/td&gt;</v>
      </c>
      <c r="O150" t="str">
        <f t="shared" si="18"/>
        <v>&lt;td&gt;1:00 PM&lt;/td&gt;</v>
      </c>
      <c r="P150" t="str">
        <f t="shared" si="19"/>
        <v>&lt;td class="DMCIsched"&gt;Daniel McIntyre&lt;/td&gt;</v>
      </c>
      <c r="Q150" t="str">
        <f t="shared" si="20"/>
        <v>&lt;td&gt;80 - 102&lt;/td&gt;</v>
      </c>
      <c r="R150" t="str">
        <f t="shared" si="21"/>
        <v>&lt;td class="JTCsched"&gt;John Taylor&lt;/td&gt;</v>
      </c>
      <c r="S150" t="str">
        <f t="shared" si="22"/>
        <v>&lt;td&gt;Piper Classic Quarterfinal 1&lt;/td&gt; &lt;/tr&gt;</v>
      </c>
    </row>
    <row r="151" spans="1:19" x14ac:dyDescent="0.25">
      <c r="A151" s="5">
        <v>42376</v>
      </c>
      <c r="B151" s="6">
        <v>0.60416666666666663</v>
      </c>
      <c r="C151" t="s">
        <v>4</v>
      </c>
      <c r="D151" t="s">
        <v>41</v>
      </c>
      <c r="E151">
        <v>77</v>
      </c>
      <c r="F151" t="s">
        <v>552</v>
      </c>
      <c r="H151">
        <v>33</v>
      </c>
      <c r="J151" t="str">
        <f t="shared" si="16"/>
        <v>V</v>
      </c>
      <c r="K151" t="s">
        <v>553</v>
      </c>
      <c r="L151" t="s">
        <v>554</v>
      </c>
      <c r="N151" t="str">
        <f t="shared" si="17"/>
        <v>&lt;tr&gt; &lt;td&gt;Jan. 7&lt;/td&gt;</v>
      </c>
      <c r="O151" t="str">
        <f t="shared" si="18"/>
        <v>&lt;td&gt;2:30 PM&lt;/td&gt;</v>
      </c>
      <c r="P151" t="str">
        <f t="shared" si="19"/>
        <v>&lt;td class="GCCsched"&gt;Garden City&lt;/td&gt;</v>
      </c>
      <c r="Q151" t="str">
        <f t="shared" si="20"/>
        <v>&lt;td&gt;77 - 33&lt;/td&gt;</v>
      </c>
      <c r="R151" t="str">
        <f t="shared" si="21"/>
        <v>&lt;td class="sched"&gt;Bedford Road&lt;/td&gt;</v>
      </c>
      <c r="S151" t="str">
        <f t="shared" si="22"/>
        <v>&lt;td&gt;Bedford Road Invitational Game 1&lt;/td&gt; &lt;/tr&gt;</v>
      </c>
    </row>
    <row r="152" spans="1:19" x14ac:dyDescent="0.25">
      <c r="A152" s="5">
        <v>42376</v>
      </c>
      <c r="B152" s="6">
        <v>0.61458333333333337</v>
      </c>
      <c r="C152" t="s">
        <v>16</v>
      </c>
      <c r="D152" t="s">
        <v>45</v>
      </c>
      <c r="E152">
        <v>83</v>
      </c>
      <c r="F152" t="s">
        <v>8</v>
      </c>
      <c r="G152" t="s">
        <v>60</v>
      </c>
      <c r="H152">
        <v>80</v>
      </c>
      <c r="J152" t="str">
        <f t="shared" si="16"/>
        <v>V</v>
      </c>
      <c r="K152" t="s">
        <v>551</v>
      </c>
      <c r="L152" t="s">
        <v>174</v>
      </c>
      <c r="N152" t="str">
        <f t="shared" si="17"/>
        <v>&lt;tr&gt; &lt;td&gt;Jan. 7&lt;/td&gt;</v>
      </c>
      <c r="O152" t="str">
        <f t="shared" si="18"/>
        <v>&lt;td&gt;2:45 PM&lt;/td&gt;</v>
      </c>
      <c r="P152" t="str">
        <f t="shared" si="19"/>
        <v>&lt;td class="MCsched"&gt;Maples&lt;/td&gt;</v>
      </c>
      <c r="Q152" t="str">
        <f t="shared" si="20"/>
        <v>&lt;td&gt;83 - 80&lt;/td&gt;</v>
      </c>
      <c r="R152" t="str">
        <f t="shared" si="21"/>
        <v>&lt;td class="DCIsched"&gt;Dakota&lt;/td&gt;</v>
      </c>
      <c r="S152" t="str">
        <f t="shared" si="22"/>
        <v>&lt;td&gt;Piper Classic Quarterfinal 2&lt;/td&gt; &lt;/tr&gt;</v>
      </c>
    </row>
    <row r="153" spans="1:19" x14ac:dyDescent="0.25">
      <c r="A153" s="5">
        <v>42376</v>
      </c>
      <c r="B153" s="6">
        <v>0.6875</v>
      </c>
      <c r="C153" t="s">
        <v>213</v>
      </c>
      <c r="D153" t="s">
        <v>540</v>
      </c>
      <c r="E153">
        <v>58</v>
      </c>
      <c r="F153" t="s">
        <v>3</v>
      </c>
      <c r="G153" t="s">
        <v>78</v>
      </c>
      <c r="H153">
        <v>68</v>
      </c>
      <c r="J153" t="str">
        <f t="shared" si="16"/>
        <v>H</v>
      </c>
      <c r="K153" t="s">
        <v>551</v>
      </c>
      <c r="L153" t="s">
        <v>175</v>
      </c>
      <c r="N153" t="str">
        <f t="shared" si="17"/>
        <v>&lt;tr&gt; &lt;td&gt;Jan. 7&lt;/td&gt;</v>
      </c>
      <c r="O153" t="str">
        <f t="shared" si="18"/>
        <v>&lt;td&gt;4:30 PM&lt;/td&gt;</v>
      </c>
      <c r="P153" t="str">
        <f t="shared" si="19"/>
        <v>&lt;td class="SJRsched"&gt;St. John's-Ravenscourt&lt;/td&gt;</v>
      </c>
      <c r="Q153" t="str">
        <f t="shared" si="20"/>
        <v>&lt;td&gt;58 - 68&lt;/td&gt;</v>
      </c>
      <c r="R153" t="str">
        <f t="shared" si="21"/>
        <v>&lt;td class="SPHSsched"&gt;St. Paul's&lt;/td&gt;</v>
      </c>
      <c r="S153" t="str">
        <f t="shared" si="22"/>
        <v>&lt;td&gt;Piper Classic Quarterfinal 3&lt;/td&gt; &lt;/tr&gt;</v>
      </c>
    </row>
    <row r="154" spans="1:19" x14ac:dyDescent="0.25">
      <c r="A154" s="5">
        <v>42376</v>
      </c>
      <c r="B154" s="6">
        <v>0.76041666666666663</v>
      </c>
      <c r="C154" t="s">
        <v>23</v>
      </c>
      <c r="D154" t="s">
        <v>80</v>
      </c>
      <c r="E154">
        <v>61</v>
      </c>
      <c r="F154" t="s">
        <v>1</v>
      </c>
      <c r="G154" t="s">
        <v>74</v>
      </c>
      <c r="H154">
        <v>78</v>
      </c>
      <c r="J154" t="str">
        <f t="shared" si="16"/>
        <v>H</v>
      </c>
      <c r="K154" t="s">
        <v>551</v>
      </c>
      <c r="L154" t="s">
        <v>176</v>
      </c>
      <c r="N154" t="str">
        <f t="shared" si="17"/>
        <v>&lt;tr&gt; &lt;td&gt;Jan. 7&lt;/td&gt;</v>
      </c>
      <c r="O154" t="str">
        <f t="shared" si="18"/>
        <v>&lt;td&gt;6:15 PM&lt;/td&gt;</v>
      </c>
      <c r="P154" t="str">
        <f t="shared" si="19"/>
        <v>&lt;td class="VMCsched"&gt;Vincent Massey&lt;/td&gt;</v>
      </c>
      <c r="Q154" t="str">
        <f t="shared" si="20"/>
        <v>&lt;td&gt;61 - 78&lt;/td&gt;</v>
      </c>
      <c r="R154" t="str">
        <f t="shared" si="21"/>
        <v>&lt;td class="OPHSsched"&gt;Oak Park&lt;/td&gt;</v>
      </c>
      <c r="S154" t="str">
        <f t="shared" si="22"/>
        <v>&lt;td&gt;Piper Classic Quarterfinal 4&lt;/td&gt; &lt;/tr&gt;</v>
      </c>
    </row>
    <row r="155" spans="1:19" x14ac:dyDescent="0.25">
      <c r="A155" s="5">
        <v>42376</v>
      </c>
      <c r="B155" s="6">
        <v>0.8125</v>
      </c>
      <c r="C155" t="s">
        <v>162</v>
      </c>
      <c r="D155" t="s">
        <v>164</v>
      </c>
      <c r="E155">
        <v>82</v>
      </c>
      <c r="F155" t="s">
        <v>760</v>
      </c>
      <c r="H155">
        <v>21</v>
      </c>
      <c r="J155" t="str">
        <f t="shared" si="16"/>
        <v>V</v>
      </c>
      <c r="K155" t="s">
        <v>163</v>
      </c>
      <c r="L155" t="s">
        <v>228</v>
      </c>
      <c r="M155" t="s">
        <v>229</v>
      </c>
      <c r="N155" t="str">
        <f t="shared" si="17"/>
        <v>&lt;tr&gt; &lt;td&gt;Jan. 7&lt;/td&gt;</v>
      </c>
      <c r="O155" t="str">
        <f t="shared" si="18"/>
        <v>&lt;td&gt;7:30 PM&lt;/td&gt;</v>
      </c>
      <c r="P155" t="str">
        <f t="shared" si="19"/>
        <v>&lt;td class="GVCsched"&gt;Garden Valley&lt;/td&gt;</v>
      </c>
      <c r="Q155" t="str">
        <f t="shared" si="20"/>
        <v>&lt;td&gt;82 - 21&lt;/td&gt;</v>
      </c>
      <c r="R155" t="str">
        <f t="shared" si="21"/>
        <v>&lt;td class="sched"&gt;Morden&lt;/td&gt;</v>
      </c>
      <c r="S155" t="str">
        <f t="shared" si="22"/>
        <v>&lt;td&gt;Zone 4 Regular Season&lt;/td&gt; &lt;/tr&gt;</v>
      </c>
    </row>
    <row r="156" spans="1:19" x14ac:dyDescent="0.25">
      <c r="A156" s="5">
        <v>42376</v>
      </c>
      <c r="C156" t="s">
        <v>14</v>
      </c>
      <c r="D156" t="s">
        <v>94</v>
      </c>
      <c r="E156">
        <v>77</v>
      </c>
      <c r="F156" t="s">
        <v>11</v>
      </c>
      <c r="G156" t="s">
        <v>48</v>
      </c>
      <c r="H156">
        <v>71</v>
      </c>
      <c r="J156" t="str">
        <f t="shared" si="16"/>
        <v>V</v>
      </c>
      <c r="K156" t="s">
        <v>302</v>
      </c>
      <c r="L156" t="s">
        <v>173</v>
      </c>
      <c r="N156" t="str">
        <f t="shared" si="17"/>
        <v>&lt;tr&gt; &lt;td&gt;Jan. 7&lt;/td&gt;</v>
      </c>
      <c r="O156" t="str">
        <f t="shared" si="18"/>
        <v>&lt;td&gt;&lt;/td&gt;</v>
      </c>
      <c r="P156" t="str">
        <f t="shared" si="19"/>
        <v>&lt;td class="SHCsched"&gt;Sturgeon Heights&lt;/td&gt;</v>
      </c>
      <c r="Q156" t="str">
        <f t="shared" si="20"/>
        <v>&lt;td&gt;77 - 71&lt;/td&gt;</v>
      </c>
      <c r="R156" t="str">
        <f t="shared" si="21"/>
        <v>&lt;td class="MMCsched"&gt;Miles Macdonell&lt;/td&gt;</v>
      </c>
      <c r="S156" t="str">
        <f t="shared" si="22"/>
        <v>&lt;td&gt;Buckeye Classic Quarterfinal 1&lt;/td&gt; &lt;/tr&gt;</v>
      </c>
    </row>
    <row r="157" spans="1:19" x14ac:dyDescent="0.25">
      <c r="A157" s="5">
        <v>42376</v>
      </c>
      <c r="C157" t="s">
        <v>292</v>
      </c>
      <c r="E157">
        <v>47</v>
      </c>
      <c r="F157" t="s">
        <v>9</v>
      </c>
      <c r="G157" t="s">
        <v>76</v>
      </c>
      <c r="H157">
        <v>84</v>
      </c>
      <c r="J157" t="str">
        <f t="shared" si="16"/>
        <v>H</v>
      </c>
      <c r="K157" t="s">
        <v>302</v>
      </c>
      <c r="L157" t="s">
        <v>174</v>
      </c>
      <c r="N157" t="str">
        <f t="shared" si="17"/>
        <v>&lt;tr&gt; &lt;td&gt;Jan. 7&lt;/td&gt;</v>
      </c>
      <c r="O157" t="str">
        <f t="shared" si="18"/>
        <v>&lt;td&gt;&lt;/td&gt;</v>
      </c>
      <c r="P157" t="str">
        <f t="shared" si="19"/>
        <v>&lt;td class="sched"&gt;U of W Collegiate&lt;/td&gt;</v>
      </c>
      <c r="Q157" t="str">
        <f t="shared" si="20"/>
        <v>&lt;td&gt;47 - 84&lt;/td&gt;</v>
      </c>
      <c r="R157" t="str">
        <f t="shared" si="21"/>
        <v>&lt;td class="SiHSsched"&gt;Sisler&lt;/td&gt;</v>
      </c>
      <c r="S157" t="str">
        <f t="shared" si="22"/>
        <v>&lt;td&gt;Buckeye Classic Quarterfinal 2&lt;/td&gt; &lt;/tr&gt;</v>
      </c>
    </row>
    <row r="158" spans="1:19" x14ac:dyDescent="0.25">
      <c r="A158" s="5">
        <v>42376</v>
      </c>
      <c r="C158" t="s">
        <v>17</v>
      </c>
      <c r="D158" t="s">
        <v>50</v>
      </c>
      <c r="E158">
        <v>61</v>
      </c>
      <c r="F158" t="s">
        <v>10</v>
      </c>
      <c r="G158" t="s">
        <v>72</v>
      </c>
      <c r="H158">
        <v>85</v>
      </c>
      <c r="J158" t="str">
        <f t="shared" si="16"/>
        <v>H</v>
      </c>
      <c r="K158" t="s">
        <v>302</v>
      </c>
      <c r="L158" t="s">
        <v>175</v>
      </c>
      <c r="N158" t="str">
        <f t="shared" si="17"/>
        <v>&lt;tr&gt; &lt;td&gt;Jan. 7&lt;/td&gt;</v>
      </c>
      <c r="O158" t="str">
        <f t="shared" si="18"/>
        <v>&lt;td&gt;&lt;/td&gt;</v>
      </c>
      <c r="P158" t="str">
        <f t="shared" si="19"/>
        <v>&lt;td class="MMCIsched"&gt;Murdoch MacKay&lt;/td&gt;</v>
      </c>
      <c r="Q158" t="str">
        <f t="shared" si="20"/>
        <v>&lt;td&gt;61 - 85&lt;/td&gt;</v>
      </c>
      <c r="R158" t="str">
        <f t="shared" si="21"/>
        <v>&lt;td class="KHSsched"&gt;Kelvin&lt;/td&gt;</v>
      </c>
      <c r="S158" t="str">
        <f t="shared" si="22"/>
        <v>&lt;td&gt;Buckeye Classic Quarterfinal 3&lt;/td&gt; &lt;/tr&gt;</v>
      </c>
    </row>
    <row r="159" spans="1:19" x14ac:dyDescent="0.25">
      <c r="A159" s="5">
        <v>42376</v>
      </c>
      <c r="C159" t="s">
        <v>31</v>
      </c>
      <c r="D159" t="s">
        <v>96</v>
      </c>
      <c r="E159">
        <v>80</v>
      </c>
      <c r="F159" t="s">
        <v>15</v>
      </c>
      <c r="G159" t="s">
        <v>68</v>
      </c>
      <c r="H159">
        <v>100</v>
      </c>
      <c r="J159" t="str">
        <f t="shared" si="16"/>
        <v>H</v>
      </c>
      <c r="K159" t="s">
        <v>302</v>
      </c>
      <c r="L159" t="s">
        <v>176</v>
      </c>
      <c r="N159" t="str">
        <f t="shared" si="17"/>
        <v>&lt;tr&gt; &lt;td&gt;Jan. 7&lt;/td&gt;</v>
      </c>
      <c r="O159" t="str">
        <f t="shared" si="18"/>
        <v>&lt;td&gt;&lt;/td&gt;</v>
      </c>
      <c r="P159" t="str">
        <f t="shared" si="19"/>
        <v>&lt;td class="TVHSsched"&gt;Tec Voc&lt;/td&gt;</v>
      </c>
      <c r="Q159" t="str">
        <f t="shared" si="20"/>
        <v>&lt;td&gt;80 - 100&lt;/td&gt;</v>
      </c>
      <c r="R159" t="str">
        <f t="shared" si="21"/>
        <v>&lt;td class="FRCsched"&gt;Fort Richmond&lt;/td&gt;</v>
      </c>
      <c r="S159" t="str">
        <f t="shared" si="22"/>
        <v>&lt;td&gt;Buckeye Classic Quarterfinal 4&lt;/td&gt; &lt;/tr&gt;</v>
      </c>
    </row>
    <row r="160" spans="1:19" x14ac:dyDescent="0.25">
      <c r="A160" s="5">
        <v>42377</v>
      </c>
      <c r="B160" s="6">
        <v>0.58333333333333337</v>
      </c>
      <c r="C160" t="s">
        <v>1</v>
      </c>
      <c r="D160" t="s">
        <v>74</v>
      </c>
      <c r="E160">
        <v>50</v>
      </c>
      <c r="F160" t="s">
        <v>3</v>
      </c>
      <c r="G160" t="s">
        <v>78</v>
      </c>
      <c r="H160">
        <v>72</v>
      </c>
      <c r="J160" t="str">
        <f t="shared" si="16"/>
        <v>H</v>
      </c>
      <c r="K160" t="s">
        <v>551</v>
      </c>
      <c r="L160" t="s">
        <v>180</v>
      </c>
      <c r="N160" t="str">
        <f t="shared" si="17"/>
        <v>&lt;tr&gt; &lt;td&gt;Jan. 8&lt;/td&gt;</v>
      </c>
      <c r="O160" t="str">
        <f t="shared" si="18"/>
        <v>&lt;td&gt;2:00 PM&lt;/td&gt;</v>
      </c>
      <c r="P160" t="str">
        <f t="shared" si="19"/>
        <v>&lt;td class="OPHSsched"&gt;Oak Park&lt;/td&gt;</v>
      </c>
      <c r="Q160" t="str">
        <f t="shared" si="20"/>
        <v>&lt;td&gt;50 - 72&lt;/td&gt;</v>
      </c>
      <c r="R160" t="str">
        <f t="shared" si="21"/>
        <v>&lt;td class="SPHSsched"&gt;St. Paul's&lt;/td&gt;</v>
      </c>
      <c r="S160" t="str">
        <f t="shared" si="22"/>
        <v>&lt;td&gt;Piper Classic Semifinal 2&lt;/td&gt; &lt;/tr&gt;</v>
      </c>
    </row>
    <row r="161" spans="1:19" x14ac:dyDescent="0.25">
      <c r="A161" s="5">
        <v>42377</v>
      </c>
      <c r="B161" s="6">
        <v>0.58333333333333337</v>
      </c>
      <c r="C161" t="s">
        <v>718</v>
      </c>
      <c r="E161">
        <v>44</v>
      </c>
      <c r="F161" t="s">
        <v>4</v>
      </c>
      <c r="G161" t="s">
        <v>41</v>
      </c>
      <c r="H161">
        <v>62</v>
      </c>
      <c r="J161" t="str">
        <f t="shared" si="16"/>
        <v>H</v>
      </c>
      <c r="K161" t="s">
        <v>553</v>
      </c>
      <c r="L161" t="s">
        <v>173</v>
      </c>
      <c r="N161" t="str">
        <f t="shared" si="17"/>
        <v>&lt;tr&gt; &lt;td&gt;Jan. 8&lt;/td&gt;</v>
      </c>
      <c r="O161" t="str">
        <f t="shared" si="18"/>
        <v>&lt;td&gt;2:00 PM&lt;/td&gt;</v>
      </c>
      <c r="P161" t="str">
        <f t="shared" si="19"/>
        <v>&lt;td class="sched"&gt;Bishop J. Mahoney&lt;/td&gt;</v>
      </c>
      <c r="Q161" t="str">
        <f t="shared" si="20"/>
        <v>&lt;td&gt;44 - 62&lt;/td&gt;</v>
      </c>
      <c r="R161" t="str">
        <f t="shared" si="21"/>
        <v>&lt;td class="GCCsched"&gt;Garden City&lt;/td&gt;</v>
      </c>
      <c r="S161" t="str">
        <f t="shared" si="22"/>
        <v>&lt;td&gt;Bedford Road Invitational Quarterfinal 1&lt;/td&gt; &lt;/tr&gt;</v>
      </c>
    </row>
    <row r="162" spans="1:19" x14ac:dyDescent="0.25">
      <c r="A162" s="5">
        <v>42377</v>
      </c>
      <c r="B162" s="6">
        <v>0.625</v>
      </c>
      <c r="C162" t="s">
        <v>23</v>
      </c>
      <c r="D162" t="s">
        <v>102</v>
      </c>
      <c r="E162">
        <v>47</v>
      </c>
      <c r="F162" t="s">
        <v>21</v>
      </c>
      <c r="G162" t="s">
        <v>64</v>
      </c>
      <c r="H162">
        <v>64</v>
      </c>
      <c r="J162" t="str">
        <f t="shared" ref="J162:J178" si="23">IF(H162&gt;E162,"H",IF(E162&gt;H162,"V",""))</f>
        <v>H</v>
      </c>
      <c r="K162" t="s">
        <v>260</v>
      </c>
      <c r="L162" t="s">
        <v>173</v>
      </c>
      <c r="N162" t="str">
        <f t="shared" si="17"/>
        <v>&lt;tr&gt; &lt;td&gt;Jan. 8&lt;/td&gt;</v>
      </c>
      <c r="O162" t="str">
        <f t="shared" si="18"/>
        <v>&lt;td&gt;3:00 PM&lt;/td&gt;</v>
      </c>
      <c r="P162" t="str">
        <f t="shared" si="19"/>
        <v>&lt;td class="VMHSsched"&gt;Vincent Massey&lt;/td&gt;</v>
      </c>
      <c r="Q162" t="str">
        <f t="shared" si="20"/>
        <v>&lt;td&gt;47 - 64&lt;/td&gt;</v>
      </c>
      <c r="R162" t="str">
        <f t="shared" si="21"/>
        <v>&lt;td class="JHBsched"&gt;J.H. Bruns&lt;/td&gt;</v>
      </c>
      <c r="S162" t="str">
        <f t="shared" si="22"/>
        <v>&lt;td&gt;Bronco Invitational Quarterfinal 1&lt;/td&gt; &lt;/tr&gt;</v>
      </c>
    </row>
    <row r="163" spans="1:19" x14ac:dyDescent="0.25">
      <c r="A163" s="5">
        <v>42377</v>
      </c>
      <c r="B163" s="6">
        <v>0.65625</v>
      </c>
      <c r="C163" t="s">
        <v>23</v>
      </c>
      <c r="D163" t="s">
        <v>80</v>
      </c>
      <c r="E163">
        <v>67</v>
      </c>
      <c r="F163" t="s">
        <v>213</v>
      </c>
      <c r="G163" t="s">
        <v>540</v>
      </c>
      <c r="H163">
        <v>72</v>
      </c>
      <c r="J163" t="str">
        <f t="shared" si="23"/>
        <v>H</v>
      </c>
      <c r="K163" t="s">
        <v>551</v>
      </c>
      <c r="L163" t="s">
        <v>178</v>
      </c>
      <c r="N163" t="str">
        <f t="shared" si="17"/>
        <v>&lt;tr&gt; &lt;td&gt;Jan. 8&lt;/td&gt;</v>
      </c>
      <c r="O163" t="str">
        <f t="shared" si="18"/>
        <v>&lt;td&gt;3:45 PM&lt;/td&gt;</v>
      </c>
      <c r="P163" t="str">
        <f t="shared" si="19"/>
        <v>&lt;td class="VMCsched"&gt;Vincent Massey&lt;/td&gt;</v>
      </c>
      <c r="Q163" t="str">
        <f t="shared" si="20"/>
        <v>&lt;td&gt;67 - 72&lt;/td&gt;</v>
      </c>
      <c r="R163" t="str">
        <f t="shared" si="21"/>
        <v>&lt;td class="SJRsched"&gt;St. John's-Ravenscourt&lt;/td&gt;</v>
      </c>
      <c r="S163" t="str">
        <f t="shared" si="22"/>
        <v>&lt;td&gt;Piper Classic Consolation Semi 2&lt;/td&gt; &lt;/tr&gt;</v>
      </c>
    </row>
    <row r="164" spans="1:19" x14ac:dyDescent="0.25">
      <c r="A164" s="5">
        <v>42377</v>
      </c>
      <c r="B164" s="6">
        <v>0.6875</v>
      </c>
      <c r="C164" t="s">
        <v>30</v>
      </c>
      <c r="D164" t="s">
        <v>92</v>
      </c>
      <c r="E164">
        <v>40</v>
      </c>
      <c r="F164" t="s">
        <v>162</v>
      </c>
      <c r="G164" t="s">
        <v>164</v>
      </c>
      <c r="H164">
        <v>81</v>
      </c>
      <c r="J164" t="str">
        <f t="shared" si="23"/>
        <v>H</v>
      </c>
      <c r="K164" t="s">
        <v>260</v>
      </c>
      <c r="L164" t="s">
        <v>174</v>
      </c>
      <c r="N164" t="str">
        <f t="shared" si="17"/>
        <v>&lt;tr&gt; &lt;td&gt;Jan. 8&lt;/td&gt;</v>
      </c>
      <c r="O164" t="str">
        <f t="shared" si="18"/>
        <v>&lt;td&gt;4:30 PM&lt;/td&gt;</v>
      </c>
      <c r="P164" t="str">
        <f t="shared" si="19"/>
        <v>&lt;td class="SJHSsched"&gt;St. John's&lt;/td&gt;</v>
      </c>
      <c r="Q164" t="str">
        <f t="shared" si="20"/>
        <v>&lt;td&gt;40 - 81&lt;/td&gt;</v>
      </c>
      <c r="R164" t="str">
        <f t="shared" si="21"/>
        <v>&lt;td class="GVCsched"&gt;Garden Valley&lt;/td&gt;</v>
      </c>
      <c r="S164" t="str">
        <f t="shared" si="22"/>
        <v>&lt;td&gt;Bronco Invitational Quarterfinal 2&lt;/td&gt; &lt;/tr&gt;</v>
      </c>
    </row>
    <row r="165" spans="1:19" x14ac:dyDescent="0.25">
      <c r="A165" s="5">
        <v>42377</v>
      </c>
      <c r="B165" s="6">
        <v>0.72916666666666663</v>
      </c>
      <c r="C165" t="s">
        <v>8</v>
      </c>
      <c r="D165" t="s">
        <v>60</v>
      </c>
      <c r="E165">
        <v>75</v>
      </c>
      <c r="F165" t="s">
        <v>24</v>
      </c>
      <c r="G165" t="s">
        <v>82</v>
      </c>
      <c r="H165">
        <v>69</v>
      </c>
      <c r="J165" t="str">
        <f t="shared" si="23"/>
        <v>V</v>
      </c>
      <c r="K165" t="s">
        <v>551</v>
      </c>
      <c r="L165" t="s">
        <v>177</v>
      </c>
      <c r="N165" t="str">
        <f t="shared" si="17"/>
        <v>&lt;tr&gt; &lt;td&gt;Jan. 8&lt;/td&gt;</v>
      </c>
      <c r="O165" t="str">
        <f t="shared" si="18"/>
        <v>&lt;td&gt;5:30 PM&lt;/td&gt;</v>
      </c>
      <c r="P165" t="str">
        <f t="shared" si="19"/>
        <v>&lt;td class="DCIsched"&gt;Dakota&lt;/td&gt;</v>
      </c>
      <c r="Q165" t="str">
        <f t="shared" si="20"/>
        <v>&lt;td&gt;75 - 69&lt;/td&gt;</v>
      </c>
      <c r="R165" t="str">
        <f t="shared" si="21"/>
        <v>&lt;td class="DMCIsched"&gt;Daniel McIntyre&lt;/td&gt;</v>
      </c>
      <c r="S165" t="str">
        <f t="shared" si="22"/>
        <v>&lt;td&gt;Piper Classic Consolation Semi 1&lt;/td&gt; &lt;/tr&gt;</v>
      </c>
    </row>
    <row r="166" spans="1:19" x14ac:dyDescent="0.25">
      <c r="A166" s="5">
        <v>42377</v>
      </c>
      <c r="B166" s="6">
        <v>0.75</v>
      </c>
      <c r="C166" t="s">
        <v>22</v>
      </c>
      <c r="D166" t="s">
        <v>66</v>
      </c>
      <c r="E166">
        <v>77</v>
      </c>
      <c r="F166" t="s">
        <v>135</v>
      </c>
      <c r="G166" t="s">
        <v>136</v>
      </c>
      <c r="H166">
        <v>54</v>
      </c>
      <c r="J166" t="str">
        <f t="shared" si="23"/>
        <v>V</v>
      </c>
      <c r="K166" t="s">
        <v>260</v>
      </c>
      <c r="L166" t="s">
        <v>175</v>
      </c>
      <c r="N166" t="str">
        <f t="shared" si="17"/>
        <v>&lt;tr&gt; &lt;td&gt;Jan. 8&lt;/td&gt;</v>
      </c>
      <c r="O166" t="str">
        <f t="shared" si="18"/>
        <v>&lt;td&gt;6:00 PM&lt;/td&gt;</v>
      </c>
      <c r="P166" t="str">
        <f t="shared" si="19"/>
        <v>&lt;td class="SRSSsched"&gt;Steinbach&lt;/td&gt;</v>
      </c>
      <c r="Q166" t="str">
        <f t="shared" si="20"/>
        <v>&lt;td&gt;77 - 54&lt;/td&gt;</v>
      </c>
      <c r="R166" t="str">
        <f t="shared" si="21"/>
        <v>&lt;td class="NPCsched"&gt;Northlands Parkway&lt;/td&gt;</v>
      </c>
      <c r="S166" t="str">
        <f t="shared" si="22"/>
        <v>&lt;td&gt;Bronco Invitational Quarterfinal 3&lt;/td&gt; &lt;/tr&gt;</v>
      </c>
    </row>
    <row r="167" spans="1:19" x14ac:dyDescent="0.25">
      <c r="A167" s="5">
        <v>42377</v>
      </c>
      <c r="B167" s="6">
        <v>0.8125</v>
      </c>
      <c r="C167" t="s">
        <v>108</v>
      </c>
      <c r="D167" t="s">
        <v>109</v>
      </c>
      <c r="E167">
        <v>61</v>
      </c>
      <c r="F167" t="s">
        <v>104</v>
      </c>
      <c r="G167" t="s">
        <v>105</v>
      </c>
      <c r="H167">
        <v>65</v>
      </c>
      <c r="J167" t="str">
        <f t="shared" si="23"/>
        <v>H</v>
      </c>
      <c r="K167" t="s">
        <v>260</v>
      </c>
      <c r="L167" t="s">
        <v>176</v>
      </c>
      <c r="N167" t="str">
        <f t="shared" si="17"/>
        <v>&lt;tr&gt; &lt;td&gt;Jan. 8&lt;/td&gt;</v>
      </c>
      <c r="O167" t="str">
        <f t="shared" si="18"/>
        <v>&lt;td&gt;7:30 PM&lt;/td&gt;</v>
      </c>
      <c r="P167" t="str">
        <f t="shared" si="19"/>
        <v>&lt;td class="CJSsched"&gt;Jeanne-Sauv&amp;eacute;&lt;/td&gt;</v>
      </c>
      <c r="Q167" t="str">
        <f t="shared" si="20"/>
        <v>&lt;td&gt;61 - 65&lt;/td&gt;</v>
      </c>
      <c r="R167" t="str">
        <f t="shared" si="21"/>
        <v>&lt;td class="SCIsched"&gt;Springfield&lt;/td&gt;</v>
      </c>
      <c r="S167" t="str">
        <f t="shared" si="22"/>
        <v>&lt;td&gt;Bronco Invitational Quarterfinal 4&lt;/td&gt; &lt;/tr&gt;</v>
      </c>
    </row>
    <row r="168" spans="1:19" x14ac:dyDescent="0.25">
      <c r="A168" s="5">
        <v>42377</v>
      </c>
      <c r="B168" s="6">
        <v>0.83333333333333337</v>
      </c>
      <c r="C168" t="s">
        <v>16</v>
      </c>
      <c r="D168" t="s">
        <v>45</v>
      </c>
      <c r="E168">
        <v>76</v>
      </c>
      <c r="F168" t="s">
        <v>6</v>
      </c>
      <c r="G168" t="s">
        <v>70</v>
      </c>
      <c r="H168">
        <v>108</v>
      </c>
      <c r="J168" t="str">
        <f t="shared" si="23"/>
        <v>H</v>
      </c>
      <c r="K168" t="s">
        <v>551</v>
      </c>
      <c r="L168" t="s">
        <v>179</v>
      </c>
      <c r="N168" t="str">
        <f t="shared" si="17"/>
        <v>&lt;tr&gt; &lt;td&gt;Jan. 8&lt;/td&gt;</v>
      </c>
      <c r="O168" t="str">
        <f t="shared" si="18"/>
        <v>&lt;td&gt;8:00 PM&lt;/td&gt;</v>
      </c>
      <c r="P168" t="str">
        <f t="shared" si="19"/>
        <v>&lt;td class="MCsched"&gt;Maples&lt;/td&gt;</v>
      </c>
      <c r="Q168" t="str">
        <f t="shared" si="20"/>
        <v>&lt;td&gt;76 - 108&lt;/td&gt;</v>
      </c>
      <c r="R168" t="str">
        <f t="shared" si="21"/>
        <v>&lt;td class="JTCsched"&gt;John Taylor&lt;/td&gt;</v>
      </c>
      <c r="S168" t="str">
        <f t="shared" si="22"/>
        <v>&lt;td&gt;Piper Classic Semifinal 1&lt;/td&gt; &lt;/tr&gt;</v>
      </c>
    </row>
    <row r="169" spans="1:19" x14ac:dyDescent="0.25">
      <c r="A169" s="5">
        <v>42377</v>
      </c>
      <c r="C169" t="s">
        <v>19</v>
      </c>
      <c r="D169" t="s">
        <v>56</v>
      </c>
      <c r="E169">
        <v>64</v>
      </c>
      <c r="F169" t="s">
        <v>272</v>
      </c>
      <c r="H169">
        <v>60</v>
      </c>
      <c r="J169" t="str">
        <f t="shared" si="23"/>
        <v>V</v>
      </c>
      <c r="K169" t="s">
        <v>272</v>
      </c>
      <c r="L169" t="s">
        <v>177</v>
      </c>
      <c r="N169" t="str">
        <f t="shared" si="17"/>
        <v>&lt;tr&gt; &lt;td&gt;Jan. 8&lt;/td&gt;</v>
      </c>
      <c r="O169" t="str">
        <f t="shared" si="18"/>
        <v>&lt;td&gt;&lt;/td&gt;</v>
      </c>
      <c r="P169" t="str">
        <f t="shared" si="19"/>
        <v>&lt;td class="TCIsched"&gt;Transcona&lt;/td&gt;</v>
      </c>
      <c r="Q169" t="str">
        <f t="shared" si="20"/>
        <v>&lt;td&gt;64 - 60&lt;/td&gt;</v>
      </c>
      <c r="R169" t="str">
        <f t="shared" si="21"/>
        <v>&lt;td class="sched"&gt;Lorette&lt;/td&gt;</v>
      </c>
      <c r="S169" t="str">
        <f t="shared" si="22"/>
        <v>&lt;td&gt;Lorette Consolation Semi 1&lt;/td&gt; &lt;/tr&gt;</v>
      </c>
    </row>
    <row r="170" spans="1:19" x14ac:dyDescent="0.25">
      <c r="A170" s="5">
        <v>42377</v>
      </c>
      <c r="C170" t="s">
        <v>292</v>
      </c>
      <c r="E170">
        <v>48</v>
      </c>
      <c r="F170" t="s">
        <v>11</v>
      </c>
      <c r="G170" t="s">
        <v>48</v>
      </c>
      <c r="H170">
        <v>63</v>
      </c>
      <c r="J170" t="str">
        <f t="shared" si="23"/>
        <v>H</v>
      </c>
      <c r="K170" t="s">
        <v>302</v>
      </c>
      <c r="L170" t="s">
        <v>177</v>
      </c>
      <c r="N170" t="str">
        <f t="shared" si="17"/>
        <v>&lt;tr&gt; &lt;td&gt;Jan. 8&lt;/td&gt;</v>
      </c>
      <c r="O170" t="str">
        <f t="shared" si="18"/>
        <v>&lt;td&gt;&lt;/td&gt;</v>
      </c>
      <c r="P170" t="str">
        <f t="shared" si="19"/>
        <v>&lt;td class="sched"&gt;U of W Collegiate&lt;/td&gt;</v>
      </c>
      <c r="Q170" t="str">
        <f t="shared" si="20"/>
        <v>&lt;td&gt;48 - 63&lt;/td&gt;</v>
      </c>
      <c r="R170" t="str">
        <f t="shared" si="21"/>
        <v>&lt;td class="MMCsched"&gt;Miles Macdonell&lt;/td&gt;</v>
      </c>
      <c r="S170" t="str">
        <f t="shared" si="22"/>
        <v>&lt;td&gt;Buckeye Classic Consolation Semi 1&lt;/td&gt; &lt;/tr&gt;</v>
      </c>
    </row>
    <row r="171" spans="1:19" x14ac:dyDescent="0.25">
      <c r="A171" s="5">
        <v>42377</v>
      </c>
      <c r="C171" t="s">
        <v>31</v>
      </c>
      <c r="D171" t="s">
        <v>96</v>
      </c>
      <c r="E171">
        <v>65</v>
      </c>
      <c r="F171" t="s">
        <v>17</v>
      </c>
      <c r="G171" t="s">
        <v>50</v>
      </c>
      <c r="H171">
        <v>56</v>
      </c>
      <c r="J171" t="str">
        <f t="shared" si="23"/>
        <v>V</v>
      </c>
      <c r="K171" t="s">
        <v>302</v>
      </c>
      <c r="L171" t="s">
        <v>178</v>
      </c>
      <c r="N171" t="str">
        <f t="shared" si="17"/>
        <v>&lt;tr&gt; &lt;td&gt;Jan. 8&lt;/td&gt;</v>
      </c>
      <c r="O171" t="str">
        <f t="shared" si="18"/>
        <v>&lt;td&gt;&lt;/td&gt;</v>
      </c>
      <c r="P171" t="str">
        <f t="shared" si="19"/>
        <v>&lt;td class="TVHSsched"&gt;Tec Voc&lt;/td&gt;</v>
      </c>
      <c r="Q171" t="str">
        <f t="shared" si="20"/>
        <v>&lt;td&gt;65 - 56&lt;/td&gt;</v>
      </c>
      <c r="R171" t="str">
        <f t="shared" si="21"/>
        <v>&lt;td class="MMCIsched"&gt;Murdoch MacKay&lt;/td&gt;</v>
      </c>
      <c r="S171" t="str">
        <f t="shared" si="22"/>
        <v>&lt;td&gt;Buckeye Classic Consolation Semi 2&lt;/td&gt; &lt;/tr&gt;</v>
      </c>
    </row>
    <row r="172" spans="1:19" x14ac:dyDescent="0.25">
      <c r="A172" s="5">
        <v>42377</v>
      </c>
      <c r="C172" t="s">
        <v>9</v>
      </c>
      <c r="D172" t="s">
        <v>76</v>
      </c>
      <c r="E172">
        <v>88</v>
      </c>
      <c r="F172" t="s">
        <v>14</v>
      </c>
      <c r="G172" t="s">
        <v>94</v>
      </c>
      <c r="H172">
        <v>47</v>
      </c>
      <c r="J172" t="str">
        <f t="shared" si="23"/>
        <v>V</v>
      </c>
      <c r="K172" t="s">
        <v>302</v>
      </c>
      <c r="L172" t="s">
        <v>179</v>
      </c>
      <c r="N172" t="str">
        <f t="shared" si="17"/>
        <v>&lt;tr&gt; &lt;td&gt;Jan. 8&lt;/td&gt;</v>
      </c>
      <c r="O172" t="str">
        <f t="shared" si="18"/>
        <v>&lt;td&gt;&lt;/td&gt;</v>
      </c>
      <c r="P172" t="str">
        <f t="shared" si="19"/>
        <v>&lt;td class="SiHSsched"&gt;Sisler&lt;/td&gt;</v>
      </c>
      <c r="Q172" t="str">
        <f t="shared" si="20"/>
        <v>&lt;td&gt;88 - 47&lt;/td&gt;</v>
      </c>
      <c r="R172" t="str">
        <f t="shared" si="21"/>
        <v>&lt;td class="SHCsched"&gt;Sturgeon Heights&lt;/td&gt;</v>
      </c>
      <c r="S172" t="str">
        <f t="shared" si="22"/>
        <v>&lt;td&gt;Buckeye Classic Semifinal 1&lt;/td&gt; &lt;/tr&gt;</v>
      </c>
    </row>
    <row r="173" spans="1:19" x14ac:dyDescent="0.25">
      <c r="A173" s="5">
        <v>42377</v>
      </c>
      <c r="C173" t="s">
        <v>15</v>
      </c>
      <c r="D173" t="s">
        <v>68</v>
      </c>
      <c r="E173">
        <v>94</v>
      </c>
      <c r="F173" t="s">
        <v>10</v>
      </c>
      <c r="G173" t="s">
        <v>72</v>
      </c>
      <c r="H173">
        <v>68</v>
      </c>
      <c r="J173" t="str">
        <f t="shared" si="23"/>
        <v>V</v>
      </c>
      <c r="K173" t="s">
        <v>302</v>
      </c>
      <c r="L173" t="s">
        <v>180</v>
      </c>
      <c r="N173" t="str">
        <f t="shared" si="17"/>
        <v>&lt;tr&gt; &lt;td&gt;Jan. 8&lt;/td&gt;</v>
      </c>
      <c r="O173" t="str">
        <f t="shared" si="18"/>
        <v>&lt;td&gt;&lt;/td&gt;</v>
      </c>
      <c r="P173" t="str">
        <f t="shared" si="19"/>
        <v>&lt;td class="FRCsched"&gt;Fort Richmond&lt;/td&gt;</v>
      </c>
      <c r="Q173" t="str">
        <f t="shared" si="20"/>
        <v>&lt;td&gt;94 - 68&lt;/td&gt;</v>
      </c>
      <c r="R173" t="str">
        <f t="shared" si="21"/>
        <v>&lt;td class="KHSsched"&gt;Kelvin&lt;/td&gt;</v>
      </c>
      <c r="S173" t="str">
        <f t="shared" si="22"/>
        <v>&lt;td&gt;Buckeye Classic Semifinal 2&lt;/td&gt; &lt;/tr&gt;</v>
      </c>
    </row>
    <row r="174" spans="1:19" x14ac:dyDescent="0.25">
      <c r="A174" s="5">
        <v>42378</v>
      </c>
      <c r="B174" s="6">
        <v>0.33333333333333331</v>
      </c>
      <c r="C174" t="s">
        <v>30</v>
      </c>
      <c r="D174" t="s">
        <v>92</v>
      </c>
      <c r="E174">
        <v>94</v>
      </c>
      <c r="F174" t="s">
        <v>23</v>
      </c>
      <c r="G174" t="s">
        <v>102</v>
      </c>
      <c r="H174">
        <v>54</v>
      </c>
      <c r="J174" t="str">
        <f t="shared" si="23"/>
        <v>V</v>
      </c>
      <c r="K174" t="s">
        <v>260</v>
      </c>
      <c r="L174" t="s">
        <v>177</v>
      </c>
      <c r="N174" t="str">
        <f t="shared" si="17"/>
        <v>&lt;tr&gt; &lt;td&gt;Jan. 9&lt;/td&gt;</v>
      </c>
      <c r="O174" t="str">
        <f t="shared" si="18"/>
        <v>&lt;td&gt;8:00 AM&lt;/td&gt;</v>
      </c>
      <c r="P174" t="str">
        <f t="shared" si="19"/>
        <v>&lt;td class="SJHSsched"&gt;St. John's&lt;/td&gt;</v>
      </c>
      <c r="Q174" t="str">
        <f t="shared" si="20"/>
        <v>&lt;td&gt;94 - 54&lt;/td&gt;</v>
      </c>
      <c r="R174" t="str">
        <f t="shared" si="21"/>
        <v>&lt;td class="VMHSsched"&gt;Vincent Massey&lt;/td&gt;</v>
      </c>
      <c r="S174" t="str">
        <f t="shared" si="22"/>
        <v>&lt;td&gt;Bronco Invitational Consolation Semi 1&lt;/td&gt; &lt;/tr&gt;</v>
      </c>
    </row>
    <row r="175" spans="1:19" x14ac:dyDescent="0.25">
      <c r="A175" s="5">
        <v>42378</v>
      </c>
      <c r="B175" s="6">
        <v>0.39583333333333331</v>
      </c>
      <c r="C175" t="s">
        <v>108</v>
      </c>
      <c r="D175" t="s">
        <v>109</v>
      </c>
      <c r="E175" t="s">
        <v>254</v>
      </c>
      <c r="F175" t="s">
        <v>135</v>
      </c>
      <c r="G175" t="s">
        <v>136</v>
      </c>
      <c r="H175" t="s">
        <v>156</v>
      </c>
      <c r="J175" t="str">
        <f t="shared" si="23"/>
        <v>H</v>
      </c>
      <c r="K175" t="s">
        <v>260</v>
      </c>
      <c r="L175" t="s">
        <v>178</v>
      </c>
      <c r="N175" t="str">
        <f t="shared" si="17"/>
        <v>&lt;tr&gt; &lt;td&gt;Jan. 9&lt;/td&gt;</v>
      </c>
      <c r="O175" t="str">
        <f t="shared" si="18"/>
        <v>&lt;td&gt;9:30 AM&lt;/td&gt;</v>
      </c>
      <c r="P175" t="str">
        <f t="shared" si="19"/>
        <v>&lt;td class="CJSsched"&gt;Jeanne-Sauv&amp;eacute;&lt;/td&gt;</v>
      </c>
      <c r="Q175" t="str">
        <f t="shared" si="20"/>
        <v>&lt;td&gt;L - W&lt;/td&gt;</v>
      </c>
      <c r="R175" t="str">
        <f t="shared" si="21"/>
        <v>&lt;td class="NPCsched"&gt;Northlands Parkway&lt;/td&gt;</v>
      </c>
      <c r="S175" t="str">
        <f t="shared" si="22"/>
        <v>&lt;td&gt;Bronco Invitational Consolation Semi 2&lt;/td&gt; &lt;/tr&gt;</v>
      </c>
    </row>
    <row r="176" spans="1:19" x14ac:dyDescent="0.25">
      <c r="A176" s="5">
        <v>42378</v>
      </c>
      <c r="B176" s="6">
        <v>0.45833333333333331</v>
      </c>
      <c r="C176" t="s">
        <v>162</v>
      </c>
      <c r="D176" t="s">
        <v>164</v>
      </c>
      <c r="E176">
        <v>68</v>
      </c>
      <c r="F176" t="s">
        <v>21</v>
      </c>
      <c r="G176" t="s">
        <v>64</v>
      </c>
      <c r="H176">
        <v>44</v>
      </c>
      <c r="J176" t="str">
        <f t="shared" si="23"/>
        <v>V</v>
      </c>
      <c r="K176" t="s">
        <v>260</v>
      </c>
      <c r="L176" t="s">
        <v>179</v>
      </c>
      <c r="N176" t="str">
        <f t="shared" si="17"/>
        <v>&lt;tr&gt; &lt;td&gt;Jan. 9&lt;/td&gt;</v>
      </c>
      <c r="O176" t="str">
        <f t="shared" si="18"/>
        <v>&lt;td&gt;11:00 AM&lt;/td&gt;</v>
      </c>
      <c r="P176" t="str">
        <f t="shared" si="19"/>
        <v>&lt;td class="GVCsched"&gt;Garden Valley&lt;/td&gt;</v>
      </c>
      <c r="Q176" t="str">
        <f t="shared" si="20"/>
        <v>&lt;td&gt;68 - 44&lt;/td&gt;</v>
      </c>
      <c r="R176" t="str">
        <f t="shared" si="21"/>
        <v>&lt;td class="JHBsched"&gt;J.H. Bruns&lt;/td&gt;</v>
      </c>
      <c r="S176" t="str">
        <f t="shared" si="22"/>
        <v>&lt;td&gt;Bronco Invitational Semifinal 1&lt;/td&gt; &lt;/tr&gt;</v>
      </c>
    </row>
    <row r="177" spans="1:19" x14ac:dyDescent="0.25">
      <c r="A177" s="5">
        <v>42378</v>
      </c>
      <c r="B177" s="6">
        <v>0.5</v>
      </c>
      <c r="C177" t="s">
        <v>23</v>
      </c>
      <c r="D177" t="s">
        <v>80</v>
      </c>
      <c r="E177">
        <v>91</v>
      </c>
      <c r="F177" t="s">
        <v>24</v>
      </c>
      <c r="G177" t="s">
        <v>82</v>
      </c>
      <c r="H177">
        <v>63</v>
      </c>
      <c r="J177" t="str">
        <f t="shared" si="23"/>
        <v>V</v>
      </c>
      <c r="K177" t="s">
        <v>551</v>
      </c>
      <c r="L177" t="s">
        <v>181</v>
      </c>
      <c r="N177" t="str">
        <f t="shared" si="17"/>
        <v>&lt;tr&gt; &lt;td&gt;Jan. 9&lt;/td&gt;</v>
      </c>
      <c r="O177" t="str">
        <f t="shared" si="18"/>
        <v>&lt;td&gt;12:00 PM&lt;/td&gt;</v>
      </c>
      <c r="P177" t="str">
        <f t="shared" si="19"/>
        <v>&lt;td class="VMCsched"&gt;Vincent Massey&lt;/td&gt;</v>
      </c>
      <c r="Q177" t="str">
        <f t="shared" si="20"/>
        <v>&lt;td&gt;91 - 63&lt;/td&gt;</v>
      </c>
      <c r="R177" t="str">
        <f t="shared" si="21"/>
        <v>&lt;td class="DMCIsched"&gt;Daniel McIntyre&lt;/td&gt;</v>
      </c>
      <c r="S177" t="str">
        <f t="shared" si="22"/>
        <v>&lt;td&gt;Piper Classic 7th Place&lt;/td&gt; &lt;/tr&gt;</v>
      </c>
    </row>
    <row r="178" spans="1:19" x14ac:dyDescent="0.25">
      <c r="A178" s="5">
        <v>42378</v>
      </c>
      <c r="B178" s="6">
        <v>0.5</v>
      </c>
      <c r="C178" t="s">
        <v>213</v>
      </c>
      <c r="D178" t="s">
        <v>540</v>
      </c>
      <c r="E178">
        <v>64</v>
      </c>
      <c r="F178" t="s">
        <v>8</v>
      </c>
      <c r="G178" t="s">
        <v>60</v>
      </c>
      <c r="H178">
        <v>97</v>
      </c>
      <c r="J178" t="str">
        <f t="shared" si="23"/>
        <v>H</v>
      </c>
      <c r="K178" t="s">
        <v>551</v>
      </c>
      <c r="L178" t="s">
        <v>182</v>
      </c>
      <c r="N178" t="str">
        <f t="shared" si="17"/>
        <v>&lt;tr&gt; &lt;td&gt;Jan. 9&lt;/td&gt;</v>
      </c>
      <c r="O178" t="str">
        <f t="shared" si="18"/>
        <v>&lt;td&gt;12:00 PM&lt;/td&gt;</v>
      </c>
      <c r="P178" t="str">
        <f t="shared" si="19"/>
        <v>&lt;td class="SJRsched"&gt;St. John's-Ravenscourt&lt;/td&gt;</v>
      </c>
      <c r="Q178" t="str">
        <f t="shared" si="20"/>
        <v>&lt;td&gt;64 - 97&lt;/td&gt;</v>
      </c>
      <c r="R178" t="str">
        <f t="shared" si="21"/>
        <v>&lt;td class="DCIsched"&gt;Dakota&lt;/td&gt;</v>
      </c>
      <c r="S178" t="str">
        <f t="shared" si="22"/>
        <v>&lt;td&gt;Piper Classic Consolation Final&lt;/td&gt; &lt;/tr&gt;</v>
      </c>
    </row>
    <row r="179" spans="1:19" x14ac:dyDescent="0.25">
      <c r="A179" s="5">
        <v>42378</v>
      </c>
      <c r="B179" s="6">
        <v>0.52083333333333337</v>
      </c>
      <c r="C179" t="s">
        <v>108</v>
      </c>
      <c r="D179" t="s">
        <v>109</v>
      </c>
      <c r="F179" t="s">
        <v>23</v>
      </c>
      <c r="G179" t="s">
        <v>102</v>
      </c>
      <c r="I179" t="s">
        <v>565</v>
      </c>
      <c r="K179" t="s">
        <v>260</v>
      </c>
      <c r="L179" t="s">
        <v>181</v>
      </c>
      <c r="N179" t="str">
        <f t="shared" si="17"/>
        <v>&lt;tr&gt; &lt;td&gt;Jan. 9&lt;/td&gt;</v>
      </c>
      <c r="O179" t="str">
        <f t="shared" si="18"/>
        <v>&lt;td&gt;12:30 PM&lt;/td&gt;</v>
      </c>
      <c r="P179" t="str">
        <f t="shared" si="19"/>
        <v>&lt;td class="CJSsched"&gt;Jeanne-Sauv&amp;eacute;&lt;/td&gt;</v>
      </c>
      <c r="Q179" t="str">
        <f t="shared" si="20"/>
        <v>&lt;td&gt; -  NR&lt;/td&gt;</v>
      </c>
      <c r="R179" t="str">
        <f t="shared" si="21"/>
        <v>&lt;td class="VMHSsched"&gt;Vincent Massey&lt;/td&gt;</v>
      </c>
      <c r="S179" t="str">
        <f t="shared" si="22"/>
        <v>&lt;td&gt;Bronco Invitational 7th Place&lt;/td&gt; &lt;/tr&gt;</v>
      </c>
    </row>
    <row r="180" spans="1:19" x14ac:dyDescent="0.25">
      <c r="A180" s="5">
        <v>42378</v>
      </c>
      <c r="B180" s="6">
        <v>0.5625</v>
      </c>
      <c r="C180" t="s">
        <v>564</v>
      </c>
      <c r="E180">
        <v>62</v>
      </c>
      <c r="F180" t="s">
        <v>4</v>
      </c>
      <c r="G180" t="s">
        <v>41</v>
      </c>
      <c r="H180">
        <v>66</v>
      </c>
      <c r="J180" t="str">
        <f t="shared" ref="J180:J243" si="24">IF(H180&gt;E180,"H",IF(E180&gt;H180,"V",""))</f>
        <v>H</v>
      </c>
      <c r="K180" t="s">
        <v>553</v>
      </c>
      <c r="L180" t="s">
        <v>179</v>
      </c>
      <c r="N180" t="str">
        <f t="shared" si="17"/>
        <v>&lt;tr&gt; &lt;td&gt;Jan. 9&lt;/td&gt;</v>
      </c>
      <c r="O180" t="str">
        <f t="shared" si="18"/>
        <v>&lt;td&gt;1:30 PM&lt;/td&gt;</v>
      </c>
      <c r="P180" t="str">
        <f t="shared" si="19"/>
        <v>&lt;td class="sched"&gt;LeBoldus&lt;/td&gt;</v>
      </c>
      <c r="Q180" t="str">
        <f t="shared" si="20"/>
        <v>&lt;td&gt;62 - 66&lt;/td&gt;</v>
      </c>
      <c r="R180" t="str">
        <f t="shared" si="21"/>
        <v>&lt;td class="GCCsched"&gt;Garden City&lt;/td&gt;</v>
      </c>
      <c r="S180" t="str">
        <f t="shared" si="22"/>
        <v>&lt;td&gt;Bedford Road Invitational Semifinal 1&lt;/td&gt; &lt;/tr&gt;</v>
      </c>
    </row>
    <row r="181" spans="1:19" x14ac:dyDescent="0.25">
      <c r="A181" s="5">
        <v>42378</v>
      </c>
      <c r="B181" s="6">
        <v>0.58333333333333337</v>
      </c>
      <c r="C181" t="s">
        <v>104</v>
      </c>
      <c r="D181" t="s">
        <v>105</v>
      </c>
      <c r="E181">
        <v>23</v>
      </c>
      <c r="F181" t="s">
        <v>22</v>
      </c>
      <c r="G181" t="s">
        <v>66</v>
      </c>
      <c r="H181">
        <v>75</v>
      </c>
      <c r="J181" t="str">
        <f t="shared" si="24"/>
        <v>H</v>
      </c>
      <c r="K181" t="s">
        <v>260</v>
      </c>
      <c r="L181" t="s">
        <v>180</v>
      </c>
      <c r="N181" t="str">
        <f t="shared" si="17"/>
        <v>&lt;tr&gt; &lt;td&gt;Jan. 9&lt;/td&gt;</v>
      </c>
      <c r="O181" t="str">
        <f t="shared" si="18"/>
        <v>&lt;td&gt;2:00 PM&lt;/td&gt;</v>
      </c>
      <c r="P181" t="str">
        <f t="shared" si="19"/>
        <v>&lt;td class="SCIsched"&gt;Springfield&lt;/td&gt;</v>
      </c>
      <c r="Q181" t="str">
        <f t="shared" si="20"/>
        <v>&lt;td&gt;23 - 75&lt;/td&gt;</v>
      </c>
      <c r="R181" t="str">
        <f t="shared" si="21"/>
        <v>&lt;td class="SRSSsched"&gt;Steinbach&lt;/td&gt;</v>
      </c>
      <c r="S181" t="str">
        <f t="shared" si="22"/>
        <v>&lt;td&gt;Bronco Invitational Semifinal 2&lt;/td&gt; &lt;/tr&gt;</v>
      </c>
    </row>
    <row r="182" spans="1:19" x14ac:dyDescent="0.25">
      <c r="A182" s="5">
        <v>42378</v>
      </c>
      <c r="B182" s="6">
        <v>0.64583333333333337</v>
      </c>
      <c r="C182" t="s">
        <v>135</v>
      </c>
      <c r="D182" t="s">
        <v>136</v>
      </c>
      <c r="E182">
        <v>54</v>
      </c>
      <c r="F182" t="s">
        <v>30</v>
      </c>
      <c r="G182" t="s">
        <v>92</v>
      </c>
      <c r="H182">
        <v>107</v>
      </c>
      <c r="J182" t="str">
        <f t="shared" si="24"/>
        <v>H</v>
      </c>
      <c r="K182" t="s">
        <v>260</v>
      </c>
      <c r="L182" t="s">
        <v>182</v>
      </c>
      <c r="N182" t="str">
        <f t="shared" si="17"/>
        <v>&lt;tr&gt; &lt;td&gt;Jan. 9&lt;/td&gt;</v>
      </c>
      <c r="O182" t="str">
        <f t="shared" si="18"/>
        <v>&lt;td&gt;3:30 PM&lt;/td&gt;</v>
      </c>
      <c r="P182" t="str">
        <f t="shared" si="19"/>
        <v>&lt;td class="NPCsched"&gt;Northlands Parkway&lt;/td&gt;</v>
      </c>
      <c r="Q182" t="str">
        <f t="shared" si="20"/>
        <v>&lt;td&gt;54 - 107&lt;/td&gt;</v>
      </c>
      <c r="R182" t="str">
        <f t="shared" si="21"/>
        <v>&lt;td class="SJHSsched"&gt;St. John's&lt;/td&gt;</v>
      </c>
      <c r="S182" t="str">
        <f t="shared" si="22"/>
        <v>&lt;td&gt;Bronco Invitational Consolation Final&lt;/td&gt; &lt;/tr&gt;</v>
      </c>
    </row>
    <row r="183" spans="1:19" x14ac:dyDescent="0.25">
      <c r="A183" s="5">
        <v>42378</v>
      </c>
      <c r="B183" s="6">
        <v>0.66666666666666663</v>
      </c>
      <c r="C183" t="s">
        <v>1</v>
      </c>
      <c r="D183" t="s">
        <v>74</v>
      </c>
      <c r="E183">
        <v>100</v>
      </c>
      <c r="F183" t="s">
        <v>16</v>
      </c>
      <c r="G183" t="s">
        <v>45</v>
      </c>
      <c r="H183">
        <v>76</v>
      </c>
      <c r="J183" t="str">
        <f t="shared" si="24"/>
        <v>V</v>
      </c>
      <c r="K183" t="s">
        <v>551</v>
      </c>
      <c r="L183" t="s">
        <v>183</v>
      </c>
      <c r="N183" t="str">
        <f t="shared" si="17"/>
        <v>&lt;tr&gt; &lt;td&gt;Jan. 9&lt;/td&gt;</v>
      </c>
      <c r="O183" t="str">
        <f t="shared" si="18"/>
        <v>&lt;td&gt;4:00 PM&lt;/td&gt;</v>
      </c>
      <c r="P183" t="str">
        <f t="shared" si="19"/>
        <v>&lt;td class="OPHSsched"&gt;Oak Park&lt;/td&gt;</v>
      </c>
      <c r="Q183" t="str">
        <f t="shared" si="20"/>
        <v>&lt;td&gt;100 - 76&lt;/td&gt;</v>
      </c>
      <c r="R183" t="str">
        <f t="shared" si="21"/>
        <v>&lt;td class="MCsched"&gt;Maples&lt;/td&gt;</v>
      </c>
      <c r="S183" t="str">
        <f t="shared" si="22"/>
        <v>&lt;td&gt;Piper Classic 3rd Place&lt;/td&gt; &lt;/tr&gt;</v>
      </c>
    </row>
    <row r="184" spans="1:19" x14ac:dyDescent="0.25">
      <c r="A184" s="5">
        <v>42378</v>
      </c>
      <c r="B184" s="6">
        <v>0.70833333333333337</v>
      </c>
      <c r="C184" t="s">
        <v>104</v>
      </c>
      <c r="D184" t="s">
        <v>105</v>
      </c>
      <c r="E184">
        <v>58</v>
      </c>
      <c r="F184" t="s">
        <v>21</v>
      </c>
      <c r="G184" t="s">
        <v>64</v>
      </c>
      <c r="H184">
        <v>54</v>
      </c>
      <c r="J184" t="str">
        <f t="shared" si="24"/>
        <v>V</v>
      </c>
      <c r="K184" t="s">
        <v>260</v>
      </c>
      <c r="L184" t="s">
        <v>183</v>
      </c>
      <c r="N184" t="str">
        <f t="shared" si="17"/>
        <v>&lt;tr&gt; &lt;td&gt;Jan. 9&lt;/td&gt;</v>
      </c>
      <c r="O184" t="str">
        <f t="shared" si="18"/>
        <v>&lt;td&gt;5:00 PM&lt;/td&gt;</v>
      </c>
      <c r="P184" t="str">
        <f t="shared" si="19"/>
        <v>&lt;td class="SCIsched"&gt;Springfield&lt;/td&gt;</v>
      </c>
      <c r="Q184" t="str">
        <f t="shared" si="20"/>
        <v>&lt;td&gt;58 - 54&lt;/td&gt;</v>
      </c>
      <c r="R184" t="str">
        <f t="shared" si="21"/>
        <v>&lt;td class="JHBsched"&gt;J.H. Bruns&lt;/td&gt;</v>
      </c>
      <c r="S184" t="str">
        <f t="shared" si="22"/>
        <v>&lt;td&gt;Bronco Invitational 3rd Place&lt;/td&gt; &lt;/tr&gt;</v>
      </c>
    </row>
    <row r="185" spans="1:19" x14ac:dyDescent="0.25">
      <c r="A185" s="5">
        <v>42378</v>
      </c>
      <c r="B185" s="6">
        <v>0.77083333333333337</v>
      </c>
      <c r="C185" t="s">
        <v>22</v>
      </c>
      <c r="D185" t="s">
        <v>66</v>
      </c>
      <c r="E185">
        <v>65</v>
      </c>
      <c r="F185" t="s">
        <v>162</v>
      </c>
      <c r="G185" t="s">
        <v>164</v>
      </c>
      <c r="H185">
        <v>58</v>
      </c>
      <c r="J185" t="str">
        <f t="shared" si="24"/>
        <v>V</v>
      </c>
      <c r="K185" t="s">
        <v>260</v>
      </c>
      <c r="L185" t="s">
        <v>184</v>
      </c>
      <c r="N185" t="str">
        <f t="shared" si="17"/>
        <v>&lt;tr&gt; &lt;td&gt;Jan. 9&lt;/td&gt;</v>
      </c>
      <c r="O185" t="str">
        <f t="shared" si="18"/>
        <v>&lt;td&gt;6:30 PM&lt;/td&gt;</v>
      </c>
      <c r="P185" t="str">
        <f t="shared" si="19"/>
        <v>&lt;td class="SRSSsched"&gt;Steinbach&lt;/td&gt;</v>
      </c>
      <c r="Q185" t="str">
        <f t="shared" si="20"/>
        <v>&lt;td&gt;65 - 58&lt;/td&gt;</v>
      </c>
      <c r="R185" t="str">
        <f t="shared" si="21"/>
        <v>&lt;td class="GVCsched"&gt;Garden Valley&lt;/td&gt;</v>
      </c>
      <c r="S185" t="str">
        <f t="shared" si="22"/>
        <v>&lt;td&gt;Bronco Invitational Championship&lt;/td&gt; &lt;/tr&gt;</v>
      </c>
    </row>
    <row r="186" spans="1:19" x14ac:dyDescent="0.25">
      <c r="A186" s="5">
        <v>42378</v>
      </c>
      <c r="B186" s="6">
        <v>0.83333333333333337</v>
      </c>
      <c r="C186" t="s">
        <v>3</v>
      </c>
      <c r="D186" t="s">
        <v>78</v>
      </c>
      <c r="E186">
        <v>70</v>
      </c>
      <c r="F186" t="s">
        <v>6</v>
      </c>
      <c r="G186" t="s">
        <v>70</v>
      </c>
      <c r="H186">
        <v>84</v>
      </c>
      <c r="J186" t="str">
        <f t="shared" si="24"/>
        <v>H</v>
      </c>
      <c r="K186" t="s">
        <v>551</v>
      </c>
      <c r="L186" t="s">
        <v>184</v>
      </c>
      <c r="N186" t="str">
        <f t="shared" si="17"/>
        <v>&lt;tr&gt; &lt;td&gt;Jan. 9&lt;/td&gt;</v>
      </c>
      <c r="O186" t="str">
        <f t="shared" si="18"/>
        <v>&lt;td&gt;8:00 PM&lt;/td&gt;</v>
      </c>
      <c r="P186" t="str">
        <f t="shared" si="19"/>
        <v>&lt;td class="SPHSsched"&gt;St. Paul's&lt;/td&gt;</v>
      </c>
      <c r="Q186" t="str">
        <f t="shared" si="20"/>
        <v>&lt;td&gt;70 - 84&lt;/td&gt;</v>
      </c>
      <c r="R186" t="str">
        <f t="shared" si="21"/>
        <v>&lt;td class="JTCsched"&gt;John Taylor&lt;/td&gt;</v>
      </c>
      <c r="S186" t="str">
        <f t="shared" si="22"/>
        <v>&lt;td&gt;Piper Classic Championship&lt;/td&gt; &lt;/tr&gt;</v>
      </c>
    </row>
    <row r="187" spans="1:19" x14ac:dyDescent="0.25">
      <c r="A187" s="5">
        <v>42378</v>
      </c>
      <c r="B187" s="6">
        <v>0.875</v>
      </c>
      <c r="C187" t="s">
        <v>719</v>
      </c>
      <c r="E187">
        <v>63</v>
      </c>
      <c r="F187" t="s">
        <v>4</v>
      </c>
      <c r="G187" t="s">
        <v>41</v>
      </c>
      <c r="H187">
        <v>59</v>
      </c>
      <c r="I187" t="s">
        <v>155</v>
      </c>
      <c r="J187" t="str">
        <f t="shared" si="24"/>
        <v>V</v>
      </c>
      <c r="K187" t="s">
        <v>553</v>
      </c>
      <c r="L187" t="s">
        <v>184</v>
      </c>
      <c r="N187" t="str">
        <f t="shared" si="17"/>
        <v>&lt;tr&gt; &lt;td&gt;Jan. 9&lt;/td&gt;</v>
      </c>
      <c r="O187" t="str">
        <f t="shared" si="18"/>
        <v>&lt;td&gt;9:00 PM&lt;/td&gt;</v>
      </c>
      <c r="P187" t="str">
        <f t="shared" si="19"/>
        <v>&lt;td class="sched"&gt;Arch. O'Leary&lt;/td&gt;</v>
      </c>
      <c r="Q187" t="str">
        <f t="shared" si="20"/>
        <v>&lt;td&gt;63 - 59 OT&lt;/td&gt;</v>
      </c>
      <c r="R187" t="str">
        <f t="shared" si="21"/>
        <v>&lt;td class="GCCsched"&gt;Garden City&lt;/td&gt;</v>
      </c>
      <c r="S187" t="str">
        <f t="shared" si="22"/>
        <v>&lt;td&gt;Bedford Road Invitational Championship&lt;/td&gt; &lt;/tr&gt;</v>
      </c>
    </row>
    <row r="188" spans="1:19" x14ac:dyDescent="0.25">
      <c r="A188" s="5">
        <v>42378</v>
      </c>
      <c r="C188" t="s">
        <v>238</v>
      </c>
      <c r="E188">
        <v>59</v>
      </c>
      <c r="F188" t="s">
        <v>19</v>
      </c>
      <c r="G188" t="s">
        <v>56</v>
      </c>
      <c r="H188">
        <v>51</v>
      </c>
      <c r="J188" t="str">
        <f t="shared" si="24"/>
        <v>V</v>
      </c>
      <c r="K188" t="s">
        <v>272</v>
      </c>
      <c r="L188" t="s">
        <v>182</v>
      </c>
      <c r="N188" t="str">
        <f t="shared" si="17"/>
        <v>&lt;tr&gt; &lt;td&gt;Jan. 9&lt;/td&gt;</v>
      </c>
      <c r="O188" t="str">
        <f t="shared" si="18"/>
        <v>&lt;td&gt;&lt;/td&gt;</v>
      </c>
      <c r="P188" t="str">
        <f t="shared" si="19"/>
        <v>&lt;td class="sched"&gt;L&amp;eacute;o-R&amp;eacute;millard&lt;/td&gt;</v>
      </c>
      <c r="Q188" t="str">
        <f t="shared" si="20"/>
        <v>&lt;td&gt;59 - 51&lt;/td&gt;</v>
      </c>
      <c r="R188" t="str">
        <f t="shared" si="21"/>
        <v>&lt;td class="TCIsched"&gt;Transcona&lt;/td&gt;</v>
      </c>
      <c r="S188" t="str">
        <f t="shared" si="22"/>
        <v>&lt;td&gt;Lorette Consolation Final&lt;/td&gt; &lt;/tr&gt;</v>
      </c>
    </row>
    <row r="189" spans="1:19" x14ac:dyDescent="0.25">
      <c r="A189" s="5">
        <v>42378</v>
      </c>
      <c r="C189" t="s">
        <v>17</v>
      </c>
      <c r="D189" t="s">
        <v>50</v>
      </c>
      <c r="E189">
        <v>45</v>
      </c>
      <c r="F189" t="s">
        <v>292</v>
      </c>
      <c r="H189">
        <v>64</v>
      </c>
      <c r="J189" t="str">
        <f t="shared" si="24"/>
        <v>H</v>
      </c>
      <c r="K189" t="s">
        <v>302</v>
      </c>
      <c r="L189" t="s">
        <v>181</v>
      </c>
      <c r="N189" t="str">
        <f t="shared" si="17"/>
        <v>&lt;tr&gt; &lt;td&gt;Jan. 9&lt;/td&gt;</v>
      </c>
      <c r="O189" t="str">
        <f t="shared" si="18"/>
        <v>&lt;td&gt;&lt;/td&gt;</v>
      </c>
      <c r="P189" t="str">
        <f t="shared" si="19"/>
        <v>&lt;td class="MMCIsched"&gt;Murdoch MacKay&lt;/td&gt;</v>
      </c>
      <c r="Q189" t="str">
        <f t="shared" si="20"/>
        <v>&lt;td&gt;45 - 64&lt;/td&gt;</v>
      </c>
      <c r="R189" t="str">
        <f t="shared" si="21"/>
        <v>&lt;td class="sched"&gt;U of W Collegiate&lt;/td&gt;</v>
      </c>
      <c r="S189" t="str">
        <f t="shared" si="22"/>
        <v>&lt;td&gt;Buckeye Classic 7th Place&lt;/td&gt; &lt;/tr&gt;</v>
      </c>
    </row>
    <row r="190" spans="1:19" x14ac:dyDescent="0.25">
      <c r="A190" s="5">
        <v>42378</v>
      </c>
      <c r="C190" t="s">
        <v>31</v>
      </c>
      <c r="D190" t="s">
        <v>96</v>
      </c>
      <c r="E190">
        <v>55</v>
      </c>
      <c r="F190" t="s">
        <v>11</v>
      </c>
      <c r="G190" t="s">
        <v>48</v>
      </c>
      <c r="H190">
        <v>62</v>
      </c>
      <c r="J190" t="str">
        <f t="shared" si="24"/>
        <v>H</v>
      </c>
      <c r="K190" t="s">
        <v>302</v>
      </c>
      <c r="L190" t="s">
        <v>182</v>
      </c>
      <c r="N190" t="str">
        <f t="shared" si="17"/>
        <v>&lt;tr&gt; &lt;td&gt;Jan. 9&lt;/td&gt;</v>
      </c>
      <c r="O190" t="str">
        <f t="shared" si="18"/>
        <v>&lt;td&gt;&lt;/td&gt;</v>
      </c>
      <c r="P190" t="str">
        <f t="shared" si="19"/>
        <v>&lt;td class="TVHSsched"&gt;Tec Voc&lt;/td&gt;</v>
      </c>
      <c r="Q190" t="str">
        <f t="shared" si="20"/>
        <v>&lt;td&gt;55 - 62&lt;/td&gt;</v>
      </c>
      <c r="R190" t="str">
        <f t="shared" si="21"/>
        <v>&lt;td class="MMCsched"&gt;Miles Macdonell&lt;/td&gt;</v>
      </c>
      <c r="S190" t="str">
        <f t="shared" si="22"/>
        <v>&lt;td&gt;Buckeye Classic Consolation Final&lt;/td&gt; &lt;/tr&gt;</v>
      </c>
    </row>
    <row r="191" spans="1:19" x14ac:dyDescent="0.25">
      <c r="A191" s="5">
        <v>42378</v>
      </c>
      <c r="C191" t="s">
        <v>14</v>
      </c>
      <c r="D191" t="s">
        <v>94</v>
      </c>
      <c r="E191">
        <v>60</v>
      </c>
      <c r="F191" t="s">
        <v>10</v>
      </c>
      <c r="G191" t="s">
        <v>72</v>
      </c>
      <c r="H191">
        <v>83</v>
      </c>
      <c r="J191" t="str">
        <f t="shared" si="24"/>
        <v>H</v>
      </c>
      <c r="K191" t="s">
        <v>302</v>
      </c>
      <c r="L191" t="s">
        <v>183</v>
      </c>
      <c r="N191" t="str">
        <f t="shared" si="17"/>
        <v>&lt;tr&gt; &lt;td&gt;Jan. 9&lt;/td&gt;</v>
      </c>
      <c r="O191" t="str">
        <f t="shared" si="18"/>
        <v>&lt;td&gt;&lt;/td&gt;</v>
      </c>
      <c r="P191" t="str">
        <f t="shared" si="19"/>
        <v>&lt;td class="SHCsched"&gt;Sturgeon Heights&lt;/td&gt;</v>
      </c>
      <c r="Q191" t="str">
        <f t="shared" si="20"/>
        <v>&lt;td&gt;60 - 83&lt;/td&gt;</v>
      </c>
      <c r="R191" t="str">
        <f t="shared" si="21"/>
        <v>&lt;td class="KHSsched"&gt;Kelvin&lt;/td&gt;</v>
      </c>
      <c r="S191" t="str">
        <f t="shared" si="22"/>
        <v>&lt;td&gt;Buckeye Classic 3rd Place&lt;/td&gt; &lt;/tr&gt;</v>
      </c>
    </row>
    <row r="192" spans="1:19" x14ac:dyDescent="0.25">
      <c r="A192" s="5">
        <v>42378</v>
      </c>
      <c r="C192" t="s">
        <v>15</v>
      </c>
      <c r="D192" t="s">
        <v>68</v>
      </c>
      <c r="E192">
        <v>101</v>
      </c>
      <c r="F192" t="s">
        <v>9</v>
      </c>
      <c r="G192" t="s">
        <v>76</v>
      </c>
      <c r="H192">
        <v>97</v>
      </c>
      <c r="I192" t="s">
        <v>155</v>
      </c>
      <c r="J192" t="str">
        <f t="shared" si="24"/>
        <v>V</v>
      </c>
      <c r="K192" t="s">
        <v>302</v>
      </c>
      <c r="L192" t="s">
        <v>184</v>
      </c>
      <c r="N192" t="str">
        <f t="shared" si="17"/>
        <v>&lt;tr&gt; &lt;td&gt;Jan. 9&lt;/td&gt;</v>
      </c>
      <c r="O192" t="str">
        <f t="shared" si="18"/>
        <v>&lt;td&gt;&lt;/td&gt;</v>
      </c>
      <c r="P192" t="str">
        <f t="shared" si="19"/>
        <v>&lt;td class="FRCsched"&gt;Fort Richmond&lt;/td&gt;</v>
      </c>
      <c r="Q192" t="str">
        <f t="shared" si="20"/>
        <v>&lt;td&gt;101 - 97 OT&lt;/td&gt;</v>
      </c>
      <c r="R192" t="str">
        <f t="shared" si="21"/>
        <v>&lt;td class="SiHSsched"&gt;Sisler&lt;/td&gt;</v>
      </c>
      <c r="S192" t="str">
        <f t="shared" si="22"/>
        <v>&lt;td&gt;Buckeye Classic Championship&lt;/td&gt; &lt;/tr&gt;</v>
      </c>
    </row>
    <row r="193" spans="1:19" x14ac:dyDescent="0.25">
      <c r="A193" s="5">
        <v>42380</v>
      </c>
      <c r="B193" s="6">
        <v>0.6875</v>
      </c>
      <c r="C193" t="s">
        <v>3</v>
      </c>
      <c r="D193" t="s">
        <v>78</v>
      </c>
      <c r="E193">
        <v>75</v>
      </c>
      <c r="F193" t="s">
        <v>9</v>
      </c>
      <c r="G193" t="s">
        <v>76</v>
      </c>
      <c r="H193">
        <v>73</v>
      </c>
      <c r="J193" t="str">
        <f t="shared" si="24"/>
        <v>V</v>
      </c>
      <c r="K193" t="s">
        <v>251</v>
      </c>
      <c r="L193" t="s">
        <v>228</v>
      </c>
      <c r="M193" t="s">
        <v>229</v>
      </c>
      <c r="N193" t="str">
        <f t="shared" si="17"/>
        <v>&lt;tr&gt; &lt;td&gt;Jan. 11&lt;/td&gt;</v>
      </c>
      <c r="O193" t="str">
        <f t="shared" si="18"/>
        <v>&lt;td&gt;4:30 PM&lt;/td&gt;</v>
      </c>
      <c r="P193" t="str">
        <f t="shared" si="19"/>
        <v>&lt;td class="SPHSsched"&gt;St. Paul's&lt;/td&gt;</v>
      </c>
      <c r="Q193" t="str">
        <f t="shared" si="20"/>
        <v>&lt;td&gt;75 - 73&lt;/td&gt;</v>
      </c>
      <c r="R193" t="str">
        <f t="shared" si="21"/>
        <v>&lt;td class="SiHSsched"&gt;Sisler&lt;/td&gt;</v>
      </c>
      <c r="S193" t="str">
        <f t="shared" si="22"/>
        <v>&lt;td&gt;WWAC-WAC Tier 1 Regular Season&lt;/td&gt; &lt;/tr&gt;</v>
      </c>
    </row>
    <row r="194" spans="1:19" x14ac:dyDescent="0.25">
      <c r="A194" s="5">
        <v>42380</v>
      </c>
      <c r="B194" s="6">
        <v>0.76041666666666663</v>
      </c>
      <c r="C194" t="s">
        <v>29</v>
      </c>
      <c r="D194" t="s">
        <v>91</v>
      </c>
      <c r="E194">
        <v>53</v>
      </c>
      <c r="F194" t="s">
        <v>171</v>
      </c>
      <c r="H194">
        <v>56</v>
      </c>
      <c r="J194" t="str">
        <f t="shared" si="24"/>
        <v>H</v>
      </c>
      <c r="K194" t="s">
        <v>252</v>
      </c>
      <c r="L194" t="s">
        <v>228</v>
      </c>
      <c r="M194" t="s">
        <v>229</v>
      </c>
      <c r="N194" t="str">
        <f t="shared" ref="N194:N257" si="25">"&lt;tr&gt; &lt;td&gt;"&amp;TEXT(A194,"MMM. D")&amp;"&lt;/td&gt;"</f>
        <v>&lt;tr&gt; &lt;td&gt;Jan. 11&lt;/td&gt;</v>
      </c>
      <c r="O194" t="str">
        <f t="shared" ref="O194:O257" si="26">"&lt;td&gt;"&amp;IF(B194&gt;0,TEXT(B194,"H:MM AM/PM"),"")&amp;"&lt;/td&gt;"</f>
        <v>&lt;td&gt;6:15 PM&lt;/td&gt;</v>
      </c>
      <c r="P194" t="str">
        <f t="shared" ref="P194:P257" si="27">"&lt;td class="""&amp;D194&amp;"sched""&gt;"&amp;C194&amp;"&lt;/td&gt;"</f>
        <v>&lt;td class="ShHSsched"&gt;Shaftesbury&lt;/td&gt;</v>
      </c>
      <c r="Q194" t="str">
        <f t="shared" ref="Q194:Q257" si="28">"&lt;td&gt;"&amp;E194&amp;" - "&amp;H194&amp;IF(I194&gt;0," "&amp;I194,"")&amp;"&lt;/td&gt;"</f>
        <v>&lt;td&gt;53 - 56&lt;/td&gt;</v>
      </c>
      <c r="R194" t="str">
        <f t="shared" ref="R194:R257" si="29">"&lt;td class="""&amp;G194&amp;"sched""&gt;"&amp;F194&amp;"&lt;/td&gt;"</f>
        <v>&lt;td class="sched"&gt;Churchill&lt;/td&gt;</v>
      </c>
      <c r="S194" t="str">
        <f t="shared" ref="S194:S257" si="30">"&lt;td&gt;"&amp;K194&amp;" "&amp;L194&amp;"&lt;/td&gt; &lt;/tr&gt;"</f>
        <v>&lt;td&gt;WWAC-WAC Tier 2 Regular Season&lt;/td&gt; &lt;/tr&gt;</v>
      </c>
    </row>
    <row r="195" spans="1:19" x14ac:dyDescent="0.25">
      <c r="A195" s="5">
        <v>42380</v>
      </c>
      <c r="B195" s="6">
        <v>0.76041666666666663</v>
      </c>
      <c r="C195" t="s">
        <v>26</v>
      </c>
      <c r="D195" t="s">
        <v>86</v>
      </c>
      <c r="E195">
        <v>69</v>
      </c>
      <c r="F195" t="s">
        <v>218</v>
      </c>
      <c r="H195">
        <v>38</v>
      </c>
      <c r="J195" t="str">
        <f t="shared" si="24"/>
        <v>V</v>
      </c>
      <c r="K195" t="s">
        <v>252</v>
      </c>
      <c r="L195" t="s">
        <v>228</v>
      </c>
      <c r="M195" t="s">
        <v>229</v>
      </c>
      <c r="N195" t="str">
        <f t="shared" si="25"/>
        <v>&lt;tr&gt; &lt;td&gt;Jan. 11&lt;/td&gt;</v>
      </c>
      <c r="O195" t="str">
        <f t="shared" si="26"/>
        <v>&lt;td&gt;6:15 PM&lt;/td&gt;</v>
      </c>
      <c r="P195" t="str">
        <f t="shared" si="27"/>
        <v>&lt;td class="GBHSsched"&gt;Gordon Bell&lt;/td&gt;</v>
      </c>
      <c r="Q195" t="str">
        <f t="shared" si="28"/>
        <v>&lt;td&gt;69 - 38&lt;/td&gt;</v>
      </c>
      <c r="R195" t="str">
        <f t="shared" si="29"/>
        <v>&lt;td class="sched"&gt;Stonewall&lt;/td&gt;</v>
      </c>
      <c r="S195" t="str">
        <f t="shared" si="30"/>
        <v>&lt;td&gt;WWAC-WAC Tier 2 Regular Season&lt;/td&gt; &lt;/tr&gt;</v>
      </c>
    </row>
    <row r="196" spans="1:19" x14ac:dyDescent="0.25">
      <c r="A196" s="5">
        <v>42380</v>
      </c>
      <c r="B196" s="6">
        <v>0.76041666666666663</v>
      </c>
      <c r="C196" t="s">
        <v>13</v>
      </c>
      <c r="D196" t="s">
        <v>98</v>
      </c>
      <c r="E196">
        <v>55</v>
      </c>
      <c r="F196" t="s">
        <v>25</v>
      </c>
      <c r="G196" t="s">
        <v>84</v>
      </c>
      <c r="H196">
        <v>64</v>
      </c>
      <c r="J196" t="str">
        <f t="shared" si="24"/>
        <v>H</v>
      </c>
      <c r="K196" t="s">
        <v>252</v>
      </c>
      <c r="L196" t="s">
        <v>228</v>
      </c>
      <c r="M196" t="s">
        <v>229</v>
      </c>
      <c r="N196" t="str">
        <f t="shared" si="25"/>
        <v>&lt;tr&gt; &lt;td&gt;Jan. 11&lt;/td&gt;</v>
      </c>
      <c r="O196" t="str">
        <f t="shared" si="26"/>
        <v>&lt;td&gt;6:15 PM&lt;/td&gt;</v>
      </c>
      <c r="P196" t="str">
        <f t="shared" si="27"/>
        <v>&lt;td class="WWCsched"&gt;Westwood&lt;/td&gt;</v>
      </c>
      <c r="Q196" t="str">
        <f t="shared" si="28"/>
        <v>&lt;td&gt;55 - 64&lt;/td&gt;</v>
      </c>
      <c r="R196" t="str">
        <f t="shared" si="29"/>
        <v>&lt;td class="EHSsched"&gt;Elmwood&lt;/td&gt;</v>
      </c>
      <c r="S196" t="str">
        <f t="shared" si="30"/>
        <v>&lt;td&gt;WWAC-WAC Tier 2 Regular Season&lt;/td&gt; &lt;/tr&gt;</v>
      </c>
    </row>
    <row r="197" spans="1:19" x14ac:dyDescent="0.25">
      <c r="A197" s="5">
        <v>42380</v>
      </c>
      <c r="B197" s="6">
        <v>0.76041666666666663</v>
      </c>
      <c r="C197" t="s">
        <v>24</v>
      </c>
      <c r="D197" t="s">
        <v>82</v>
      </c>
      <c r="E197">
        <v>74</v>
      </c>
      <c r="F197" t="s">
        <v>15</v>
      </c>
      <c r="G197" t="s">
        <v>68</v>
      </c>
      <c r="H197">
        <v>84</v>
      </c>
      <c r="J197" t="str">
        <f t="shared" si="24"/>
        <v>H</v>
      </c>
      <c r="K197" t="s">
        <v>251</v>
      </c>
      <c r="L197" t="s">
        <v>228</v>
      </c>
      <c r="M197" t="s">
        <v>229</v>
      </c>
      <c r="N197" t="str">
        <f t="shared" si="25"/>
        <v>&lt;tr&gt; &lt;td&gt;Jan. 11&lt;/td&gt;</v>
      </c>
      <c r="O197" t="str">
        <f t="shared" si="26"/>
        <v>&lt;td&gt;6:15 PM&lt;/td&gt;</v>
      </c>
      <c r="P197" t="str">
        <f t="shared" si="27"/>
        <v>&lt;td class="DMCIsched"&gt;Daniel McIntyre&lt;/td&gt;</v>
      </c>
      <c r="Q197" t="str">
        <f t="shared" si="28"/>
        <v>&lt;td&gt;74 - 84&lt;/td&gt;</v>
      </c>
      <c r="R197" t="str">
        <f t="shared" si="29"/>
        <v>&lt;td class="FRCsched"&gt;Fort Richmond&lt;/td&gt;</v>
      </c>
      <c r="S197" t="str">
        <f t="shared" si="30"/>
        <v>&lt;td&gt;WWAC-WAC Tier 1 Regular Season&lt;/td&gt; &lt;/tr&gt;</v>
      </c>
    </row>
    <row r="198" spans="1:19" x14ac:dyDescent="0.25">
      <c r="A198" s="5">
        <v>42380</v>
      </c>
      <c r="B198" s="6">
        <v>0.76041666666666663</v>
      </c>
      <c r="C198" t="s">
        <v>6</v>
      </c>
      <c r="D198" t="s">
        <v>70</v>
      </c>
      <c r="E198">
        <v>84</v>
      </c>
      <c r="F198" t="s">
        <v>1</v>
      </c>
      <c r="G198" t="s">
        <v>74</v>
      </c>
      <c r="H198">
        <v>59</v>
      </c>
      <c r="J198" t="str">
        <f t="shared" si="24"/>
        <v>V</v>
      </c>
      <c r="K198" t="s">
        <v>251</v>
      </c>
      <c r="L198" t="s">
        <v>228</v>
      </c>
      <c r="M198" t="s">
        <v>229</v>
      </c>
      <c r="N198" t="str">
        <f t="shared" si="25"/>
        <v>&lt;tr&gt; &lt;td&gt;Jan. 11&lt;/td&gt;</v>
      </c>
      <c r="O198" t="str">
        <f t="shared" si="26"/>
        <v>&lt;td&gt;6:15 PM&lt;/td&gt;</v>
      </c>
      <c r="P198" t="str">
        <f t="shared" si="27"/>
        <v>&lt;td class="JTCsched"&gt;John Taylor&lt;/td&gt;</v>
      </c>
      <c r="Q198" t="str">
        <f t="shared" si="28"/>
        <v>&lt;td&gt;84 - 59&lt;/td&gt;</v>
      </c>
      <c r="R198" t="str">
        <f t="shared" si="29"/>
        <v>&lt;td class="OPHSsched"&gt;Oak Park&lt;/td&gt;</v>
      </c>
      <c r="S198" t="str">
        <f t="shared" si="30"/>
        <v>&lt;td&gt;WWAC-WAC Tier 1 Regular Season&lt;/td&gt; &lt;/tr&gt;</v>
      </c>
    </row>
    <row r="199" spans="1:19" x14ac:dyDescent="0.25">
      <c r="A199" s="5">
        <v>42380</v>
      </c>
      <c r="B199" s="6">
        <v>0.76041666666666663</v>
      </c>
      <c r="C199" t="s">
        <v>23</v>
      </c>
      <c r="D199" t="s">
        <v>80</v>
      </c>
      <c r="E199">
        <v>72</v>
      </c>
      <c r="F199" t="s">
        <v>14</v>
      </c>
      <c r="G199" t="s">
        <v>94</v>
      </c>
      <c r="H199">
        <v>46</v>
      </c>
      <c r="J199" t="str">
        <f t="shared" si="24"/>
        <v>V</v>
      </c>
      <c r="K199" t="s">
        <v>251</v>
      </c>
      <c r="L199" t="s">
        <v>228</v>
      </c>
      <c r="M199" t="s">
        <v>229</v>
      </c>
      <c r="N199" t="str">
        <f t="shared" si="25"/>
        <v>&lt;tr&gt; &lt;td&gt;Jan. 11&lt;/td&gt;</v>
      </c>
      <c r="O199" t="str">
        <f t="shared" si="26"/>
        <v>&lt;td&gt;6:15 PM&lt;/td&gt;</v>
      </c>
      <c r="P199" t="str">
        <f t="shared" si="27"/>
        <v>&lt;td class="VMCsched"&gt;Vincent Massey&lt;/td&gt;</v>
      </c>
      <c r="Q199" t="str">
        <f t="shared" si="28"/>
        <v>&lt;td&gt;72 - 46&lt;/td&gt;</v>
      </c>
      <c r="R199" t="str">
        <f t="shared" si="29"/>
        <v>&lt;td class="SHCsched"&gt;Sturgeon Heights&lt;/td&gt;</v>
      </c>
      <c r="S199" t="str">
        <f t="shared" si="30"/>
        <v>&lt;td&gt;WWAC-WAC Tier 1 Regular Season&lt;/td&gt; &lt;/tr&gt;</v>
      </c>
    </row>
    <row r="200" spans="1:19" x14ac:dyDescent="0.25">
      <c r="A200" s="5">
        <v>42380</v>
      </c>
      <c r="B200" s="6">
        <v>0.77083333333333337</v>
      </c>
      <c r="C200" t="s">
        <v>30</v>
      </c>
      <c r="D200" t="s">
        <v>92</v>
      </c>
      <c r="E200">
        <v>75</v>
      </c>
      <c r="F200" t="s">
        <v>28</v>
      </c>
      <c r="G200" t="s">
        <v>90</v>
      </c>
      <c r="H200">
        <v>55</v>
      </c>
      <c r="J200" t="str">
        <f t="shared" si="24"/>
        <v>V</v>
      </c>
      <c r="K200" t="s">
        <v>252</v>
      </c>
      <c r="L200" t="s">
        <v>228</v>
      </c>
      <c r="M200" t="s">
        <v>229</v>
      </c>
      <c r="N200" t="str">
        <f t="shared" si="25"/>
        <v>&lt;tr&gt; &lt;td&gt;Jan. 11&lt;/td&gt;</v>
      </c>
      <c r="O200" t="str">
        <f t="shared" si="26"/>
        <v>&lt;td&gt;6:30 PM&lt;/td&gt;</v>
      </c>
      <c r="P200" t="str">
        <f t="shared" si="27"/>
        <v>&lt;td class="SJHSsched"&gt;St. John's&lt;/td&gt;</v>
      </c>
      <c r="Q200" t="str">
        <f t="shared" si="28"/>
        <v>&lt;td&gt;75 - 55&lt;/td&gt;</v>
      </c>
      <c r="R200" t="str">
        <f t="shared" si="29"/>
        <v>&lt;td class="PCIsched"&gt;Portage&lt;/td&gt;</v>
      </c>
      <c r="S200" t="str">
        <f t="shared" si="30"/>
        <v>&lt;td&gt;WWAC-WAC Tier 2 Regular Season&lt;/td&gt; &lt;/tr&gt;</v>
      </c>
    </row>
    <row r="201" spans="1:19" x14ac:dyDescent="0.25">
      <c r="A201" s="5">
        <v>42380</v>
      </c>
      <c r="B201" s="6">
        <v>0.8125</v>
      </c>
      <c r="C201" t="s">
        <v>17</v>
      </c>
      <c r="D201" t="s">
        <v>50</v>
      </c>
      <c r="E201">
        <v>49</v>
      </c>
      <c r="F201" t="s">
        <v>11</v>
      </c>
      <c r="G201" t="s">
        <v>48</v>
      </c>
      <c r="H201">
        <v>41</v>
      </c>
      <c r="J201" t="str">
        <f t="shared" si="24"/>
        <v>V</v>
      </c>
      <c r="K201" t="s">
        <v>37</v>
      </c>
      <c r="L201" t="s">
        <v>228</v>
      </c>
      <c r="M201" t="s">
        <v>229</v>
      </c>
      <c r="N201" t="str">
        <f t="shared" si="25"/>
        <v>&lt;tr&gt; &lt;td&gt;Jan. 11&lt;/td&gt;</v>
      </c>
      <c r="O201" t="str">
        <f t="shared" si="26"/>
        <v>&lt;td&gt;7:30 PM&lt;/td&gt;</v>
      </c>
      <c r="P201" t="str">
        <f t="shared" si="27"/>
        <v>&lt;td class="MMCIsched"&gt;Murdoch MacKay&lt;/td&gt;</v>
      </c>
      <c r="Q201" t="str">
        <f t="shared" si="28"/>
        <v>&lt;td&gt;49 - 41&lt;/td&gt;</v>
      </c>
      <c r="R201" t="str">
        <f t="shared" si="29"/>
        <v>&lt;td class="MMCsched"&gt;Miles Macdonell&lt;/td&gt;</v>
      </c>
      <c r="S201" t="str">
        <f t="shared" si="30"/>
        <v>&lt;td&gt;KPAC Regular Season&lt;/td&gt; &lt;/tr&gt;</v>
      </c>
    </row>
    <row r="202" spans="1:19" x14ac:dyDescent="0.25">
      <c r="A202" s="5">
        <v>42380</v>
      </c>
      <c r="B202" s="6">
        <v>0.8125</v>
      </c>
      <c r="C202" t="s">
        <v>19</v>
      </c>
      <c r="D202" t="s">
        <v>56</v>
      </c>
      <c r="E202">
        <v>48</v>
      </c>
      <c r="F202" t="s">
        <v>16</v>
      </c>
      <c r="G202" t="s">
        <v>45</v>
      </c>
      <c r="H202">
        <v>116</v>
      </c>
      <c r="J202" t="str">
        <f t="shared" si="24"/>
        <v>H</v>
      </c>
      <c r="K202" t="s">
        <v>37</v>
      </c>
      <c r="L202" t="s">
        <v>228</v>
      </c>
      <c r="M202" t="s">
        <v>229</v>
      </c>
      <c r="N202" t="str">
        <f t="shared" si="25"/>
        <v>&lt;tr&gt; &lt;td&gt;Jan. 11&lt;/td&gt;</v>
      </c>
      <c r="O202" t="str">
        <f t="shared" si="26"/>
        <v>&lt;td&gt;7:30 PM&lt;/td&gt;</v>
      </c>
      <c r="P202" t="str">
        <f t="shared" si="27"/>
        <v>&lt;td class="TCIsched"&gt;Transcona&lt;/td&gt;</v>
      </c>
      <c r="Q202" t="str">
        <f t="shared" si="28"/>
        <v>&lt;td&gt;48 - 116&lt;/td&gt;</v>
      </c>
      <c r="R202" t="str">
        <f t="shared" si="29"/>
        <v>&lt;td class="MCsched"&gt;Maples&lt;/td&gt;</v>
      </c>
      <c r="S202" t="str">
        <f t="shared" si="30"/>
        <v>&lt;td&gt;KPAC Regular Season&lt;/td&gt; &lt;/tr&gt;</v>
      </c>
    </row>
    <row r="203" spans="1:19" x14ac:dyDescent="0.25">
      <c r="A203" s="5">
        <v>42380</v>
      </c>
      <c r="B203" s="6">
        <v>0.8125</v>
      </c>
      <c r="C203" t="s">
        <v>198</v>
      </c>
      <c r="E203">
        <v>83</v>
      </c>
      <c r="F203" t="s">
        <v>108</v>
      </c>
      <c r="G203" t="s">
        <v>109</v>
      </c>
      <c r="H203">
        <v>52</v>
      </c>
      <c r="J203" t="str">
        <f t="shared" si="24"/>
        <v>V</v>
      </c>
      <c r="K203" t="s">
        <v>236</v>
      </c>
      <c r="L203" t="s">
        <v>228</v>
      </c>
      <c r="M203" t="s">
        <v>229</v>
      </c>
      <c r="N203" t="str">
        <f t="shared" si="25"/>
        <v>&lt;tr&gt; &lt;td&gt;Jan. 11&lt;/td&gt;</v>
      </c>
      <c r="O203" t="str">
        <f t="shared" si="26"/>
        <v>&lt;td&gt;7:30 PM&lt;/td&gt;</v>
      </c>
      <c r="P203" t="str">
        <f t="shared" si="27"/>
        <v>&lt;td class="sched"&gt;Windsor Park&lt;/td&gt;</v>
      </c>
      <c r="Q203" t="str">
        <f t="shared" si="28"/>
        <v>&lt;td&gt;83 - 52&lt;/td&gt;</v>
      </c>
      <c r="R203" t="str">
        <f t="shared" si="29"/>
        <v>&lt;td class="CJSsched"&gt;Jeanne-Sauv&amp;eacute;&lt;/td&gt;</v>
      </c>
      <c r="S203" t="str">
        <f t="shared" si="30"/>
        <v>&lt;td&gt;SCAC Tier 2 Regular Season&lt;/td&gt; &lt;/tr&gt;</v>
      </c>
    </row>
    <row r="204" spans="1:19" x14ac:dyDescent="0.25">
      <c r="A204" s="5">
        <v>42380</v>
      </c>
      <c r="B204" s="6">
        <v>0.8125</v>
      </c>
      <c r="C204" t="s">
        <v>135</v>
      </c>
      <c r="D204" t="s">
        <v>136</v>
      </c>
      <c r="E204">
        <v>58</v>
      </c>
      <c r="F204" t="s">
        <v>240</v>
      </c>
      <c r="H204">
        <v>80</v>
      </c>
      <c r="J204" t="str">
        <f t="shared" si="24"/>
        <v>H</v>
      </c>
      <c r="K204" t="s">
        <v>236</v>
      </c>
      <c r="L204" t="s">
        <v>228</v>
      </c>
      <c r="M204" t="s">
        <v>229</v>
      </c>
      <c r="N204" t="str">
        <f t="shared" si="25"/>
        <v>&lt;tr&gt; &lt;td&gt;Jan. 11&lt;/td&gt;</v>
      </c>
      <c r="O204" t="str">
        <f t="shared" si="26"/>
        <v>&lt;td&gt;7:30 PM&lt;/td&gt;</v>
      </c>
      <c r="P204" t="str">
        <f t="shared" si="27"/>
        <v>&lt;td class="NPCsched"&gt;Northlands Parkway&lt;/td&gt;</v>
      </c>
      <c r="Q204" t="str">
        <f t="shared" si="28"/>
        <v>&lt;td&gt;58 - 80&lt;/td&gt;</v>
      </c>
      <c r="R204" t="str">
        <f t="shared" si="29"/>
        <v>&lt;td class="sched"&gt;Nelson McIntyre&lt;/td&gt;</v>
      </c>
      <c r="S204" t="str">
        <f t="shared" si="30"/>
        <v>&lt;td&gt;SCAC Tier 2 Regular Season&lt;/td&gt; &lt;/tr&gt;</v>
      </c>
    </row>
    <row r="205" spans="1:19" x14ac:dyDescent="0.25">
      <c r="A205" s="5">
        <v>42380</v>
      </c>
      <c r="B205" s="6">
        <v>0.8125</v>
      </c>
      <c r="C205" t="s">
        <v>5</v>
      </c>
      <c r="D205" t="s">
        <v>62</v>
      </c>
      <c r="E205">
        <v>44</v>
      </c>
      <c r="F205" t="s">
        <v>8</v>
      </c>
      <c r="G205" t="s">
        <v>60</v>
      </c>
      <c r="H205">
        <v>55</v>
      </c>
      <c r="J205" t="str">
        <f t="shared" si="24"/>
        <v>H</v>
      </c>
      <c r="K205" t="s">
        <v>281</v>
      </c>
      <c r="L205" t="s">
        <v>228</v>
      </c>
      <c r="M205" t="s">
        <v>229</v>
      </c>
      <c r="N205" t="str">
        <f t="shared" si="25"/>
        <v>&lt;tr&gt; &lt;td&gt;Jan. 11&lt;/td&gt;</v>
      </c>
      <c r="O205" t="str">
        <f t="shared" si="26"/>
        <v>&lt;td&gt;7:30 PM&lt;/td&gt;</v>
      </c>
      <c r="P205" t="str">
        <f t="shared" si="27"/>
        <v>&lt;td class="GCIsched"&gt;Glenlawn&lt;/td&gt;</v>
      </c>
      <c r="Q205" t="str">
        <f t="shared" si="28"/>
        <v>&lt;td&gt;44 - 55&lt;/td&gt;</v>
      </c>
      <c r="R205" t="str">
        <f t="shared" si="29"/>
        <v>&lt;td class="DCIsched"&gt;Dakota&lt;/td&gt;</v>
      </c>
      <c r="S205" t="str">
        <f t="shared" si="30"/>
        <v>&lt;td&gt;SCAC Tier 1 Regular Season&lt;/td&gt; &lt;/tr&gt;</v>
      </c>
    </row>
    <row r="206" spans="1:19" x14ac:dyDescent="0.25">
      <c r="A206" s="5">
        <v>42380</v>
      </c>
      <c r="B206" s="6">
        <v>0.8125</v>
      </c>
      <c r="C206" t="s">
        <v>21</v>
      </c>
      <c r="D206" t="s">
        <v>64</v>
      </c>
      <c r="E206">
        <v>67</v>
      </c>
      <c r="F206" t="s">
        <v>22</v>
      </c>
      <c r="G206" t="s">
        <v>66</v>
      </c>
      <c r="H206">
        <v>73</v>
      </c>
      <c r="J206" t="str">
        <f t="shared" si="24"/>
        <v>H</v>
      </c>
      <c r="K206" t="s">
        <v>281</v>
      </c>
      <c r="L206" t="s">
        <v>228</v>
      </c>
      <c r="M206" t="s">
        <v>229</v>
      </c>
      <c r="N206" t="str">
        <f t="shared" si="25"/>
        <v>&lt;tr&gt; &lt;td&gt;Jan. 11&lt;/td&gt;</v>
      </c>
      <c r="O206" t="str">
        <f t="shared" si="26"/>
        <v>&lt;td&gt;7:30 PM&lt;/td&gt;</v>
      </c>
      <c r="P206" t="str">
        <f t="shared" si="27"/>
        <v>&lt;td class="JHBsched"&gt;J.H. Bruns&lt;/td&gt;</v>
      </c>
      <c r="Q206" t="str">
        <f t="shared" si="28"/>
        <v>&lt;td&gt;67 - 73&lt;/td&gt;</v>
      </c>
      <c r="R206" t="str">
        <f t="shared" si="29"/>
        <v>&lt;td class="SRSSsched"&gt;Steinbach&lt;/td&gt;</v>
      </c>
      <c r="S206" t="str">
        <f t="shared" si="30"/>
        <v>&lt;td&gt;SCAC Tier 1 Regular Season&lt;/td&gt; &lt;/tr&gt;</v>
      </c>
    </row>
    <row r="207" spans="1:19" x14ac:dyDescent="0.25">
      <c r="A207" s="5">
        <v>42381</v>
      </c>
      <c r="B207" s="6">
        <v>0.75</v>
      </c>
      <c r="C207" t="s">
        <v>4</v>
      </c>
      <c r="D207" t="s">
        <v>41</v>
      </c>
      <c r="E207">
        <v>91</v>
      </c>
      <c r="F207" t="s">
        <v>104</v>
      </c>
      <c r="G207" t="s">
        <v>105</v>
      </c>
      <c r="H207">
        <v>30</v>
      </c>
      <c r="J207" t="str">
        <f t="shared" si="24"/>
        <v>V</v>
      </c>
      <c r="K207" t="s">
        <v>37</v>
      </c>
      <c r="L207" t="s">
        <v>228</v>
      </c>
      <c r="M207" t="s">
        <v>229</v>
      </c>
      <c r="N207" t="str">
        <f t="shared" si="25"/>
        <v>&lt;tr&gt; &lt;td&gt;Jan. 12&lt;/td&gt;</v>
      </c>
      <c r="O207" t="str">
        <f t="shared" si="26"/>
        <v>&lt;td&gt;6:00 PM&lt;/td&gt;</v>
      </c>
      <c r="P207" t="str">
        <f t="shared" si="27"/>
        <v>&lt;td class="GCCsched"&gt;Garden City&lt;/td&gt;</v>
      </c>
      <c r="Q207" t="str">
        <f t="shared" si="28"/>
        <v>&lt;td&gt;91 - 30&lt;/td&gt;</v>
      </c>
      <c r="R207" t="str">
        <f t="shared" si="29"/>
        <v>&lt;td class="SCIsched"&gt;Springfield&lt;/td&gt;</v>
      </c>
      <c r="S207" t="str">
        <f t="shared" si="30"/>
        <v>&lt;td&gt;KPAC Regular Season&lt;/td&gt; &lt;/tr&gt;</v>
      </c>
    </row>
    <row r="208" spans="1:19" x14ac:dyDescent="0.25">
      <c r="A208" s="5">
        <v>42381</v>
      </c>
      <c r="B208" s="6">
        <v>0.82291666666666663</v>
      </c>
      <c r="C208" t="s">
        <v>256</v>
      </c>
      <c r="E208">
        <v>60</v>
      </c>
      <c r="F208" t="s">
        <v>32</v>
      </c>
      <c r="G208" t="s">
        <v>100</v>
      </c>
      <c r="H208">
        <v>78</v>
      </c>
      <c r="J208" t="str">
        <f t="shared" si="24"/>
        <v>H</v>
      </c>
      <c r="K208" t="s">
        <v>40</v>
      </c>
      <c r="L208" t="s">
        <v>228</v>
      </c>
      <c r="M208" t="s">
        <v>229</v>
      </c>
      <c r="N208" t="str">
        <f t="shared" si="25"/>
        <v>&lt;tr&gt; &lt;td&gt;Jan. 12&lt;/td&gt;</v>
      </c>
      <c r="O208" t="str">
        <f t="shared" si="26"/>
        <v>&lt;td&gt;7:45 PM&lt;/td&gt;</v>
      </c>
      <c r="P208" t="str">
        <f t="shared" si="27"/>
        <v>&lt;td class="sched"&gt;Neelin&lt;/td&gt;</v>
      </c>
      <c r="Q208" t="str">
        <f t="shared" si="28"/>
        <v>&lt;td&gt;60 - 78&lt;/td&gt;</v>
      </c>
      <c r="R208" t="str">
        <f t="shared" si="29"/>
        <v>&lt;td class="CPRSsched"&gt;Crocus Plains&lt;/td&gt;</v>
      </c>
      <c r="S208" t="str">
        <f t="shared" si="30"/>
        <v>&lt;td&gt;Zone 15 Regular Season&lt;/td&gt; &lt;/tr&gt;</v>
      </c>
    </row>
    <row r="209" spans="1:19" x14ac:dyDescent="0.25">
      <c r="A209" s="5">
        <v>42382</v>
      </c>
      <c r="B209" s="6">
        <v>0.625</v>
      </c>
      <c r="C209" t="s">
        <v>5</v>
      </c>
      <c r="D209" t="s">
        <v>62</v>
      </c>
      <c r="E209">
        <v>55</v>
      </c>
      <c r="F209" t="s">
        <v>31</v>
      </c>
      <c r="G209" t="s">
        <v>96</v>
      </c>
      <c r="H209">
        <v>44</v>
      </c>
      <c r="J209" t="str">
        <f t="shared" si="24"/>
        <v>V</v>
      </c>
      <c r="K209" t="s">
        <v>297</v>
      </c>
      <c r="L209" t="s">
        <v>230</v>
      </c>
      <c r="N209" t="str">
        <f t="shared" si="25"/>
        <v>&lt;tr&gt; &lt;td&gt;Jan. 13&lt;/td&gt;</v>
      </c>
      <c r="O209" t="str">
        <f t="shared" si="26"/>
        <v>&lt;td&gt;3:00 PM&lt;/td&gt;</v>
      </c>
      <c r="P209" t="str">
        <f t="shared" si="27"/>
        <v>&lt;td class="GCIsched"&gt;Glenlawn&lt;/td&gt;</v>
      </c>
      <c r="Q209" t="str">
        <f t="shared" si="28"/>
        <v>&lt;td&gt;55 - 44&lt;/td&gt;</v>
      </c>
      <c r="R209" t="str">
        <f t="shared" si="29"/>
        <v>&lt;td class="TVHSsched"&gt;Tec Voc&lt;/td&gt;</v>
      </c>
      <c r="S209" t="str">
        <f t="shared" si="30"/>
        <v>&lt;td&gt;WIT First Round Game 1&lt;/td&gt; &lt;/tr&gt;</v>
      </c>
    </row>
    <row r="210" spans="1:19" x14ac:dyDescent="0.25">
      <c r="A210" s="5">
        <v>42382</v>
      </c>
      <c r="B210" s="6">
        <v>0.6875</v>
      </c>
      <c r="C210" t="s">
        <v>30</v>
      </c>
      <c r="D210" t="s">
        <v>92</v>
      </c>
      <c r="E210">
        <v>75</v>
      </c>
      <c r="F210" t="s">
        <v>171</v>
      </c>
      <c r="H210">
        <v>70</v>
      </c>
      <c r="J210" t="str">
        <f t="shared" si="24"/>
        <v>V</v>
      </c>
      <c r="K210" t="s">
        <v>252</v>
      </c>
      <c r="L210" t="s">
        <v>228</v>
      </c>
      <c r="M210" t="s">
        <v>229</v>
      </c>
      <c r="N210" t="str">
        <f t="shared" si="25"/>
        <v>&lt;tr&gt; &lt;td&gt;Jan. 13&lt;/td&gt;</v>
      </c>
      <c r="O210" t="str">
        <f t="shared" si="26"/>
        <v>&lt;td&gt;4:30 PM&lt;/td&gt;</v>
      </c>
      <c r="P210" t="str">
        <f t="shared" si="27"/>
        <v>&lt;td class="SJHSsched"&gt;St. John's&lt;/td&gt;</v>
      </c>
      <c r="Q210" t="str">
        <f t="shared" si="28"/>
        <v>&lt;td&gt;75 - 70&lt;/td&gt;</v>
      </c>
      <c r="R210" t="str">
        <f t="shared" si="29"/>
        <v>&lt;td class="sched"&gt;Churchill&lt;/td&gt;</v>
      </c>
      <c r="S210" t="str">
        <f t="shared" si="30"/>
        <v>&lt;td&gt;WWAC-WAC Tier 2 Regular Season&lt;/td&gt; &lt;/tr&gt;</v>
      </c>
    </row>
    <row r="211" spans="1:19" x14ac:dyDescent="0.25">
      <c r="A211" s="5">
        <v>42382</v>
      </c>
      <c r="B211" s="6">
        <v>0.6875</v>
      </c>
      <c r="C211" t="s">
        <v>25</v>
      </c>
      <c r="D211" t="s">
        <v>84</v>
      </c>
      <c r="E211">
        <v>50</v>
      </c>
      <c r="F211" t="s">
        <v>218</v>
      </c>
      <c r="H211">
        <v>49</v>
      </c>
      <c r="J211" t="str">
        <f t="shared" si="24"/>
        <v>V</v>
      </c>
      <c r="K211" t="s">
        <v>252</v>
      </c>
      <c r="L211" t="s">
        <v>228</v>
      </c>
      <c r="M211" t="s">
        <v>229</v>
      </c>
      <c r="N211" t="str">
        <f t="shared" si="25"/>
        <v>&lt;tr&gt; &lt;td&gt;Jan. 13&lt;/td&gt;</v>
      </c>
      <c r="O211" t="str">
        <f t="shared" si="26"/>
        <v>&lt;td&gt;4:30 PM&lt;/td&gt;</v>
      </c>
      <c r="P211" t="str">
        <f t="shared" si="27"/>
        <v>&lt;td class="EHSsched"&gt;Elmwood&lt;/td&gt;</v>
      </c>
      <c r="Q211" t="str">
        <f t="shared" si="28"/>
        <v>&lt;td&gt;50 - 49&lt;/td&gt;</v>
      </c>
      <c r="R211" t="str">
        <f t="shared" si="29"/>
        <v>&lt;td class="sched"&gt;Stonewall&lt;/td&gt;</v>
      </c>
      <c r="S211" t="str">
        <f t="shared" si="30"/>
        <v>&lt;td&gt;WWAC-WAC Tier 2 Regular Season&lt;/td&gt; &lt;/tr&gt;</v>
      </c>
    </row>
    <row r="212" spans="1:19" x14ac:dyDescent="0.25">
      <c r="A212" s="5">
        <v>42382</v>
      </c>
      <c r="B212" s="6">
        <v>0.6875</v>
      </c>
      <c r="C212" t="s">
        <v>24</v>
      </c>
      <c r="D212" t="s">
        <v>82</v>
      </c>
      <c r="E212">
        <v>64</v>
      </c>
      <c r="F212" t="s">
        <v>6</v>
      </c>
      <c r="G212" t="s">
        <v>70</v>
      </c>
      <c r="H212">
        <v>101</v>
      </c>
      <c r="J212" t="str">
        <f t="shared" si="24"/>
        <v>H</v>
      </c>
      <c r="K212" t="s">
        <v>251</v>
      </c>
      <c r="L212" t="s">
        <v>228</v>
      </c>
      <c r="M212" t="s">
        <v>229</v>
      </c>
      <c r="N212" t="str">
        <f t="shared" si="25"/>
        <v>&lt;tr&gt; &lt;td&gt;Jan. 13&lt;/td&gt;</v>
      </c>
      <c r="O212" t="str">
        <f t="shared" si="26"/>
        <v>&lt;td&gt;4:30 PM&lt;/td&gt;</v>
      </c>
      <c r="P212" t="str">
        <f t="shared" si="27"/>
        <v>&lt;td class="DMCIsched"&gt;Daniel McIntyre&lt;/td&gt;</v>
      </c>
      <c r="Q212" t="str">
        <f t="shared" si="28"/>
        <v>&lt;td&gt;64 - 101&lt;/td&gt;</v>
      </c>
      <c r="R212" t="str">
        <f t="shared" si="29"/>
        <v>&lt;td class="JTCsched"&gt;John Taylor&lt;/td&gt;</v>
      </c>
      <c r="S212" t="str">
        <f t="shared" si="30"/>
        <v>&lt;td&gt;WWAC-WAC Tier 1 Regular Season&lt;/td&gt; &lt;/tr&gt;</v>
      </c>
    </row>
    <row r="213" spans="1:19" x14ac:dyDescent="0.25">
      <c r="A213" s="5">
        <v>42382</v>
      </c>
      <c r="B213" s="6">
        <v>0.6875</v>
      </c>
      <c r="C213" t="s">
        <v>1</v>
      </c>
      <c r="D213" t="s">
        <v>74</v>
      </c>
      <c r="E213">
        <v>106</v>
      </c>
      <c r="F213" t="s">
        <v>27</v>
      </c>
      <c r="G213" t="s">
        <v>88</v>
      </c>
      <c r="H213">
        <v>58</v>
      </c>
      <c r="J213" t="str">
        <f t="shared" si="24"/>
        <v>V</v>
      </c>
      <c r="K213" t="s">
        <v>251</v>
      </c>
      <c r="L213" t="s">
        <v>228</v>
      </c>
      <c r="M213" t="s">
        <v>229</v>
      </c>
      <c r="N213" t="str">
        <f t="shared" si="25"/>
        <v>&lt;tr&gt; &lt;td&gt;Jan. 13&lt;/td&gt;</v>
      </c>
      <c r="O213" t="str">
        <f t="shared" si="26"/>
        <v>&lt;td&gt;4:30 PM&lt;/td&gt;</v>
      </c>
      <c r="P213" t="str">
        <f t="shared" si="27"/>
        <v>&lt;td class="OPHSsched"&gt;Oak Park&lt;/td&gt;</v>
      </c>
      <c r="Q213" t="str">
        <f t="shared" si="28"/>
        <v>&lt;td&gt;106 - 58&lt;/td&gt;</v>
      </c>
      <c r="R213" t="str">
        <f t="shared" si="29"/>
        <v>&lt;td class="GPHSsched"&gt;Grant Park&lt;/td&gt;</v>
      </c>
      <c r="S213" t="str">
        <f t="shared" si="30"/>
        <v>&lt;td&gt;WWAC-WAC Tier 1 Regular Season&lt;/td&gt; &lt;/tr&gt;</v>
      </c>
    </row>
    <row r="214" spans="1:19" x14ac:dyDescent="0.25">
      <c r="A214" s="5">
        <v>42382</v>
      </c>
      <c r="B214" s="6">
        <v>0.69791666666666663</v>
      </c>
      <c r="C214" t="s">
        <v>10</v>
      </c>
      <c r="D214" t="s">
        <v>72</v>
      </c>
      <c r="E214">
        <v>90</v>
      </c>
      <c r="F214" t="s">
        <v>16</v>
      </c>
      <c r="G214" t="s">
        <v>45</v>
      </c>
      <c r="H214">
        <v>97</v>
      </c>
      <c r="I214" t="s">
        <v>155</v>
      </c>
      <c r="J214" t="str">
        <f t="shared" si="24"/>
        <v>H</v>
      </c>
      <c r="K214" t="s">
        <v>297</v>
      </c>
      <c r="L214" t="s">
        <v>231</v>
      </c>
      <c r="N214" t="str">
        <f t="shared" si="25"/>
        <v>&lt;tr&gt; &lt;td&gt;Jan. 13&lt;/td&gt;</v>
      </c>
      <c r="O214" t="str">
        <f t="shared" si="26"/>
        <v>&lt;td&gt;4:45 PM&lt;/td&gt;</v>
      </c>
      <c r="P214" t="str">
        <f t="shared" si="27"/>
        <v>&lt;td class="KHSsched"&gt;Kelvin&lt;/td&gt;</v>
      </c>
      <c r="Q214" t="str">
        <f t="shared" si="28"/>
        <v>&lt;td&gt;90 - 97 OT&lt;/td&gt;</v>
      </c>
      <c r="R214" t="str">
        <f t="shared" si="29"/>
        <v>&lt;td class="MCsched"&gt;Maples&lt;/td&gt;</v>
      </c>
      <c r="S214" t="str">
        <f t="shared" si="30"/>
        <v>&lt;td&gt;WIT First Round Game 2&lt;/td&gt; &lt;/tr&gt;</v>
      </c>
    </row>
    <row r="215" spans="1:19" x14ac:dyDescent="0.25">
      <c r="A215" s="5">
        <v>42382</v>
      </c>
      <c r="B215" s="6">
        <v>0.70833333333333337</v>
      </c>
      <c r="C215" t="s">
        <v>28</v>
      </c>
      <c r="D215" t="s">
        <v>90</v>
      </c>
      <c r="E215">
        <v>53</v>
      </c>
      <c r="F215" t="s">
        <v>26</v>
      </c>
      <c r="G215" t="s">
        <v>86</v>
      </c>
      <c r="H215">
        <v>64</v>
      </c>
      <c r="J215" t="str">
        <f t="shared" si="24"/>
        <v>H</v>
      </c>
      <c r="K215" t="s">
        <v>252</v>
      </c>
      <c r="L215" t="s">
        <v>228</v>
      </c>
      <c r="M215" t="s">
        <v>229</v>
      </c>
      <c r="N215" t="str">
        <f t="shared" si="25"/>
        <v>&lt;tr&gt; &lt;td&gt;Jan. 13&lt;/td&gt;</v>
      </c>
      <c r="O215" t="str">
        <f t="shared" si="26"/>
        <v>&lt;td&gt;5:00 PM&lt;/td&gt;</v>
      </c>
      <c r="P215" t="str">
        <f t="shared" si="27"/>
        <v>&lt;td class="PCIsched"&gt;Portage&lt;/td&gt;</v>
      </c>
      <c r="Q215" t="str">
        <f t="shared" si="28"/>
        <v>&lt;td&gt;53 - 64&lt;/td&gt;</v>
      </c>
      <c r="R215" t="str">
        <f t="shared" si="29"/>
        <v>&lt;td class="GBHSsched"&gt;Gordon Bell&lt;/td&gt;</v>
      </c>
      <c r="S215" t="str">
        <f t="shared" si="30"/>
        <v>&lt;td&gt;WWAC-WAC Tier 2 Regular Season&lt;/td&gt; &lt;/tr&gt;</v>
      </c>
    </row>
    <row r="216" spans="1:19" x14ac:dyDescent="0.25">
      <c r="A216" s="5">
        <v>42382</v>
      </c>
      <c r="B216" s="6">
        <v>0.75</v>
      </c>
      <c r="C216" t="s">
        <v>20</v>
      </c>
      <c r="D216" t="s">
        <v>58</v>
      </c>
      <c r="E216">
        <v>80</v>
      </c>
      <c r="F216" t="s">
        <v>19</v>
      </c>
      <c r="G216" t="s">
        <v>56</v>
      </c>
      <c r="H216">
        <v>61</v>
      </c>
      <c r="J216" t="str">
        <f t="shared" si="24"/>
        <v>V</v>
      </c>
      <c r="K216" t="s">
        <v>37</v>
      </c>
      <c r="L216" t="s">
        <v>228</v>
      </c>
      <c r="M216" t="s">
        <v>229</v>
      </c>
      <c r="N216" t="str">
        <f t="shared" si="25"/>
        <v>&lt;tr&gt; &lt;td&gt;Jan. 13&lt;/td&gt;</v>
      </c>
      <c r="O216" t="str">
        <f t="shared" si="26"/>
        <v>&lt;td&gt;6:00 PM&lt;/td&gt;</v>
      </c>
      <c r="P216" t="str">
        <f t="shared" si="27"/>
        <v>&lt;td class="WKCsched"&gt;West Kildonan&lt;/td&gt;</v>
      </c>
      <c r="Q216" t="str">
        <f t="shared" si="28"/>
        <v>&lt;td&gt;80 - 61&lt;/td&gt;</v>
      </c>
      <c r="R216" t="str">
        <f t="shared" si="29"/>
        <v>&lt;td class="TCIsched"&gt;Transcona&lt;/td&gt;</v>
      </c>
      <c r="S216" t="str">
        <f t="shared" si="30"/>
        <v>&lt;td&gt;KPAC Regular Season&lt;/td&gt; &lt;/tr&gt;</v>
      </c>
    </row>
    <row r="217" spans="1:19" x14ac:dyDescent="0.25">
      <c r="A217" s="5">
        <v>42382</v>
      </c>
      <c r="B217" s="6">
        <v>0.75</v>
      </c>
      <c r="C217" t="s">
        <v>2</v>
      </c>
      <c r="D217" t="s">
        <v>43</v>
      </c>
      <c r="E217">
        <v>98</v>
      </c>
      <c r="F217" t="s">
        <v>12</v>
      </c>
      <c r="G217" t="s">
        <v>54</v>
      </c>
      <c r="H217">
        <v>59</v>
      </c>
      <c r="J217" t="str">
        <f t="shared" si="24"/>
        <v>V</v>
      </c>
      <c r="K217" t="s">
        <v>37</v>
      </c>
      <c r="L217" t="s">
        <v>228</v>
      </c>
      <c r="M217" t="s">
        <v>229</v>
      </c>
      <c r="N217" t="str">
        <f t="shared" si="25"/>
        <v>&lt;tr&gt; &lt;td&gt;Jan. 13&lt;/td&gt;</v>
      </c>
      <c r="O217" t="str">
        <f t="shared" si="26"/>
        <v>&lt;td&gt;6:00 PM&lt;/td&gt;</v>
      </c>
      <c r="P217" t="str">
        <f t="shared" si="27"/>
        <v>&lt;td class="KECsched"&gt;Kildonan-East&lt;/td&gt;</v>
      </c>
      <c r="Q217" t="str">
        <f t="shared" si="28"/>
        <v>&lt;td&gt;98 - 59&lt;/td&gt;</v>
      </c>
      <c r="R217" t="str">
        <f t="shared" si="29"/>
        <v>&lt;td class="LSsched"&gt;Selkirk&lt;/td&gt;</v>
      </c>
      <c r="S217" t="str">
        <f t="shared" si="30"/>
        <v>&lt;td&gt;KPAC Regular Season&lt;/td&gt; &lt;/tr&gt;</v>
      </c>
    </row>
    <row r="218" spans="1:19" x14ac:dyDescent="0.25">
      <c r="A218" s="5">
        <v>42382</v>
      </c>
      <c r="B218" s="6">
        <v>0.75</v>
      </c>
      <c r="C218" t="s">
        <v>18</v>
      </c>
      <c r="D218" t="s">
        <v>52</v>
      </c>
      <c r="E218">
        <v>55</v>
      </c>
      <c r="F218" t="s">
        <v>4</v>
      </c>
      <c r="G218" t="s">
        <v>41</v>
      </c>
      <c r="H218">
        <v>106</v>
      </c>
      <c r="J218" t="str">
        <f t="shared" si="24"/>
        <v>H</v>
      </c>
      <c r="K218" t="s">
        <v>37</v>
      </c>
      <c r="L218" t="s">
        <v>228</v>
      </c>
      <c r="M218" t="s">
        <v>229</v>
      </c>
      <c r="N218" t="str">
        <f t="shared" si="25"/>
        <v>&lt;tr&gt; &lt;td&gt;Jan. 13&lt;/td&gt;</v>
      </c>
      <c r="O218" t="str">
        <f t="shared" si="26"/>
        <v>&lt;td&gt;6:00 PM&lt;/td&gt;</v>
      </c>
      <c r="P218" t="str">
        <f t="shared" si="27"/>
        <v>&lt;td class="RECsched"&gt;River East&lt;/td&gt;</v>
      </c>
      <c r="Q218" t="str">
        <f t="shared" si="28"/>
        <v>&lt;td&gt;55 - 106&lt;/td&gt;</v>
      </c>
      <c r="R218" t="str">
        <f t="shared" si="29"/>
        <v>&lt;td class="GCCsched"&gt;Garden City&lt;/td&gt;</v>
      </c>
      <c r="S218" t="str">
        <f t="shared" si="30"/>
        <v>&lt;td&gt;KPAC Regular Season&lt;/td&gt; &lt;/tr&gt;</v>
      </c>
    </row>
    <row r="219" spans="1:19" x14ac:dyDescent="0.25">
      <c r="A219" s="5">
        <v>42382</v>
      </c>
      <c r="B219" s="6">
        <v>0.77083333333333337</v>
      </c>
      <c r="C219" t="s">
        <v>9</v>
      </c>
      <c r="D219" t="s">
        <v>76</v>
      </c>
      <c r="E219">
        <v>96</v>
      </c>
      <c r="F219" t="s">
        <v>253</v>
      </c>
      <c r="H219">
        <v>63</v>
      </c>
      <c r="J219" t="str">
        <f t="shared" si="24"/>
        <v>V</v>
      </c>
      <c r="K219" t="s">
        <v>297</v>
      </c>
      <c r="L219" t="s">
        <v>173</v>
      </c>
      <c r="N219" t="str">
        <f t="shared" si="25"/>
        <v>&lt;tr&gt; &lt;td&gt;Jan. 13&lt;/td&gt;</v>
      </c>
      <c r="O219" t="str">
        <f t="shared" si="26"/>
        <v>&lt;td&gt;6:30 PM&lt;/td&gt;</v>
      </c>
      <c r="P219" t="str">
        <f t="shared" si="27"/>
        <v>&lt;td class="SiHSsched"&gt;Sisler&lt;/td&gt;</v>
      </c>
      <c r="Q219" t="str">
        <f t="shared" si="28"/>
        <v>&lt;td&gt;96 - 63&lt;/td&gt;</v>
      </c>
      <c r="R219" t="str">
        <f t="shared" si="29"/>
        <v>&lt;td class="sched"&gt;St. James&lt;/td&gt;</v>
      </c>
      <c r="S219" t="str">
        <f t="shared" si="30"/>
        <v>&lt;td&gt;WIT Quarterfinal 1&lt;/td&gt; &lt;/tr&gt;</v>
      </c>
    </row>
    <row r="220" spans="1:19" x14ac:dyDescent="0.25">
      <c r="A220" s="5">
        <v>42382</v>
      </c>
      <c r="B220" s="6">
        <v>0.8125</v>
      </c>
      <c r="C220" t="s">
        <v>238</v>
      </c>
      <c r="E220">
        <v>64</v>
      </c>
      <c r="F220" t="s">
        <v>135</v>
      </c>
      <c r="G220" t="s">
        <v>136</v>
      </c>
      <c r="H220">
        <v>71</v>
      </c>
      <c r="J220" t="str">
        <f t="shared" si="24"/>
        <v>H</v>
      </c>
      <c r="K220" t="s">
        <v>236</v>
      </c>
      <c r="L220" t="s">
        <v>228</v>
      </c>
      <c r="M220" t="s">
        <v>229</v>
      </c>
      <c r="N220" t="str">
        <f t="shared" si="25"/>
        <v>&lt;tr&gt; &lt;td&gt;Jan. 13&lt;/td&gt;</v>
      </c>
      <c r="O220" t="str">
        <f t="shared" si="26"/>
        <v>&lt;td&gt;7:30 PM&lt;/td&gt;</v>
      </c>
      <c r="P220" t="str">
        <f t="shared" si="27"/>
        <v>&lt;td class="sched"&gt;L&amp;eacute;o-R&amp;eacute;millard&lt;/td&gt;</v>
      </c>
      <c r="Q220" t="str">
        <f t="shared" si="28"/>
        <v>&lt;td&gt;64 - 71&lt;/td&gt;</v>
      </c>
      <c r="R220" t="str">
        <f t="shared" si="29"/>
        <v>&lt;td class="NPCsched"&gt;Northlands Parkway&lt;/td&gt;</v>
      </c>
      <c r="S220" t="str">
        <f t="shared" si="30"/>
        <v>&lt;td&gt;SCAC Tier 2 Regular Season&lt;/td&gt; &lt;/tr&gt;</v>
      </c>
    </row>
    <row r="221" spans="1:19" x14ac:dyDescent="0.25">
      <c r="A221" s="5">
        <v>42382</v>
      </c>
      <c r="B221" s="6">
        <v>0.84375</v>
      </c>
      <c r="C221" t="s">
        <v>7</v>
      </c>
      <c r="D221" t="s">
        <v>7</v>
      </c>
      <c r="E221">
        <v>66</v>
      </c>
      <c r="F221" t="s">
        <v>213</v>
      </c>
      <c r="G221" t="s">
        <v>540</v>
      </c>
      <c r="H221">
        <v>74</v>
      </c>
      <c r="J221" t="str">
        <f t="shared" si="24"/>
        <v>H</v>
      </c>
      <c r="K221" t="s">
        <v>297</v>
      </c>
      <c r="L221" t="s">
        <v>174</v>
      </c>
      <c r="N221" t="str">
        <f t="shared" si="25"/>
        <v>&lt;tr&gt; &lt;td&gt;Jan. 13&lt;/td&gt;</v>
      </c>
      <c r="O221" t="str">
        <f t="shared" si="26"/>
        <v>&lt;td&gt;8:15 PM&lt;/td&gt;</v>
      </c>
      <c r="P221" t="str">
        <f t="shared" si="27"/>
        <v>&lt;td class="MBCIsched"&gt;MBCI&lt;/td&gt;</v>
      </c>
      <c r="Q221" t="str">
        <f t="shared" si="28"/>
        <v>&lt;td&gt;66 - 74&lt;/td&gt;</v>
      </c>
      <c r="R221" t="str">
        <f t="shared" si="29"/>
        <v>&lt;td class="SJRsched"&gt;St. John's-Ravenscourt&lt;/td&gt;</v>
      </c>
      <c r="S221" t="str">
        <f t="shared" si="30"/>
        <v>&lt;td&gt;WIT Quarterfinal 2&lt;/td&gt; &lt;/tr&gt;</v>
      </c>
    </row>
    <row r="222" spans="1:19" x14ac:dyDescent="0.25">
      <c r="A222" s="5">
        <v>42383</v>
      </c>
      <c r="B222" s="6">
        <v>0.625</v>
      </c>
      <c r="C222" t="s">
        <v>10</v>
      </c>
      <c r="D222" t="s">
        <v>72</v>
      </c>
      <c r="E222">
        <v>74</v>
      </c>
      <c r="F222" t="s">
        <v>31</v>
      </c>
      <c r="G222" t="s">
        <v>96</v>
      </c>
      <c r="H222">
        <v>70</v>
      </c>
      <c r="J222" t="str">
        <f t="shared" si="24"/>
        <v>V</v>
      </c>
      <c r="K222" t="s">
        <v>297</v>
      </c>
      <c r="L222" t="s">
        <v>178</v>
      </c>
      <c r="N222" t="str">
        <f t="shared" si="25"/>
        <v>&lt;tr&gt; &lt;td&gt;Jan. 14&lt;/td&gt;</v>
      </c>
      <c r="O222" t="str">
        <f t="shared" si="26"/>
        <v>&lt;td&gt;3:00 PM&lt;/td&gt;</v>
      </c>
      <c r="P222" t="str">
        <f t="shared" si="27"/>
        <v>&lt;td class="KHSsched"&gt;Kelvin&lt;/td&gt;</v>
      </c>
      <c r="Q222" t="str">
        <f t="shared" si="28"/>
        <v>&lt;td&gt;74 - 70&lt;/td&gt;</v>
      </c>
      <c r="R222" t="str">
        <f t="shared" si="29"/>
        <v>&lt;td class="TVHSsched"&gt;Tec Voc&lt;/td&gt;</v>
      </c>
      <c r="S222" t="str">
        <f t="shared" si="30"/>
        <v>&lt;td&gt;WIT Consolation Semi 2&lt;/td&gt; &lt;/tr&gt;</v>
      </c>
    </row>
    <row r="223" spans="1:19" x14ac:dyDescent="0.25">
      <c r="A223" s="5">
        <v>42383</v>
      </c>
      <c r="B223" s="6">
        <v>0.69791666666666663</v>
      </c>
      <c r="C223" t="s">
        <v>7</v>
      </c>
      <c r="D223" t="s">
        <v>7</v>
      </c>
      <c r="E223">
        <v>78</v>
      </c>
      <c r="F223" t="s">
        <v>253</v>
      </c>
      <c r="H223">
        <v>70</v>
      </c>
      <c r="J223" t="str">
        <f t="shared" si="24"/>
        <v>V</v>
      </c>
      <c r="K223" t="s">
        <v>297</v>
      </c>
      <c r="L223" t="s">
        <v>298</v>
      </c>
      <c r="N223" t="str">
        <f t="shared" si="25"/>
        <v>&lt;tr&gt; &lt;td&gt;Jan. 14&lt;/td&gt;</v>
      </c>
      <c r="O223" t="str">
        <f t="shared" si="26"/>
        <v>&lt;td&gt;4:45 PM&lt;/td&gt;</v>
      </c>
      <c r="P223" t="str">
        <f t="shared" si="27"/>
        <v>&lt;td class="MBCIsched"&gt;MBCI&lt;/td&gt;</v>
      </c>
      <c r="Q223" t="str">
        <f t="shared" si="28"/>
        <v>&lt;td&gt;78 - 70&lt;/td&gt;</v>
      </c>
      <c r="R223" t="str">
        <f t="shared" si="29"/>
        <v>&lt;td class="sched"&gt;St. James&lt;/td&gt;</v>
      </c>
      <c r="S223" t="str">
        <f t="shared" si="30"/>
        <v>&lt;td&gt;WIT Consolation Quarter 1&lt;/td&gt; &lt;/tr&gt;</v>
      </c>
    </row>
    <row r="224" spans="1:19" x14ac:dyDescent="0.25">
      <c r="A224" s="5">
        <v>42383</v>
      </c>
      <c r="B224" s="6">
        <v>0.70833333333333337</v>
      </c>
      <c r="C224" t="s">
        <v>782</v>
      </c>
      <c r="E224">
        <v>55</v>
      </c>
      <c r="F224" t="s">
        <v>15</v>
      </c>
      <c r="G224" t="s">
        <v>68</v>
      </c>
      <c r="H224">
        <v>73</v>
      </c>
      <c r="J224" t="str">
        <f t="shared" si="24"/>
        <v>H</v>
      </c>
      <c r="K224" t="s">
        <v>824</v>
      </c>
      <c r="L224" t="s">
        <v>175</v>
      </c>
      <c r="N224" t="str">
        <f t="shared" si="25"/>
        <v>&lt;tr&gt; &lt;td&gt;Jan. 14&lt;/td&gt;</v>
      </c>
      <c r="O224" t="str">
        <f t="shared" si="26"/>
        <v>&lt;td&gt;5:00 PM&lt;/td&gt;</v>
      </c>
      <c r="P224" t="str">
        <f t="shared" si="27"/>
        <v>&lt;td class="sched"&gt;Evan Hardy&lt;/td&gt;</v>
      </c>
      <c r="Q224" t="str">
        <f t="shared" si="28"/>
        <v>&lt;td&gt;55 - 73&lt;/td&gt;</v>
      </c>
      <c r="R224" t="str">
        <f t="shared" si="29"/>
        <v>&lt;td class="FRCsched"&gt;Fort Richmond&lt;/td&gt;</v>
      </c>
      <c r="S224" t="str">
        <f t="shared" si="30"/>
        <v>&lt;td&gt;Guardian Invitational Tournament Quarterfinal 3&lt;/td&gt; &lt;/tr&gt;</v>
      </c>
    </row>
    <row r="225" spans="1:19" x14ac:dyDescent="0.25">
      <c r="A225" s="5">
        <v>42383</v>
      </c>
      <c r="B225" s="6">
        <v>0.77083333333333337</v>
      </c>
      <c r="C225" t="s">
        <v>24</v>
      </c>
      <c r="D225" t="s">
        <v>82</v>
      </c>
      <c r="E225">
        <v>49</v>
      </c>
      <c r="F225" t="s">
        <v>5</v>
      </c>
      <c r="G225" t="s">
        <v>62</v>
      </c>
      <c r="H225">
        <v>83</v>
      </c>
      <c r="J225" t="str">
        <f t="shared" si="24"/>
        <v>H</v>
      </c>
      <c r="K225" t="s">
        <v>297</v>
      </c>
      <c r="L225" t="s">
        <v>175</v>
      </c>
      <c r="N225" t="str">
        <f t="shared" si="25"/>
        <v>&lt;tr&gt; &lt;td&gt;Jan. 14&lt;/td&gt;</v>
      </c>
      <c r="O225" t="str">
        <f t="shared" si="26"/>
        <v>&lt;td&gt;6:30 PM&lt;/td&gt;</v>
      </c>
      <c r="P225" t="str">
        <f t="shared" si="27"/>
        <v>&lt;td class="DMCIsched"&gt;Daniel McIntyre&lt;/td&gt;</v>
      </c>
      <c r="Q225" t="str">
        <f t="shared" si="28"/>
        <v>&lt;td&gt;49 - 83&lt;/td&gt;</v>
      </c>
      <c r="R225" t="str">
        <f t="shared" si="29"/>
        <v>&lt;td class="GCIsched"&gt;Glenlawn&lt;/td&gt;</v>
      </c>
      <c r="S225" t="str">
        <f t="shared" si="30"/>
        <v>&lt;td&gt;WIT Quarterfinal 3&lt;/td&gt; &lt;/tr&gt;</v>
      </c>
    </row>
    <row r="226" spans="1:19" x14ac:dyDescent="0.25">
      <c r="A226" s="5">
        <v>42383</v>
      </c>
      <c r="B226" s="6">
        <v>0.8125</v>
      </c>
      <c r="C226" t="s">
        <v>166</v>
      </c>
      <c r="E226">
        <v>24</v>
      </c>
      <c r="F226" t="s">
        <v>162</v>
      </c>
      <c r="G226" t="s">
        <v>164</v>
      </c>
      <c r="H226">
        <v>87</v>
      </c>
      <c r="J226" t="str">
        <f t="shared" si="24"/>
        <v>H</v>
      </c>
      <c r="K226" t="s">
        <v>163</v>
      </c>
      <c r="L226" t="s">
        <v>228</v>
      </c>
      <c r="M226" t="s">
        <v>229</v>
      </c>
      <c r="N226" t="str">
        <f t="shared" si="25"/>
        <v>&lt;tr&gt; &lt;td&gt;Jan. 14&lt;/td&gt;</v>
      </c>
      <c r="O226" t="str">
        <f t="shared" si="26"/>
        <v>&lt;td&gt;7:30 PM&lt;/td&gt;</v>
      </c>
      <c r="P226" t="str">
        <f t="shared" si="27"/>
        <v>&lt;td class="sched"&gt;Sanford&lt;/td&gt;</v>
      </c>
      <c r="Q226" t="str">
        <f t="shared" si="28"/>
        <v>&lt;td&gt;24 - 87&lt;/td&gt;</v>
      </c>
      <c r="R226" t="str">
        <f t="shared" si="29"/>
        <v>&lt;td class="GVCsched"&gt;Garden Valley&lt;/td&gt;</v>
      </c>
      <c r="S226" t="str">
        <f t="shared" si="30"/>
        <v>&lt;td&gt;Zone 4 Regular Season&lt;/td&gt; &lt;/tr&gt;</v>
      </c>
    </row>
    <row r="227" spans="1:19" x14ac:dyDescent="0.25">
      <c r="A227" s="5">
        <v>42383</v>
      </c>
      <c r="B227" s="6">
        <v>0.84375</v>
      </c>
      <c r="C227" t="s">
        <v>299</v>
      </c>
      <c r="E227">
        <v>47</v>
      </c>
      <c r="F227" t="s">
        <v>16</v>
      </c>
      <c r="G227" t="s">
        <v>45</v>
      </c>
      <c r="H227">
        <v>105</v>
      </c>
      <c r="J227" t="str">
        <f t="shared" si="24"/>
        <v>H</v>
      </c>
      <c r="K227" t="s">
        <v>297</v>
      </c>
      <c r="L227" t="s">
        <v>176</v>
      </c>
      <c r="N227" t="str">
        <f t="shared" si="25"/>
        <v>&lt;tr&gt; &lt;td&gt;Jan. 14&lt;/td&gt;</v>
      </c>
      <c r="O227" t="str">
        <f t="shared" si="26"/>
        <v>&lt;td&gt;8:15 PM&lt;/td&gt;</v>
      </c>
      <c r="P227" t="str">
        <f t="shared" si="27"/>
        <v>&lt;td class="sched"&gt;Sir Winston Churchill&lt;/td&gt;</v>
      </c>
      <c r="Q227" t="str">
        <f t="shared" si="28"/>
        <v>&lt;td&gt;47 - 105&lt;/td&gt;</v>
      </c>
      <c r="R227" t="str">
        <f t="shared" si="29"/>
        <v>&lt;td class="MCsched"&gt;Maples&lt;/td&gt;</v>
      </c>
      <c r="S227" t="str">
        <f t="shared" si="30"/>
        <v>&lt;td&gt;WIT Quarterfinal 4&lt;/td&gt; &lt;/tr&gt;</v>
      </c>
    </row>
    <row r="228" spans="1:19" x14ac:dyDescent="0.25">
      <c r="A228" s="5">
        <v>42383</v>
      </c>
      <c r="C228" t="s">
        <v>21</v>
      </c>
      <c r="D228" t="s">
        <v>64</v>
      </c>
      <c r="E228">
        <v>29</v>
      </c>
      <c r="F228" t="s">
        <v>23</v>
      </c>
      <c r="G228" t="s">
        <v>80</v>
      </c>
      <c r="H228">
        <v>76</v>
      </c>
      <c r="J228" t="str">
        <f t="shared" si="24"/>
        <v>H</v>
      </c>
      <c r="K228" t="s">
        <v>556</v>
      </c>
      <c r="L228" t="s">
        <v>173</v>
      </c>
      <c r="N228" t="str">
        <f t="shared" si="25"/>
        <v>&lt;tr&gt; &lt;td&gt;Jan. 14&lt;/td&gt;</v>
      </c>
      <c r="O228" t="str">
        <f t="shared" si="26"/>
        <v>&lt;td&gt;&lt;/td&gt;</v>
      </c>
      <c r="P228" t="str">
        <f t="shared" si="27"/>
        <v>&lt;td class="JHBsched"&gt;J.H. Bruns&lt;/td&gt;</v>
      </c>
      <c r="Q228" t="str">
        <f t="shared" si="28"/>
        <v>&lt;td&gt;29 - 76&lt;/td&gt;</v>
      </c>
      <c r="R228" t="str">
        <f t="shared" si="29"/>
        <v>&lt;td class="VMCsched"&gt;Vincent Massey&lt;/td&gt;</v>
      </c>
      <c r="S228" t="str">
        <f t="shared" si="30"/>
        <v>&lt;td&gt;Trojans Classic Quarterfinal 1&lt;/td&gt; &lt;/tr&gt;</v>
      </c>
    </row>
    <row r="229" spans="1:19" x14ac:dyDescent="0.25">
      <c r="A229" s="5">
        <v>42383</v>
      </c>
      <c r="C229" t="s">
        <v>11</v>
      </c>
      <c r="D229" t="s">
        <v>48</v>
      </c>
      <c r="E229">
        <v>53</v>
      </c>
      <c r="F229" t="s">
        <v>17</v>
      </c>
      <c r="G229" t="s">
        <v>50</v>
      </c>
      <c r="H229">
        <v>63</v>
      </c>
      <c r="J229" t="str">
        <f t="shared" si="24"/>
        <v>H</v>
      </c>
      <c r="K229" t="s">
        <v>556</v>
      </c>
      <c r="L229" t="s">
        <v>174</v>
      </c>
      <c r="N229" t="str">
        <f t="shared" si="25"/>
        <v>&lt;tr&gt; &lt;td&gt;Jan. 14&lt;/td&gt;</v>
      </c>
      <c r="O229" t="str">
        <f t="shared" si="26"/>
        <v>&lt;td&gt;&lt;/td&gt;</v>
      </c>
      <c r="P229" t="str">
        <f t="shared" si="27"/>
        <v>&lt;td class="MMCsched"&gt;Miles Macdonell&lt;/td&gt;</v>
      </c>
      <c r="Q229" t="str">
        <f t="shared" si="28"/>
        <v>&lt;td&gt;53 - 63&lt;/td&gt;</v>
      </c>
      <c r="R229" t="str">
        <f t="shared" si="29"/>
        <v>&lt;td class="MMCIsched"&gt;Murdoch MacKay&lt;/td&gt;</v>
      </c>
      <c r="S229" t="str">
        <f t="shared" si="30"/>
        <v>&lt;td&gt;Trojans Classic Quarterfinal 2&lt;/td&gt; &lt;/tr&gt;</v>
      </c>
    </row>
    <row r="230" spans="1:19" x14ac:dyDescent="0.25">
      <c r="A230" s="5">
        <v>42383</v>
      </c>
      <c r="C230" t="s">
        <v>13</v>
      </c>
      <c r="D230" t="s">
        <v>98</v>
      </c>
      <c r="E230">
        <v>59</v>
      </c>
      <c r="F230" t="s">
        <v>8</v>
      </c>
      <c r="G230" t="s">
        <v>60</v>
      </c>
      <c r="H230">
        <v>94</v>
      </c>
      <c r="J230" t="str">
        <f t="shared" si="24"/>
        <v>H</v>
      </c>
      <c r="K230" t="s">
        <v>556</v>
      </c>
      <c r="L230" t="s">
        <v>175</v>
      </c>
      <c r="N230" t="str">
        <f t="shared" si="25"/>
        <v>&lt;tr&gt; &lt;td&gt;Jan. 14&lt;/td&gt;</v>
      </c>
      <c r="O230" t="str">
        <f t="shared" si="26"/>
        <v>&lt;td&gt;&lt;/td&gt;</v>
      </c>
      <c r="P230" t="str">
        <f t="shared" si="27"/>
        <v>&lt;td class="WWCsched"&gt;Westwood&lt;/td&gt;</v>
      </c>
      <c r="Q230" t="str">
        <f t="shared" si="28"/>
        <v>&lt;td&gt;59 - 94&lt;/td&gt;</v>
      </c>
      <c r="R230" t="str">
        <f t="shared" si="29"/>
        <v>&lt;td class="DCIsched"&gt;Dakota&lt;/td&gt;</v>
      </c>
      <c r="S230" t="str">
        <f t="shared" si="30"/>
        <v>&lt;td&gt;Trojans Classic Quarterfinal 3&lt;/td&gt; &lt;/tr&gt;</v>
      </c>
    </row>
    <row r="231" spans="1:19" x14ac:dyDescent="0.25">
      <c r="A231" s="5">
        <v>42383</v>
      </c>
      <c r="C231" t="s">
        <v>18</v>
      </c>
      <c r="D231" t="s">
        <v>52</v>
      </c>
      <c r="E231">
        <v>79</v>
      </c>
      <c r="F231" t="s">
        <v>32</v>
      </c>
      <c r="G231" t="s">
        <v>100</v>
      </c>
      <c r="H231">
        <v>46</v>
      </c>
      <c r="J231" t="str">
        <f t="shared" si="24"/>
        <v>V</v>
      </c>
      <c r="K231" t="s">
        <v>556</v>
      </c>
      <c r="L231" t="s">
        <v>176</v>
      </c>
      <c r="N231" t="str">
        <f t="shared" si="25"/>
        <v>&lt;tr&gt; &lt;td&gt;Jan. 14&lt;/td&gt;</v>
      </c>
      <c r="O231" t="str">
        <f t="shared" si="26"/>
        <v>&lt;td&gt;&lt;/td&gt;</v>
      </c>
      <c r="P231" t="str">
        <f t="shared" si="27"/>
        <v>&lt;td class="RECsched"&gt;River East&lt;/td&gt;</v>
      </c>
      <c r="Q231" t="str">
        <f t="shared" si="28"/>
        <v>&lt;td&gt;79 - 46&lt;/td&gt;</v>
      </c>
      <c r="R231" t="str">
        <f t="shared" si="29"/>
        <v>&lt;td class="CPRSsched"&gt;Crocus Plains&lt;/td&gt;</v>
      </c>
      <c r="S231" t="str">
        <f t="shared" si="30"/>
        <v>&lt;td&gt;Trojans Classic Quarterfinal 4&lt;/td&gt; &lt;/tr&gt;</v>
      </c>
    </row>
    <row r="232" spans="1:19" x14ac:dyDescent="0.25">
      <c r="A232" s="5">
        <v>42384</v>
      </c>
      <c r="B232" s="6">
        <v>0.54166666666666663</v>
      </c>
      <c r="C232" t="s">
        <v>721</v>
      </c>
      <c r="E232">
        <v>25</v>
      </c>
      <c r="F232" t="s">
        <v>162</v>
      </c>
      <c r="G232" t="s">
        <v>164</v>
      </c>
      <c r="H232">
        <v>80</v>
      </c>
      <c r="J232" t="str">
        <f t="shared" si="24"/>
        <v>H</v>
      </c>
      <c r="K232" t="s">
        <v>567</v>
      </c>
      <c r="L232" t="s">
        <v>173</v>
      </c>
      <c r="N232" t="str">
        <f t="shared" si="25"/>
        <v>&lt;tr&gt; &lt;td&gt;Jan. 15&lt;/td&gt;</v>
      </c>
      <c r="O232" t="str">
        <f t="shared" si="26"/>
        <v>&lt;td&gt;1:00 PM&lt;/td&gt;</v>
      </c>
      <c r="P232" t="str">
        <f t="shared" si="27"/>
        <v>&lt;td class="sched"&gt;King's&lt;/td&gt;</v>
      </c>
      <c r="Q232" t="str">
        <f t="shared" si="28"/>
        <v>&lt;td&gt;25 - 80&lt;/td&gt;</v>
      </c>
      <c r="R232" t="str">
        <f t="shared" si="29"/>
        <v>&lt;td class="GVCsched"&gt;Garden Valley&lt;/td&gt;</v>
      </c>
      <c r="S232" t="str">
        <f t="shared" si="30"/>
        <v>&lt;td&gt;Zodiac Invitational Quarterfinal 1&lt;/td&gt; &lt;/tr&gt;</v>
      </c>
    </row>
    <row r="233" spans="1:19" x14ac:dyDescent="0.25">
      <c r="A233" s="5">
        <v>42384</v>
      </c>
      <c r="B233" s="6">
        <v>0.625</v>
      </c>
      <c r="C233" t="s">
        <v>253</v>
      </c>
      <c r="E233">
        <v>75</v>
      </c>
      <c r="F233" t="s">
        <v>31</v>
      </c>
      <c r="G233" t="s">
        <v>96</v>
      </c>
      <c r="H233">
        <v>56</v>
      </c>
      <c r="J233" t="str">
        <f t="shared" si="24"/>
        <v>V</v>
      </c>
      <c r="K233" t="s">
        <v>297</v>
      </c>
      <c r="L233" t="s">
        <v>300</v>
      </c>
      <c r="N233" t="str">
        <f t="shared" si="25"/>
        <v>&lt;tr&gt; &lt;td&gt;Jan. 15&lt;/td&gt;</v>
      </c>
      <c r="O233" t="str">
        <f t="shared" si="26"/>
        <v>&lt;td&gt;3:00 PM&lt;/td&gt;</v>
      </c>
      <c r="P233" t="str">
        <f t="shared" si="27"/>
        <v>&lt;td class="sched"&gt;St. James&lt;/td&gt;</v>
      </c>
      <c r="Q233" t="str">
        <f t="shared" si="28"/>
        <v>&lt;td&gt;75 - 56&lt;/td&gt;</v>
      </c>
      <c r="R233" t="str">
        <f t="shared" si="29"/>
        <v>&lt;td class="TVHSsched"&gt;Tec Voc&lt;/td&gt;</v>
      </c>
      <c r="S233" t="str">
        <f t="shared" si="30"/>
        <v>&lt;td&gt;WIT Third Event Semi&lt;/td&gt; &lt;/tr&gt;</v>
      </c>
    </row>
    <row r="234" spans="1:19" x14ac:dyDescent="0.25">
      <c r="A234" s="5">
        <v>42384</v>
      </c>
      <c r="B234" s="6">
        <v>0.6875</v>
      </c>
      <c r="C234" t="s">
        <v>23</v>
      </c>
      <c r="D234" t="s">
        <v>102</v>
      </c>
      <c r="E234">
        <v>64</v>
      </c>
      <c r="F234" t="s">
        <v>28</v>
      </c>
      <c r="G234" t="s">
        <v>90</v>
      </c>
      <c r="H234">
        <v>69</v>
      </c>
      <c r="J234" t="str">
        <f t="shared" si="24"/>
        <v>H</v>
      </c>
      <c r="K234" t="s">
        <v>567</v>
      </c>
      <c r="L234" t="s">
        <v>174</v>
      </c>
      <c r="N234" t="str">
        <f t="shared" si="25"/>
        <v>&lt;tr&gt; &lt;td&gt;Jan. 15&lt;/td&gt;</v>
      </c>
      <c r="O234" t="str">
        <f t="shared" si="26"/>
        <v>&lt;td&gt;4:30 PM&lt;/td&gt;</v>
      </c>
      <c r="P234" t="str">
        <f t="shared" si="27"/>
        <v>&lt;td class="VMHSsched"&gt;Vincent Massey&lt;/td&gt;</v>
      </c>
      <c r="Q234" t="str">
        <f t="shared" si="28"/>
        <v>&lt;td&gt;64 - 69&lt;/td&gt;</v>
      </c>
      <c r="R234" t="str">
        <f t="shared" si="29"/>
        <v>&lt;td class="PCIsched"&gt;Portage&lt;/td&gt;</v>
      </c>
      <c r="S234" t="str">
        <f t="shared" si="30"/>
        <v>&lt;td&gt;Zodiac Invitational Quarterfinal 2&lt;/td&gt; &lt;/tr&gt;</v>
      </c>
    </row>
    <row r="235" spans="1:19" x14ac:dyDescent="0.25">
      <c r="A235" s="5">
        <v>42384</v>
      </c>
      <c r="B235" s="6">
        <v>0.69791666666666663</v>
      </c>
      <c r="C235" t="s">
        <v>24</v>
      </c>
      <c r="D235" t="s">
        <v>82</v>
      </c>
      <c r="E235">
        <v>87</v>
      </c>
      <c r="F235" t="s">
        <v>299</v>
      </c>
      <c r="H235">
        <v>51</v>
      </c>
      <c r="J235" t="str">
        <f t="shared" si="24"/>
        <v>V</v>
      </c>
      <c r="K235" t="s">
        <v>297</v>
      </c>
      <c r="L235" t="s">
        <v>301</v>
      </c>
      <c r="N235" t="str">
        <f t="shared" si="25"/>
        <v>&lt;tr&gt; &lt;td&gt;Jan. 15&lt;/td&gt;</v>
      </c>
      <c r="O235" t="str">
        <f t="shared" si="26"/>
        <v>&lt;td&gt;4:45 PM&lt;/td&gt;</v>
      </c>
      <c r="P235" t="str">
        <f t="shared" si="27"/>
        <v>&lt;td class="DMCIsched"&gt;Daniel McIntyre&lt;/td&gt;</v>
      </c>
      <c r="Q235" t="str">
        <f t="shared" si="28"/>
        <v>&lt;td&gt;87 - 51&lt;/td&gt;</v>
      </c>
      <c r="R235" t="str">
        <f t="shared" si="29"/>
        <v>&lt;td class="sched"&gt;Sir Winston Churchill&lt;/td&gt;</v>
      </c>
      <c r="S235" t="str">
        <f t="shared" si="30"/>
        <v>&lt;td&gt;WIT Consolation Quarter 2&lt;/td&gt; &lt;/tr&gt;</v>
      </c>
    </row>
    <row r="236" spans="1:19" x14ac:dyDescent="0.25">
      <c r="A236" s="5">
        <v>42384</v>
      </c>
      <c r="B236" s="6">
        <v>0.77083333333333337</v>
      </c>
      <c r="C236" t="s">
        <v>213</v>
      </c>
      <c r="D236" t="s">
        <v>540</v>
      </c>
      <c r="E236">
        <v>84</v>
      </c>
      <c r="F236" t="s">
        <v>9</v>
      </c>
      <c r="G236" t="s">
        <v>76</v>
      </c>
      <c r="H236">
        <v>99</v>
      </c>
      <c r="J236" t="str">
        <f t="shared" si="24"/>
        <v>H</v>
      </c>
      <c r="K236" t="s">
        <v>297</v>
      </c>
      <c r="L236" t="s">
        <v>179</v>
      </c>
      <c r="N236" t="str">
        <f t="shared" si="25"/>
        <v>&lt;tr&gt; &lt;td&gt;Jan. 15&lt;/td&gt;</v>
      </c>
      <c r="O236" t="str">
        <f t="shared" si="26"/>
        <v>&lt;td&gt;6:30 PM&lt;/td&gt;</v>
      </c>
      <c r="P236" t="str">
        <f t="shared" si="27"/>
        <v>&lt;td class="SJRsched"&gt;St. John's-Ravenscourt&lt;/td&gt;</v>
      </c>
      <c r="Q236" t="str">
        <f t="shared" si="28"/>
        <v>&lt;td&gt;84 - 99&lt;/td&gt;</v>
      </c>
      <c r="R236" t="str">
        <f t="shared" si="29"/>
        <v>&lt;td class="SiHSsched"&gt;Sisler&lt;/td&gt;</v>
      </c>
      <c r="S236" t="str">
        <f t="shared" si="30"/>
        <v>&lt;td&gt;WIT Semifinal 1&lt;/td&gt; &lt;/tr&gt;</v>
      </c>
    </row>
    <row r="237" spans="1:19" x14ac:dyDescent="0.25">
      <c r="A237" s="5">
        <v>42384</v>
      </c>
      <c r="B237" s="6">
        <v>0.79166666666666663</v>
      </c>
      <c r="C237" t="s">
        <v>779</v>
      </c>
      <c r="E237">
        <v>66</v>
      </c>
      <c r="F237" t="s">
        <v>15</v>
      </c>
      <c r="G237" t="s">
        <v>68</v>
      </c>
      <c r="H237">
        <v>49</v>
      </c>
      <c r="J237" t="str">
        <f t="shared" si="24"/>
        <v>V</v>
      </c>
      <c r="K237" t="s">
        <v>824</v>
      </c>
      <c r="L237" t="s">
        <v>180</v>
      </c>
      <c r="N237" t="str">
        <f t="shared" si="25"/>
        <v>&lt;tr&gt; &lt;td&gt;Jan. 15&lt;/td&gt;</v>
      </c>
      <c r="O237" t="str">
        <f t="shared" si="26"/>
        <v>&lt;td&gt;7:00 PM&lt;/td&gt;</v>
      </c>
      <c r="P237" t="str">
        <f t="shared" si="27"/>
        <v>&lt;td class="sched"&gt;St. Joseph&lt;/td&gt;</v>
      </c>
      <c r="Q237" t="str">
        <f t="shared" si="28"/>
        <v>&lt;td&gt;66 - 49&lt;/td&gt;</v>
      </c>
      <c r="R237" t="str">
        <f t="shared" si="29"/>
        <v>&lt;td class="FRCsched"&gt;Fort Richmond&lt;/td&gt;</v>
      </c>
      <c r="S237" t="str">
        <f t="shared" si="30"/>
        <v>&lt;td&gt;Guardian Invitational Tournament Semifinal 2&lt;/td&gt; &lt;/tr&gt;</v>
      </c>
    </row>
    <row r="238" spans="1:19" x14ac:dyDescent="0.25">
      <c r="A238" s="5">
        <v>42384</v>
      </c>
      <c r="B238" s="6">
        <v>0.8125</v>
      </c>
      <c r="C238" t="s">
        <v>14</v>
      </c>
      <c r="D238" t="s">
        <v>94</v>
      </c>
      <c r="E238">
        <v>81</v>
      </c>
      <c r="F238" t="s">
        <v>568</v>
      </c>
      <c r="H238">
        <v>42</v>
      </c>
      <c r="J238" t="str">
        <f t="shared" si="24"/>
        <v>V</v>
      </c>
      <c r="K238" t="s">
        <v>567</v>
      </c>
      <c r="L238" t="s">
        <v>176</v>
      </c>
      <c r="N238" t="str">
        <f t="shared" si="25"/>
        <v>&lt;tr&gt; &lt;td&gt;Jan. 15&lt;/td&gt;</v>
      </c>
      <c r="O238" t="str">
        <f t="shared" si="26"/>
        <v>&lt;td&gt;7:30 PM&lt;/td&gt;</v>
      </c>
      <c r="P238" t="str">
        <f t="shared" si="27"/>
        <v>&lt;td class="SHCsched"&gt;Sturgeon Heights&lt;/td&gt;</v>
      </c>
      <c r="Q238" t="str">
        <f t="shared" si="28"/>
        <v>&lt;td&gt;81 - 42&lt;/td&gt;</v>
      </c>
      <c r="R238" t="str">
        <f t="shared" si="29"/>
        <v>&lt;td class="sched"&gt;Dryden&lt;/td&gt;</v>
      </c>
      <c r="S238" t="str">
        <f t="shared" si="30"/>
        <v>&lt;td&gt;Zodiac Invitational Quarterfinal 4&lt;/td&gt; &lt;/tr&gt;</v>
      </c>
    </row>
    <row r="239" spans="1:19" x14ac:dyDescent="0.25">
      <c r="A239" s="5">
        <v>42384</v>
      </c>
      <c r="B239" s="6">
        <v>0.84375</v>
      </c>
      <c r="C239" t="s">
        <v>16</v>
      </c>
      <c r="D239" t="s">
        <v>45</v>
      </c>
      <c r="E239">
        <v>75</v>
      </c>
      <c r="F239" t="s">
        <v>5</v>
      </c>
      <c r="G239" t="s">
        <v>62</v>
      </c>
      <c r="H239">
        <v>74</v>
      </c>
      <c r="J239" t="str">
        <f t="shared" si="24"/>
        <v>V</v>
      </c>
      <c r="K239" t="s">
        <v>297</v>
      </c>
      <c r="L239" t="s">
        <v>180</v>
      </c>
      <c r="N239" t="str">
        <f t="shared" si="25"/>
        <v>&lt;tr&gt; &lt;td&gt;Jan. 15&lt;/td&gt;</v>
      </c>
      <c r="O239" t="str">
        <f t="shared" si="26"/>
        <v>&lt;td&gt;8:15 PM&lt;/td&gt;</v>
      </c>
      <c r="P239" t="str">
        <f t="shared" si="27"/>
        <v>&lt;td class="MCsched"&gt;Maples&lt;/td&gt;</v>
      </c>
      <c r="Q239" t="str">
        <f t="shared" si="28"/>
        <v>&lt;td&gt;75 - 74&lt;/td&gt;</v>
      </c>
      <c r="R239" t="str">
        <f t="shared" si="29"/>
        <v>&lt;td class="GCIsched"&gt;Glenlawn&lt;/td&gt;</v>
      </c>
      <c r="S239" t="str">
        <f t="shared" si="30"/>
        <v>&lt;td&gt;WIT Semifinal 2&lt;/td&gt; &lt;/tr&gt;</v>
      </c>
    </row>
    <row r="240" spans="1:19" x14ac:dyDescent="0.25">
      <c r="A240" s="5">
        <v>42384</v>
      </c>
      <c r="C240" t="s">
        <v>723</v>
      </c>
      <c r="E240" t="s">
        <v>254</v>
      </c>
      <c r="F240" t="s">
        <v>29</v>
      </c>
      <c r="G240" t="s">
        <v>91</v>
      </c>
      <c r="H240" t="s">
        <v>156</v>
      </c>
      <c r="J240" t="str">
        <f t="shared" si="24"/>
        <v>H</v>
      </c>
      <c r="K240" t="s">
        <v>29</v>
      </c>
      <c r="L240" t="s">
        <v>179</v>
      </c>
      <c r="N240" t="str">
        <f t="shared" si="25"/>
        <v>&lt;tr&gt; &lt;td&gt;Jan. 15&lt;/td&gt;</v>
      </c>
      <c r="O240" t="str">
        <f t="shared" si="26"/>
        <v>&lt;td&gt;&lt;/td&gt;</v>
      </c>
      <c r="P240" t="str">
        <f t="shared" si="27"/>
        <v>&lt;td class="sched"&gt;Springs Christian&lt;/td&gt;</v>
      </c>
      <c r="Q240" t="str">
        <f t="shared" si="28"/>
        <v>&lt;td&gt;L - W&lt;/td&gt;</v>
      </c>
      <c r="R240" t="str">
        <f t="shared" si="29"/>
        <v>&lt;td class="ShHSsched"&gt;Shaftesbury&lt;/td&gt;</v>
      </c>
      <c r="S240" t="str">
        <f t="shared" si="30"/>
        <v>&lt;td&gt;Shaftesbury Semifinal 1&lt;/td&gt; &lt;/tr&gt;</v>
      </c>
    </row>
    <row r="241" spans="1:19" x14ac:dyDescent="0.25">
      <c r="A241" s="5">
        <v>42384</v>
      </c>
      <c r="C241" t="s">
        <v>11</v>
      </c>
      <c r="D241" t="s">
        <v>48</v>
      </c>
      <c r="E241">
        <v>78</v>
      </c>
      <c r="F241" t="s">
        <v>21</v>
      </c>
      <c r="G241" t="s">
        <v>64</v>
      </c>
      <c r="H241">
        <v>81</v>
      </c>
      <c r="J241" t="str">
        <f t="shared" si="24"/>
        <v>H</v>
      </c>
      <c r="K241" t="s">
        <v>556</v>
      </c>
      <c r="L241" t="s">
        <v>177</v>
      </c>
      <c r="N241" t="str">
        <f t="shared" si="25"/>
        <v>&lt;tr&gt; &lt;td&gt;Jan. 15&lt;/td&gt;</v>
      </c>
      <c r="O241" t="str">
        <f t="shared" si="26"/>
        <v>&lt;td&gt;&lt;/td&gt;</v>
      </c>
      <c r="P241" t="str">
        <f t="shared" si="27"/>
        <v>&lt;td class="MMCsched"&gt;Miles Macdonell&lt;/td&gt;</v>
      </c>
      <c r="Q241" t="str">
        <f t="shared" si="28"/>
        <v>&lt;td&gt;78 - 81&lt;/td&gt;</v>
      </c>
      <c r="R241" t="str">
        <f t="shared" si="29"/>
        <v>&lt;td class="JHBsched"&gt;J.H. Bruns&lt;/td&gt;</v>
      </c>
      <c r="S241" t="str">
        <f t="shared" si="30"/>
        <v>&lt;td&gt;Trojans Classic Consolation Semi 1&lt;/td&gt; &lt;/tr&gt;</v>
      </c>
    </row>
    <row r="242" spans="1:19" x14ac:dyDescent="0.25">
      <c r="A242" s="5">
        <v>42384</v>
      </c>
      <c r="C242" t="s">
        <v>32</v>
      </c>
      <c r="D242" t="s">
        <v>100</v>
      </c>
      <c r="E242">
        <v>72</v>
      </c>
      <c r="F242" t="s">
        <v>13</v>
      </c>
      <c r="G242" t="s">
        <v>98</v>
      </c>
      <c r="H242">
        <v>57</v>
      </c>
      <c r="J242" t="str">
        <f t="shared" si="24"/>
        <v>V</v>
      </c>
      <c r="K242" t="s">
        <v>556</v>
      </c>
      <c r="L242" t="s">
        <v>178</v>
      </c>
      <c r="N242" t="str">
        <f t="shared" si="25"/>
        <v>&lt;tr&gt; &lt;td&gt;Jan. 15&lt;/td&gt;</v>
      </c>
      <c r="O242" t="str">
        <f t="shared" si="26"/>
        <v>&lt;td&gt;&lt;/td&gt;</v>
      </c>
      <c r="P242" t="str">
        <f t="shared" si="27"/>
        <v>&lt;td class="CPRSsched"&gt;Crocus Plains&lt;/td&gt;</v>
      </c>
      <c r="Q242" t="str">
        <f t="shared" si="28"/>
        <v>&lt;td&gt;72 - 57&lt;/td&gt;</v>
      </c>
      <c r="R242" t="str">
        <f t="shared" si="29"/>
        <v>&lt;td class="WWCsched"&gt;Westwood&lt;/td&gt;</v>
      </c>
      <c r="S242" t="str">
        <f t="shared" si="30"/>
        <v>&lt;td&gt;Trojans Classic Consolation Semi 2&lt;/td&gt; &lt;/tr&gt;</v>
      </c>
    </row>
    <row r="243" spans="1:19" x14ac:dyDescent="0.25">
      <c r="A243" s="5">
        <v>42384</v>
      </c>
      <c r="C243" t="s">
        <v>17</v>
      </c>
      <c r="D243" t="s">
        <v>50</v>
      </c>
      <c r="E243">
        <v>57</v>
      </c>
      <c r="F243" t="s">
        <v>23</v>
      </c>
      <c r="G243" t="s">
        <v>80</v>
      </c>
      <c r="H243">
        <v>78</v>
      </c>
      <c r="J243" t="str">
        <f t="shared" si="24"/>
        <v>H</v>
      </c>
      <c r="K243" t="s">
        <v>556</v>
      </c>
      <c r="L243" t="s">
        <v>179</v>
      </c>
      <c r="N243" t="str">
        <f t="shared" si="25"/>
        <v>&lt;tr&gt; &lt;td&gt;Jan. 15&lt;/td&gt;</v>
      </c>
      <c r="O243" t="str">
        <f t="shared" si="26"/>
        <v>&lt;td&gt;&lt;/td&gt;</v>
      </c>
      <c r="P243" t="str">
        <f t="shared" si="27"/>
        <v>&lt;td class="MMCIsched"&gt;Murdoch MacKay&lt;/td&gt;</v>
      </c>
      <c r="Q243" t="str">
        <f t="shared" si="28"/>
        <v>&lt;td&gt;57 - 78&lt;/td&gt;</v>
      </c>
      <c r="R243" t="str">
        <f t="shared" si="29"/>
        <v>&lt;td class="VMCsched"&gt;Vincent Massey&lt;/td&gt;</v>
      </c>
      <c r="S243" t="str">
        <f t="shared" si="30"/>
        <v>&lt;td&gt;Trojans Classic Semifinal 1&lt;/td&gt; &lt;/tr&gt;</v>
      </c>
    </row>
    <row r="244" spans="1:19" x14ac:dyDescent="0.25">
      <c r="A244" s="5">
        <v>42384</v>
      </c>
      <c r="C244" t="s">
        <v>18</v>
      </c>
      <c r="D244" t="s">
        <v>52</v>
      </c>
      <c r="E244">
        <v>44</v>
      </c>
      <c r="F244" t="s">
        <v>8</v>
      </c>
      <c r="G244" t="s">
        <v>60</v>
      </c>
      <c r="H244">
        <v>78</v>
      </c>
      <c r="J244" t="str">
        <f t="shared" ref="J244:J307" si="31">IF(H244&gt;E244,"H",IF(E244&gt;H244,"V",""))</f>
        <v>H</v>
      </c>
      <c r="K244" t="s">
        <v>556</v>
      </c>
      <c r="L244" t="s">
        <v>180</v>
      </c>
      <c r="N244" t="str">
        <f t="shared" si="25"/>
        <v>&lt;tr&gt; &lt;td&gt;Jan. 15&lt;/td&gt;</v>
      </c>
      <c r="O244" t="str">
        <f t="shared" si="26"/>
        <v>&lt;td&gt;&lt;/td&gt;</v>
      </c>
      <c r="P244" t="str">
        <f t="shared" si="27"/>
        <v>&lt;td class="RECsched"&gt;River East&lt;/td&gt;</v>
      </c>
      <c r="Q244" t="str">
        <f t="shared" si="28"/>
        <v>&lt;td&gt;44 - 78&lt;/td&gt;</v>
      </c>
      <c r="R244" t="str">
        <f t="shared" si="29"/>
        <v>&lt;td class="DCIsched"&gt;Dakota&lt;/td&gt;</v>
      </c>
      <c r="S244" t="str">
        <f t="shared" si="30"/>
        <v>&lt;td&gt;Trojans Classic Semifinal 2&lt;/td&gt; &lt;/tr&gt;</v>
      </c>
    </row>
    <row r="245" spans="1:19" x14ac:dyDescent="0.25">
      <c r="A245" s="5">
        <v>42384</v>
      </c>
      <c r="C245" t="s">
        <v>170</v>
      </c>
      <c r="E245">
        <v>57</v>
      </c>
      <c r="F245" t="s">
        <v>25</v>
      </c>
      <c r="G245" t="s">
        <v>84</v>
      </c>
      <c r="H245">
        <v>72</v>
      </c>
      <c r="J245" t="str">
        <f t="shared" si="31"/>
        <v>H</v>
      </c>
      <c r="K245" t="s">
        <v>25</v>
      </c>
      <c r="L245" t="s">
        <v>173</v>
      </c>
      <c r="N245" t="str">
        <f t="shared" si="25"/>
        <v>&lt;tr&gt; &lt;td&gt;Jan. 15&lt;/td&gt;</v>
      </c>
      <c r="O245" t="str">
        <f t="shared" si="26"/>
        <v>&lt;td&gt;&lt;/td&gt;</v>
      </c>
      <c r="P245" t="str">
        <f t="shared" si="27"/>
        <v>&lt;td class="sched"&gt;St. Boniface&lt;/td&gt;</v>
      </c>
      <c r="Q245" t="str">
        <f t="shared" si="28"/>
        <v>&lt;td&gt;57 - 72&lt;/td&gt;</v>
      </c>
      <c r="R245" t="str">
        <f t="shared" si="29"/>
        <v>&lt;td class="EHSsched"&gt;Elmwood&lt;/td&gt;</v>
      </c>
      <c r="S245" t="str">
        <f t="shared" si="30"/>
        <v>&lt;td&gt;Elmwood Quarterfinal 1&lt;/td&gt; &lt;/tr&gt;</v>
      </c>
    </row>
    <row r="246" spans="1:19" x14ac:dyDescent="0.25">
      <c r="A246" s="5">
        <v>42384</v>
      </c>
      <c r="C246" t="s">
        <v>235</v>
      </c>
      <c r="E246">
        <v>56</v>
      </c>
      <c r="F246" t="s">
        <v>108</v>
      </c>
      <c r="G246" t="s">
        <v>109</v>
      </c>
      <c r="H246">
        <v>36</v>
      </c>
      <c r="J246" t="str">
        <f t="shared" si="31"/>
        <v>V</v>
      </c>
      <c r="K246" t="s">
        <v>25</v>
      </c>
      <c r="L246" t="s">
        <v>174</v>
      </c>
      <c r="N246" t="str">
        <f t="shared" si="25"/>
        <v>&lt;tr&gt; &lt;td&gt;Jan. 15&lt;/td&gt;</v>
      </c>
      <c r="O246" t="str">
        <f t="shared" si="26"/>
        <v>&lt;td&gt;&lt;/td&gt;</v>
      </c>
      <c r="P246" t="str">
        <f t="shared" si="27"/>
        <v>&lt;td class="sched"&gt;Louis-Riel&lt;/td&gt;</v>
      </c>
      <c r="Q246" t="str">
        <f t="shared" si="28"/>
        <v>&lt;td&gt;56 - 36&lt;/td&gt;</v>
      </c>
      <c r="R246" t="str">
        <f t="shared" si="29"/>
        <v>&lt;td class="CJSsched"&gt;Jeanne-Sauv&amp;eacute;&lt;/td&gt;</v>
      </c>
      <c r="S246" t="str">
        <f t="shared" si="30"/>
        <v>&lt;td&gt;Elmwood Quarterfinal 2&lt;/td&gt; &lt;/tr&gt;</v>
      </c>
    </row>
    <row r="247" spans="1:19" x14ac:dyDescent="0.25">
      <c r="A247" s="5">
        <v>42384</v>
      </c>
      <c r="C247" t="s">
        <v>292</v>
      </c>
      <c r="E247">
        <v>52</v>
      </c>
      <c r="F247" t="s">
        <v>30</v>
      </c>
      <c r="G247" t="s">
        <v>92</v>
      </c>
      <c r="H247">
        <v>93</v>
      </c>
      <c r="J247" t="str">
        <f t="shared" si="31"/>
        <v>H</v>
      </c>
      <c r="K247" t="s">
        <v>25</v>
      </c>
      <c r="L247" t="s">
        <v>175</v>
      </c>
      <c r="N247" t="str">
        <f t="shared" si="25"/>
        <v>&lt;tr&gt; &lt;td&gt;Jan. 15&lt;/td&gt;</v>
      </c>
      <c r="O247" t="str">
        <f t="shared" si="26"/>
        <v>&lt;td&gt;&lt;/td&gt;</v>
      </c>
      <c r="P247" t="str">
        <f t="shared" si="27"/>
        <v>&lt;td class="sched"&gt;U of W Collegiate&lt;/td&gt;</v>
      </c>
      <c r="Q247" t="str">
        <f t="shared" si="28"/>
        <v>&lt;td&gt;52 - 93&lt;/td&gt;</v>
      </c>
      <c r="R247" t="str">
        <f t="shared" si="29"/>
        <v>&lt;td class="SJHSsched"&gt;St. John's&lt;/td&gt;</v>
      </c>
      <c r="S247" t="str">
        <f t="shared" si="30"/>
        <v>&lt;td&gt;Elmwood Quarterfinal 3&lt;/td&gt; &lt;/tr&gt;</v>
      </c>
    </row>
    <row r="248" spans="1:19" x14ac:dyDescent="0.25">
      <c r="A248" s="5">
        <v>42384</v>
      </c>
      <c r="C248" t="s">
        <v>218</v>
      </c>
      <c r="E248">
        <v>62</v>
      </c>
      <c r="F248" t="s">
        <v>19</v>
      </c>
      <c r="G248" t="s">
        <v>56</v>
      </c>
      <c r="H248">
        <v>52</v>
      </c>
      <c r="J248" t="str">
        <f t="shared" si="31"/>
        <v>V</v>
      </c>
      <c r="K248" t="s">
        <v>25</v>
      </c>
      <c r="L248" t="s">
        <v>176</v>
      </c>
      <c r="N248" t="str">
        <f t="shared" si="25"/>
        <v>&lt;tr&gt; &lt;td&gt;Jan. 15&lt;/td&gt;</v>
      </c>
      <c r="O248" t="str">
        <f t="shared" si="26"/>
        <v>&lt;td&gt;&lt;/td&gt;</v>
      </c>
      <c r="P248" t="str">
        <f t="shared" si="27"/>
        <v>&lt;td class="sched"&gt;Stonewall&lt;/td&gt;</v>
      </c>
      <c r="Q248" t="str">
        <f t="shared" si="28"/>
        <v>&lt;td&gt;62 - 52&lt;/td&gt;</v>
      </c>
      <c r="R248" t="str">
        <f t="shared" si="29"/>
        <v>&lt;td class="TCIsched"&gt;Transcona&lt;/td&gt;</v>
      </c>
      <c r="S248" t="str">
        <f t="shared" si="30"/>
        <v>&lt;td&gt;Elmwood Quarterfinal 4&lt;/td&gt; &lt;/tr&gt;</v>
      </c>
    </row>
    <row r="249" spans="1:19" x14ac:dyDescent="0.25">
      <c r="A249" s="5">
        <v>42385</v>
      </c>
      <c r="B249" s="6">
        <v>0.375</v>
      </c>
      <c r="C249" t="s">
        <v>23</v>
      </c>
      <c r="D249" t="s">
        <v>102</v>
      </c>
      <c r="E249">
        <v>73</v>
      </c>
      <c r="F249" t="s">
        <v>721</v>
      </c>
      <c r="H249">
        <v>67</v>
      </c>
      <c r="J249" t="str">
        <f t="shared" si="31"/>
        <v>V</v>
      </c>
      <c r="K249" t="s">
        <v>567</v>
      </c>
      <c r="L249" t="s">
        <v>177</v>
      </c>
      <c r="N249" t="str">
        <f t="shared" si="25"/>
        <v>&lt;tr&gt; &lt;td&gt;Jan. 16&lt;/td&gt;</v>
      </c>
      <c r="O249" t="str">
        <f t="shared" si="26"/>
        <v>&lt;td&gt;9:00 AM&lt;/td&gt;</v>
      </c>
      <c r="P249" t="str">
        <f t="shared" si="27"/>
        <v>&lt;td class="VMHSsched"&gt;Vincent Massey&lt;/td&gt;</v>
      </c>
      <c r="Q249" t="str">
        <f t="shared" si="28"/>
        <v>&lt;td&gt;73 - 67&lt;/td&gt;</v>
      </c>
      <c r="R249" t="str">
        <f t="shared" si="29"/>
        <v>&lt;td class="sched"&gt;King's&lt;/td&gt;</v>
      </c>
      <c r="S249" t="str">
        <f t="shared" si="30"/>
        <v>&lt;td&gt;Zodiac Invitational Consolation Semi 1&lt;/td&gt; &lt;/tr&gt;</v>
      </c>
    </row>
    <row r="250" spans="1:19" x14ac:dyDescent="0.25">
      <c r="A250" s="5">
        <v>42385</v>
      </c>
      <c r="B250" s="6">
        <v>0.4375</v>
      </c>
      <c r="C250" t="s">
        <v>24</v>
      </c>
      <c r="D250" t="s">
        <v>82</v>
      </c>
      <c r="E250">
        <v>102</v>
      </c>
      <c r="F250" t="s">
        <v>7</v>
      </c>
      <c r="G250" t="s">
        <v>7</v>
      </c>
      <c r="H250">
        <v>87</v>
      </c>
      <c r="J250" t="str">
        <f t="shared" si="31"/>
        <v>V</v>
      </c>
      <c r="K250" t="s">
        <v>297</v>
      </c>
      <c r="L250" t="s">
        <v>177</v>
      </c>
      <c r="N250" t="str">
        <f t="shared" si="25"/>
        <v>&lt;tr&gt; &lt;td&gt;Jan. 16&lt;/td&gt;</v>
      </c>
      <c r="O250" t="str">
        <f t="shared" si="26"/>
        <v>&lt;td&gt;10:30 AM&lt;/td&gt;</v>
      </c>
      <c r="P250" t="str">
        <f t="shared" si="27"/>
        <v>&lt;td class="DMCIsched"&gt;Daniel McIntyre&lt;/td&gt;</v>
      </c>
      <c r="Q250" t="str">
        <f t="shared" si="28"/>
        <v>&lt;td&gt;102 - 87&lt;/td&gt;</v>
      </c>
      <c r="R250" t="str">
        <f t="shared" si="29"/>
        <v>&lt;td class="MBCIsched"&gt;MBCI&lt;/td&gt;</v>
      </c>
      <c r="S250" t="str">
        <f t="shared" si="30"/>
        <v>&lt;td&gt;WIT Consolation Semi 1&lt;/td&gt; &lt;/tr&gt;</v>
      </c>
    </row>
    <row r="251" spans="1:19" x14ac:dyDescent="0.25">
      <c r="A251" s="5">
        <v>42385</v>
      </c>
      <c r="B251" s="6">
        <v>0.5625</v>
      </c>
      <c r="C251" t="s">
        <v>28</v>
      </c>
      <c r="D251" t="s">
        <v>90</v>
      </c>
      <c r="E251">
        <v>55</v>
      </c>
      <c r="F251" t="s">
        <v>162</v>
      </c>
      <c r="G251" t="s">
        <v>164</v>
      </c>
      <c r="H251">
        <v>71</v>
      </c>
      <c r="J251" t="str">
        <f t="shared" si="31"/>
        <v>H</v>
      </c>
      <c r="K251" t="s">
        <v>567</v>
      </c>
      <c r="L251" t="s">
        <v>179</v>
      </c>
      <c r="N251" t="str">
        <f t="shared" si="25"/>
        <v>&lt;tr&gt; &lt;td&gt;Jan. 16&lt;/td&gt;</v>
      </c>
      <c r="O251" t="str">
        <f t="shared" si="26"/>
        <v>&lt;td&gt;1:30 PM&lt;/td&gt;</v>
      </c>
      <c r="P251" t="str">
        <f t="shared" si="27"/>
        <v>&lt;td class="PCIsched"&gt;Portage&lt;/td&gt;</v>
      </c>
      <c r="Q251" t="str">
        <f t="shared" si="28"/>
        <v>&lt;td&gt;55 - 71&lt;/td&gt;</v>
      </c>
      <c r="R251" t="str">
        <f t="shared" si="29"/>
        <v>&lt;td class="GVCsched"&gt;Garden Valley&lt;/td&gt;</v>
      </c>
      <c r="S251" t="str">
        <f t="shared" si="30"/>
        <v>&lt;td&gt;Zodiac Invitational Semifinal 1&lt;/td&gt; &lt;/tr&gt;</v>
      </c>
    </row>
    <row r="252" spans="1:19" x14ac:dyDescent="0.25">
      <c r="A252" s="5">
        <v>42385</v>
      </c>
      <c r="B252" s="6">
        <v>0.60416666666666663</v>
      </c>
      <c r="C252" t="s">
        <v>10</v>
      </c>
      <c r="D252" t="s">
        <v>72</v>
      </c>
      <c r="E252">
        <v>85</v>
      </c>
      <c r="F252" t="s">
        <v>24</v>
      </c>
      <c r="G252" t="s">
        <v>82</v>
      </c>
      <c r="H252">
        <v>71</v>
      </c>
      <c r="J252" t="str">
        <f t="shared" si="31"/>
        <v>V</v>
      </c>
      <c r="K252" t="s">
        <v>297</v>
      </c>
      <c r="L252" t="s">
        <v>182</v>
      </c>
      <c r="N252" t="str">
        <f t="shared" si="25"/>
        <v>&lt;tr&gt; &lt;td&gt;Jan. 16&lt;/td&gt;</v>
      </c>
      <c r="O252" t="str">
        <f t="shared" si="26"/>
        <v>&lt;td&gt;2:30 PM&lt;/td&gt;</v>
      </c>
      <c r="P252" t="str">
        <f t="shared" si="27"/>
        <v>&lt;td class="KHSsched"&gt;Kelvin&lt;/td&gt;</v>
      </c>
      <c r="Q252" t="str">
        <f t="shared" si="28"/>
        <v>&lt;td&gt;85 - 71&lt;/td&gt;</v>
      </c>
      <c r="R252" t="str">
        <f t="shared" si="29"/>
        <v>&lt;td class="DMCIsched"&gt;Daniel McIntyre&lt;/td&gt;</v>
      </c>
      <c r="S252" t="str">
        <f t="shared" si="30"/>
        <v>&lt;td&gt;WIT Consolation Final&lt;/td&gt; &lt;/tr&gt;</v>
      </c>
    </row>
    <row r="253" spans="1:19" x14ac:dyDescent="0.25">
      <c r="A253" s="5">
        <v>42385</v>
      </c>
      <c r="B253" s="6">
        <v>0.625</v>
      </c>
      <c r="C253" t="s">
        <v>14</v>
      </c>
      <c r="D253" t="s">
        <v>94</v>
      </c>
      <c r="E253">
        <v>56</v>
      </c>
      <c r="F253" t="s">
        <v>208</v>
      </c>
      <c r="H253">
        <v>51</v>
      </c>
      <c r="J253" t="str">
        <f t="shared" si="31"/>
        <v>V</v>
      </c>
      <c r="K253" t="s">
        <v>567</v>
      </c>
      <c r="L253" t="s">
        <v>180</v>
      </c>
      <c r="N253" t="str">
        <f t="shared" si="25"/>
        <v>&lt;tr&gt; &lt;td&gt;Jan. 16&lt;/td&gt;</v>
      </c>
      <c r="O253" t="str">
        <f t="shared" si="26"/>
        <v>&lt;td&gt;3:00 PM&lt;/td&gt;</v>
      </c>
      <c r="P253" t="str">
        <f t="shared" si="27"/>
        <v>&lt;td class="SHCsched"&gt;Sturgeon Heights&lt;/td&gt;</v>
      </c>
      <c r="Q253" t="str">
        <f t="shared" si="28"/>
        <v>&lt;td&gt;56 - 51&lt;/td&gt;</v>
      </c>
      <c r="R253" t="str">
        <f t="shared" si="29"/>
        <v>&lt;td class="sched"&gt;Linden Christian&lt;/td&gt;</v>
      </c>
      <c r="S253" t="str">
        <f t="shared" si="30"/>
        <v>&lt;td&gt;Zodiac Invitational Semifinal 2&lt;/td&gt; &lt;/tr&gt;</v>
      </c>
    </row>
    <row r="254" spans="1:19" x14ac:dyDescent="0.25">
      <c r="A254" s="5">
        <v>42385</v>
      </c>
      <c r="B254" s="6">
        <v>0.67708333333333337</v>
      </c>
      <c r="C254" t="s">
        <v>5</v>
      </c>
      <c r="D254" t="s">
        <v>62</v>
      </c>
      <c r="E254">
        <v>75</v>
      </c>
      <c r="F254" t="s">
        <v>213</v>
      </c>
      <c r="G254" t="s">
        <v>540</v>
      </c>
      <c r="H254">
        <v>65</v>
      </c>
      <c r="J254" t="str">
        <f t="shared" si="31"/>
        <v>V</v>
      </c>
      <c r="K254" t="s">
        <v>297</v>
      </c>
      <c r="L254" t="s">
        <v>183</v>
      </c>
      <c r="N254" t="str">
        <f t="shared" si="25"/>
        <v>&lt;tr&gt; &lt;td&gt;Jan. 16&lt;/td&gt;</v>
      </c>
      <c r="O254" t="str">
        <f t="shared" si="26"/>
        <v>&lt;td&gt;4:15 PM&lt;/td&gt;</v>
      </c>
      <c r="P254" t="str">
        <f t="shared" si="27"/>
        <v>&lt;td class="GCIsched"&gt;Glenlawn&lt;/td&gt;</v>
      </c>
      <c r="Q254" t="str">
        <f t="shared" si="28"/>
        <v>&lt;td&gt;75 - 65&lt;/td&gt;</v>
      </c>
      <c r="R254" t="str">
        <f t="shared" si="29"/>
        <v>&lt;td class="SJRsched"&gt;St. John's-Ravenscourt&lt;/td&gt;</v>
      </c>
      <c r="S254" t="str">
        <f t="shared" si="30"/>
        <v>&lt;td&gt;WIT 3rd Place&lt;/td&gt; &lt;/tr&gt;</v>
      </c>
    </row>
    <row r="255" spans="1:19" x14ac:dyDescent="0.25">
      <c r="A255" s="5">
        <v>42385</v>
      </c>
      <c r="B255" s="6">
        <v>0.6875</v>
      </c>
      <c r="C255" t="s">
        <v>15</v>
      </c>
      <c r="D255" t="s">
        <v>68</v>
      </c>
      <c r="E255">
        <v>74</v>
      </c>
      <c r="F255" t="s">
        <v>825</v>
      </c>
      <c r="H255">
        <v>64</v>
      </c>
      <c r="J255" t="str">
        <f t="shared" si="31"/>
        <v>V</v>
      </c>
      <c r="K255" t="s">
        <v>824</v>
      </c>
      <c r="L255" t="s">
        <v>183</v>
      </c>
      <c r="N255" t="str">
        <f t="shared" si="25"/>
        <v>&lt;tr&gt; &lt;td&gt;Jan. 16&lt;/td&gt;</v>
      </c>
      <c r="O255" t="str">
        <f t="shared" si="26"/>
        <v>&lt;td&gt;4:30 PM&lt;/td&gt;</v>
      </c>
      <c r="P255" t="str">
        <f t="shared" si="27"/>
        <v>&lt;td class="FRCsched"&gt;Fort Richmond&lt;/td&gt;</v>
      </c>
      <c r="Q255" t="str">
        <f t="shared" si="28"/>
        <v>&lt;td&gt;74 - 64&lt;/td&gt;</v>
      </c>
      <c r="R255" t="str">
        <f t="shared" si="29"/>
        <v>&lt;td class="sched"&gt;Legacy&lt;/td&gt;</v>
      </c>
      <c r="S255" t="str">
        <f t="shared" si="30"/>
        <v>&lt;td&gt;Guardian Invitational Tournament 3rd Place&lt;/td&gt; &lt;/tr&gt;</v>
      </c>
    </row>
    <row r="256" spans="1:19" x14ac:dyDescent="0.25">
      <c r="A256" s="5">
        <v>42385</v>
      </c>
      <c r="B256" s="6">
        <v>0.75</v>
      </c>
      <c r="C256" t="s">
        <v>16</v>
      </c>
      <c r="D256" t="s">
        <v>45</v>
      </c>
      <c r="E256">
        <v>78</v>
      </c>
      <c r="F256" t="s">
        <v>9</v>
      </c>
      <c r="G256" t="s">
        <v>76</v>
      </c>
      <c r="H256">
        <v>99</v>
      </c>
      <c r="J256" t="str">
        <f t="shared" si="31"/>
        <v>H</v>
      </c>
      <c r="K256" t="s">
        <v>297</v>
      </c>
      <c r="L256" t="s">
        <v>184</v>
      </c>
      <c r="N256" t="str">
        <f t="shared" si="25"/>
        <v>&lt;tr&gt; &lt;td&gt;Jan. 16&lt;/td&gt;</v>
      </c>
      <c r="O256" t="str">
        <f t="shared" si="26"/>
        <v>&lt;td&gt;6:00 PM&lt;/td&gt;</v>
      </c>
      <c r="P256" t="str">
        <f t="shared" si="27"/>
        <v>&lt;td class="MCsched"&gt;Maples&lt;/td&gt;</v>
      </c>
      <c r="Q256" t="str">
        <f t="shared" si="28"/>
        <v>&lt;td&gt;78 - 99&lt;/td&gt;</v>
      </c>
      <c r="R256" t="str">
        <f t="shared" si="29"/>
        <v>&lt;td class="SiHSsched"&gt;Sisler&lt;/td&gt;</v>
      </c>
      <c r="S256" t="str">
        <f t="shared" si="30"/>
        <v>&lt;td&gt;WIT Championship&lt;/td&gt; &lt;/tr&gt;</v>
      </c>
    </row>
    <row r="257" spans="1:19" x14ac:dyDescent="0.25">
      <c r="A257" s="5">
        <v>42385</v>
      </c>
      <c r="B257" s="6">
        <v>0.75</v>
      </c>
      <c r="C257" t="s">
        <v>568</v>
      </c>
      <c r="E257">
        <v>58</v>
      </c>
      <c r="F257" t="s">
        <v>23</v>
      </c>
      <c r="G257" t="s">
        <v>102</v>
      </c>
      <c r="H257">
        <v>69</v>
      </c>
      <c r="J257" t="str">
        <f t="shared" si="31"/>
        <v>H</v>
      </c>
      <c r="K257" t="s">
        <v>567</v>
      </c>
      <c r="L257" t="s">
        <v>182</v>
      </c>
      <c r="N257" t="str">
        <f t="shared" si="25"/>
        <v>&lt;tr&gt; &lt;td&gt;Jan. 16&lt;/td&gt;</v>
      </c>
      <c r="O257" t="str">
        <f t="shared" si="26"/>
        <v>&lt;td&gt;6:00 PM&lt;/td&gt;</v>
      </c>
      <c r="P257" t="str">
        <f t="shared" si="27"/>
        <v>&lt;td class="sched"&gt;Dryden&lt;/td&gt;</v>
      </c>
      <c r="Q257" t="str">
        <f t="shared" si="28"/>
        <v>&lt;td&gt;58 - 69&lt;/td&gt;</v>
      </c>
      <c r="R257" t="str">
        <f t="shared" si="29"/>
        <v>&lt;td class="VMHSsched"&gt;Vincent Massey&lt;/td&gt;</v>
      </c>
      <c r="S257" t="str">
        <f t="shared" si="30"/>
        <v>&lt;td&gt;Zodiac Invitational Consolation Final&lt;/td&gt; &lt;/tr&gt;</v>
      </c>
    </row>
    <row r="258" spans="1:19" x14ac:dyDescent="0.25">
      <c r="A258" s="5">
        <v>42385</v>
      </c>
      <c r="B258" s="6">
        <v>0.75</v>
      </c>
      <c r="C258" t="s">
        <v>208</v>
      </c>
      <c r="E258">
        <v>53</v>
      </c>
      <c r="F258" t="s">
        <v>28</v>
      </c>
      <c r="G258" t="s">
        <v>90</v>
      </c>
      <c r="H258">
        <v>67</v>
      </c>
      <c r="J258" t="str">
        <f t="shared" si="31"/>
        <v>H</v>
      </c>
      <c r="K258" t="s">
        <v>567</v>
      </c>
      <c r="L258" t="s">
        <v>183</v>
      </c>
      <c r="N258" t="str">
        <f t="shared" ref="N258:N321" si="32">"&lt;tr&gt; &lt;td&gt;"&amp;TEXT(A258,"MMM. D")&amp;"&lt;/td&gt;"</f>
        <v>&lt;tr&gt; &lt;td&gt;Jan. 16&lt;/td&gt;</v>
      </c>
      <c r="O258" t="str">
        <f t="shared" ref="O258:O321" si="33">"&lt;td&gt;"&amp;IF(B258&gt;0,TEXT(B258,"H:MM AM/PM"),"")&amp;"&lt;/td&gt;"</f>
        <v>&lt;td&gt;6:00 PM&lt;/td&gt;</v>
      </c>
      <c r="P258" t="str">
        <f t="shared" ref="P258:P321" si="34">"&lt;td class="""&amp;D258&amp;"sched""&gt;"&amp;C258&amp;"&lt;/td&gt;"</f>
        <v>&lt;td class="sched"&gt;Linden Christian&lt;/td&gt;</v>
      </c>
      <c r="Q258" t="str">
        <f t="shared" ref="Q258:Q321" si="35">"&lt;td&gt;"&amp;E258&amp;" - "&amp;H258&amp;IF(I258&gt;0," "&amp;I258,"")&amp;"&lt;/td&gt;"</f>
        <v>&lt;td&gt;53 - 67&lt;/td&gt;</v>
      </c>
      <c r="R258" t="str">
        <f t="shared" ref="R258:R321" si="36">"&lt;td class="""&amp;G258&amp;"sched""&gt;"&amp;F258&amp;"&lt;/td&gt;"</f>
        <v>&lt;td class="PCIsched"&gt;Portage&lt;/td&gt;</v>
      </c>
      <c r="S258" t="str">
        <f t="shared" ref="S258:S321" si="37">"&lt;td&gt;"&amp;K258&amp;" "&amp;L258&amp;"&lt;/td&gt; &lt;/tr&gt;"</f>
        <v>&lt;td&gt;Zodiac Invitational 3rd Place&lt;/td&gt; &lt;/tr&gt;</v>
      </c>
    </row>
    <row r="259" spans="1:19" x14ac:dyDescent="0.25">
      <c r="A259" s="5">
        <v>42385</v>
      </c>
      <c r="B259" s="6">
        <v>0.8125</v>
      </c>
      <c r="C259" t="s">
        <v>14</v>
      </c>
      <c r="D259" t="s">
        <v>94</v>
      </c>
      <c r="E259">
        <v>54</v>
      </c>
      <c r="F259" t="s">
        <v>162</v>
      </c>
      <c r="G259" t="s">
        <v>164</v>
      </c>
      <c r="H259">
        <v>86</v>
      </c>
      <c r="J259" t="str">
        <f t="shared" si="31"/>
        <v>H</v>
      </c>
      <c r="K259" t="s">
        <v>567</v>
      </c>
      <c r="L259" t="s">
        <v>184</v>
      </c>
      <c r="N259" t="str">
        <f t="shared" si="32"/>
        <v>&lt;tr&gt; &lt;td&gt;Jan. 16&lt;/td&gt;</v>
      </c>
      <c r="O259" t="str">
        <f t="shared" si="33"/>
        <v>&lt;td&gt;7:30 PM&lt;/td&gt;</v>
      </c>
      <c r="P259" t="str">
        <f t="shared" si="34"/>
        <v>&lt;td class="SHCsched"&gt;Sturgeon Heights&lt;/td&gt;</v>
      </c>
      <c r="Q259" t="str">
        <f t="shared" si="35"/>
        <v>&lt;td&gt;54 - 86&lt;/td&gt;</v>
      </c>
      <c r="R259" t="str">
        <f t="shared" si="36"/>
        <v>&lt;td class="GVCsched"&gt;Garden Valley&lt;/td&gt;</v>
      </c>
      <c r="S259" t="str">
        <f t="shared" si="37"/>
        <v>&lt;td&gt;Zodiac Invitational Championship&lt;/td&gt; &lt;/tr&gt;</v>
      </c>
    </row>
    <row r="260" spans="1:19" x14ac:dyDescent="0.25">
      <c r="A260" s="5">
        <v>42385</v>
      </c>
      <c r="C260" t="s">
        <v>171</v>
      </c>
      <c r="E260" t="s">
        <v>156</v>
      </c>
      <c r="F260" t="s">
        <v>29</v>
      </c>
      <c r="G260" t="s">
        <v>91</v>
      </c>
      <c r="H260" t="s">
        <v>254</v>
      </c>
      <c r="J260" t="str">
        <f t="shared" si="31"/>
        <v>V</v>
      </c>
      <c r="K260" t="s">
        <v>29</v>
      </c>
      <c r="L260" t="s">
        <v>184</v>
      </c>
      <c r="N260" t="str">
        <f t="shared" si="32"/>
        <v>&lt;tr&gt; &lt;td&gt;Jan. 16&lt;/td&gt;</v>
      </c>
      <c r="O260" t="str">
        <f t="shared" si="33"/>
        <v>&lt;td&gt;&lt;/td&gt;</v>
      </c>
      <c r="P260" t="str">
        <f t="shared" si="34"/>
        <v>&lt;td class="sched"&gt;Churchill&lt;/td&gt;</v>
      </c>
      <c r="Q260" t="str">
        <f t="shared" si="35"/>
        <v>&lt;td&gt;W - L&lt;/td&gt;</v>
      </c>
      <c r="R260" t="str">
        <f t="shared" si="36"/>
        <v>&lt;td class="ShHSsched"&gt;Shaftesbury&lt;/td&gt;</v>
      </c>
      <c r="S260" t="str">
        <f t="shared" si="37"/>
        <v>&lt;td&gt;Shaftesbury Championship&lt;/td&gt; &lt;/tr&gt;</v>
      </c>
    </row>
    <row r="261" spans="1:19" x14ac:dyDescent="0.25">
      <c r="A261" s="5">
        <v>42385</v>
      </c>
      <c r="C261" t="s">
        <v>13</v>
      </c>
      <c r="D261" t="s">
        <v>98</v>
      </c>
      <c r="E261">
        <v>45</v>
      </c>
      <c r="F261" t="s">
        <v>11</v>
      </c>
      <c r="G261" t="s">
        <v>48</v>
      </c>
      <c r="H261">
        <v>66</v>
      </c>
      <c r="J261" t="str">
        <f t="shared" si="31"/>
        <v>H</v>
      </c>
      <c r="K261" t="s">
        <v>556</v>
      </c>
      <c r="L261" t="s">
        <v>181</v>
      </c>
      <c r="N261" t="str">
        <f t="shared" si="32"/>
        <v>&lt;tr&gt; &lt;td&gt;Jan. 16&lt;/td&gt;</v>
      </c>
      <c r="O261" t="str">
        <f t="shared" si="33"/>
        <v>&lt;td&gt;&lt;/td&gt;</v>
      </c>
      <c r="P261" t="str">
        <f t="shared" si="34"/>
        <v>&lt;td class="WWCsched"&gt;Westwood&lt;/td&gt;</v>
      </c>
      <c r="Q261" t="str">
        <f t="shared" si="35"/>
        <v>&lt;td&gt;45 - 66&lt;/td&gt;</v>
      </c>
      <c r="R261" t="str">
        <f t="shared" si="36"/>
        <v>&lt;td class="MMCsched"&gt;Miles Macdonell&lt;/td&gt;</v>
      </c>
      <c r="S261" t="str">
        <f t="shared" si="37"/>
        <v>&lt;td&gt;Trojans Classic 7th Place&lt;/td&gt; &lt;/tr&gt;</v>
      </c>
    </row>
    <row r="262" spans="1:19" x14ac:dyDescent="0.25">
      <c r="A262" s="5">
        <v>42385</v>
      </c>
      <c r="C262" t="s">
        <v>32</v>
      </c>
      <c r="D262" t="s">
        <v>100</v>
      </c>
      <c r="E262">
        <v>74</v>
      </c>
      <c r="F262" t="s">
        <v>21</v>
      </c>
      <c r="G262" t="s">
        <v>64</v>
      </c>
      <c r="H262">
        <v>64</v>
      </c>
      <c r="J262" t="str">
        <f t="shared" si="31"/>
        <v>V</v>
      </c>
      <c r="K262" t="s">
        <v>556</v>
      </c>
      <c r="L262" t="s">
        <v>182</v>
      </c>
      <c r="N262" t="str">
        <f t="shared" si="32"/>
        <v>&lt;tr&gt; &lt;td&gt;Jan. 16&lt;/td&gt;</v>
      </c>
      <c r="O262" t="str">
        <f t="shared" si="33"/>
        <v>&lt;td&gt;&lt;/td&gt;</v>
      </c>
      <c r="P262" t="str">
        <f t="shared" si="34"/>
        <v>&lt;td class="CPRSsched"&gt;Crocus Plains&lt;/td&gt;</v>
      </c>
      <c r="Q262" t="str">
        <f t="shared" si="35"/>
        <v>&lt;td&gt;74 - 64&lt;/td&gt;</v>
      </c>
      <c r="R262" t="str">
        <f t="shared" si="36"/>
        <v>&lt;td class="JHBsched"&gt;J.H. Bruns&lt;/td&gt;</v>
      </c>
      <c r="S262" t="str">
        <f t="shared" si="37"/>
        <v>&lt;td&gt;Trojans Classic Consolation Final&lt;/td&gt; &lt;/tr&gt;</v>
      </c>
    </row>
    <row r="263" spans="1:19" x14ac:dyDescent="0.25">
      <c r="A263" s="5">
        <v>42385</v>
      </c>
      <c r="C263" t="s">
        <v>17</v>
      </c>
      <c r="D263" t="s">
        <v>50</v>
      </c>
      <c r="E263">
        <v>59</v>
      </c>
      <c r="F263" t="s">
        <v>18</v>
      </c>
      <c r="G263" t="s">
        <v>52</v>
      </c>
      <c r="H263">
        <v>54</v>
      </c>
      <c r="J263" t="str">
        <f t="shared" si="31"/>
        <v>V</v>
      </c>
      <c r="K263" t="s">
        <v>556</v>
      </c>
      <c r="L263" t="s">
        <v>183</v>
      </c>
      <c r="N263" t="str">
        <f t="shared" si="32"/>
        <v>&lt;tr&gt; &lt;td&gt;Jan. 16&lt;/td&gt;</v>
      </c>
      <c r="O263" t="str">
        <f t="shared" si="33"/>
        <v>&lt;td&gt;&lt;/td&gt;</v>
      </c>
      <c r="P263" t="str">
        <f t="shared" si="34"/>
        <v>&lt;td class="MMCIsched"&gt;Murdoch MacKay&lt;/td&gt;</v>
      </c>
      <c r="Q263" t="str">
        <f t="shared" si="35"/>
        <v>&lt;td&gt;59 - 54&lt;/td&gt;</v>
      </c>
      <c r="R263" t="str">
        <f t="shared" si="36"/>
        <v>&lt;td class="RECsched"&gt;River East&lt;/td&gt;</v>
      </c>
      <c r="S263" t="str">
        <f t="shared" si="37"/>
        <v>&lt;td&gt;Trojans Classic 3rd Place&lt;/td&gt; &lt;/tr&gt;</v>
      </c>
    </row>
    <row r="264" spans="1:19" x14ac:dyDescent="0.25">
      <c r="A264" s="5">
        <v>42385</v>
      </c>
      <c r="C264" t="s">
        <v>8</v>
      </c>
      <c r="D264" t="s">
        <v>60</v>
      </c>
      <c r="E264">
        <v>74</v>
      </c>
      <c r="F264" t="s">
        <v>23</v>
      </c>
      <c r="G264" t="s">
        <v>80</v>
      </c>
      <c r="H264">
        <v>59</v>
      </c>
      <c r="J264" t="str">
        <f t="shared" si="31"/>
        <v>V</v>
      </c>
      <c r="K264" t="s">
        <v>556</v>
      </c>
      <c r="L264" t="s">
        <v>184</v>
      </c>
      <c r="N264" t="str">
        <f t="shared" si="32"/>
        <v>&lt;tr&gt; &lt;td&gt;Jan. 16&lt;/td&gt;</v>
      </c>
      <c r="O264" t="str">
        <f t="shared" si="33"/>
        <v>&lt;td&gt;&lt;/td&gt;</v>
      </c>
      <c r="P264" t="str">
        <f t="shared" si="34"/>
        <v>&lt;td class="DCIsched"&gt;Dakota&lt;/td&gt;</v>
      </c>
      <c r="Q264" t="str">
        <f t="shared" si="35"/>
        <v>&lt;td&gt;74 - 59&lt;/td&gt;</v>
      </c>
      <c r="R264" t="str">
        <f t="shared" si="36"/>
        <v>&lt;td class="VMCsched"&gt;Vincent Massey&lt;/td&gt;</v>
      </c>
      <c r="S264" t="str">
        <f t="shared" si="37"/>
        <v>&lt;td&gt;Trojans Classic Championship&lt;/td&gt; &lt;/tr&gt;</v>
      </c>
    </row>
    <row r="265" spans="1:19" x14ac:dyDescent="0.25">
      <c r="A265" s="5">
        <v>42385</v>
      </c>
      <c r="C265" t="s">
        <v>108</v>
      </c>
      <c r="D265" t="s">
        <v>109</v>
      </c>
      <c r="E265">
        <v>46</v>
      </c>
      <c r="F265" t="s">
        <v>170</v>
      </c>
      <c r="H265">
        <v>61</v>
      </c>
      <c r="J265" t="str">
        <f t="shared" si="31"/>
        <v>H</v>
      </c>
      <c r="K265" t="s">
        <v>25</v>
      </c>
      <c r="L265" t="s">
        <v>177</v>
      </c>
      <c r="N265" t="str">
        <f t="shared" si="32"/>
        <v>&lt;tr&gt; &lt;td&gt;Jan. 16&lt;/td&gt;</v>
      </c>
      <c r="O265" t="str">
        <f t="shared" si="33"/>
        <v>&lt;td&gt;&lt;/td&gt;</v>
      </c>
      <c r="P265" t="str">
        <f t="shared" si="34"/>
        <v>&lt;td class="CJSsched"&gt;Jeanne-Sauv&amp;eacute;&lt;/td&gt;</v>
      </c>
      <c r="Q265" t="str">
        <f t="shared" si="35"/>
        <v>&lt;td&gt;46 - 61&lt;/td&gt;</v>
      </c>
      <c r="R265" t="str">
        <f t="shared" si="36"/>
        <v>&lt;td class="sched"&gt;St. Boniface&lt;/td&gt;</v>
      </c>
      <c r="S265" t="str">
        <f t="shared" si="37"/>
        <v>&lt;td&gt;Elmwood Consolation Semi 1&lt;/td&gt; &lt;/tr&gt;</v>
      </c>
    </row>
    <row r="266" spans="1:19" x14ac:dyDescent="0.25">
      <c r="A266" s="5">
        <v>42385</v>
      </c>
      <c r="C266" t="s">
        <v>19</v>
      </c>
      <c r="D266" t="s">
        <v>56</v>
      </c>
      <c r="E266">
        <v>35</v>
      </c>
      <c r="F266" t="s">
        <v>292</v>
      </c>
      <c r="H266">
        <v>54</v>
      </c>
      <c r="J266" t="str">
        <f t="shared" si="31"/>
        <v>H</v>
      </c>
      <c r="K266" t="s">
        <v>25</v>
      </c>
      <c r="L266" t="s">
        <v>178</v>
      </c>
      <c r="N266" t="str">
        <f t="shared" si="32"/>
        <v>&lt;tr&gt; &lt;td&gt;Jan. 16&lt;/td&gt;</v>
      </c>
      <c r="O266" t="str">
        <f t="shared" si="33"/>
        <v>&lt;td&gt;&lt;/td&gt;</v>
      </c>
      <c r="P266" t="str">
        <f t="shared" si="34"/>
        <v>&lt;td class="TCIsched"&gt;Transcona&lt;/td&gt;</v>
      </c>
      <c r="Q266" t="str">
        <f t="shared" si="35"/>
        <v>&lt;td&gt;35 - 54&lt;/td&gt;</v>
      </c>
      <c r="R266" t="str">
        <f t="shared" si="36"/>
        <v>&lt;td class="sched"&gt;U of W Collegiate&lt;/td&gt;</v>
      </c>
      <c r="S266" t="str">
        <f t="shared" si="37"/>
        <v>&lt;td&gt;Elmwood Consolation Semi 2&lt;/td&gt; &lt;/tr&gt;</v>
      </c>
    </row>
    <row r="267" spans="1:19" x14ac:dyDescent="0.25">
      <c r="A267" s="5">
        <v>42385</v>
      </c>
      <c r="C267" t="s">
        <v>235</v>
      </c>
      <c r="E267">
        <v>51</v>
      </c>
      <c r="F267" t="s">
        <v>25</v>
      </c>
      <c r="G267" t="s">
        <v>84</v>
      </c>
      <c r="H267">
        <v>49</v>
      </c>
      <c r="J267" t="str">
        <f t="shared" si="31"/>
        <v>V</v>
      </c>
      <c r="K267" t="s">
        <v>25</v>
      </c>
      <c r="L267" t="s">
        <v>179</v>
      </c>
      <c r="N267" t="str">
        <f t="shared" si="32"/>
        <v>&lt;tr&gt; &lt;td&gt;Jan. 16&lt;/td&gt;</v>
      </c>
      <c r="O267" t="str">
        <f t="shared" si="33"/>
        <v>&lt;td&gt;&lt;/td&gt;</v>
      </c>
      <c r="P267" t="str">
        <f t="shared" si="34"/>
        <v>&lt;td class="sched"&gt;Louis-Riel&lt;/td&gt;</v>
      </c>
      <c r="Q267" t="str">
        <f t="shared" si="35"/>
        <v>&lt;td&gt;51 - 49&lt;/td&gt;</v>
      </c>
      <c r="R267" t="str">
        <f t="shared" si="36"/>
        <v>&lt;td class="EHSsched"&gt;Elmwood&lt;/td&gt;</v>
      </c>
      <c r="S267" t="str">
        <f t="shared" si="37"/>
        <v>&lt;td&gt;Elmwood Semifinal 1&lt;/td&gt; &lt;/tr&gt;</v>
      </c>
    </row>
    <row r="268" spans="1:19" x14ac:dyDescent="0.25">
      <c r="A268" s="5">
        <v>42385</v>
      </c>
      <c r="C268" t="s">
        <v>218</v>
      </c>
      <c r="E268">
        <v>55</v>
      </c>
      <c r="F268" t="s">
        <v>30</v>
      </c>
      <c r="G268" t="s">
        <v>92</v>
      </c>
      <c r="H268">
        <v>86</v>
      </c>
      <c r="J268" t="str">
        <f t="shared" si="31"/>
        <v>H</v>
      </c>
      <c r="K268" t="s">
        <v>25</v>
      </c>
      <c r="L268" t="s">
        <v>180</v>
      </c>
      <c r="N268" t="str">
        <f t="shared" si="32"/>
        <v>&lt;tr&gt; &lt;td&gt;Jan. 16&lt;/td&gt;</v>
      </c>
      <c r="O268" t="str">
        <f t="shared" si="33"/>
        <v>&lt;td&gt;&lt;/td&gt;</v>
      </c>
      <c r="P268" t="str">
        <f t="shared" si="34"/>
        <v>&lt;td class="sched"&gt;Stonewall&lt;/td&gt;</v>
      </c>
      <c r="Q268" t="str">
        <f t="shared" si="35"/>
        <v>&lt;td&gt;55 - 86&lt;/td&gt;</v>
      </c>
      <c r="R268" t="str">
        <f t="shared" si="36"/>
        <v>&lt;td class="SJHSsched"&gt;St. John's&lt;/td&gt;</v>
      </c>
      <c r="S268" t="str">
        <f t="shared" si="37"/>
        <v>&lt;td&gt;Elmwood Semifinal 2&lt;/td&gt; &lt;/tr&gt;</v>
      </c>
    </row>
    <row r="269" spans="1:19" x14ac:dyDescent="0.25">
      <c r="A269" s="5">
        <v>42385</v>
      </c>
      <c r="C269" t="s">
        <v>19</v>
      </c>
      <c r="D269" t="s">
        <v>56</v>
      </c>
      <c r="F269" t="s">
        <v>108</v>
      </c>
      <c r="G269" t="s">
        <v>109</v>
      </c>
      <c r="I269" t="s">
        <v>565</v>
      </c>
      <c r="J269" t="str">
        <f t="shared" si="31"/>
        <v/>
      </c>
      <c r="K269" t="s">
        <v>25</v>
      </c>
      <c r="L269" t="s">
        <v>181</v>
      </c>
      <c r="N269" t="str">
        <f t="shared" si="32"/>
        <v>&lt;tr&gt; &lt;td&gt;Jan. 16&lt;/td&gt;</v>
      </c>
      <c r="O269" t="str">
        <f t="shared" si="33"/>
        <v>&lt;td&gt;&lt;/td&gt;</v>
      </c>
      <c r="P269" t="str">
        <f t="shared" si="34"/>
        <v>&lt;td class="TCIsched"&gt;Transcona&lt;/td&gt;</v>
      </c>
      <c r="Q269" t="str">
        <f t="shared" si="35"/>
        <v>&lt;td&gt; -  NR&lt;/td&gt;</v>
      </c>
      <c r="R269" t="str">
        <f t="shared" si="36"/>
        <v>&lt;td class="CJSsched"&gt;Jeanne-Sauv&amp;eacute;&lt;/td&gt;</v>
      </c>
      <c r="S269" t="str">
        <f t="shared" si="37"/>
        <v>&lt;td&gt;Elmwood 7th Place&lt;/td&gt; &lt;/tr&gt;</v>
      </c>
    </row>
    <row r="270" spans="1:19" x14ac:dyDescent="0.25">
      <c r="A270" s="5">
        <v>42385</v>
      </c>
      <c r="C270" t="s">
        <v>218</v>
      </c>
      <c r="E270">
        <v>57</v>
      </c>
      <c r="F270" t="s">
        <v>25</v>
      </c>
      <c r="G270" t="s">
        <v>84</v>
      </c>
      <c r="H270">
        <v>72</v>
      </c>
      <c r="J270" t="str">
        <f t="shared" si="31"/>
        <v>H</v>
      </c>
      <c r="K270" t="s">
        <v>25</v>
      </c>
      <c r="L270" t="s">
        <v>183</v>
      </c>
      <c r="N270" t="str">
        <f t="shared" si="32"/>
        <v>&lt;tr&gt; &lt;td&gt;Jan. 16&lt;/td&gt;</v>
      </c>
      <c r="O270" t="str">
        <f t="shared" si="33"/>
        <v>&lt;td&gt;&lt;/td&gt;</v>
      </c>
      <c r="P270" t="str">
        <f t="shared" si="34"/>
        <v>&lt;td class="sched"&gt;Stonewall&lt;/td&gt;</v>
      </c>
      <c r="Q270" t="str">
        <f t="shared" si="35"/>
        <v>&lt;td&gt;57 - 72&lt;/td&gt;</v>
      </c>
      <c r="R270" t="str">
        <f t="shared" si="36"/>
        <v>&lt;td class="EHSsched"&gt;Elmwood&lt;/td&gt;</v>
      </c>
      <c r="S270" t="str">
        <f t="shared" si="37"/>
        <v>&lt;td&gt;Elmwood 3rd Place&lt;/td&gt; &lt;/tr&gt;</v>
      </c>
    </row>
    <row r="271" spans="1:19" x14ac:dyDescent="0.25">
      <c r="A271" s="5">
        <v>42385</v>
      </c>
      <c r="C271" t="s">
        <v>30</v>
      </c>
      <c r="D271" t="s">
        <v>92</v>
      </c>
      <c r="E271">
        <v>91</v>
      </c>
      <c r="F271" t="s">
        <v>235</v>
      </c>
      <c r="H271">
        <v>72</v>
      </c>
      <c r="J271" t="str">
        <f t="shared" si="31"/>
        <v>V</v>
      </c>
      <c r="K271" t="s">
        <v>25</v>
      </c>
      <c r="L271" t="s">
        <v>184</v>
      </c>
      <c r="N271" t="str">
        <f t="shared" si="32"/>
        <v>&lt;tr&gt; &lt;td&gt;Jan. 16&lt;/td&gt;</v>
      </c>
      <c r="O271" t="str">
        <f t="shared" si="33"/>
        <v>&lt;td&gt;&lt;/td&gt;</v>
      </c>
      <c r="P271" t="str">
        <f t="shared" si="34"/>
        <v>&lt;td class="SJHSsched"&gt;St. John's&lt;/td&gt;</v>
      </c>
      <c r="Q271" t="str">
        <f t="shared" si="35"/>
        <v>&lt;td&gt;91 - 72&lt;/td&gt;</v>
      </c>
      <c r="R271" t="str">
        <f t="shared" si="36"/>
        <v>&lt;td class="sched"&gt;Louis-Riel&lt;/td&gt;</v>
      </c>
      <c r="S271" t="str">
        <f t="shared" si="37"/>
        <v>&lt;td&gt;Elmwood Championship&lt;/td&gt; &lt;/tr&gt;</v>
      </c>
    </row>
    <row r="272" spans="1:19" x14ac:dyDescent="0.25">
      <c r="A272" s="5">
        <v>42387</v>
      </c>
      <c r="B272" s="6">
        <v>0.70833333333333337</v>
      </c>
      <c r="C272" t="s">
        <v>29</v>
      </c>
      <c r="D272" t="s">
        <v>91</v>
      </c>
      <c r="E272">
        <v>53</v>
      </c>
      <c r="F272" t="s">
        <v>28</v>
      </c>
      <c r="G272" t="s">
        <v>90</v>
      </c>
      <c r="H272">
        <v>67</v>
      </c>
      <c r="J272" t="str">
        <f t="shared" si="31"/>
        <v>H</v>
      </c>
      <c r="K272" t="s">
        <v>252</v>
      </c>
      <c r="L272" t="s">
        <v>228</v>
      </c>
      <c r="M272" t="s">
        <v>229</v>
      </c>
      <c r="N272" t="str">
        <f t="shared" si="32"/>
        <v>&lt;tr&gt; &lt;td&gt;Jan. 18&lt;/td&gt;</v>
      </c>
      <c r="O272" t="str">
        <f t="shared" si="33"/>
        <v>&lt;td&gt;5:00 PM&lt;/td&gt;</v>
      </c>
      <c r="P272" t="str">
        <f t="shared" si="34"/>
        <v>&lt;td class="ShHSsched"&gt;Shaftesbury&lt;/td&gt;</v>
      </c>
      <c r="Q272" t="str">
        <f t="shared" si="35"/>
        <v>&lt;td&gt;53 - 67&lt;/td&gt;</v>
      </c>
      <c r="R272" t="str">
        <f t="shared" si="36"/>
        <v>&lt;td class="PCIsched"&gt;Portage&lt;/td&gt;</v>
      </c>
      <c r="S272" t="str">
        <f t="shared" si="37"/>
        <v>&lt;td&gt;WWAC-WAC Tier 2 Regular Season&lt;/td&gt; &lt;/tr&gt;</v>
      </c>
    </row>
    <row r="273" spans="1:19" x14ac:dyDescent="0.25">
      <c r="A273" s="5">
        <v>42387</v>
      </c>
      <c r="B273" s="6">
        <v>0.76041666666666663</v>
      </c>
      <c r="C273" t="s">
        <v>253</v>
      </c>
      <c r="E273">
        <v>70</v>
      </c>
      <c r="F273" t="s">
        <v>30</v>
      </c>
      <c r="G273" t="s">
        <v>92</v>
      </c>
      <c r="H273">
        <v>74</v>
      </c>
      <c r="J273" t="str">
        <f t="shared" si="31"/>
        <v>H</v>
      </c>
      <c r="K273" t="s">
        <v>252</v>
      </c>
      <c r="L273" t="s">
        <v>228</v>
      </c>
      <c r="M273" t="s">
        <v>229</v>
      </c>
      <c r="N273" t="str">
        <f t="shared" si="32"/>
        <v>&lt;tr&gt; &lt;td&gt;Jan. 18&lt;/td&gt;</v>
      </c>
      <c r="O273" t="str">
        <f t="shared" si="33"/>
        <v>&lt;td&gt;6:15 PM&lt;/td&gt;</v>
      </c>
      <c r="P273" t="str">
        <f t="shared" si="34"/>
        <v>&lt;td class="sched"&gt;St. James&lt;/td&gt;</v>
      </c>
      <c r="Q273" t="str">
        <f t="shared" si="35"/>
        <v>&lt;td&gt;70 - 74&lt;/td&gt;</v>
      </c>
      <c r="R273" t="str">
        <f t="shared" si="36"/>
        <v>&lt;td class="SJHSsched"&gt;St. John's&lt;/td&gt;</v>
      </c>
      <c r="S273" t="str">
        <f t="shared" si="37"/>
        <v>&lt;td&gt;WWAC-WAC Tier 2 Regular Season&lt;/td&gt; &lt;/tr&gt;</v>
      </c>
    </row>
    <row r="274" spans="1:19" x14ac:dyDescent="0.25">
      <c r="A274" s="5">
        <v>42387</v>
      </c>
      <c r="B274" s="6">
        <v>0.76041666666666663</v>
      </c>
      <c r="C274" t="s">
        <v>13</v>
      </c>
      <c r="D274" t="s">
        <v>98</v>
      </c>
      <c r="E274">
        <v>77</v>
      </c>
      <c r="F274" t="s">
        <v>218</v>
      </c>
      <c r="H274">
        <v>52</v>
      </c>
      <c r="J274" t="str">
        <f t="shared" si="31"/>
        <v>V</v>
      </c>
      <c r="K274" t="s">
        <v>252</v>
      </c>
      <c r="L274" t="s">
        <v>228</v>
      </c>
      <c r="M274" t="s">
        <v>229</v>
      </c>
      <c r="N274" t="str">
        <f t="shared" si="32"/>
        <v>&lt;tr&gt; &lt;td&gt;Jan. 18&lt;/td&gt;</v>
      </c>
      <c r="O274" t="str">
        <f t="shared" si="33"/>
        <v>&lt;td&gt;6:15 PM&lt;/td&gt;</v>
      </c>
      <c r="P274" t="str">
        <f t="shared" si="34"/>
        <v>&lt;td class="WWCsched"&gt;Westwood&lt;/td&gt;</v>
      </c>
      <c r="Q274" t="str">
        <f t="shared" si="35"/>
        <v>&lt;td&gt;77 - 52&lt;/td&gt;</v>
      </c>
      <c r="R274" t="str">
        <f t="shared" si="36"/>
        <v>&lt;td class="sched"&gt;Stonewall&lt;/td&gt;</v>
      </c>
      <c r="S274" t="str">
        <f t="shared" si="37"/>
        <v>&lt;td&gt;WWAC-WAC Tier 2 Regular Season&lt;/td&gt; &lt;/tr&gt;</v>
      </c>
    </row>
    <row r="275" spans="1:19" x14ac:dyDescent="0.25">
      <c r="A275" s="5">
        <v>42387</v>
      </c>
      <c r="B275" s="6">
        <v>0.76041666666666663</v>
      </c>
      <c r="C275" t="s">
        <v>171</v>
      </c>
      <c r="E275">
        <v>65</v>
      </c>
      <c r="F275" t="s">
        <v>25</v>
      </c>
      <c r="G275" t="s">
        <v>84</v>
      </c>
      <c r="H275">
        <v>78</v>
      </c>
      <c r="J275" t="str">
        <f t="shared" si="31"/>
        <v>H</v>
      </c>
      <c r="K275" t="s">
        <v>252</v>
      </c>
      <c r="L275" t="s">
        <v>228</v>
      </c>
      <c r="M275" t="s">
        <v>229</v>
      </c>
      <c r="N275" t="str">
        <f t="shared" si="32"/>
        <v>&lt;tr&gt; &lt;td&gt;Jan. 18&lt;/td&gt;</v>
      </c>
      <c r="O275" t="str">
        <f t="shared" si="33"/>
        <v>&lt;td&gt;6:15 PM&lt;/td&gt;</v>
      </c>
      <c r="P275" t="str">
        <f t="shared" si="34"/>
        <v>&lt;td class="sched"&gt;Churchill&lt;/td&gt;</v>
      </c>
      <c r="Q275" t="str">
        <f t="shared" si="35"/>
        <v>&lt;td&gt;65 - 78&lt;/td&gt;</v>
      </c>
      <c r="R275" t="str">
        <f t="shared" si="36"/>
        <v>&lt;td class="EHSsched"&gt;Elmwood&lt;/td&gt;</v>
      </c>
      <c r="S275" t="str">
        <f t="shared" si="37"/>
        <v>&lt;td&gt;WWAC-WAC Tier 2 Regular Season&lt;/td&gt; &lt;/tr&gt;</v>
      </c>
    </row>
    <row r="276" spans="1:19" x14ac:dyDescent="0.25">
      <c r="A276" s="5">
        <v>42387</v>
      </c>
      <c r="B276" s="6">
        <v>0.76041666666666663</v>
      </c>
      <c r="C276" t="s">
        <v>23</v>
      </c>
      <c r="D276" t="s">
        <v>80</v>
      </c>
      <c r="E276">
        <v>68</v>
      </c>
      <c r="F276" t="s">
        <v>6</v>
      </c>
      <c r="G276" t="s">
        <v>70</v>
      </c>
      <c r="H276">
        <v>92</v>
      </c>
      <c r="J276" t="str">
        <f t="shared" si="31"/>
        <v>H</v>
      </c>
      <c r="K276" t="s">
        <v>251</v>
      </c>
      <c r="L276" t="s">
        <v>228</v>
      </c>
      <c r="M276" t="s">
        <v>229</v>
      </c>
      <c r="N276" t="str">
        <f t="shared" si="32"/>
        <v>&lt;tr&gt; &lt;td&gt;Jan. 18&lt;/td&gt;</v>
      </c>
      <c r="O276" t="str">
        <f t="shared" si="33"/>
        <v>&lt;td&gt;6:15 PM&lt;/td&gt;</v>
      </c>
      <c r="P276" t="str">
        <f t="shared" si="34"/>
        <v>&lt;td class="VMCsched"&gt;Vincent Massey&lt;/td&gt;</v>
      </c>
      <c r="Q276" t="str">
        <f t="shared" si="35"/>
        <v>&lt;td&gt;68 - 92&lt;/td&gt;</v>
      </c>
      <c r="R276" t="str">
        <f t="shared" si="36"/>
        <v>&lt;td class="JTCsched"&gt;John Taylor&lt;/td&gt;</v>
      </c>
      <c r="S276" t="str">
        <f t="shared" si="37"/>
        <v>&lt;td&gt;WWAC-WAC Tier 1 Regular Season&lt;/td&gt; &lt;/tr&gt;</v>
      </c>
    </row>
    <row r="277" spans="1:19" x14ac:dyDescent="0.25">
      <c r="A277" s="5">
        <v>42387</v>
      </c>
      <c r="B277" s="6">
        <v>0.76041666666666663</v>
      </c>
      <c r="C277" t="s">
        <v>15</v>
      </c>
      <c r="D277" t="s">
        <v>68</v>
      </c>
      <c r="E277">
        <v>78</v>
      </c>
      <c r="F277" t="s">
        <v>9</v>
      </c>
      <c r="G277" t="s">
        <v>76</v>
      </c>
      <c r="H277">
        <v>85</v>
      </c>
      <c r="J277" t="str">
        <f t="shared" si="31"/>
        <v>H</v>
      </c>
      <c r="K277" t="s">
        <v>251</v>
      </c>
      <c r="L277" t="s">
        <v>228</v>
      </c>
      <c r="M277" t="s">
        <v>229</v>
      </c>
      <c r="N277" t="str">
        <f t="shared" si="32"/>
        <v>&lt;tr&gt; &lt;td&gt;Jan. 18&lt;/td&gt;</v>
      </c>
      <c r="O277" t="str">
        <f t="shared" si="33"/>
        <v>&lt;td&gt;6:15 PM&lt;/td&gt;</v>
      </c>
      <c r="P277" t="str">
        <f t="shared" si="34"/>
        <v>&lt;td class="FRCsched"&gt;Fort Richmond&lt;/td&gt;</v>
      </c>
      <c r="Q277" t="str">
        <f t="shared" si="35"/>
        <v>&lt;td&gt;78 - 85&lt;/td&gt;</v>
      </c>
      <c r="R277" t="str">
        <f t="shared" si="36"/>
        <v>&lt;td class="SiHSsched"&gt;Sisler&lt;/td&gt;</v>
      </c>
      <c r="S277" t="str">
        <f t="shared" si="37"/>
        <v>&lt;td&gt;WWAC-WAC Tier 1 Regular Season&lt;/td&gt; &lt;/tr&gt;</v>
      </c>
    </row>
    <row r="278" spans="1:19" x14ac:dyDescent="0.25">
      <c r="A278" s="5">
        <v>42387</v>
      </c>
      <c r="B278" s="6">
        <v>0.76041666666666663</v>
      </c>
      <c r="C278" t="s">
        <v>27</v>
      </c>
      <c r="D278" t="s">
        <v>88</v>
      </c>
      <c r="E278">
        <v>75</v>
      </c>
      <c r="F278" t="s">
        <v>10</v>
      </c>
      <c r="G278" t="s">
        <v>72</v>
      </c>
      <c r="H278">
        <v>79</v>
      </c>
      <c r="J278" t="str">
        <f t="shared" si="31"/>
        <v>H</v>
      </c>
      <c r="K278" t="s">
        <v>251</v>
      </c>
      <c r="L278" t="s">
        <v>228</v>
      </c>
      <c r="M278" t="s">
        <v>229</v>
      </c>
      <c r="N278" t="str">
        <f t="shared" si="32"/>
        <v>&lt;tr&gt; &lt;td&gt;Jan. 18&lt;/td&gt;</v>
      </c>
      <c r="O278" t="str">
        <f t="shared" si="33"/>
        <v>&lt;td&gt;6:15 PM&lt;/td&gt;</v>
      </c>
      <c r="P278" t="str">
        <f t="shared" si="34"/>
        <v>&lt;td class="GPHSsched"&gt;Grant Park&lt;/td&gt;</v>
      </c>
      <c r="Q278" t="str">
        <f t="shared" si="35"/>
        <v>&lt;td&gt;75 - 79&lt;/td&gt;</v>
      </c>
      <c r="R278" t="str">
        <f t="shared" si="36"/>
        <v>&lt;td class="KHSsched"&gt;Kelvin&lt;/td&gt;</v>
      </c>
      <c r="S278" t="str">
        <f t="shared" si="37"/>
        <v>&lt;td&gt;WWAC-WAC Tier 1 Regular Season&lt;/td&gt; &lt;/tr&gt;</v>
      </c>
    </row>
    <row r="279" spans="1:19" x14ac:dyDescent="0.25">
      <c r="A279" s="5">
        <v>42387</v>
      </c>
      <c r="B279" s="6">
        <v>0.8125</v>
      </c>
      <c r="C279" t="s">
        <v>17</v>
      </c>
      <c r="D279" t="s">
        <v>50</v>
      </c>
      <c r="E279">
        <v>39</v>
      </c>
      <c r="F279" t="s">
        <v>4</v>
      </c>
      <c r="G279" t="s">
        <v>41</v>
      </c>
      <c r="H279">
        <v>90</v>
      </c>
      <c r="J279" t="str">
        <f t="shared" si="31"/>
        <v>H</v>
      </c>
      <c r="K279" t="s">
        <v>37</v>
      </c>
      <c r="L279" t="s">
        <v>228</v>
      </c>
      <c r="M279" t="s">
        <v>229</v>
      </c>
      <c r="N279" t="str">
        <f t="shared" si="32"/>
        <v>&lt;tr&gt; &lt;td&gt;Jan. 18&lt;/td&gt;</v>
      </c>
      <c r="O279" t="str">
        <f t="shared" si="33"/>
        <v>&lt;td&gt;7:30 PM&lt;/td&gt;</v>
      </c>
      <c r="P279" t="str">
        <f t="shared" si="34"/>
        <v>&lt;td class="MMCIsched"&gt;Murdoch MacKay&lt;/td&gt;</v>
      </c>
      <c r="Q279" t="str">
        <f t="shared" si="35"/>
        <v>&lt;td&gt;39 - 90&lt;/td&gt;</v>
      </c>
      <c r="R279" t="str">
        <f t="shared" si="36"/>
        <v>&lt;td class="GCCsched"&gt;Garden City&lt;/td&gt;</v>
      </c>
      <c r="S279" t="str">
        <f t="shared" si="37"/>
        <v>&lt;td&gt;KPAC Regular Season&lt;/td&gt; &lt;/tr&gt;</v>
      </c>
    </row>
    <row r="280" spans="1:19" x14ac:dyDescent="0.25">
      <c r="A280" s="5">
        <v>42387</v>
      </c>
      <c r="B280" s="6">
        <v>0.8125</v>
      </c>
      <c r="C280" t="s">
        <v>18</v>
      </c>
      <c r="D280" t="s">
        <v>52</v>
      </c>
      <c r="E280">
        <v>65</v>
      </c>
      <c r="F280" t="s">
        <v>16</v>
      </c>
      <c r="G280" t="s">
        <v>45</v>
      </c>
      <c r="H280">
        <v>90</v>
      </c>
      <c r="J280" t="str">
        <f t="shared" si="31"/>
        <v>H</v>
      </c>
      <c r="K280" t="s">
        <v>37</v>
      </c>
      <c r="L280" t="s">
        <v>228</v>
      </c>
      <c r="M280" t="s">
        <v>229</v>
      </c>
      <c r="N280" t="str">
        <f t="shared" si="32"/>
        <v>&lt;tr&gt; &lt;td&gt;Jan. 18&lt;/td&gt;</v>
      </c>
      <c r="O280" t="str">
        <f t="shared" si="33"/>
        <v>&lt;td&gt;7:30 PM&lt;/td&gt;</v>
      </c>
      <c r="P280" t="str">
        <f t="shared" si="34"/>
        <v>&lt;td class="RECsched"&gt;River East&lt;/td&gt;</v>
      </c>
      <c r="Q280" t="str">
        <f t="shared" si="35"/>
        <v>&lt;td&gt;65 - 90&lt;/td&gt;</v>
      </c>
      <c r="R280" t="str">
        <f t="shared" si="36"/>
        <v>&lt;td class="MCsched"&gt;Maples&lt;/td&gt;</v>
      </c>
      <c r="S280" t="str">
        <f t="shared" si="37"/>
        <v>&lt;td&gt;KPAC Regular Season&lt;/td&gt; &lt;/tr&gt;</v>
      </c>
    </row>
    <row r="281" spans="1:19" x14ac:dyDescent="0.25">
      <c r="A281" s="5">
        <v>42387</v>
      </c>
      <c r="B281" s="6">
        <v>0.8125</v>
      </c>
      <c r="C281" t="s">
        <v>7</v>
      </c>
      <c r="D281" t="s">
        <v>7</v>
      </c>
      <c r="E281">
        <v>78</v>
      </c>
      <c r="F281" t="s">
        <v>104</v>
      </c>
      <c r="G281" t="s">
        <v>105</v>
      </c>
      <c r="H281">
        <v>31</v>
      </c>
      <c r="J281" t="str">
        <f t="shared" si="31"/>
        <v>V</v>
      </c>
      <c r="K281" t="s">
        <v>37</v>
      </c>
      <c r="L281" t="s">
        <v>228</v>
      </c>
      <c r="M281" t="s">
        <v>229</v>
      </c>
      <c r="N281" t="str">
        <f t="shared" si="32"/>
        <v>&lt;tr&gt; &lt;td&gt;Jan. 18&lt;/td&gt;</v>
      </c>
      <c r="O281" t="str">
        <f t="shared" si="33"/>
        <v>&lt;td&gt;7:30 PM&lt;/td&gt;</v>
      </c>
      <c r="P281" t="str">
        <f t="shared" si="34"/>
        <v>&lt;td class="MBCIsched"&gt;MBCI&lt;/td&gt;</v>
      </c>
      <c r="Q281" t="str">
        <f t="shared" si="35"/>
        <v>&lt;td&gt;78 - 31&lt;/td&gt;</v>
      </c>
      <c r="R281" t="str">
        <f t="shared" si="36"/>
        <v>&lt;td class="SCIsched"&gt;Springfield&lt;/td&gt;</v>
      </c>
      <c r="S281" t="str">
        <f t="shared" si="37"/>
        <v>&lt;td&gt;KPAC Regular Season&lt;/td&gt; &lt;/tr&gt;</v>
      </c>
    </row>
    <row r="282" spans="1:19" x14ac:dyDescent="0.25">
      <c r="A282" s="5">
        <v>42387</v>
      </c>
      <c r="B282" s="6">
        <v>0.8125</v>
      </c>
      <c r="C282" t="s">
        <v>237</v>
      </c>
      <c r="E282">
        <v>68</v>
      </c>
      <c r="F282" t="s">
        <v>108</v>
      </c>
      <c r="G282" t="s">
        <v>109</v>
      </c>
      <c r="H282">
        <v>48</v>
      </c>
      <c r="J282" t="str">
        <f t="shared" si="31"/>
        <v>V</v>
      </c>
      <c r="K282" t="s">
        <v>236</v>
      </c>
      <c r="L282" t="s">
        <v>228</v>
      </c>
      <c r="M282" t="s">
        <v>229</v>
      </c>
      <c r="N282" t="str">
        <f t="shared" si="32"/>
        <v>&lt;tr&gt; &lt;td&gt;Jan. 18&lt;/td&gt;</v>
      </c>
      <c r="O282" t="str">
        <f t="shared" si="33"/>
        <v>&lt;td&gt;7:30 PM&lt;/td&gt;</v>
      </c>
      <c r="P282" t="str">
        <f t="shared" si="34"/>
        <v>&lt;td class="sched"&gt;Westgate&lt;/td&gt;</v>
      </c>
      <c r="Q282" t="str">
        <f t="shared" si="35"/>
        <v>&lt;td&gt;68 - 48&lt;/td&gt;</v>
      </c>
      <c r="R282" t="str">
        <f t="shared" si="36"/>
        <v>&lt;td class="CJSsched"&gt;Jeanne-Sauv&amp;eacute;&lt;/td&gt;</v>
      </c>
      <c r="S282" t="str">
        <f t="shared" si="37"/>
        <v>&lt;td&gt;SCAC Tier 2 Regular Season&lt;/td&gt; &lt;/tr&gt;</v>
      </c>
    </row>
    <row r="283" spans="1:19" x14ac:dyDescent="0.25">
      <c r="A283" s="5">
        <v>42387</v>
      </c>
      <c r="B283" s="6">
        <v>0.8125</v>
      </c>
      <c r="C283" t="s">
        <v>8</v>
      </c>
      <c r="D283" t="s">
        <v>60</v>
      </c>
      <c r="E283">
        <v>82</v>
      </c>
      <c r="F283" t="s">
        <v>21</v>
      </c>
      <c r="G283" t="s">
        <v>64</v>
      </c>
      <c r="H283">
        <v>40</v>
      </c>
      <c r="J283" t="str">
        <f t="shared" si="31"/>
        <v>V</v>
      </c>
      <c r="K283" t="s">
        <v>281</v>
      </c>
      <c r="L283" t="s">
        <v>228</v>
      </c>
      <c r="M283" t="s">
        <v>229</v>
      </c>
      <c r="N283" t="str">
        <f t="shared" si="32"/>
        <v>&lt;tr&gt; &lt;td&gt;Jan. 18&lt;/td&gt;</v>
      </c>
      <c r="O283" t="str">
        <f t="shared" si="33"/>
        <v>&lt;td&gt;7:30 PM&lt;/td&gt;</v>
      </c>
      <c r="P283" t="str">
        <f t="shared" si="34"/>
        <v>&lt;td class="DCIsched"&gt;Dakota&lt;/td&gt;</v>
      </c>
      <c r="Q283" t="str">
        <f t="shared" si="35"/>
        <v>&lt;td&gt;82 - 40&lt;/td&gt;</v>
      </c>
      <c r="R283" t="str">
        <f t="shared" si="36"/>
        <v>&lt;td class="JHBsched"&gt;J.H. Bruns&lt;/td&gt;</v>
      </c>
      <c r="S283" t="str">
        <f t="shared" si="37"/>
        <v>&lt;td&gt;SCAC Tier 1 Regular Season&lt;/td&gt; &lt;/tr&gt;</v>
      </c>
    </row>
    <row r="284" spans="1:19" x14ac:dyDescent="0.25">
      <c r="A284" s="5">
        <v>42388</v>
      </c>
      <c r="B284" s="6">
        <v>0.8125</v>
      </c>
      <c r="C284" t="s">
        <v>761</v>
      </c>
      <c r="E284">
        <v>18</v>
      </c>
      <c r="F284" t="s">
        <v>162</v>
      </c>
      <c r="G284" t="s">
        <v>164</v>
      </c>
      <c r="H284">
        <v>89</v>
      </c>
      <c r="J284" t="str">
        <f t="shared" si="31"/>
        <v>H</v>
      </c>
      <c r="K284" t="s">
        <v>163</v>
      </c>
      <c r="L284" t="s">
        <v>282</v>
      </c>
      <c r="N284" t="str">
        <f t="shared" si="32"/>
        <v>&lt;tr&gt; &lt;td&gt;Jan. 19&lt;/td&gt;</v>
      </c>
      <c r="O284" t="str">
        <f t="shared" si="33"/>
        <v>&lt;td&gt;7:30 PM&lt;/td&gt;</v>
      </c>
      <c r="P284" t="str">
        <f t="shared" si="34"/>
        <v>&lt;td class="sched"&gt;Rosenort&lt;/td&gt;</v>
      </c>
      <c r="Q284" t="str">
        <f t="shared" si="35"/>
        <v>&lt;td&gt;18 - 89&lt;/td&gt;</v>
      </c>
      <c r="R284" t="str">
        <f t="shared" si="36"/>
        <v>&lt;td class="GVCsched"&gt;Garden Valley&lt;/td&gt;</v>
      </c>
      <c r="S284" t="str">
        <f t="shared" si="37"/>
        <v>&lt;td&gt;Zone 4 Exhibition&lt;/td&gt; &lt;/tr&gt;</v>
      </c>
    </row>
    <row r="285" spans="1:19" x14ac:dyDescent="0.25">
      <c r="A285" s="5">
        <v>42388</v>
      </c>
      <c r="B285" s="6">
        <v>0.82291666666666663</v>
      </c>
      <c r="C285" t="s">
        <v>23</v>
      </c>
      <c r="D285" t="s">
        <v>102</v>
      </c>
      <c r="E285">
        <v>75</v>
      </c>
      <c r="F285" t="s">
        <v>32</v>
      </c>
      <c r="G285" t="s">
        <v>100</v>
      </c>
      <c r="H285">
        <v>73</v>
      </c>
      <c r="J285" t="str">
        <f t="shared" si="31"/>
        <v>V</v>
      </c>
      <c r="K285" t="s">
        <v>40</v>
      </c>
      <c r="L285" t="s">
        <v>228</v>
      </c>
      <c r="M285" t="s">
        <v>229</v>
      </c>
      <c r="N285" t="str">
        <f t="shared" si="32"/>
        <v>&lt;tr&gt; &lt;td&gt;Jan. 19&lt;/td&gt;</v>
      </c>
      <c r="O285" t="str">
        <f t="shared" si="33"/>
        <v>&lt;td&gt;7:45 PM&lt;/td&gt;</v>
      </c>
      <c r="P285" t="str">
        <f t="shared" si="34"/>
        <v>&lt;td class="VMHSsched"&gt;Vincent Massey&lt;/td&gt;</v>
      </c>
      <c r="Q285" t="str">
        <f t="shared" si="35"/>
        <v>&lt;td&gt;75 - 73&lt;/td&gt;</v>
      </c>
      <c r="R285" t="str">
        <f t="shared" si="36"/>
        <v>&lt;td class="CPRSsched"&gt;Crocus Plains&lt;/td&gt;</v>
      </c>
      <c r="S285" t="str">
        <f t="shared" si="37"/>
        <v>&lt;td&gt;Zone 15 Regular Season&lt;/td&gt; &lt;/tr&gt;</v>
      </c>
    </row>
    <row r="286" spans="1:19" x14ac:dyDescent="0.25">
      <c r="A286" s="5">
        <v>42389</v>
      </c>
      <c r="B286" s="6">
        <v>0.6875</v>
      </c>
      <c r="C286" t="s">
        <v>31</v>
      </c>
      <c r="D286" t="s">
        <v>96</v>
      </c>
      <c r="E286">
        <v>67</v>
      </c>
      <c r="F286" t="s">
        <v>253</v>
      </c>
      <c r="H286">
        <v>83</v>
      </c>
      <c r="J286" t="str">
        <f t="shared" si="31"/>
        <v>H</v>
      </c>
      <c r="K286" t="s">
        <v>252</v>
      </c>
      <c r="L286" t="s">
        <v>228</v>
      </c>
      <c r="M286" t="s">
        <v>229</v>
      </c>
      <c r="N286" t="str">
        <f t="shared" si="32"/>
        <v>&lt;tr&gt; &lt;td&gt;Jan. 20&lt;/td&gt;</v>
      </c>
      <c r="O286" t="str">
        <f t="shared" si="33"/>
        <v>&lt;td&gt;4:30 PM&lt;/td&gt;</v>
      </c>
      <c r="P286" t="str">
        <f t="shared" si="34"/>
        <v>&lt;td class="TVHSsched"&gt;Tec Voc&lt;/td&gt;</v>
      </c>
      <c r="Q286" t="str">
        <f t="shared" si="35"/>
        <v>&lt;td&gt;67 - 83&lt;/td&gt;</v>
      </c>
      <c r="R286" t="str">
        <f t="shared" si="36"/>
        <v>&lt;td class="sched"&gt;St. James&lt;/td&gt;</v>
      </c>
      <c r="S286" t="str">
        <f t="shared" si="37"/>
        <v>&lt;td&gt;WWAC-WAC Tier 2 Regular Season&lt;/td&gt; &lt;/tr&gt;</v>
      </c>
    </row>
    <row r="287" spans="1:19" x14ac:dyDescent="0.25">
      <c r="A287" s="5">
        <v>42389</v>
      </c>
      <c r="B287" s="6">
        <v>0.6875</v>
      </c>
      <c r="C287" t="s">
        <v>26</v>
      </c>
      <c r="D287" t="s">
        <v>86</v>
      </c>
      <c r="E287">
        <v>65</v>
      </c>
      <c r="F287" t="s">
        <v>29</v>
      </c>
      <c r="G287" t="s">
        <v>91</v>
      </c>
      <c r="H287">
        <v>53</v>
      </c>
      <c r="J287" t="str">
        <f t="shared" si="31"/>
        <v>V</v>
      </c>
      <c r="K287" t="s">
        <v>252</v>
      </c>
      <c r="L287" t="s">
        <v>228</v>
      </c>
      <c r="M287" t="s">
        <v>229</v>
      </c>
      <c r="N287" t="str">
        <f t="shared" si="32"/>
        <v>&lt;tr&gt; &lt;td&gt;Jan. 20&lt;/td&gt;</v>
      </c>
      <c r="O287" t="str">
        <f t="shared" si="33"/>
        <v>&lt;td&gt;4:30 PM&lt;/td&gt;</v>
      </c>
      <c r="P287" t="str">
        <f t="shared" si="34"/>
        <v>&lt;td class="GBHSsched"&gt;Gordon Bell&lt;/td&gt;</v>
      </c>
      <c r="Q287" t="str">
        <f t="shared" si="35"/>
        <v>&lt;td&gt;65 - 53&lt;/td&gt;</v>
      </c>
      <c r="R287" t="str">
        <f t="shared" si="36"/>
        <v>&lt;td class="ShHSsched"&gt;Shaftesbury&lt;/td&gt;</v>
      </c>
      <c r="S287" t="str">
        <f t="shared" si="37"/>
        <v>&lt;td&gt;WWAC-WAC Tier 2 Regular Season&lt;/td&gt; &lt;/tr&gt;</v>
      </c>
    </row>
    <row r="288" spans="1:19" x14ac:dyDescent="0.25">
      <c r="A288" s="5">
        <v>42389</v>
      </c>
      <c r="B288" s="6">
        <v>0.6875</v>
      </c>
      <c r="C288" t="s">
        <v>30</v>
      </c>
      <c r="D288" t="s">
        <v>92</v>
      </c>
      <c r="E288">
        <v>81</v>
      </c>
      <c r="F288" t="s">
        <v>25</v>
      </c>
      <c r="G288" t="s">
        <v>84</v>
      </c>
      <c r="H288">
        <v>52</v>
      </c>
      <c r="J288" t="str">
        <f t="shared" si="31"/>
        <v>V</v>
      </c>
      <c r="K288" t="s">
        <v>252</v>
      </c>
      <c r="L288" t="s">
        <v>228</v>
      </c>
      <c r="M288" t="s">
        <v>229</v>
      </c>
      <c r="N288" t="str">
        <f t="shared" si="32"/>
        <v>&lt;tr&gt; &lt;td&gt;Jan. 20&lt;/td&gt;</v>
      </c>
      <c r="O288" t="str">
        <f t="shared" si="33"/>
        <v>&lt;td&gt;4:30 PM&lt;/td&gt;</v>
      </c>
      <c r="P288" t="str">
        <f t="shared" si="34"/>
        <v>&lt;td class="SJHSsched"&gt;St. John's&lt;/td&gt;</v>
      </c>
      <c r="Q288" t="str">
        <f t="shared" si="35"/>
        <v>&lt;td&gt;81 - 52&lt;/td&gt;</v>
      </c>
      <c r="R288" t="str">
        <f t="shared" si="36"/>
        <v>&lt;td class="EHSsched"&gt;Elmwood&lt;/td&gt;</v>
      </c>
      <c r="S288" t="str">
        <f t="shared" si="37"/>
        <v>&lt;td&gt;WWAC-WAC Tier 2 Regular Season&lt;/td&gt; &lt;/tr&gt;</v>
      </c>
    </row>
    <row r="289" spans="1:19" x14ac:dyDescent="0.25">
      <c r="A289" s="5">
        <v>42389</v>
      </c>
      <c r="B289" s="6">
        <v>0.6875</v>
      </c>
      <c r="C289" t="s">
        <v>24</v>
      </c>
      <c r="D289" t="s">
        <v>82</v>
      </c>
      <c r="E289">
        <v>76</v>
      </c>
      <c r="F289" t="s">
        <v>23</v>
      </c>
      <c r="G289" t="s">
        <v>80</v>
      </c>
      <c r="H289">
        <v>89</v>
      </c>
      <c r="J289" t="str">
        <f t="shared" si="31"/>
        <v>H</v>
      </c>
      <c r="K289" t="s">
        <v>251</v>
      </c>
      <c r="L289" t="s">
        <v>228</v>
      </c>
      <c r="M289" t="s">
        <v>229</v>
      </c>
      <c r="N289" t="str">
        <f t="shared" si="32"/>
        <v>&lt;tr&gt; &lt;td&gt;Jan. 20&lt;/td&gt;</v>
      </c>
      <c r="O289" t="str">
        <f t="shared" si="33"/>
        <v>&lt;td&gt;4:30 PM&lt;/td&gt;</v>
      </c>
      <c r="P289" t="str">
        <f t="shared" si="34"/>
        <v>&lt;td class="DMCIsched"&gt;Daniel McIntyre&lt;/td&gt;</v>
      </c>
      <c r="Q289" t="str">
        <f t="shared" si="35"/>
        <v>&lt;td&gt;76 - 89&lt;/td&gt;</v>
      </c>
      <c r="R289" t="str">
        <f t="shared" si="36"/>
        <v>&lt;td class="VMCsched"&gt;Vincent Massey&lt;/td&gt;</v>
      </c>
      <c r="S289" t="str">
        <f t="shared" si="37"/>
        <v>&lt;td&gt;WWAC-WAC Tier 1 Regular Season&lt;/td&gt; &lt;/tr&gt;</v>
      </c>
    </row>
    <row r="290" spans="1:19" x14ac:dyDescent="0.25">
      <c r="A290" s="5">
        <v>42389</v>
      </c>
      <c r="B290" s="6">
        <v>0.6875</v>
      </c>
      <c r="C290" t="s">
        <v>14</v>
      </c>
      <c r="D290" t="s">
        <v>94</v>
      </c>
      <c r="E290">
        <v>55</v>
      </c>
      <c r="F290" t="s">
        <v>10</v>
      </c>
      <c r="G290" t="s">
        <v>72</v>
      </c>
      <c r="H290">
        <v>81</v>
      </c>
      <c r="J290" t="str">
        <f t="shared" si="31"/>
        <v>H</v>
      </c>
      <c r="K290" t="s">
        <v>251</v>
      </c>
      <c r="L290" t="s">
        <v>228</v>
      </c>
      <c r="M290" t="s">
        <v>229</v>
      </c>
      <c r="N290" t="str">
        <f t="shared" si="32"/>
        <v>&lt;tr&gt; &lt;td&gt;Jan. 20&lt;/td&gt;</v>
      </c>
      <c r="O290" t="str">
        <f t="shared" si="33"/>
        <v>&lt;td&gt;4:30 PM&lt;/td&gt;</v>
      </c>
      <c r="P290" t="str">
        <f t="shared" si="34"/>
        <v>&lt;td class="SHCsched"&gt;Sturgeon Heights&lt;/td&gt;</v>
      </c>
      <c r="Q290" t="str">
        <f t="shared" si="35"/>
        <v>&lt;td&gt;55 - 81&lt;/td&gt;</v>
      </c>
      <c r="R290" t="str">
        <f t="shared" si="36"/>
        <v>&lt;td class="KHSsched"&gt;Kelvin&lt;/td&gt;</v>
      </c>
      <c r="S290" t="str">
        <f t="shared" si="37"/>
        <v>&lt;td&gt;WWAC-WAC Tier 1 Regular Season&lt;/td&gt; &lt;/tr&gt;</v>
      </c>
    </row>
    <row r="291" spans="1:19" x14ac:dyDescent="0.25">
      <c r="A291" s="5">
        <v>42389</v>
      </c>
      <c r="B291" s="6">
        <v>0.6875</v>
      </c>
      <c r="C291" t="s">
        <v>27</v>
      </c>
      <c r="D291" t="s">
        <v>88</v>
      </c>
      <c r="E291">
        <v>77</v>
      </c>
      <c r="F291" t="s">
        <v>15</v>
      </c>
      <c r="G291" t="s">
        <v>68</v>
      </c>
      <c r="H291">
        <v>95</v>
      </c>
      <c r="J291" t="str">
        <f t="shared" si="31"/>
        <v>H</v>
      </c>
      <c r="K291" t="s">
        <v>251</v>
      </c>
      <c r="L291" t="s">
        <v>228</v>
      </c>
      <c r="M291" t="s">
        <v>229</v>
      </c>
      <c r="N291" t="str">
        <f t="shared" si="32"/>
        <v>&lt;tr&gt; &lt;td&gt;Jan. 20&lt;/td&gt;</v>
      </c>
      <c r="O291" t="str">
        <f t="shared" si="33"/>
        <v>&lt;td&gt;4:30 PM&lt;/td&gt;</v>
      </c>
      <c r="P291" t="str">
        <f t="shared" si="34"/>
        <v>&lt;td class="GPHSsched"&gt;Grant Park&lt;/td&gt;</v>
      </c>
      <c r="Q291" t="str">
        <f t="shared" si="35"/>
        <v>&lt;td&gt;77 - 95&lt;/td&gt;</v>
      </c>
      <c r="R291" t="str">
        <f t="shared" si="36"/>
        <v>&lt;td class="FRCsched"&gt;Fort Richmond&lt;/td&gt;</v>
      </c>
      <c r="S291" t="str">
        <f t="shared" si="37"/>
        <v>&lt;td&gt;WWAC-WAC Tier 1 Regular Season&lt;/td&gt; &lt;/tr&gt;</v>
      </c>
    </row>
    <row r="292" spans="1:19" x14ac:dyDescent="0.25">
      <c r="A292" s="5">
        <v>42389</v>
      </c>
      <c r="B292" s="6">
        <v>0.75</v>
      </c>
      <c r="C292" t="s">
        <v>11</v>
      </c>
      <c r="D292" t="s">
        <v>48</v>
      </c>
      <c r="E292">
        <v>58</v>
      </c>
      <c r="F292" t="s">
        <v>7</v>
      </c>
      <c r="G292" t="s">
        <v>7</v>
      </c>
      <c r="H292">
        <v>75</v>
      </c>
      <c r="J292" t="str">
        <f t="shared" si="31"/>
        <v>H</v>
      </c>
      <c r="K292" t="s">
        <v>37</v>
      </c>
      <c r="L292" t="s">
        <v>228</v>
      </c>
      <c r="M292" t="s">
        <v>229</v>
      </c>
      <c r="N292" t="str">
        <f t="shared" si="32"/>
        <v>&lt;tr&gt; &lt;td&gt;Jan. 20&lt;/td&gt;</v>
      </c>
      <c r="O292" t="str">
        <f t="shared" si="33"/>
        <v>&lt;td&gt;6:00 PM&lt;/td&gt;</v>
      </c>
      <c r="P292" t="str">
        <f t="shared" si="34"/>
        <v>&lt;td class="MMCsched"&gt;Miles Macdonell&lt;/td&gt;</v>
      </c>
      <c r="Q292" t="str">
        <f t="shared" si="35"/>
        <v>&lt;td&gt;58 - 75&lt;/td&gt;</v>
      </c>
      <c r="R292" t="str">
        <f t="shared" si="36"/>
        <v>&lt;td class="MBCIsched"&gt;MBCI&lt;/td&gt;</v>
      </c>
      <c r="S292" t="str">
        <f t="shared" si="37"/>
        <v>&lt;td&gt;KPAC Regular Season&lt;/td&gt; &lt;/tr&gt;</v>
      </c>
    </row>
    <row r="293" spans="1:19" x14ac:dyDescent="0.25">
      <c r="A293" s="5">
        <v>42389</v>
      </c>
      <c r="B293" s="6">
        <v>0.75</v>
      </c>
      <c r="C293" t="s">
        <v>17</v>
      </c>
      <c r="D293" t="s">
        <v>50</v>
      </c>
      <c r="E293">
        <v>53</v>
      </c>
      <c r="F293" t="s">
        <v>2</v>
      </c>
      <c r="G293" t="s">
        <v>43</v>
      </c>
      <c r="H293">
        <v>69</v>
      </c>
      <c r="J293" t="str">
        <f t="shared" si="31"/>
        <v>H</v>
      </c>
      <c r="K293" t="s">
        <v>37</v>
      </c>
      <c r="L293" t="s">
        <v>228</v>
      </c>
      <c r="M293" t="s">
        <v>229</v>
      </c>
      <c r="N293" t="str">
        <f t="shared" si="32"/>
        <v>&lt;tr&gt; &lt;td&gt;Jan. 20&lt;/td&gt;</v>
      </c>
      <c r="O293" t="str">
        <f t="shared" si="33"/>
        <v>&lt;td&gt;6:00 PM&lt;/td&gt;</v>
      </c>
      <c r="P293" t="str">
        <f t="shared" si="34"/>
        <v>&lt;td class="MMCIsched"&gt;Murdoch MacKay&lt;/td&gt;</v>
      </c>
      <c r="Q293" t="str">
        <f t="shared" si="35"/>
        <v>&lt;td&gt;53 - 69&lt;/td&gt;</v>
      </c>
      <c r="R293" t="str">
        <f t="shared" si="36"/>
        <v>&lt;td class="KECsched"&gt;Kildonan-East&lt;/td&gt;</v>
      </c>
      <c r="S293" t="str">
        <f t="shared" si="37"/>
        <v>&lt;td&gt;KPAC Regular Season&lt;/td&gt; &lt;/tr&gt;</v>
      </c>
    </row>
    <row r="294" spans="1:19" x14ac:dyDescent="0.25">
      <c r="A294" s="5">
        <v>42389</v>
      </c>
      <c r="B294" s="6">
        <v>0.75</v>
      </c>
      <c r="C294" t="s">
        <v>4</v>
      </c>
      <c r="D294" t="s">
        <v>41</v>
      </c>
      <c r="E294">
        <v>110</v>
      </c>
      <c r="F294" t="s">
        <v>19</v>
      </c>
      <c r="G294" t="s">
        <v>56</v>
      </c>
      <c r="H294">
        <v>31</v>
      </c>
      <c r="J294" t="str">
        <f t="shared" si="31"/>
        <v>V</v>
      </c>
      <c r="K294" t="s">
        <v>37</v>
      </c>
      <c r="L294" t="s">
        <v>228</v>
      </c>
      <c r="M294" t="s">
        <v>229</v>
      </c>
      <c r="N294" t="str">
        <f t="shared" si="32"/>
        <v>&lt;tr&gt; &lt;td&gt;Jan. 20&lt;/td&gt;</v>
      </c>
      <c r="O294" t="str">
        <f t="shared" si="33"/>
        <v>&lt;td&gt;6:00 PM&lt;/td&gt;</v>
      </c>
      <c r="P294" t="str">
        <f t="shared" si="34"/>
        <v>&lt;td class="GCCsched"&gt;Garden City&lt;/td&gt;</v>
      </c>
      <c r="Q294" t="str">
        <f t="shared" si="35"/>
        <v>&lt;td&gt;110 - 31&lt;/td&gt;</v>
      </c>
      <c r="R294" t="str">
        <f t="shared" si="36"/>
        <v>&lt;td class="TCIsched"&gt;Transcona&lt;/td&gt;</v>
      </c>
      <c r="S294" t="str">
        <f t="shared" si="37"/>
        <v>&lt;td&gt;KPAC Regular Season&lt;/td&gt; &lt;/tr&gt;</v>
      </c>
    </row>
    <row r="295" spans="1:19" x14ac:dyDescent="0.25">
      <c r="A295" s="5">
        <v>42389</v>
      </c>
      <c r="B295" s="6">
        <v>0.75</v>
      </c>
      <c r="C295" t="s">
        <v>12</v>
      </c>
      <c r="D295" t="s">
        <v>54</v>
      </c>
      <c r="E295">
        <v>47</v>
      </c>
      <c r="F295" t="s">
        <v>104</v>
      </c>
      <c r="G295" t="s">
        <v>105</v>
      </c>
      <c r="H295">
        <v>52</v>
      </c>
      <c r="J295" t="str">
        <f t="shared" si="31"/>
        <v>H</v>
      </c>
      <c r="K295" t="s">
        <v>37</v>
      </c>
      <c r="L295" t="s">
        <v>228</v>
      </c>
      <c r="M295" t="s">
        <v>229</v>
      </c>
      <c r="N295" t="str">
        <f t="shared" si="32"/>
        <v>&lt;tr&gt; &lt;td&gt;Jan. 20&lt;/td&gt;</v>
      </c>
      <c r="O295" t="str">
        <f t="shared" si="33"/>
        <v>&lt;td&gt;6:00 PM&lt;/td&gt;</v>
      </c>
      <c r="P295" t="str">
        <f t="shared" si="34"/>
        <v>&lt;td class="LSsched"&gt;Selkirk&lt;/td&gt;</v>
      </c>
      <c r="Q295" t="str">
        <f t="shared" si="35"/>
        <v>&lt;td&gt;47 - 52&lt;/td&gt;</v>
      </c>
      <c r="R295" t="str">
        <f t="shared" si="36"/>
        <v>&lt;td class="SCIsched"&gt;Springfield&lt;/td&gt;</v>
      </c>
      <c r="S295" t="str">
        <f t="shared" si="37"/>
        <v>&lt;td&gt;KPAC Regular Season&lt;/td&gt; &lt;/tr&gt;</v>
      </c>
    </row>
    <row r="296" spans="1:19" x14ac:dyDescent="0.25">
      <c r="A296" s="5">
        <v>42389</v>
      </c>
      <c r="B296" s="6">
        <v>0.8125</v>
      </c>
      <c r="C296" t="s">
        <v>108</v>
      </c>
      <c r="D296" t="s">
        <v>109</v>
      </c>
      <c r="E296">
        <v>43</v>
      </c>
      <c r="F296" t="s">
        <v>238</v>
      </c>
      <c r="H296">
        <v>66</v>
      </c>
      <c r="J296" t="str">
        <f t="shared" si="31"/>
        <v>H</v>
      </c>
      <c r="K296" t="s">
        <v>236</v>
      </c>
      <c r="L296" t="s">
        <v>228</v>
      </c>
      <c r="M296" t="s">
        <v>229</v>
      </c>
      <c r="N296" t="str">
        <f t="shared" si="32"/>
        <v>&lt;tr&gt; &lt;td&gt;Jan. 20&lt;/td&gt;</v>
      </c>
      <c r="O296" t="str">
        <f t="shared" si="33"/>
        <v>&lt;td&gt;7:30 PM&lt;/td&gt;</v>
      </c>
      <c r="P296" t="str">
        <f t="shared" si="34"/>
        <v>&lt;td class="CJSsched"&gt;Jeanne-Sauv&amp;eacute;&lt;/td&gt;</v>
      </c>
      <c r="Q296" t="str">
        <f t="shared" si="35"/>
        <v>&lt;td&gt;43 - 66&lt;/td&gt;</v>
      </c>
      <c r="R296" t="str">
        <f t="shared" si="36"/>
        <v>&lt;td class="sched"&gt;L&amp;eacute;o-R&amp;eacute;millard&lt;/td&gt;</v>
      </c>
      <c r="S296" t="str">
        <f t="shared" si="37"/>
        <v>&lt;td&gt;SCAC Tier 2 Regular Season&lt;/td&gt; &lt;/tr&gt;</v>
      </c>
    </row>
    <row r="297" spans="1:19" x14ac:dyDescent="0.25">
      <c r="A297" s="5">
        <v>42389</v>
      </c>
      <c r="B297" s="6">
        <v>0.8125</v>
      </c>
      <c r="C297" t="s">
        <v>8</v>
      </c>
      <c r="D297" t="s">
        <v>60</v>
      </c>
      <c r="E297">
        <v>83</v>
      </c>
      <c r="F297" t="s">
        <v>213</v>
      </c>
      <c r="G297" t="s">
        <v>540</v>
      </c>
      <c r="H297">
        <v>58</v>
      </c>
      <c r="J297" t="str">
        <f t="shared" si="31"/>
        <v>V</v>
      </c>
      <c r="K297" t="s">
        <v>281</v>
      </c>
      <c r="L297" t="s">
        <v>228</v>
      </c>
      <c r="M297" t="s">
        <v>229</v>
      </c>
      <c r="N297" t="str">
        <f t="shared" si="32"/>
        <v>&lt;tr&gt; &lt;td&gt;Jan. 20&lt;/td&gt;</v>
      </c>
      <c r="O297" t="str">
        <f t="shared" si="33"/>
        <v>&lt;td&gt;7:30 PM&lt;/td&gt;</v>
      </c>
      <c r="P297" t="str">
        <f t="shared" si="34"/>
        <v>&lt;td class="DCIsched"&gt;Dakota&lt;/td&gt;</v>
      </c>
      <c r="Q297" t="str">
        <f t="shared" si="35"/>
        <v>&lt;td&gt;83 - 58&lt;/td&gt;</v>
      </c>
      <c r="R297" t="str">
        <f t="shared" si="36"/>
        <v>&lt;td class="SJRsched"&gt;St. John's-Ravenscourt&lt;/td&gt;</v>
      </c>
      <c r="S297" t="str">
        <f t="shared" si="37"/>
        <v>&lt;td&gt;SCAC Tier 1 Regular Season&lt;/td&gt; &lt;/tr&gt;</v>
      </c>
    </row>
    <row r="298" spans="1:19" x14ac:dyDescent="0.25">
      <c r="A298" s="5">
        <v>42389</v>
      </c>
      <c r="B298" s="6">
        <v>0.8125</v>
      </c>
      <c r="C298" t="s">
        <v>5</v>
      </c>
      <c r="D298" t="s">
        <v>62</v>
      </c>
      <c r="E298">
        <v>67</v>
      </c>
      <c r="F298" t="s">
        <v>21</v>
      </c>
      <c r="G298" t="s">
        <v>64</v>
      </c>
      <c r="H298">
        <v>61</v>
      </c>
      <c r="J298" t="str">
        <f t="shared" si="31"/>
        <v>V</v>
      </c>
      <c r="K298" t="s">
        <v>281</v>
      </c>
      <c r="L298" t="s">
        <v>228</v>
      </c>
      <c r="M298" t="s">
        <v>229</v>
      </c>
      <c r="N298" t="str">
        <f t="shared" si="32"/>
        <v>&lt;tr&gt; &lt;td&gt;Jan. 20&lt;/td&gt;</v>
      </c>
      <c r="O298" t="str">
        <f t="shared" si="33"/>
        <v>&lt;td&gt;7:30 PM&lt;/td&gt;</v>
      </c>
      <c r="P298" t="str">
        <f t="shared" si="34"/>
        <v>&lt;td class="GCIsched"&gt;Glenlawn&lt;/td&gt;</v>
      </c>
      <c r="Q298" t="str">
        <f t="shared" si="35"/>
        <v>&lt;td&gt;67 - 61&lt;/td&gt;</v>
      </c>
      <c r="R298" t="str">
        <f t="shared" si="36"/>
        <v>&lt;td class="JHBsched"&gt;J.H. Bruns&lt;/td&gt;</v>
      </c>
      <c r="S298" t="str">
        <f t="shared" si="37"/>
        <v>&lt;td&gt;SCAC Tier 1 Regular Season&lt;/td&gt; &lt;/tr&gt;</v>
      </c>
    </row>
    <row r="299" spans="1:19" x14ac:dyDescent="0.25">
      <c r="A299" s="5">
        <v>42391</v>
      </c>
      <c r="B299" s="6">
        <v>0.625</v>
      </c>
      <c r="C299" t="s">
        <v>574</v>
      </c>
      <c r="E299">
        <v>52</v>
      </c>
      <c r="F299" t="s">
        <v>32</v>
      </c>
      <c r="G299" t="s">
        <v>100</v>
      </c>
      <c r="H299">
        <v>69</v>
      </c>
      <c r="J299" t="str">
        <f t="shared" si="31"/>
        <v>H</v>
      </c>
      <c r="K299" t="s">
        <v>572</v>
      </c>
      <c r="N299" t="str">
        <f t="shared" si="32"/>
        <v>&lt;tr&gt; &lt;td&gt;Jan. 22&lt;/td&gt;</v>
      </c>
      <c r="O299" t="str">
        <f t="shared" si="33"/>
        <v>&lt;td&gt;3:00 PM&lt;/td&gt;</v>
      </c>
      <c r="P299" t="str">
        <f t="shared" si="34"/>
        <v>&lt;td class="sched"&gt;Dauphin&lt;/td&gt;</v>
      </c>
      <c r="Q299" t="str">
        <f t="shared" si="35"/>
        <v>&lt;td&gt;52 - 69&lt;/td&gt;</v>
      </c>
      <c r="R299" t="str">
        <f t="shared" si="36"/>
        <v>&lt;td class="CPRSsched"&gt;Crocus Plains&lt;/td&gt;</v>
      </c>
      <c r="S299" t="str">
        <f t="shared" si="37"/>
        <v>&lt;td&gt;NIT &lt;/td&gt; &lt;/tr&gt;</v>
      </c>
    </row>
    <row r="300" spans="1:19" x14ac:dyDescent="0.25">
      <c r="A300" s="5">
        <v>42391</v>
      </c>
      <c r="B300" s="6">
        <v>0.625</v>
      </c>
      <c r="C300" t="s">
        <v>289</v>
      </c>
      <c r="E300">
        <v>68</v>
      </c>
      <c r="F300" t="s">
        <v>23</v>
      </c>
      <c r="G300" t="s">
        <v>102</v>
      </c>
      <c r="H300">
        <v>50</v>
      </c>
      <c r="J300" t="str">
        <f t="shared" si="31"/>
        <v>V</v>
      </c>
      <c r="K300" t="s">
        <v>572</v>
      </c>
      <c r="N300" t="str">
        <f t="shared" si="32"/>
        <v>&lt;tr&gt; &lt;td&gt;Jan. 22&lt;/td&gt;</v>
      </c>
      <c r="O300" t="str">
        <f t="shared" si="33"/>
        <v>&lt;td&gt;3:00 PM&lt;/td&gt;</v>
      </c>
      <c r="P300" t="str">
        <f t="shared" si="34"/>
        <v>&lt;td class="sched"&gt;Glenboro&lt;/td&gt;</v>
      </c>
      <c r="Q300" t="str">
        <f t="shared" si="35"/>
        <v>&lt;td&gt;68 - 50&lt;/td&gt;</v>
      </c>
      <c r="R300" t="str">
        <f t="shared" si="36"/>
        <v>&lt;td class="VMHSsched"&gt;Vincent Massey&lt;/td&gt;</v>
      </c>
      <c r="S300" t="str">
        <f t="shared" si="37"/>
        <v>&lt;td&gt;NIT &lt;/td&gt; &lt;/tr&gt;</v>
      </c>
    </row>
    <row r="301" spans="1:19" x14ac:dyDescent="0.25">
      <c r="A301" s="5">
        <v>42391</v>
      </c>
      <c r="C301" t="s">
        <v>19</v>
      </c>
      <c r="D301" t="s">
        <v>56</v>
      </c>
      <c r="E301">
        <v>41</v>
      </c>
      <c r="F301" t="s">
        <v>22</v>
      </c>
      <c r="G301" t="s">
        <v>66</v>
      </c>
      <c r="H301">
        <v>61</v>
      </c>
      <c r="J301" t="str">
        <f t="shared" si="31"/>
        <v>H</v>
      </c>
      <c r="K301" t="s">
        <v>198</v>
      </c>
      <c r="L301" t="s">
        <v>174</v>
      </c>
      <c r="N301" t="str">
        <f t="shared" si="32"/>
        <v>&lt;tr&gt; &lt;td&gt;Jan. 22&lt;/td&gt;</v>
      </c>
      <c r="O301" t="str">
        <f t="shared" si="33"/>
        <v>&lt;td&gt;&lt;/td&gt;</v>
      </c>
      <c r="P301" t="str">
        <f t="shared" si="34"/>
        <v>&lt;td class="TCIsched"&gt;Transcona&lt;/td&gt;</v>
      </c>
      <c r="Q301" t="str">
        <f t="shared" si="35"/>
        <v>&lt;td&gt;41 - 61&lt;/td&gt;</v>
      </c>
      <c r="R301" t="str">
        <f t="shared" si="36"/>
        <v>&lt;td class="SRSSsched"&gt;Steinbach&lt;/td&gt;</v>
      </c>
      <c r="S301" t="str">
        <f t="shared" si="37"/>
        <v>&lt;td&gt;Windsor Park Quarterfinal 2&lt;/td&gt; &lt;/tr&gt;</v>
      </c>
    </row>
    <row r="302" spans="1:19" x14ac:dyDescent="0.25">
      <c r="A302" s="5">
        <v>42392</v>
      </c>
      <c r="B302" s="6">
        <v>0.375</v>
      </c>
      <c r="C302" t="s">
        <v>289</v>
      </c>
      <c r="E302">
        <v>59</v>
      </c>
      <c r="F302" t="s">
        <v>32</v>
      </c>
      <c r="G302" t="s">
        <v>100</v>
      </c>
      <c r="H302">
        <v>83</v>
      </c>
      <c r="J302" t="str">
        <f t="shared" si="31"/>
        <v>H</v>
      </c>
      <c r="K302" t="s">
        <v>572</v>
      </c>
      <c r="N302" t="str">
        <f t="shared" si="32"/>
        <v>&lt;tr&gt; &lt;td&gt;Jan. 23&lt;/td&gt;</v>
      </c>
      <c r="O302" t="str">
        <f t="shared" si="33"/>
        <v>&lt;td&gt;9:00 AM&lt;/td&gt;</v>
      </c>
      <c r="P302" t="str">
        <f t="shared" si="34"/>
        <v>&lt;td class="sched"&gt;Glenboro&lt;/td&gt;</v>
      </c>
      <c r="Q302" t="str">
        <f t="shared" si="35"/>
        <v>&lt;td&gt;59 - 83&lt;/td&gt;</v>
      </c>
      <c r="R302" t="str">
        <f t="shared" si="36"/>
        <v>&lt;td class="CPRSsched"&gt;Crocus Plains&lt;/td&gt;</v>
      </c>
      <c r="S302" t="str">
        <f t="shared" si="37"/>
        <v>&lt;td&gt;NIT &lt;/td&gt; &lt;/tr&gt;</v>
      </c>
    </row>
    <row r="303" spans="1:19" x14ac:dyDescent="0.25">
      <c r="A303" s="5">
        <v>42392</v>
      </c>
      <c r="B303" s="6">
        <v>0.375</v>
      </c>
      <c r="C303" t="s">
        <v>220</v>
      </c>
      <c r="E303">
        <v>65</v>
      </c>
      <c r="F303" t="s">
        <v>23</v>
      </c>
      <c r="G303" t="s">
        <v>102</v>
      </c>
      <c r="H303">
        <v>57</v>
      </c>
      <c r="J303" t="str">
        <f t="shared" si="31"/>
        <v>V</v>
      </c>
      <c r="K303" t="s">
        <v>572</v>
      </c>
      <c r="N303" t="str">
        <f t="shared" si="32"/>
        <v>&lt;tr&gt; &lt;td&gt;Jan. 23&lt;/td&gt;</v>
      </c>
      <c r="O303" t="str">
        <f t="shared" si="33"/>
        <v>&lt;td&gt;9:00 AM&lt;/td&gt;</v>
      </c>
      <c r="P303" t="str">
        <f t="shared" si="34"/>
        <v>&lt;td class="sched"&gt;Swan Valley&lt;/td&gt;</v>
      </c>
      <c r="Q303" t="str">
        <f t="shared" si="35"/>
        <v>&lt;td&gt;65 - 57&lt;/td&gt;</v>
      </c>
      <c r="R303" t="str">
        <f t="shared" si="36"/>
        <v>&lt;td class="VMHSsched"&gt;Vincent Massey&lt;/td&gt;</v>
      </c>
      <c r="S303" t="str">
        <f t="shared" si="37"/>
        <v>&lt;td&gt;NIT &lt;/td&gt; &lt;/tr&gt;</v>
      </c>
    </row>
    <row r="304" spans="1:19" x14ac:dyDescent="0.25">
      <c r="A304" s="5">
        <v>42392</v>
      </c>
      <c r="B304" s="6">
        <v>0.52083333333333337</v>
      </c>
      <c r="C304" t="s">
        <v>574</v>
      </c>
      <c r="E304">
        <v>67</v>
      </c>
      <c r="F304" t="s">
        <v>23</v>
      </c>
      <c r="G304" t="s">
        <v>102</v>
      </c>
      <c r="H304">
        <v>54</v>
      </c>
      <c r="J304" t="str">
        <f t="shared" si="31"/>
        <v>V</v>
      </c>
      <c r="K304" t="s">
        <v>572</v>
      </c>
      <c r="N304" t="str">
        <f t="shared" si="32"/>
        <v>&lt;tr&gt; &lt;td&gt;Jan. 23&lt;/td&gt;</v>
      </c>
      <c r="O304" t="str">
        <f t="shared" si="33"/>
        <v>&lt;td&gt;12:30 PM&lt;/td&gt;</v>
      </c>
      <c r="P304" t="str">
        <f t="shared" si="34"/>
        <v>&lt;td class="sched"&gt;Dauphin&lt;/td&gt;</v>
      </c>
      <c r="Q304" t="str">
        <f t="shared" si="35"/>
        <v>&lt;td&gt;67 - 54&lt;/td&gt;</v>
      </c>
      <c r="R304" t="str">
        <f t="shared" si="36"/>
        <v>&lt;td class="VMHSsched"&gt;Vincent Massey&lt;/td&gt;</v>
      </c>
      <c r="S304" t="str">
        <f t="shared" si="37"/>
        <v>&lt;td&gt;NIT &lt;/td&gt; &lt;/tr&gt;</v>
      </c>
    </row>
    <row r="305" spans="1:19" x14ac:dyDescent="0.25">
      <c r="A305" s="5">
        <v>42392</v>
      </c>
      <c r="B305" s="6">
        <v>0.59375</v>
      </c>
      <c r="C305" t="s">
        <v>220</v>
      </c>
      <c r="E305">
        <v>69</v>
      </c>
      <c r="F305" t="s">
        <v>32</v>
      </c>
      <c r="G305" t="s">
        <v>100</v>
      </c>
      <c r="H305">
        <v>62</v>
      </c>
      <c r="J305" t="str">
        <f t="shared" si="31"/>
        <v>V</v>
      </c>
      <c r="K305" t="s">
        <v>572</v>
      </c>
      <c r="N305" t="str">
        <f t="shared" si="32"/>
        <v>&lt;tr&gt; &lt;td&gt;Jan. 23&lt;/td&gt;</v>
      </c>
      <c r="O305" t="str">
        <f t="shared" si="33"/>
        <v>&lt;td&gt;2:15 PM&lt;/td&gt;</v>
      </c>
      <c r="P305" t="str">
        <f t="shared" si="34"/>
        <v>&lt;td class="sched"&gt;Swan Valley&lt;/td&gt;</v>
      </c>
      <c r="Q305" t="str">
        <f t="shared" si="35"/>
        <v>&lt;td&gt;69 - 62&lt;/td&gt;</v>
      </c>
      <c r="R305" t="str">
        <f t="shared" si="36"/>
        <v>&lt;td class="CPRSsched"&gt;Crocus Plains&lt;/td&gt;</v>
      </c>
      <c r="S305" t="str">
        <f t="shared" si="37"/>
        <v>&lt;td&gt;NIT &lt;/td&gt; &lt;/tr&gt;</v>
      </c>
    </row>
    <row r="306" spans="1:19" x14ac:dyDescent="0.25">
      <c r="A306" s="5">
        <v>42392</v>
      </c>
      <c r="C306" t="s">
        <v>19</v>
      </c>
      <c r="D306" t="s">
        <v>56</v>
      </c>
      <c r="E306">
        <v>59</v>
      </c>
      <c r="F306" t="s">
        <v>723</v>
      </c>
      <c r="H306">
        <v>52</v>
      </c>
      <c r="J306" t="str">
        <f t="shared" si="31"/>
        <v>V</v>
      </c>
      <c r="K306" t="s">
        <v>198</v>
      </c>
      <c r="L306" t="s">
        <v>177</v>
      </c>
      <c r="N306" t="str">
        <f t="shared" si="32"/>
        <v>&lt;tr&gt; &lt;td&gt;Jan. 23&lt;/td&gt;</v>
      </c>
      <c r="O306" t="str">
        <f t="shared" si="33"/>
        <v>&lt;td&gt;&lt;/td&gt;</v>
      </c>
      <c r="P306" t="str">
        <f t="shared" si="34"/>
        <v>&lt;td class="TCIsched"&gt;Transcona&lt;/td&gt;</v>
      </c>
      <c r="Q306" t="str">
        <f t="shared" si="35"/>
        <v>&lt;td&gt;59 - 52&lt;/td&gt;</v>
      </c>
      <c r="R306" t="str">
        <f t="shared" si="36"/>
        <v>&lt;td class="sched"&gt;Springs Christian&lt;/td&gt;</v>
      </c>
      <c r="S306" t="str">
        <f t="shared" si="37"/>
        <v>&lt;td&gt;Windsor Park Consolation Semi 1&lt;/td&gt; &lt;/tr&gt;</v>
      </c>
    </row>
    <row r="307" spans="1:19" x14ac:dyDescent="0.25">
      <c r="A307" s="5">
        <v>42392</v>
      </c>
      <c r="C307" t="s">
        <v>22</v>
      </c>
      <c r="D307" t="s">
        <v>66</v>
      </c>
      <c r="E307">
        <v>68</v>
      </c>
      <c r="F307" t="s">
        <v>198</v>
      </c>
      <c r="H307">
        <v>57</v>
      </c>
      <c r="J307" t="str">
        <f t="shared" si="31"/>
        <v>V</v>
      </c>
      <c r="K307" t="s">
        <v>198</v>
      </c>
      <c r="L307" t="s">
        <v>179</v>
      </c>
      <c r="N307" t="str">
        <f t="shared" si="32"/>
        <v>&lt;tr&gt; &lt;td&gt;Jan. 23&lt;/td&gt;</v>
      </c>
      <c r="O307" t="str">
        <f t="shared" si="33"/>
        <v>&lt;td&gt;&lt;/td&gt;</v>
      </c>
      <c r="P307" t="str">
        <f t="shared" si="34"/>
        <v>&lt;td class="SRSSsched"&gt;Steinbach&lt;/td&gt;</v>
      </c>
      <c r="Q307" t="str">
        <f t="shared" si="35"/>
        <v>&lt;td&gt;68 - 57&lt;/td&gt;</v>
      </c>
      <c r="R307" t="str">
        <f t="shared" si="36"/>
        <v>&lt;td class="sched"&gt;Windsor Park&lt;/td&gt;</v>
      </c>
      <c r="S307" t="str">
        <f t="shared" si="37"/>
        <v>&lt;td&gt;Windsor Park Semifinal 1&lt;/td&gt; &lt;/tr&gt;</v>
      </c>
    </row>
    <row r="308" spans="1:19" x14ac:dyDescent="0.25">
      <c r="A308" s="5">
        <v>42392</v>
      </c>
      <c r="C308" t="s">
        <v>272</v>
      </c>
      <c r="E308">
        <v>70</v>
      </c>
      <c r="F308" t="s">
        <v>19</v>
      </c>
      <c r="G308" t="s">
        <v>56</v>
      </c>
      <c r="H308">
        <v>61</v>
      </c>
      <c r="J308" t="str">
        <f t="shared" ref="J308:J371" si="38">IF(H308&gt;E308,"H",IF(E308&gt;H308,"V",""))</f>
        <v>V</v>
      </c>
      <c r="K308" t="s">
        <v>198</v>
      </c>
      <c r="L308" t="s">
        <v>182</v>
      </c>
      <c r="N308" t="str">
        <f t="shared" si="32"/>
        <v>&lt;tr&gt; &lt;td&gt;Jan. 23&lt;/td&gt;</v>
      </c>
      <c r="O308" t="str">
        <f t="shared" si="33"/>
        <v>&lt;td&gt;&lt;/td&gt;</v>
      </c>
      <c r="P308" t="str">
        <f t="shared" si="34"/>
        <v>&lt;td class="sched"&gt;Lorette&lt;/td&gt;</v>
      </c>
      <c r="Q308" t="str">
        <f t="shared" si="35"/>
        <v>&lt;td&gt;70 - 61&lt;/td&gt;</v>
      </c>
      <c r="R308" t="str">
        <f t="shared" si="36"/>
        <v>&lt;td class="TCIsched"&gt;Transcona&lt;/td&gt;</v>
      </c>
      <c r="S308" t="str">
        <f t="shared" si="37"/>
        <v>&lt;td&gt;Windsor Park Consolation Final&lt;/td&gt; &lt;/tr&gt;</v>
      </c>
    </row>
    <row r="309" spans="1:19" x14ac:dyDescent="0.25">
      <c r="A309" s="5">
        <v>42392</v>
      </c>
      <c r="C309" t="s">
        <v>240</v>
      </c>
      <c r="E309">
        <v>49</v>
      </c>
      <c r="F309" t="s">
        <v>22</v>
      </c>
      <c r="G309" t="s">
        <v>66</v>
      </c>
      <c r="H309">
        <v>87</v>
      </c>
      <c r="J309" t="str">
        <f t="shared" si="38"/>
        <v>H</v>
      </c>
      <c r="K309" t="s">
        <v>198</v>
      </c>
      <c r="L309" t="s">
        <v>184</v>
      </c>
      <c r="N309" t="str">
        <f t="shared" si="32"/>
        <v>&lt;tr&gt; &lt;td&gt;Jan. 23&lt;/td&gt;</v>
      </c>
      <c r="O309" t="str">
        <f t="shared" si="33"/>
        <v>&lt;td&gt;&lt;/td&gt;</v>
      </c>
      <c r="P309" t="str">
        <f t="shared" si="34"/>
        <v>&lt;td class="sched"&gt;Nelson McIntyre&lt;/td&gt;</v>
      </c>
      <c r="Q309" t="str">
        <f t="shared" si="35"/>
        <v>&lt;td&gt;49 - 87&lt;/td&gt;</v>
      </c>
      <c r="R309" t="str">
        <f t="shared" si="36"/>
        <v>&lt;td class="SRSSsched"&gt;Steinbach&lt;/td&gt;</v>
      </c>
      <c r="S309" t="str">
        <f t="shared" si="37"/>
        <v>&lt;td&gt;Windsor Park Championship&lt;/td&gt; &lt;/tr&gt;</v>
      </c>
    </row>
    <row r="310" spans="1:19" x14ac:dyDescent="0.25">
      <c r="A310" s="5">
        <v>42394</v>
      </c>
      <c r="B310" s="6">
        <v>0.6875</v>
      </c>
      <c r="C310" t="s">
        <v>29</v>
      </c>
      <c r="D310" t="s">
        <v>91</v>
      </c>
      <c r="E310">
        <v>63</v>
      </c>
      <c r="F310" t="s">
        <v>13</v>
      </c>
      <c r="G310" t="s">
        <v>98</v>
      </c>
      <c r="H310">
        <v>78</v>
      </c>
      <c r="J310" t="str">
        <f t="shared" si="38"/>
        <v>H</v>
      </c>
      <c r="K310" t="s">
        <v>252</v>
      </c>
      <c r="L310" t="s">
        <v>228</v>
      </c>
      <c r="M310" t="s">
        <v>229</v>
      </c>
      <c r="N310" t="str">
        <f t="shared" si="32"/>
        <v>&lt;tr&gt; &lt;td&gt;Jan. 25&lt;/td&gt;</v>
      </c>
      <c r="O310" t="str">
        <f t="shared" si="33"/>
        <v>&lt;td&gt;4:30 PM&lt;/td&gt;</v>
      </c>
      <c r="P310" t="str">
        <f t="shared" si="34"/>
        <v>&lt;td class="ShHSsched"&gt;Shaftesbury&lt;/td&gt;</v>
      </c>
      <c r="Q310" t="str">
        <f t="shared" si="35"/>
        <v>&lt;td&gt;63 - 78&lt;/td&gt;</v>
      </c>
      <c r="R310" t="str">
        <f t="shared" si="36"/>
        <v>&lt;td class="WWCsched"&gt;Westwood&lt;/td&gt;</v>
      </c>
      <c r="S310" t="str">
        <f t="shared" si="37"/>
        <v>&lt;td&gt;WWAC-WAC Tier 2 Regular Season&lt;/td&gt; &lt;/tr&gt;</v>
      </c>
    </row>
    <row r="311" spans="1:19" x14ac:dyDescent="0.25">
      <c r="A311" s="5">
        <v>42394</v>
      </c>
      <c r="B311" s="6">
        <v>0.75</v>
      </c>
      <c r="C311" t="s">
        <v>2</v>
      </c>
      <c r="D311" t="s">
        <v>43</v>
      </c>
      <c r="E311">
        <v>88</v>
      </c>
      <c r="F311" t="s">
        <v>20</v>
      </c>
      <c r="G311" t="s">
        <v>58</v>
      </c>
      <c r="H311">
        <v>40</v>
      </c>
      <c r="J311" t="str">
        <f t="shared" si="38"/>
        <v>V</v>
      </c>
      <c r="K311" t="s">
        <v>37</v>
      </c>
      <c r="L311" t="s">
        <v>228</v>
      </c>
      <c r="M311" t="s">
        <v>229</v>
      </c>
      <c r="N311" t="str">
        <f t="shared" si="32"/>
        <v>&lt;tr&gt; &lt;td&gt;Jan. 25&lt;/td&gt;</v>
      </c>
      <c r="O311" t="str">
        <f t="shared" si="33"/>
        <v>&lt;td&gt;6:00 PM&lt;/td&gt;</v>
      </c>
      <c r="P311" t="str">
        <f t="shared" si="34"/>
        <v>&lt;td class="KECsched"&gt;Kildonan-East&lt;/td&gt;</v>
      </c>
      <c r="Q311" t="str">
        <f t="shared" si="35"/>
        <v>&lt;td&gt;88 - 40&lt;/td&gt;</v>
      </c>
      <c r="R311" t="str">
        <f t="shared" si="36"/>
        <v>&lt;td class="WKCsched"&gt;West Kildonan&lt;/td&gt;</v>
      </c>
      <c r="S311" t="str">
        <f t="shared" si="37"/>
        <v>&lt;td&gt;KPAC Regular Season&lt;/td&gt; &lt;/tr&gt;</v>
      </c>
    </row>
    <row r="312" spans="1:19" x14ac:dyDescent="0.25">
      <c r="A312" s="5">
        <v>42394</v>
      </c>
      <c r="B312" s="6">
        <v>0.76041666666666663</v>
      </c>
      <c r="C312" t="s">
        <v>25</v>
      </c>
      <c r="D312" t="s">
        <v>84</v>
      </c>
      <c r="E312">
        <v>57</v>
      </c>
      <c r="F312" t="s">
        <v>26</v>
      </c>
      <c r="G312" t="s">
        <v>86</v>
      </c>
      <c r="H312">
        <v>79</v>
      </c>
      <c r="J312" t="str">
        <f t="shared" si="38"/>
        <v>H</v>
      </c>
      <c r="K312" t="s">
        <v>252</v>
      </c>
      <c r="L312" t="s">
        <v>228</v>
      </c>
      <c r="M312" t="s">
        <v>229</v>
      </c>
      <c r="N312" t="str">
        <f t="shared" si="32"/>
        <v>&lt;tr&gt; &lt;td&gt;Jan. 25&lt;/td&gt;</v>
      </c>
      <c r="O312" t="str">
        <f t="shared" si="33"/>
        <v>&lt;td&gt;6:15 PM&lt;/td&gt;</v>
      </c>
      <c r="P312" t="str">
        <f t="shared" si="34"/>
        <v>&lt;td class="EHSsched"&gt;Elmwood&lt;/td&gt;</v>
      </c>
      <c r="Q312" t="str">
        <f t="shared" si="35"/>
        <v>&lt;td&gt;57 - 79&lt;/td&gt;</v>
      </c>
      <c r="R312" t="str">
        <f t="shared" si="36"/>
        <v>&lt;td class="GBHSsched"&gt;Gordon Bell&lt;/td&gt;</v>
      </c>
      <c r="S312" t="str">
        <f t="shared" si="37"/>
        <v>&lt;td&gt;WWAC-WAC Tier 2 Regular Season&lt;/td&gt; &lt;/tr&gt;</v>
      </c>
    </row>
    <row r="313" spans="1:19" x14ac:dyDescent="0.25">
      <c r="A313" s="5">
        <v>42394</v>
      </c>
      <c r="B313" s="6">
        <v>0.76041666666666663</v>
      </c>
      <c r="C313" t="s">
        <v>9</v>
      </c>
      <c r="D313" t="s">
        <v>76</v>
      </c>
      <c r="E313">
        <v>71</v>
      </c>
      <c r="F313" t="s">
        <v>1</v>
      </c>
      <c r="G313" t="s">
        <v>74</v>
      </c>
      <c r="H313">
        <v>80</v>
      </c>
      <c r="J313" t="str">
        <f t="shared" si="38"/>
        <v>H</v>
      </c>
      <c r="K313" t="s">
        <v>251</v>
      </c>
      <c r="L313" t="s">
        <v>228</v>
      </c>
      <c r="M313" t="s">
        <v>229</v>
      </c>
      <c r="N313" t="str">
        <f t="shared" si="32"/>
        <v>&lt;tr&gt; &lt;td&gt;Jan. 25&lt;/td&gt;</v>
      </c>
      <c r="O313" t="str">
        <f t="shared" si="33"/>
        <v>&lt;td&gt;6:15 PM&lt;/td&gt;</v>
      </c>
      <c r="P313" t="str">
        <f t="shared" si="34"/>
        <v>&lt;td class="SiHSsched"&gt;Sisler&lt;/td&gt;</v>
      </c>
      <c r="Q313" t="str">
        <f t="shared" si="35"/>
        <v>&lt;td&gt;71 - 80&lt;/td&gt;</v>
      </c>
      <c r="R313" t="str">
        <f t="shared" si="36"/>
        <v>&lt;td class="OPHSsched"&gt;Oak Park&lt;/td&gt;</v>
      </c>
      <c r="S313" t="str">
        <f t="shared" si="37"/>
        <v>&lt;td&gt;WWAC-WAC Tier 1 Regular Season&lt;/td&gt; &lt;/tr&gt;</v>
      </c>
    </row>
    <row r="314" spans="1:19" x14ac:dyDescent="0.25">
      <c r="A314" s="5">
        <v>42394</v>
      </c>
      <c r="B314" s="6">
        <v>0.76041666666666663</v>
      </c>
      <c r="C314" t="s">
        <v>15</v>
      </c>
      <c r="D314" t="s">
        <v>68</v>
      </c>
      <c r="E314">
        <v>83</v>
      </c>
      <c r="F314" t="s">
        <v>14</v>
      </c>
      <c r="G314" t="s">
        <v>94</v>
      </c>
      <c r="H314">
        <v>51</v>
      </c>
      <c r="J314" t="str">
        <f t="shared" si="38"/>
        <v>V</v>
      </c>
      <c r="K314" t="s">
        <v>251</v>
      </c>
      <c r="L314" t="s">
        <v>228</v>
      </c>
      <c r="M314" t="s">
        <v>229</v>
      </c>
      <c r="N314" t="str">
        <f t="shared" si="32"/>
        <v>&lt;tr&gt; &lt;td&gt;Jan. 25&lt;/td&gt;</v>
      </c>
      <c r="O314" t="str">
        <f t="shared" si="33"/>
        <v>&lt;td&gt;6:15 PM&lt;/td&gt;</v>
      </c>
      <c r="P314" t="str">
        <f t="shared" si="34"/>
        <v>&lt;td class="FRCsched"&gt;Fort Richmond&lt;/td&gt;</v>
      </c>
      <c r="Q314" t="str">
        <f t="shared" si="35"/>
        <v>&lt;td&gt;83 - 51&lt;/td&gt;</v>
      </c>
      <c r="R314" t="str">
        <f t="shared" si="36"/>
        <v>&lt;td class="SHCsched"&gt;Sturgeon Heights&lt;/td&gt;</v>
      </c>
      <c r="S314" t="str">
        <f t="shared" si="37"/>
        <v>&lt;td&gt;WWAC-WAC Tier 1 Regular Season&lt;/td&gt; &lt;/tr&gt;</v>
      </c>
    </row>
    <row r="315" spans="1:19" x14ac:dyDescent="0.25">
      <c r="A315" s="5">
        <v>42394</v>
      </c>
      <c r="B315" s="6">
        <v>0.76041666666666663</v>
      </c>
      <c r="C315" t="s">
        <v>10</v>
      </c>
      <c r="D315" t="s">
        <v>72</v>
      </c>
      <c r="E315">
        <v>62</v>
      </c>
      <c r="F315" t="s">
        <v>6</v>
      </c>
      <c r="G315" t="s">
        <v>70</v>
      </c>
      <c r="H315">
        <v>99</v>
      </c>
      <c r="J315" t="str">
        <f t="shared" si="38"/>
        <v>H</v>
      </c>
      <c r="K315" t="s">
        <v>251</v>
      </c>
      <c r="L315" t="s">
        <v>228</v>
      </c>
      <c r="M315" t="s">
        <v>229</v>
      </c>
      <c r="N315" t="str">
        <f t="shared" si="32"/>
        <v>&lt;tr&gt; &lt;td&gt;Jan. 25&lt;/td&gt;</v>
      </c>
      <c r="O315" t="str">
        <f t="shared" si="33"/>
        <v>&lt;td&gt;6:15 PM&lt;/td&gt;</v>
      </c>
      <c r="P315" t="str">
        <f t="shared" si="34"/>
        <v>&lt;td class="KHSsched"&gt;Kelvin&lt;/td&gt;</v>
      </c>
      <c r="Q315" t="str">
        <f t="shared" si="35"/>
        <v>&lt;td&gt;62 - 99&lt;/td&gt;</v>
      </c>
      <c r="R315" t="str">
        <f t="shared" si="36"/>
        <v>&lt;td class="JTCsched"&gt;John Taylor&lt;/td&gt;</v>
      </c>
      <c r="S315" t="str">
        <f t="shared" si="37"/>
        <v>&lt;td&gt;WWAC-WAC Tier 1 Regular Season&lt;/td&gt; &lt;/tr&gt;</v>
      </c>
    </row>
    <row r="316" spans="1:19" x14ac:dyDescent="0.25">
      <c r="A316" s="5">
        <v>42394</v>
      </c>
      <c r="B316" s="6">
        <v>0.8125</v>
      </c>
      <c r="C316" t="s">
        <v>16</v>
      </c>
      <c r="D316" t="s">
        <v>45</v>
      </c>
      <c r="E316">
        <v>104</v>
      </c>
      <c r="F316" t="s">
        <v>12</v>
      </c>
      <c r="G316" t="s">
        <v>54</v>
      </c>
      <c r="H316">
        <v>81</v>
      </c>
      <c r="J316" t="str">
        <f t="shared" si="38"/>
        <v>V</v>
      </c>
      <c r="K316" t="s">
        <v>37</v>
      </c>
      <c r="L316" t="s">
        <v>228</v>
      </c>
      <c r="M316" t="s">
        <v>229</v>
      </c>
      <c r="N316" t="str">
        <f t="shared" si="32"/>
        <v>&lt;tr&gt; &lt;td&gt;Jan. 25&lt;/td&gt;</v>
      </c>
      <c r="O316" t="str">
        <f t="shared" si="33"/>
        <v>&lt;td&gt;7:30 PM&lt;/td&gt;</v>
      </c>
      <c r="P316" t="str">
        <f t="shared" si="34"/>
        <v>&lt;td class="MCsched"&gt;Maples&lt;/td&gt;</v>
      </c>
      <c r="Q316" t="str">
        <f t="shared" si="35"/>
        <v>&lt;td&gt;104 - 81&lt;/td&gt;</v>
      </c>
      <c r="R316" t="str">
        <f t="shared" si="36"/>
        <v>&lt;td class="LSsched"&gt;Selkirk&lt;/td&gt;</v>
      </c>
      <c r="S316" t="str">
        <f t="shared" si="37"/>
        <v>&lt;td&gt;KPAC Regular Season&lt;/td&gt; &lt;/tr&gt;</v>
      </c>
    </row>
    <row r="317" spans="1:19" x14ac:dyDescent="0.25">
      <c r="A317" s="5">
        <v>42394</v>
      </c>
      <c r="B317" s="6">
        <v>0.8125</v>
      </c>
      <c r="C317" t="s">
        <v>19</v>
      </c>
      <c r="D317" t="s">
        <v>56</v>
      </c>
      <c r="E317">
        <v>58</v>
      </c>
      <c r="F317" t="s">
        <v>17</v>
      </c>
      <c r="G317" t="s">
        <v>50</v>
      </c>
      <c r="H317">
        <v>71</v>
      </c>
      <c r="J317" t="str">
        <f t="shared" si="38"/>
        <v>H</v>
      </c>
      <c r="K317" t="s">
        <v>37</v>
      </c>
      <c r="L317" t="s">
        <v>228</v>
      </c>
      <c r="M317" t="s">
        <v>229</v>
      </c>
      <c r="N317" t="str">
        <f t="shared" si="32"/>
        <v>&lt;tr&gt; &lt;td&gt;Jan. 25&lt;/td&gt;</v>
      </c>
      <c r="O317" t="str">
        <f t="shared" si="33"/>
        <v>&lt;td&gt;7:30 PM&lt;/td&gt;</v>
      </c>
      <c r="P317" t="str">
        <f t="shared" si="34"/>
        <v>&lt;td class="TCIsched"&gt;Transcona&lt;/td&gt;</v>
      </c>
      <c r="Q317" t="str">
        <f t="shared" si="35"/>
        <v>&lt;td&gt;58 - 71&lt;/td&gt;</v>
      </c>
      <c r="R317" t="str">
        <f t="shared" si="36"/>
        <v>&lt;td class="MMCIsched"&gt;Murdoch MacKay&lt;/td&gt;</v>
      </c>
      <c r="S317" t="str">
        <f t="shared" si="37"/>
        <v>&lt;td&gt;KPAC Regular Season&lt;/td&gt; &lt;/tr&gt;</v>
      </c>
    </row>
    <row r="318" spans="1:19" x14ac:dyDescent="0.25">
      <c r="A318" s="5">
        <v>42394</v>
      </c>
      <c r="B318" s="6">
        <v>0.8125</v>
      </c>
      <c r="C318" t="s">
        <v>104</v>
      </c>
      <c r="D318" t="s">
        <v>105</v>
      </c>
      <c r="E318">
        <v>28</v>
      </c>
      <c r="F318" t="s">
        <v>18</v>
      </c>
      <c r="G318" t="s">
        <v>52</v>
      </c>
      <c r="H318">
        <v>69</v>
      </c>
      <c r="J318" t="str">
        <f t="shared" si="38"/>
        <v>H</v>
      </c>
      <c r="K318" t="s">
        <v>37</v>
      </c>
      <c r="L318" t="s">
        <v>228</v>
      </c>
      <c r="M318" t="s">
        <v>229</v>
      </c>
      <c r="N318" t="str">
        <f t="shared" si="32"/>
        <v>&lt;tr&gt; &lt;td&gt;Jan. 25&lt;/td&gt;</v>
      </c>
      <c r="O318" t="str">
        <f t="shared" si="33"/>
        <v>&lt;td&gt;7:30 PM&lt;/td&gt;</v>
      </c>
      <c r="P318" t="str">
        <f t="shared" si="34"/>
        <v>&lt;td class="SCIsched"&gt;Springfield&lt;/td&gt;</v>
      </c>
      <c r="Q318" t="str">
        <f t="shared" si="35"/>
        <v>&lt;td&gt;28 - 69&lt;/td&gt;</v>
      </c>
      <c r="R318" t="str">
        <f t="shared" si="36"/>
        <v>&lt;td class="RECsched"&gt;River East&lt;/td&gt;</v>
      </c>
      <c r="S318" t="str">
        <f t="shared" si="37"/>
        <v>&lt;td&gt;KPAC Regular Season&lt;/td&gt; &lt;/tr&gt;</v>
      </c>
    </row>
    <row r="319" spans="1:19" x14ac:dyDescent="0.25">
      <c r="A319" s="5">
        <v>42394</v>
      </c>
      <c r="B319" s="6">
        <v>0.8125</v>
      </c>
      <c r="C319" t="s">
        <v>135</v>
      </c>
      <c r="D319" t="s">
        <v>136</v>
      </c>
      <c r="E319">
        <v>64</v>
      </c>
      <c r="F319" t="s">
        <v>235</v>
      </c>
      <c r="H319">
        <v>57</v>
      </c>
      <c r="J319" t="str">
        <f t="shared" si="38"/>
        <v>V</v>
      </c>
      <c r="K319" t="s">
        <v>236</v>
      </c>
      <c r="L319" t="s">
        <v>228</v>
      </c>
      <c r="M319" t="s">
        <v>229</v>
      </c>
      <c r="N319" t="str">
        <f t="shared" si="32"/>
        <v>&lt;tr&gt; &lt;td&gt;Jan. 25&lt;/td&gt;</v>
      </c>
      <c r="O319" t="str">
        <f t="shared" si="33"/>
        <v>&lt;td&gt;7:30 PM&lt;/td&gt;</v>
      </c>
      <c r="P319" t="str">
        <f t="shared" si="34"/>
        <v>&lt;td class="NPCsched"&gt;Northlands Parkway&lt;/td&gt;</v>
      </c>
      <c r="Q319" t="str">
        <f t="shared" si="35"/>
        <v>&lt;td&gt;64 - 57&lt;/td&gt;</v>
      </c>
      <c r="R319" t="str">
        <f t="shared" si="36"/>
        <v>&lt;td class="sched"&gt;Louis-Riel&lt;/td&gt;</v>
      </c>
      <c r="S319" t="str">
        <f t="shared" si="37"/>
        <v>&lt;td&gt;SCAC Tier 2 Regular Season&lt;/td&gt; &lt;/tr&gt;</v>
      </c>
    </row>
    <row r="320" spans="1:19" x14ac:dyDescent="0.25">
      <c r="A320" s="5">
        <v>42396</v>
      </c>
      <c r="B320" s="6">
        <v>0.6875</v>
      </c>
      <c r="C320" t="s">
        <v>29</v>
      </c>
      <c r="D320" t="s">
        <v>91</v>
      </c>
      <c r="E320">
        <v>78</v>
      </c>
      <c r="F320" t="s">
        <v>31</v>
      </c>
      <c r="G320" t="s">
        <v>96</v>
      </c>
      <c r="H320">
        <v>75</v>
      </c>
      <c r="J320" t="str">
        <f t="shared" si="38"/>
        <v>V</v>
      </c>
      <c r="K320" t="s">
        <v>252</v>
      </c>
      <c r="L320" t="s">
        <v>228</v>
      </c>
      <c r="M320" t="s">
        <v>229</v>
      </c>
      <c r="N320" t="str">
        <f t="shared" si="32"/>
        <v>&lt;tr&gt; &lt;td&gt;Jan. 27&lt;/td&gt;</v>
      </c>
      <c r="O320" t="str">
        <f t="shared" si="33"/>
        <v>&lt;td&gt;4:30 PM&lt;/td&gt;</v>
      </c>
      <c r="P320" t="str">
        <f t="shared" si="34"/>
        <v>&lt;td class="ShHSsched"&gt;Shaftesbury&lt;/td&gt;</v>
      </c>
      <c r="Q320" t="str">
        <f t="shared" si="35"/>
        <v>&lt;td&gt;78 - 75&lt;/td&gt;</v>
      </c>
      <c r="R320" t="str">
        <f t="shared" si="36"/>
        <v>&lt;td class="TVHSsched"&gt;Tec Voc&lt;/td&gt;</v>
      </c>
      <c r="S320" t="str">
        <f t="shared" si="37"/>
        <v>&lt;td&gt;WWAC-WAC Tier 2 Regular Season&lt;/td&gt; &lt;/tr&gt;</v>
      </c>
    </row>
    <row r="321" spans="1:19" x14ac:dyDescent="0.25">
      <c r="A321" s="5">
        <v>42396</v>
      </c>
      <c r="B321" s="6">
        <v>0.6875</v>
      </c>
      <c r="C321" t="s">
        <v>9</v>
      </c>
      <c r="D321" t="s">
        <v>76</v>
      </c>
      <c r="E321">
        <v>89</v>
      </c>
      <c r="F321" t="s">
        <v>24</v>
      </c>
      <c r="G321" t="s">
        <v>82</v>
      </c>
      <c r="H321">
        <v>70</v>
      </c>
      <c r="J321" t="str">
        <f t="shared" si="38"/>
        <v>V</v>
      </c>
      <c r="K321" t="s">
        <v>251</v>
      </c>
      <c r="L321" t="s">
        <v>228</v>
      </c>
      <c r="M321" t="s">
        <v>229</v>
      </c>
      <c r="N321" t="str">
        <f t="shared" si="32"/>
        <v>&lt;tr&gt; &lt;td&gt;Jan. 27&lt;/td&gt;</v>
      </c>
      <c r="O321" t="str">
        <f t="shared" si="33"/>
        <v>&lt;td&gt;4:30 PM&lt;/td&gt;</v>
      </c>
      <c r="P321" t="str">
        <f t="shared" si="34"/>
        <v>&lt;td class="SiHSsched"&gt;Sisler&lt;/td&gt;</v>
      </c>
      <c r="Q321" t="str">
        <f t="shared" si="35"/>
        <v>&lt;td&gt;89 - 70&lt;/td&gt;</v>
      </c>
      <c r="R321" t="str">
        <f t="shared" si="36"/>
        <v>&lt;td class="DMCIsched"&gt;Daniel McIntyre&lt;/td&gt;</v>
      </c>
      <c r="S321" t="str">
        <f t="shared" si="37"/>
        <v>&lt;td&gt;WWAC-WAC Tier 1 Regular Season&lt;/td&gt; &lt;/tr&gt;</v>
      </c>
    </row>
    <row r="322" spans="1:19" x14ac:dyDescent="0.25">
      <c r="A322" s="5">
        <v>42396</v>
      </c>
      <c r="B322" s="6">
        <v>0.6875</v>
      </c>
      <c r="C322" t="s">
        <v>6</v>
      </c>
      <c r="D322" t="s">
        <v>70</v>
      </c>
      <c r="E322">
        <v>102</v>
      </c>
      <c r="F322" t="s">
        <v>14</v>
      </c>
      <c r="G322" t="s">
        <v>94</v>
      </c>
      <c r="H322">
        <v>42</v>
      </c>
      <c r="J322" t="str">
        <f t="shared" si="38"/>
        <v>V</v>
      </c>
      <c r="K322" t="s">
        <v>251</v>
      </c>
      <c r="L322" t="s">
        <v>228</v>
      </c>
      <c r="M322" t="s">
        <v>229</v>
      </c>
      <c r="N322" t="str">
        <f t="shared" ref="N322:N385" si="39">"&lt;tr&gt; &lt;td&gt;"&amp;TEXT(A322,"MMM. D")&amp;"&lt;/td&gt;"</f>
        <v>&lt;tr&gt; &lt;td&gt;Jan. 27&lt;/td&gt;</v>
      </c>
      <c r="O322" t="str">
        <f t="shared" ref="O322:O385" si="40">"&lt;td&gt;"&amp;IF(B322&gt;0,TEXT(B322,"H:MM AM/PM"),"")&amp;"&lt;/td&gt;"</f>
        <v>&lt;td&gt;4:30 PM&lt;/td&gt;</v>
      </c>
      <c r="P322" t="str">
        <f t="shared" ref="P322:P385" si="41">"&lt;td class="""&amp;D322&amp;"sched""&gt;"&amp;C322&amp;"&lt;/td&gt;"</f>
        <v>&lt;td class="JTCsched"&gt;John Taylor&lt;/td&gt;</v>
      </c>
      <c r="Q322" t="str">
        <f t="shared" ref="Q322:Q385" si="42">"&lt;td&gt;"&amp;E322&amp;" - "&amp;H322&amp;IF(I322&gt;0," "&amp;I322,"")&amp;"&lt;/td&gt;"</f>
        <v>&lt;td&gt;102 - 42&lt;/td&gt;</v>
      </c>
      <c r="R322" t="str">
        <f t="shared" ref="R322:R385" si="43">"&lt;td class="""&amp;G322&amp;"sched""&gt;"&amp;F322&amp;"&lt;/td&gt;"</f>
        <v>&lt;td class="SHCsched"&gt;Sturgeon Heights&lt;/td&gt;</v>
      </c>
      <c r="S322" t="str">
        <f t="shared" ref="S322:S385" si="44">"&lt;td&gt;"&amp;K322&amp;" "&amp;L322&amp;"&lt;/td&gt; &lt;/tr&gt;"</f>
        <v>&lt;td&gt;WWAC-WAC Tier 1 Regular Season&lt;/td&gt; &lt;/tr&gt;</v>
      </c>
    </row>
    <row r="323" spans="1:19" x14ac:dyDescent="0.25">
      <c r="A323" s="5">
        <v>42396</v>
      </c>
      <c r="B323" s="6">
        <v>0.6875</v>
      </c>
      <c r="C323" t="s">
        <v>23</v>
      </c>
      <c r="D323" t="s">
        <v>80</v>
      </c>
      <c r="E323">
        <v>50</v>
      </c>
      <c r="F323" t="s">
        <v>1</v>
      </c>
      <c r="G323" t="s">
        <v>74</v>
      </c>
      <c r="H323">
        <v>77</v>
      </c>
      <c r="J323" t="str">
        <f t="shared" si="38"/>
        <v>H</v>
      </c>
      <c r="K323" t="s">
        <v>251</v>
      </c>
      <c r="L323" t="s">
        <v>228</v>
      </c>
      <c r="M323" t="s">
        <v>229</v>
      </c>
      <c r="N323" t="str">
        <f t="shared" si="39"/>
        <v>&lt;tr&gt; &lt;td&gt;Jan. 27&lt;/td&gt;</v>
      </c>
      <c r="O323" t="str">
        <f t="shared" si="40"/>
        <v>&lt;td&gt;4:30 PM&lt;/td&gt;</v>
      </c>
      <c r="P323" t="str">
        <f t="shared" si="41"/>
        <v>&lt;td class="VMCsched"&gt;Vincent Massey&lt;/td&gt;</v>
      </c>
      <c r="Q323" t="str">
        <f t="shared" si="42"/>
        <v>&lt;td&gt;50 - 77&lt;/td&gt;</v>
      </c>
      <c r="R323" t="str">
        <f t="shared" si="43"/>
        <v>&lt;td class="OPHSsched"&gt;Oak Park&lt;/td&gt;</v>
      </c>
      <c r="S323" t="str">
        <f t="shared" si="44"/>
        <v>&lt;td&gt;WWAC-WAC Tier 1 Regular Season&lt;/td&gt; &lt;/tr&gt;</v>
      </c>
    </row>
    <row r="324" spans="1:19" x14ac:dyDescent="0.25">
      <c r="A324" s="5">
        <v>42396</v>
      </c>
      <c r="B324" s="6">
        <v>0.6875</v>
      </c>
      <c r="C324" t="s">
        <v>10</v>
      </c>
      <c r="D324" t="s">
        <v>72</v>
      </c>
      <c r="E324">
        <v>91</v>
      </c>
      <c r="F324" t="s">
        <v>15</v>
      </c>
      <c r="G324" t="s">
        <v>68</v>
      </c>
      <c r="H324">
        <v>112</v>
      </c>
      <c r="J324" t="str">
        <f t="shared" si="38"/>
        <v>H</v>
      </c>
      <c r="K324" t="s">
        <v>251</v>
      </c>
      <c r="L324" t="s">
        <v>228</v>
      </c>
      <c r="M324" t="s">
        <v>229</v>
      </c>
      <c r="N324" t="str">
        <f t="shared" si="39"/>
        <v>&lt;tr&gt; &lt;td&gt;Jan. 27&lt;/td&gt;</v>
      </c>
      <c r="O324" t="str">
        <f t="shared" si="40"/>
        <v>&lt;td&gt;4:30 PM&lt;/td&gt;</v>
      </c>
      <c r="P324" t="str">
        <f t="shared" si="41"/>
        <v>&lt;td class="KHSsched"&gt;Kelvin&lt;/td&gt;</v>
      </c>
      <c r="Q324" t="str">
        <f t="shared" si="42"/>
        <v>&lt;td&gt;91 - 112&lt;/td&gt;</v>
      </c>
      <c r="R324" t="str">
        <f t="shared" si="43"/>
        <v>&lt;td class="FRCsched"&gt;Fort Richmond&lt;/td&gt;</v>
      </c>
      <c r="S324" t="str">
        <f t="shared" si="44"/>
        <v>&lt;td&gt;WWAC-WAC Tier 1 Regular Season&lt;/td&gt; &lt;/tr&gt;</v>
      </c>
    </row>
    <row r="325" spans="1:19" x14ac:dyDescent="0.25">
      <c r="A325" s="5">
        <v>42396</v>
      </c>
      <c r="B325" s="6">
        <v>0.75</v>
      </c>
      <c r="C325" t="s">
        <v>7</v>
      </c>
      <c r="D325" t="s">
        <v>7</v>
      </c>
      <c r="E325">
        <v>72</v>
      </c>
      <c r="F325" t="s">
        <v>19</v>
      </c>
      <c r="G325" t="s">
        <v>56</v>
      </c>
      <c r="H325">
        <v>39</v>
      </c>
      <c r="J325" t="str">
        <f t="shared" si="38"/>
        <v>V</v>
      </c>
      <c r="K325" t="s">
        <v>37</v>
      </c>
      <c r="L325" t="s">
        <v>228</v>
      </c>
      <c r="M325" t="s">
        <v>229</v>
      </c>
      <c r="N325" t="str">
        <f t="shared" si="39"/>
        <v>&lt;tr&gt; &lt;td&gt;Jan. 27&lt;/td&gt;</v>
      </c>
      <c r="O325" t="str">
        <f t="shared" si="40"/>
        <v>&lt;td&gt;6:00 PM&lt;/td&gt;</v>
      </c>
      <c r="P325" t="str">
        <f t="shared" si="41"/>
        <v>&lt;td class="MBCIsched"&gt;MBCI&lt;/td&gt;</v>
      </c>
      <c r="Q325" t="str">
        <f t="shared" si="42"/>
        <v>&lt;td&gt;72 - 39&lt;/td&gt;</v>
      </c>
      <c r="R325" t="str">
        <f t="shared" si="43"/>
        <v>&lt;td class="TCIsched"&gt;Transcona&lt;/td&gt;</v>
      </c>
      <c r="S325" t="str">
        <f t="shared" si="44"/>
        <v>&lt;td&gt;KPAC Regular Season&lt;/td&gt; &lt;/tr&gt;</v>
      </c>
    </row>
    <row r="326" spans="1:19" x14ac:dyDescent="0.25">
      <c r="A326" s="5">
        <v>42396</v>
      </c>
      <c r="B326" s="6">
        <v>0.75</v>
      </c>
      <c r="C326" t="s">
        <v>20</v>
      </c>
      <c r="D326" t="s">
        <v>58</v>
      </c>
      <c r="E326">
        <v>91</v>
      </c>
      <c r="F326" t="s">
        <v>16</v>
      </c>
      <c r="G326" t="s">
        <v>45</v>
      </c>
      <c r="H326">
        <v>76</v>
      </c>
      <c r="J326" t="str">
        <f t="shared" si="38"/>
        <v>V</v>
      </c>
      <c r="K326" t="s">
        <v>37</v>
      </c>
      <c r="L326" t="s">
        <v>228</v>
      </c>
      <c r="M326" t="s">
        <v>229</v>
      </c>
      <c r="N326" t="str">
        <f t="shared" si="39"/>
        <v>&lt;tr&gt; &lt;td&gt;Jan. 27&lt;/td&gt;</v>
      </c>
      <c r="O326" t="str">
        <f t="shared" si="40"/>
        <v>&lt;td&gt;6:00 PM&lt;/td&gt;</v>
      </c>
      <c r="P326" t="str">
        <f t="shared" si="41"/>
        <v>&lt;td class="WKCsched"&gt;West Kildonan&lt;/td&gt;</v>
      </c>
      <c r="Q326" t="str">
        <f t="shared" si="42"/>
        <v>&lt;td&gt;91 - 76&lt;/td&gt;</v>
      </c>
      <c r="R326" t="str">
        <f t="shared" si="43"/>
        <v>&lt;td class="MCsched"&gt;Maples&lt;/td&gt;</v>
      </c>
      <c r="S326" t="str">
        <f t="shared" si="44"/>
        <v>&lt;td&gt;KPAC Regular Season&lt;/td&gt; &lt;/tr&gt;</v>
      </c>
    </row>
    <row r="327" spans="1:19" x14ac:dyDescent="0.25">
      <c r="A327" s="5">
        <v>42396</v>
      </c>
      <c r="B327" s="6">
        <v>0.75</v>
      </c>
      <c r="C327" t="s">
        <v>18</v>
      </c>
      <c r="D327" t="s">
        <v>52</v>
      </c>
      <c r="E327">
        <v>60</v>
      </c>
      <c r="F327" t="s">
        <v>2</v>
      </c>
      <c r="G327" t="s">
        <v>43</v>
      </c>
      <c r="H327">
        <v>99</v>
      </c>
      <c r="J327" t="str">
        <f t="shared" si="38"/>
        <v>H</v>
      </c>
      <c r="K327" t="s">
        <v>37</v>
      </c>
      <c r="L327" t="s">
        <v>228</v>
      </c>
      <c r="M327" t="s">
        <v>229</v>
      </c>
      <c r="N327" t="str">
        <f t="shared" si="39"/>
        <v>&lt;tr&gt; &lt;td&gt;Jan. 27&lt;/td&gt;</v>
      </c>
      <c r="O327" t="str">
        <f t="shared" si="40"/>
        <v>&lt;td&gt;6:00 PM&lt;/td&gt;</v>
      </c>
      <c r="P327" t="str">
        <f t="shared" si="41"/>
        <v>&lt;td class="RECsched"&gt;River East&lt;/td&gt;</v>
      </c>
      <c r="Q327" t="str">
        <f t="shared" si="42"/>
        <v>&lt;td&gt;60 - 99&lt;/td&gt;</v>
      </c>
      <c r="R327" t="str">
        <f t="shared" si="43"/>
        <v>&lt;td class="KECsched"&gt;Kildonan-East&lt;/td&gt;</v>
      </c>
      <c r="S327" t="str">
        <f t="shared" si="44"/>
        <v>&lt;td&gt;KPAC Regular Season&lt;/td&gt; &lt;/tr&gt;</v>
      </c>
    </row>
    <row r="328" spans="1:19" x14ac:dyDescent="0.25">
      <c r="A328" s="5">
        <v>42397</v>
      </c>
      <c r="B328" s="6">
        <v>0.8125</v>
      </c>
      <c r="C328" t="s">
        <v>555</v>
      </c>
      <c r="E328">
        <v>22</v>
      </c>
      <c r="F328" t="s">
        <v>162</v>
      </c>
      <c r="G328" t="s">
        <v>164</v>
      </c>
      <c r="H328">
        <v>75</v>
      </c>
      <c r="J328" t="str">
        <f t="shared" si="38"/>
        <v>H</v>
      </c>
      <c r="K328" t="s">
        <v>163</v>
      </c>
      <c r="L328" t="s">
        <v>228</v>
      </c>
      <c r="M328" t="s">
        <v>229</v>
      </c>
      <c r="N328" t="str">
        <f t="shared" si="39"/>
        <v>&lt;tr&gt; &lt;td&gt;Jan. 28&lt;/td&gt;</v>
      </c>
      <c r="O328" t="str">
        <f t="shared" si="40"/>
        <v>&lt;td&gt;7:30 PM&lt;/td&gt;</v>
      </c>
      <c r="P328" t="str">
        <f t="shared" si="41"/>
        <v>&lt;td class="sched"&gt;W.C. Miller&lt;/td&gt;</v>
      </c>
      <c r="Q328" t="str">
        <f t="shared" si="42"/>
        <v>&lt;td&gt;22 - 75&lt;/td&gt;</v>
      </c>
      <c r="R328" t="str">
        <f t="shared" si="43"/>
        <v>&lt;td class="GVCsched"&gt;Garden Valley&lt;/td&gt;</v>
      </c>
      <c r="S328" t="str">
        <f t="shared" si="44"/>
        <v>&lt;td&gt;Zone 4 Regular Season&lt;/td&gt; &lt;/tr&gt;</v>
      </c>
    </row>
    <row r="329" spans="1:19" x14ac:dyDescent="0.25">
      <c r="A329" s="5">
        <v>42401</v>
      </c>
      <c r="B329" s="6">
        <v>0.70833333333333337</v>
      </c>
      <c r="C329" t="s">
        <v>218</v>
      </c>
      <c r="E329">
        <v>47</v>
      </c>
      <c r="F329" t="s">
        <v>28</v>
      </c>
      <c r="G329" t="s">
        <v>90</v>
      </c>
      <c r="H329">
        <v>86</v>
      </c>
      <c r="J329" t="str">
        <f t="shared" si="38"/>
        <v>H</v>
      </c>
      <c r="K329" t="s">
        <v>252</v>
      </c>
      <c r="L329" t="s">
        <v>228</v>
      </c>
      <c r="M329" t="s">
        <v>229</v>
      </c>
      <c r="N329" t="str">
        <f t="shared" si="39"/>
        <v>&lt;tr&gt; &lt;td&gt;Feb. 1&lt;/td&gt;</v>
      </c>
      <c r="O329" t="str">
        <f t="shared" si="40"/>
        <v>&lt;td&gt;5:00 PM&lt;/td&gt;</v>
      </c>
      <c r="P329" t="str">
        <f t="shared" si="41"/>
        <v>&lt;td class="sched"&gt;Stonewall&lt;/td&gt;</v>
      </c>
      <c r="Q329" t="str">
        <f t="shared" si="42"/>
        <v>&lt;td&gt;47 - 86&lt;/td&gt;</v>
      </c>
      <c r="R329" t="str">
        <f t="shared" si="43"/>
        <v>&lt;td class="PCIsched"&gt;Portage&lt;/td&gt;</v>
      </c>
      <c r="S329" t="str">
        <f t="shared" si="44"/>
        <v>&lt;td&gt;WWAC-WAC Tier 2 Regular Season&lt;/td&gt; &lt;/tr&gt;</v>
      </c>
    </row>
    <row r="330" spans="1:19" x14ac:dyDescent="0.25">
      <c r="A330" s="5">
        <v>42402</v>
      </c>
      <c r="B330" s="6">
        <v>0.82291666666666663</v>
      </c>
      <c r="C330" t="s">
        <v>256</v>
      </c>
      <c r="E330">
        <v>68</v>
      </c>
      <c r="F330" t="s">
        <v>23</v>
      </c>
      <c r="G330" t="s">
        <v>102</v>
      </c>
      <c r="H330">
        <v>56</v>
      </c>
      <c r="J330" t="str">
        <f t="shared" si="38"/>
        <v>V</v>
      </c>
      <c r="K330" t="s">
        <v>40</v>
      </c>
      <c r="L330" t="s">
        <v>228</v>
      </c>
      <c r="M330" t="s">
        <v>229</v>
      </c>
      <c r="N330" t="str">
        <f t="shared" si="39"/>
        <v>&lt;tr&gt; &lt;td&gt;Feb. 2&lt;/td&gt;</v>
      </c>
      <c r="O330" t="str">
        <f t="shared" si="40"/>
        <v>&lt;td&gt;7:45 PM&lt;/td&gt;</v>
      </c>
      <c r="P330" t="str">
        <f t="shared" si="41"/>
        <v>&lt;td class="sched"&gt;Neelin&lt;/td&gt;</v>
      </c>
      <c r="Q330" t="str">
        <f t="shared" si="42"/>
        <v>&lt;td&gt;68 - 56&lt;/td&gt;</v>
      </c>
      <c r="R330" t="str">
        <f t="shared" si="43"/>
        <v>&lt;td class="VMHSsched"&gt;Vincent Massey&lt;/td&gt;</v>
      </c>
      <c r="S330" t="str">
        <f t="shared" si="44"/>
        <v>&lt;td&gt;Zone 15 Regular Season&lt;/td&gt; &lt;/tr&gt;</v>
      </c>
    </row>
    <row r="331" spans="1:19" x14ac:dyDescent="0.25">
      <c r="A331" s="5">
        <v>42404</v>
      </c>
      <c r="B331" s="6">
        <v>0.64583333333333337</v>
      </c>
      <c r="C331" t="s">
        <v>7</v>
      </c>
      <c r="D331" t="s">
        <v>7</v>
      </c>
      <c r="E331">
        <v>44</v>
      </c>
      <c r="F331" t="s">
        <v>3</v>
      </c>
      <c r="G331" t="s">
        <v>78</v>
      </c>
      <c r="H331">
        <v>98</v>
      </c>
      <c r="J331" t="str">
        <f t="shared" si="38"/>
        <v>H</v>
      </c>
      <c r="K331" t="s">
        <v>773</v>
      </c>
      <c r="L331" t="s">
        <v>173</v>
      </c>
      <c r="N331" t="str">
        <f t="shared" si="39"/>
        <v>&lt;tr&gt; &lt;td&gt;Feb. 4&lt;/td&gt;</v>
      </c>
      <c r="O331" t="str">
        <f t="shared" si="40"/>
        <v>&lt;td&gt;3:30 PM&lt;/td&gt;</v>
      </c>
      <c r="P331" t="str">
        <f t="shared" si="41"/>
        <v>&lt;td class="MBCIsched"&gt;MBCI&lt;/td&gt;</v>
      </c>
      <c r="Q331" t="str">
        <f t="shared" si="42"/>
        <v>&lt;td&gt;44 - 98&lt;/td&gt;</v>
      </c>
      <c r="R331" t="str">
        <f t="shared" si="43"/>
        <v>&lt;td class="SPHSsched"&gt;St. Paul's&lt;/td&gt;</v>
      </c>
      <c r="S331" t="str">
        <f t="shared" si="44"/>
        <v>&lt;td&gt;Laping Memorial Quarterfinal 1&lt;/td&gt; &lt;/tr&gt;</v>
      </c>
    </row>
    <row r="332" spans="1:19" x14ac:dyDescent="0.25">
      <c r="A332" s="5">
        <v>42404</v>
      </c>
      <c r="B332" s="6">
        <v>0.70833333333333337</v>
      </c>
      <c r="C332" t="s">
        <v>564</v>
      </c>
      <c r="F332" t="s">
        <v>24</v>
      </c>
      <c r="G332" t="s">
        <v>82</v>
      </c>
      <c r="I332" t="s">
        <v>565</v>
      </c>
      <c r="J332" t="str">
        <f t="shared" si="38"/>
        <v/>
      </c>
      <c r="K332" t="s">
        <v>169</v>
      </c>
      <c r="L332" t="s">
        <v>781</v>
      </c>
      <c r="N332" t="str">
        <f t="shared" si="39"/>
        <v>&lt;tr&gt; &lt;td&gt;Feb. 4&lt;/td&gt;</v>
      </c>
      <c r="O332" t="str">
        <f t="shared" si="40"/>
        <v>&lt;td&gt;5:00 PM&lt;/td&gt;</v>
      </c>
      <c r="P332" t="str">
        <f t="shared" si="41"/>
        <v>&lt;td class="sched"&gt;LeBoldus&lt;/td&gt;</v>
      </c>
      <c r="Q332" t="str">
        <f t="shared" si="42"/>
        <v>&lt;td&gt; -  NR&lt;/td&gt;</v>
      </c>
      <c r="R332" t="str">
        <f t="shared" si="43"/>
        <v>&lt;td class="DMCIsched"&gt;Daniel McIntyre&lt;/td&gt;</v>
      </c>
      <c r="S332" t="str">
        <f t="shared" si="44"/>
        <v>&lt;td&gt;Campbell Invitational&lt;/td&gt; &lt;/tr&gt;</v>
      </c>
    </row>
    <row r="333" spans="1:19" x14ac:dyDescent="0.25">
      <c r="A333" s="5">
        <v>42404</v>
      </c>
      <c r="B333" s="6">
        <v>0.71875</v>
      </c>
      <c r="C333" t="s">
        <v>18</v>
      </c>
      <c r="D333" t="s">
        <v>52</v>
      </c>
      <c r="E333">
        <v>53</v>
      </c>
      <c r="F333" t="s">
        <v>8</v>
      </c>
      <c r="G333" t="s">
        <v>60</v>
      </c>
      <c r="H333">
        <v>81</v>
      </c>
      <c r="J333" t="str">
        <f t="shared" si="38"/>
        <v>H</v>
      </c>
      <c r="K333" t="s">
        <v>773</v>
      </c>
      <c r="L333" t="s">
        <v>174</v>
      </c>
      <c r="N333" t="str">
        <f t="shared" si="39"/>
        <v>&lt;tr&gt; &lt;td&gt;Feb. 4&lt;/td&gt;</v>
      </c>
      <c r="O333" t="str">
        <f t="shared" si="40"/>
        <v>&lt;td&gt;5:15 PM&lt;/td&gt;</v>
      </c>
      <c r="P333" t="str">
        <f t="shared" si="41"/>
        <v>&lt;td class="RECsched"&gt;River East&lt;/td&gt;</v>
      </c>
      <c r="Q333" t="str">
        <f t="shared" si="42"/>
        <v>&lt;td&gt;53 - 81&lt;/td&gt;</v>
      </c>
      <c r="R333" t="str">
        <f t="shared" si="43"/>
        <v>&lt;td class="DCIsched"&gt;Dakota&lt;/td&gt;</v>
      </c>
      <c r="S333" t="str">
        <f t="shared" si="44"/>
        <v>&lt;td&gt;Laping Memorial Quarterfinal 2&lt;/td&gt; &lt;/tr&gt;</v>
      </c>
    </row>
    <row r="334" spans="1:19" x14ac:dyDescent="0.25">
      <c r="A334" s="5">
        <v>42404</v>
      </c>
      <c r="B334" s="6">
        <v>0.79166666666666663</v>
      </c>
      <c r="C334" t="s">
        <v>15</v>
      </c>
      <c r="D334" t="s">
        <v>68</v>
      </c>
      <c r="E334">
        <v>75</v>
      </c>
      <c r="F334" t="s">
        <v>2</v>
      </c>
      <c r="G334" t="s">
        <v>43</v>
      </c>
      <c r="H334">
        <v>67</v>
      </c>
      <c r="J334" t="str">
        <f t="shared" si="38"/>
        <v>V</v>
      </c>
      <c r="K334" t="s">
        <v>773</v>
      </c>
      <c r="L334" t="s">
        <v>175</v>
      </c>
      <c r="N334" t="str">
        <f t="shared" si="39"/>
        <v>&lt;tr&gt; &lt;td&gt;Feb. 4&lt;/td&gt;</v>
      </c>
      <c r="O334" t="str">
        <f t="shared" si="40"/>
        <v>&lt;td&gt;7:00 PM&lt;/td&gt;</v>
      </c>
      <c r="P334" t="str">
        <f t="shared" si="41"/>
        <v>&lt;td class="FRCsched"&gt;Fort Richmond&lt;/td&gt;</v>
      </c>
      <c r="Q334" t="str">
        <f t="shared" si="42"/>
        <v>&lt;td&gt;75 - 67&lt;/td&gt;</v>
      </c>
      <c r="R334" t="str">
        <f t="shared" si="43"/>
        <v>&lt;td class="KECsched"&gt;Kildonan-East&lt;/td&gt;</v>
      </c>
      <c r="S334" t="str">
        <f t="shared" si="44"/>
        <v>&lt;td&gt;Laping Memorial Quarterfinal 3&lt;/td&gt; &lt;/tr&gt;</v>
      </c>
    </row>
    <row r="335" spans="1:19" x14ac:dyDescent="0.25">
      <c r="A335" s="5">
        <v>42404</v>
      </c>
      <c r="B335" s="6">
        <v>0.8125</v>
      </c>
      <c r="C335" t="s">
        <v>104</v>
      </c>
      <c r="D335" t="s">
        <v>105</v>
      </c>
      <c r="E335">
        <v>69</v>
      </c>
      <c r="F335" t="s">
        <v>17</v>
      </c>
      <c r="G335" t="s">
        <v>50</v>
      </c>
      <c r="H335">
        <v>81</v>
      </c>
      <c r="J335" t="str">
        <f t="shared" si="38"/>
        <v>H</v>
      </c>
      <c r="K335" t="s">
        <v>37</v>
      </c>
      <c r="L335" t="s">
        <v>228</v>
      </c>
      <c r="M335" t="s">
        <v>229</v>
      </c>
      <c r="N335" t="str">
        <f t="shared" si="39"/>
        <v>&lt;tr&gt; &lt;td&gt;Feb. 4&lt;/td&gt;</v>
      </c>
      <c r="O335" t="str">
        <f t="shared" si="40"/>
        <v>&lt;td&gt;7:30 PM&lt;/td&gt;</v>
      </c>
      <c r="P335" t="str">
        <f t="shared" si="41"/>
        <v>&lt;td class="SCIsched"&gt;Springfield&lt;/td&gt;</v>
      </c>
      <c r="Q335" t="str">
        <f t="shared" si="42"/>
        <v>&lt;td&gt;69 - 81&lt;/td&gt;</v>
      </c>
      <c r="R335" t="str">
        <f t="shared" si="43"/>
        <v>&lt;td class="MMCIsched"&gt;Murdoch MacKay&lt;/td&gt;</v>
      </c>
      <c r="S335" t="str">
        <f t="shared" si="44"/>
        <v>&lt;td&gt;KPAC Regular Season&lt;/td&gt; &lt;/tr&gt;</v>
      </c>
    </row>
    <row r="336" spans="1:19" x14ac:dyDescent="0.25">
      <c r="A336" s="5">
        <v>42404</v>
      </c>
      <c r="B336" s="6">
        <v>0.86458333333333337</v>
      </c>
      <c r="C336" t="s">
        <v>5</v>
      </c>
      <c r="D336" t="s">
        <v>62</v>
      </c>
      <c r="E336">
        <v>27</v>
      </c>
      <c r="F336" t="s">
        <v>4</v>
      </c>
      <c r="G336" t="s">
        <v>41</v>
      </c>
      <c r="H336">
        <v>92</v>
      </c>
      <c r="J336" t="str">
        <f t="shared" si="38"/>
        <v>H</v>
      </c>
      <c r="K336" t="s">
        <v>773</v>
      </c>
      <c r="L336" t="s">
        <v>176</v>
      </c>
      <c r="N336" t="str">
        <f t="shared" si="39"/>
        <v>&lt;tr&gt; &lt;td&gt;Feb. 4&lt;/td&gt;</v>
      </c>
      <c r="O336" t="str">
        <f t="shared" si="40"/>
        <v>&lt;td&gt;8:45 PM&lt;/td&gt;</v>
      </c>
      <c r="P336" t="str">
        <f t="shared" si="41"/>
        <v>&lt;td class="GCIsched"&gt;Glenlawn&lt;/td&gt;</v>
      </c>
      <c r="Q336" t="str">
        <f t="shared" si="42"/>
        <v>&lt;td&gt;27 - 92&lt;/td&gt;</v>
      </c>
      <c r="R336" t="str">
        <f t="shared" si="43"/>
        <v>&lt;td class="GCCsched"&gt;Garden City&lt;/td&gt;</v>
      </c>
      <c r="S336" t="str">
        <f t="shared" si="44"/>
        <v>&lt;td&gt;Laping Memorial Quarterfinal 4&lt;/td&gt; &lt;/tr&gt;</v>
      </c>
    </row>
    <row r="337" spans="1:19" x14ac:dyDescent="0.25">
      <c r="A337" s="5">
        <v>42405</v>
      </c>
      <c r="B337" s="6">
        <v>0.42708333333333331</v>
      </c>
      <c r="C337" t="s">
        <v>16</v>
      </c>
      <c r="D337" t="s">
        <v>45</v>
      </c>
      <c r="E337">
        <v>57</v>
      </c>
      <c r="F337" t="s">
        <v>812</v>
      </c>
      <c r="H337">
        <v>46</v>
      </c>
      <c r="J337" t="str">
        <f t="shared" si="38"/>
        <v>V</v>
      </c>
      <c r="K337" t="s">
        <v>813</v>
      </c>
      <c r="L337" t="s">
        <v>211</v>
      </c>
      <c r="N337" t="str">
        <f t="shared" si="39"/>
        <v>&lt;tr&gt; &lt;td&gt;Feb. 5&lt;/td&gt;</v>
      </c>
      <c r="O337" t="str">
        <f t="shared" si="40"/>
        <v>&lt;td&gt;10:15 AM&lt;/td&gt;</v>
      </c>
      <c r="P337" t="str">
        <f t="shared" si="41"/>
        <v>&lt;td class="MCsched"&gt;Maples&lt;/td&gt;</v>
      </c>
      <c r="Q337" t="str">
        <f t="shared" si="42"/>
        <v>&lt;td&gt;57 - 46&lt;/td&gt;</v>
      </c>
      <c r="R337" t="str">
        <f t="shared" si="43"/>
        <v>&lt;td class="sched"&gt;Centennial&lt;/td&gt;</v>
      </c>
      <c r="S337" t="str">
        <f t="shared" si="44"/>
        <v>&lt;td&gt;Marauder Invitational Pool A&lt;/td&gt; &lt;/tr&gt;</v>
      </c>
    </row>
    <row r="338" spans="1:19" x14ac:dyDescent="0.25">
      <c r="A338" s="5">
        <v>42405</v>
      </c>
      <c r="B338" s="6">
        <v>0.54166666666666663</v>
      </c>
      <c r="C338" t="s">
        <v>239</v>
      </c>
      <c r="E338">
        <v>58</v>
      </c>
      <c r="F338" t="s">
        <v>19</v>
      </c>
      <c r="G338" t="s">
        <v>56</v>
      </c>
      <c r="H338">
        <v>87</v>
      </c>
      <c r="J338" t="str">
        <f t="shared" si="38"/>
        <v>H</v>
      </c>
      <c r="K338" t="s">
        <v>566</v>
      </c>
      <c r="L338" t="s">
        <v>175</v>
      </c>
      <c r="N338" t="str">
        <f t="shared" si="39"/>
        <v>&lt;tr&gt; &lt;td&gt;Feb. 5&lt;/td&gt;</v>
      </c>
      <c r="O338" t="str">
        <f t="shared" si="40"/>
        <v>&lt;td&gt;1:00 PM&lt;/td&gt;</v>
      </c>
      <c r="P338" t="str">
        <f t="shared" si="41"/>
        <v>&lt;td class="sched"&gt;Pierre-Elliott-Trudeau&lt;/td&gt;</v>
      </c>
      <c r="Q338" t="str">
        <f t="shared" si="42"/>
        <v>&lt;td&gt;58 - 87&lt;/td&gt;</v>
      </c>
      <c r="R338" t="str">
        <f t="shared" si="43"/>
        <v>&lt;td class="TCIsched"&gt;Transcona&lt;/td&gt;</v>
      </c>
      <c r="S338" t="str">
        <f t="shared" si="44"/>
        <v>&lt;td&gt;Transcona Optimist Quarterfinal 3&lt;/td&gt; &lt;/tr&gt;</v>
      </c>
    </row>
    <row r="339" spans="1:19" x14ac:dyDescent="0.25">
      <c r="A339" s="5">
        <v>42405</v>
      </c>
      <c r="B339" s="6">
        <v>0.54166666666666663</v>
      </c>
      <c r="C339" t="s">
        <v>24</v>
      </c>
      <c r="D339" t="s">
        <v>82</v>
      </c>
      <c r="F339" t="s">
        <v>169</v>
      </c>
      <c r="I339" t="s">
        <v>565</v>
      </c>
      <c r="J339" t="str">
        <f t="shared" si="38"/>
        <v/>
      </c>
      <c r="K339" t="s">
        <v>169</v>
      </c>
      <c r="L339" t="s">
        <v>781</v>
      </c>
      <c r="N339" t="str">
        <f t="shared" si="39"/>
        <v>&lt;tr&gt; &lt;td&gt;Feb. 5&lt;/td&gt;</v>
      </c>
      <c r="O339" t="str">
        <f t="shared" si="40"/>
        <v>&lt;td&gt;1:00 PM&lt;/td&gt;</v>
      </c>
      <c r="P339" t="str">
        <f t="shared" si="41"/>
        <v>&lt;td class="DMCIsched"&gt;Daniel McIntyre&lt;/td&gt;</v>
      </c>
      <c r="Q339" t="str">
        <f t="shared" si="42"/>
        <v>&lt;td&gt; -  NR&lt;/td&gt;</v>
      </c>
      <c r="R339" t="str">
        <f t="shared" si="43"/>
        <v>&lt;td class="sched"&gt;Campbell&lt;/td&gt;</v>
      </c>
      <c r="S339" t="str">
        <f t="shared" si="44"/>
        <v>&lt;td&gt;Campbell Invitational&lt;/td&gt; &lt;/tr&gt;</v>
      </c>
    </row>
    <row r="340" spans="1:19" x14ac:dyDescent="0.25">
      <c r="A340" s="5">
        <v>42405</v>
      </c>
      <c r="B340" s="6">
        <v>0.60416666666666663</v>
      </c>
      <c r="C340" t="s">
        <v>25</v>
      </c>
      <c r="D340" t="s">
        <v>84</v>
      </c>
      <c r="E340">
        <v>68</v>
      </c>
      <c r="F340" t="s">
        <v>21</v>
      </c>
      <c r="G340" t="s">
        <v>64</v>
      </c>
      <c r="H340">
        <v>65</v>
      </c>
      <c r="J340" t="str">
        <f t="shared" si="38"/>
        <v>V</v>
      </c>
      <c r="K340" t="s">
        <v>566</v>
      </c>
      <c r="L340" t="s">
        <v>173</v>
      </c>
      <c r="N340" t="str">
        <f t="shared" si="39"/>
        <v>&lt;tr&gt; &lt;td&gt;Feb. 5&lt;/td&gt;</v>
      </c>
      <c r="O340" t="str">
        <f t="shared" si="40"/>
        <v>&lt;td&gt;2:30 PM&lt;/td&gt;</v>
      </c>
      <c r="P340" t="str">
        <f t="shared" si="41"/>
        <v>&lt;td class="EHSsched"&gt;Elmwood&lt;/td&gt;</v>
      </c>
      <c r="Q340" t="str">
        <f t="shared" si="42"/>
        <v>&lt;td&gt;68 - 65&lt;/td&gt;</v>
      </c>
      <c r="R340" t="str">
        <f t="shared" si="43"/>
        <v>&lt;td class="JHBsched"&gt;J.H. Bruns&lt;/td&gt;</v>
      </c>
      <c r="S340" t="str">
        <f t="shared" si="44"/>
        <v>&lt;td&gt;Transcona Optimist Quarterfinal 1&lt;/td&gt; &lt;/tr&gt;</v>
      </c>
    </row>
    <row r="341" spans="1:19" x14ac:dyDescent="0.25">
      <c r="A341" s="5">
        <v>42405</v>
      </c>
      <c r="B341" s="6">
        <v>0.64583333333333337</v>
      </c>
      <c r="C341" t="s">
        <v>5</v>
      </c>
      <c r="D341" t="s">
        <v>62</v>
      </c>
      <c r="E341">
        <v>51</v>
      </c>
      <c r="F341" t="s">
        <v>2</v>
      </c>
      <c r="G341" t="s">
        <v>43</v>
      </c>
      <c r="H341">
        <v>69</v>
      </c>
      <c r="J341" t="str">
        <f t="shared" si="38"/>
        <v>H</v>
      </c>
      <c r="K341" t="s">
        <v>773</v>
      </c>
      <c r="L341" t="s">
        <v>178</v>
      </c>
      <c r="N341" t="str">
        <f t="shared" si="39"/>
        <v>&lt;tr&gt; &lt;td&gt;Feb. 5&lt;/td&gt;</v>
      </c>
      <c r="O341" t="str">
        <f t="shared" si="40"/>
        <v>&lt;td&gt;3:30 PM&lt;/td&gt;</v>
      </c>
      <c r="P341" t="str">
        <f t="shared" si="41"/>
        <v>&lt;td class="GCIsched"&gt;Glenlawn&lt;/td&gt;</v>
      </c>
      <c r="Q341" t="str">
        <f t="shared" si="42"/>
        <v>&lt;td&gt;51 - 69&lt;/td&gt;</v>
      </c>
      <c r="R341" t="str">
        <f t="shared" si="43"/>
        <v>&lt;td class="KECsched"&gt;Kildonan-East&lt;/td&gt;</v>
      </c>
      <c r="S341" t="str">
        <f t="shared" si="44"/>
        <v>&lt;td&gt;Laping Memorial Consolation Semi 2&lt;/td&gt; &lt;/tr&gt;</v>
      </c>
    </row>
    <row r="342" spans="1:19" x14ac:dyDescent="0.25">
      <c r="A342" s="5">
        <v>42405</v>
      </c>
      <c r="B342" s="6">
        <v>0.67708333333333337</v>
      </c>
      <c r="C342" t="s">
        <v>814</v>
      </c>
      <c r="E342">
        <v>60</v>
      </c>
      <c r="F342" t="s">
        <v>16</v>
      </c>
      <c r="G342" t="s">
        <v>45</v>
      </c>
      <c r="H342">
        <v>65</v>
      </c>
      <c r="J342" t="str">
        <f t="shared" si="38"/>
        <v>H</v>
      </c>
      <c r="K342" t="s">
        <v>813</v>
      </c>
      <c r="L342" t="s">
        <v>211</v>
      </c>
      <c r="N342" t="str">
        <f t="shared" si="39"/>
        <v>&lt;tr&gt; &lt;td&gt;Feb. 5&lt;/td&gt;</v>
      </c>
      <c r="O342" t="str">
        <f t="shared" si="40"/>
        <v>&lt;td&gt;4:15 PM&lt;/td&gt;</v>
      </c>
      <c r="P342" t="str">
        <f t="shared" si="41"/>
        <v>&lt;td class="sched"&gt;Melfort&lt;/td&gt;</v>
      </c>
      <c r="Q342" t="str">
        <f t="shared" si="42"/>
        <v>&lt;td&gt;60 - 65&lt;/td&gt;</v>
      </c>
      <c r="R342" t="str">
        <f t="shared" si="43"/>
        <v>&lt;td class="MCsched"&gt;Maples&lt;/td&gt;</v>
      </c>
      <c r="S342" t="str">
        <f t="shared" si="44"/>
        <v>&lt;td&gt;Marauder Invitational Pool A&lt;/td&gt; &lt;/tr&gt;</v>
      </c>
    </row>
    <row r="343" spans="1:19" x14ac:dyDescent="0.25">
      <c r="A343" s="5">
        <v>42405</v>
      </c>
      <c r="B343" s="6">
        <v>0.71875</v>
      </c>
      <c r="C343" t="s">
        <v>18</v>
      </c>
      <c r="D343" t="s">
        <v>52</v>
      </c>
      <c r="E343">
        <v>79</v>
      </c>
      <c r="F343" t="s">
        <v>7</v>
      </c>
      <c r="G343" t="s">
        <v>7</v>
      </c>
      <c r="H343">
        <v>67</v>
      </c>
      <c r="J343" t="str">
        <f t="shared" si="38"/>
        <v>V</v>
      </c>
      <c r="K343" t="s">
        <v>773</v>
      </c>
      <c r="L343" t="s">
        <v>177</v>
      </c>
      <c r="N343" t="str">
        <f t="shared" si="39"/>
        <v>&lt;tr&gt; &lt;td&gt;Feb. 5&lt;/td&gt;</v>
      </c>
      <c r="O343" t="str">
        <f t="shared" si="40"/>
        <v>&lt;td&gt;5:15 PM&lt;/td&gt;</v>
      </c>
      <c r="P343" t="str">
        <f t="shared" si="41"/>
        <v>&lt;td class="RECsched"&gt;River East&lt;/td&gt;</v>
      </c>
      <c r="Q343" t="str">
        <f t="shared" si="42"/>
        <v>&lt;td&gt;79 - 67&lt;/td&gt;</v>
      </c>
      <c r="R343" t="str">
        <f t="shared" si="43"/>
        <v>&lt;td class="MBCIsched"&gt;MBCI&lt;/td&gt;</v>
      </c>
      <c r="S343" t="str">
        <f t="shared" si="44"/>
        <v>&lt;td&gt;Laping Memorial Consolation Semi 1&lt;/td&gt; &lt;/tr&gt;</v>
      </c>
    </row>
    <row r="344" spans="1:19" x14ac:dyDescent="0.25">
      <c r="A344" s="5">
        <v>42405</v>
      </c>
      <c r="B344" s="6">
        <v>0.72916666666666663</v>
      </c>
      <c r="C344" t="s">
        <v>135</v>
      </c>
      <c r="D344" t="s">
        <v>136</v>
      </c>
      <c r="E344">
        <v>55</v>
      </c>
      <c r="F344" t="s">
        <v>17</v>
      </c>
      <c r="G344" t="s">
        <v>50</v>
      </c>
      <c r="H344">
        <v>81</v>
      </c>
      <c r="J344" t="str">
        <f t="shared" si="38"/>
        <v>H</v>
      </c>
      <c r="K344" t="s">
        <v>566</v>
      </c>
      <c r="L344" t="s">
        <v>174</v>
      </c>
      <c r="N344" t="str">
        <f t="shared" si="39"/>
        <v>&lt;tr&gt; &lt;td&gt;Feb. 5&lt;/td&gt;</v>
      </c>
      <c r="O344" t="str">
        <f t="shared" si="40"/>
        <v>&lt;td&gt;5:30 PM&lt;/td&gt;</v>
      </c>
      <c r="P344" t="str">
        <f t="shared" si="41"/>
        <v>&lt;td class="NPCsched"&gt;Northlands Parkway&lt;/td&gt;</v>
      </c>
      <c r="Q344" t="str">
        <f t="shared" si="42"/>
        <v>&lt;td&gt;55 - 81&lt;/td&gt;</v>
      </c>
      <c r="R344" t="str">
        <f t="shared" si="43"/>
        <v>&lt;td class="MMCIsched"&gt;Murdoch MacKay&lt;/td&gt;</v>
      </c>
      <c r="S344" t="str">
        <f t="shared" si="44"/>
        <v>&lt;td&gt;Transcona Optimist Quarterfinal 2&lt;/td&gt; &lt;/tr&gt;</v>
      </c>
    </row>
    <row r="345" spans="1:19" x14ac:dyDescent="0.25">
      <c r="A345" s="5">
        <v>42405</v>
      </c>
      <c r="B345" s="6">
        <v>0.79166666666666663</v>
      </c>
      <c r="C345" t="s">
        <v>8</v>
      </c>
      <c r="D345" t="s">
        <v>60</v>
      </c>
      <c r="E345">
        <v>46</v>
      </c>
      <c r="F345" t="s">
        <v>3</v>
      </c>
      <c r="G345" t="s">
        <v>78</v>
      </c>
      <c r="H345">
        <v>67</v>
      </c>
      <c r="J345" t="str">
        <f t="shared" si="38"/>
        <v>H</v>
      </c>
      <c r="K345" t="s">
        <v>773</v>
      </c>
      <c r="L345" t="s">
        <v>179</v>
      </c>
      <c r="N345" t="str">
        <f t="shared" si="39"/>
        <v>&lt;tr&gt; &lt;td&gt;Feb. 5&lt;/td&gt;</v>
      </c>
      <c r="O345" t="str">
        <f t="shared" si="40"/>
        <v>&lt;td&gt;7:00 PM&lt;/td&gt;</v>
      </c>
      <c r="P345" t="str">
        <f t="shared" si="41"/>
        <v>&lt;td class="DCIsched"&gt;Dakota&lt;/td&gt;</v>
      </c>
      <c r="Q345" t="str">
        <f t="shared" si="42"/>
        <v>&lt;td&gt;46 - 67&lt;/td&gt;</v>
      </c>
      <c r="R345" t="str">
        <f t="shared" si="43"/>
        <v>&lt;td class="SPHSsched"&gt;St. Paul's&lt;/td&gt;</v>
      </c>
      <c r="S345" t="str">
        <f t="shared" si="44"/>
        <v>&lt;td&gt;Laping Memorial Semifinal 1&lt;/td&gt; &lt;/tr&gt;</v>
      </c>
    </row>
    <row r="346" spans="1:19" x14ac:dyDescent="0.25">
      <c r="A346" s="5">
        <v>42405</v>
      </c>
      <c r="B346" s="6">
        <v>0.86458333333333337</v>
      </c>
      <c r="C346" t="s">
        <v>4</v>
      </c>
      <c r="D346" t="s">
        <v>41</v>
      </c>
      <c r="E346">
        <v>92</v>
      </c>
      <c r="F346" t="s">
        <v>15</v>
      </c>
      <c r="G346" t="s">
        <v>68</v>
      </c>
      <c r="H346">
        <v>47</v>
      </c>
      <c r="J346" t="str">
        <f t="shared" si="38"/>
        <v>V</v>
      </c>
      <c r="K346" t="s">
        <v>773</v>
      </c>
      <c r="L346" t="s">
        <v>180</v>
      </c>
      <c r="N346" t="str">
        <f t="shared" si="39"/>
        <v>&lt;tr&gt; &lt;td&gt;Feb. 5&lt;/td&gt;</v>
      </c>
      <c r="O346" t="str">
        <f t="shared" si="40"/>
        <v>&lt;td&gt;8:45 PM&lt;/td&gt;</v>
      </c>
      <c r="P346" t="str">
        <f t="shared" si="41"/>
        <v>&lt;td class="GCCsched"&gt;Garden City&lt;/td&gt;</v>
      </c>
      <c r="Q346" t="str">
        <f t="shared" si="42"/>
        <v>&lt;td&gt;92 - 47&lt;/td&gt;</v>
      </c>
      <c r="R346" t="str">
        <f t="shared" si="43"/>
        <v>&lt;td class="FRCsched"&gt;Fort Richmond&lt;/td&gt;</v>
      </c>
      <c r="S346" t="str">
        <f t="shared" si="44"/>
        <v>&lt;td&gt;Laping Memorial Semifinal 2&lt;/td&gt; &lt;/tr&gt;</v>
      </c>
    </row>
    <row r="347" spans="1:19" x14ac:dyDescent="0.25">
      <c r="A347" s="5">
        <v>42406</v>
      </c>
      <c r="B347" s="6">
        <v>0.41666666666666669</v>
      </c>
      <c r="C347" t="s">
        <v>815</v>
      </c>
      <c r="E347">
        <v>56</v>
      </c>
      <c r="F347" t="s">
        <v>16</v>
      </c>
      <c r="G347" t="s">
        <v>45</v>
      </c>
      <c r="H347">
        <v>71</v>
      </c>
      <c r="J347" t="str">
        <f t="shared" si="38"/>
        <v>H</v>
      </c>
      <c r="K347" t="s">
        <v>813</v>
      </c>
      <c r="L347" t="s">
        <v>211</v>
      </c>
      <c r="N347" t="str">
        <f t="shared" si="39"/>
        <v>&lt;tr&gt; &lt;td&gt;Feb. 6&lt;/td&gt;</v>
      </c>
      <c r="O347" t="str">
        <f t="shared" si="40"/>
        <v>&lt;td&gt;10:00 AM&lt;/td&gt;</v>
      </c>
      <c r="P347" t="str">
        <f t="shared" si="41"/>
        <v>&lt;td class="sched"&gt;Sheldon-Williams&lt;/td&gt;</v>
      </c>
      <c r="Q347" t="str">
        <f t="shared" si="42"/>
        <v>&lt;td&gt;56 - 71&lt;/td&gt;</v>
      </c>
      <c r="R347" t="str">
        <f t="shared" si="43"/>
        <v>&lt;td class="MCsched"&gt;Maples&lt;/td&gt;</v>
      </c>
      <c r="S347" t="str">
        <f t="shared" si="44"/>
        <v>&lt;td&gt;Marauder Invitational Pool A&lt;/td&gt; &lt;/tr&gt;</v>
      </c>
    </row>
    <row r="348" spans="1:19" x14ac:dyDescent="0.25">
      <c r="A348" s="5">
        <v>42406</v>
      </c>
      <c r="B348" s="6">
        <v>0.4375</v>
      </c>
      <c r="C348" t="s">
        <v>135</v>
      </c>
      <c r="D348" t="s">
        <v>136</v>
      </c>
      <c r="E348">
        <v>67</v>
      </c>
      <c r="F348" t="s">
        <v>21</v>
      </c>
      <c r="G348" t="s">
        <v>64</v>
      </c>
      <c r="H348">
        <v>74</v>
      </c>
      <c r="J348" t="str">
        <f t="shared" si="38"/>
        <v>H</v>
      </c>
      <c r="K348" t="s">
        <v>566</v>
      </c>
      <c r="L348" t="s">
        <v>177</v>
      </c>
      <c r="N348" t="str">
        <f t="shared" si="39"/>
        <v>&lt;tr&gt; &lt;td&gt;Feb. 6&lt;/td&gt;</v>
      </c>
      <c r="O348" t="str">
        <f t="shared" si="40"/>
        <v>&lt;td&gt;10:30 AM&lt;/td&gt;</v>
      </c>
      <c r="P348" t="str">
        <f t="shared" si="41"/>
        <v>&lt;td class="NPCsched"&gt;Northlands Parkway&lt;/td&gt;</v>
      </c>
      <c r="Q348" t="str">
        <f t="shared" si="42"/>
        <v>&lt;td&gt;67 - 74&lt;/td&gt;</v>
      </c>
      <c r="R348" t="str">
        <f t="shared" si="43"/>
        <v>&lt;td class="JHBsched"&gt;J.H. Bruns&lt;/td&gt;</v>
      </c>
      <c r="S348" t="str">
        <f t="shared" si="44"/>
        <v>&lt;td&gt;Transcona Optimist Consolation Semi 1&lt;/td&gt; &lt;/tr&gt;</v>
      </c>
    </row>
    <row r="349" spans="1:19" x14ac:dyDescent="0.25">
      <c r="A349" s="5">
        <v>42406</v>
      </c>
      <c r="B349" s="6">
        <v>0.44791666666666669</v>
      </c>
      <c r="C349" t="s">
        <v>5</v>
      </c>
      <c r="D349" t="s">
        <v>62</v>
      </c>
      <c r="E349">
        <v>86</v>
      </c>
      <c r="F349" t="s">
        <v>7</v>
      </c>
      <c r="G349" t="s">
        <v>7</v>
      </c>
      <c r="H349">
        <v>72</v>
      </c>
      <c r="J349" t="str">
        <f t="shared" si="38"/>
        <v>V</v>
      </c>
      <c r="K349" t="s">
        <v>773</v>
      </c>
      <c r="L349" t="s">
        <v>181</v>
      </c>
      <c r="N349" t="str">
        <f t="shared" si="39"/>
        <v>&lt;tr&gt; &lt;td&gt;Feb. 6&lt;/td&gt;</v>
      </c>
      <c r="O349" t="str">
        <f t="shared" si="40"/>
        <v>&lt;td&gt;10:45 AM&lt;/td&gt;</v>
      </c>
      <c r="P349" t="str">
        <f t="shared" si="41"/>
        <v>&lt;td class="GCIsched"&gt;Glenlawn&lt;/td&gt;</v>
      </c>
      <c r="Q349" t="str">
        <f t="shared" si="42"/>
        <v>&lt;td&gt;86 - 72&lt;/td&gt;</v>
      </c>
      <c r="R349" t="str">
        <f t="shared" si="43"/>
        <v>&lt;td class="MBCIsched"&gt;MBCI&lt;/td&gt;</v>
      </c>
      <c r="S349" t="str">
        <f t="shared" si="44"/>
        <v>&lt;td&gt;Laping Memorial 7th Place&lt;/td&gt; &lt;/tr&gt;</v>
      </c>
    </row>
    <row r="350" spans="1:19" x14ac:dyDescent="0.25">
      <c r="A350" s="5">
        <v>42406</v>
      </c>
      <c r="B350" s="6">
        <v>0.45833333333333331</v>
      </c>
      <c r="C350" t="s">
        <v>24</v>
      </c>
      <c r="D350" t="s">
        <v>82</v>
      </c>
      <c r="F350" t="s">
        <v>782</v>
      </c>
      <c r="I350" t="s">
        <v>565</v>
      </c>
      <c r="J350" t="str">
        <f t="shared" si="38"/>
        <v/>
      </c>
      <c r="K350" t="s">
        <v>169</v>
      </c>
      <c r="L350" t="s">
        <v>781</v>
      </c>
      <c r="N350" t="str">
        <f t="shared" si="39"/>
        <v>&lt;tr&gt; &lt;td&gt;Feb. 6&lt;/td&gt;</v>
      </c>
      <c r="O350" t="str">
        <f t="shared" si="40"/>
        <v>&lt;td&gt;11:00 AM&lt;/td&gt;</v>
      </c>
      <c r="P350" t="str">
        <f t="shared" si="41"/>
        <v>&lt;td class="DMCIsched"&gt;Daniel McIntyre&lt;/td&gt;</v>
      </c>
      <c r="Q350" t="str">
        <f t="shared" si="42"/>
        <v>&lt;td&gt; -  NR&lt;/td&gt;</v>
      </c>
      <c r="R350" t="str">
        <f t="shared" si="43"/>
        <v>&lt;td class="sched"&gt;Evan Hardy&lt;/td&gt;</v>
      </c>
      <c r="S350" t="str">
        <f t="shared" si="44"/>
        <v>&lt;td&gt;Campbell Invitational&lt;/td&gt; &lt;/tr&gt;</v>
      </c>
    </row>
    <row r="351" spans="1:19" x14ac:dyDescent="0.25">
      <c r="A351" s="5">
        <v>42406</v>
      </c>
      <c r="B351" s="6">
        <v>0.52083333333333337</v>
      </c>
      <c r="C351" t="s">
        <v>2</v>
      </c>
      <c r="D351" t="s">
        <v>43</v>
      </c>
      <c r="E351">
        <v>97</v>
      </c>
      <c r="F351" t="s">
        <v>18</v>
      </c>
      <c r="G351" t="s">
        <v>52</v>
      </c>
      <c r="H351">
        <v>57</v>
      </c>
      <c r="J351" t="str">
        <f t="shared" si="38"/>
        <v>V</v>
      </c>
      <c r="K351" t="s">
        <v>773</v>
      </c>
      <c r="L351" t="s">
        <v>182</v>
      </c>
      <c r="N351" t="str">
        <f t="shared" si="39"/>
        <v>&lt;tr&gt; &lt;td&gt;Feb. 6&lt;/td&gt;</v>
      </c>
      <c r="O351" t="str">
        <f t="shared" si="40"/>
        <v>&lt;td&gt;12:30 PM&lt;/td&gt;</v>
      </c>
      <c r="P351" t="str">
        <f t="shared" si="41"/>
        <v>&lt;td class="KECsched"&gt;Kildonan-East&lt;/td&gt;</v>
      </c>
      <c r="Q351" t="str">
        <f t="shared" si="42"/>
        <v>&lt;td&gt;97 - 57&lt;/td&gt;</v>
      </c>
      <c r="R351" t="str">
        <f t="shared" si="43"/>
        <v>&lt;td class="RECsched"&gt;River East&lt;/td&gt;</v>
      </c>
      <c r="S351" t="str">
        <f t="shared" si="44"/>
        <v>&lt;td&gt;Laping Memorial Consolation Final&lt;/td&gt; &lt;/tr&gt;</v>
      </c>
    </row>
    <row r="352" spans="1:19" x14ac:dyDescent="0.25">
      <c r="A352" s="5">
        <v>42406</v>
      </c>
      <c r="B352" s="6">
        <v>0.5625</v>
      </c>
      <c r="C352" t="s">
        <v>17</v>
      </c>
      <c r="D352" t="s">
        <v>50</v>
      </c>
      <c r="E352">
        <v>81</v>
      </c>
      <c r="F352" t="s">
        <v>25</v>
      </c>
      <c r="G352" t="s">
        <v>84</v>
      </c>
      <c r="H352">
        <v>51</v>
      </c>
      <c r="J352" t="str">
        <f t="shared" si="38"/>
        <v>V</v>
      </c>
      <c r="K352" t="s">
        <v>566</v>
      </c>
      <c r="L352" t="s">
        <v>179</v>
      </c>
      <c r="N352" t="str">
        <f t="shared" si="39"/>
        <v>&lt;tr&gt; &lt;td&gt;Feb. 6&lt;/td&gt;</v>
      </c>
      <c r="O352" t="str">
        <f t="shared" si="40"/>
        <v>&lt;td&gt;1:30 PM&lt;/td&gt;</v>
      </c>
      <c r="P352" t="str">
        <f t="shared" si="41"/>
        <v>&lt;td class="MMCIsched"&gt;Murdoch MacKay&lt;/td&gt;</v>
      </c>
      <c r="Q352" t="str">
        <f t="shared" si="42"/>
        <v>&lt;td&gt;81 - 51&lt;/td&gt;</v>
      </c>
      <c r="R352" t="str">
        <f t="shared" si="43"/>
        <v>&lt;td class="EHSsched"&gt;Elmwood&lt;/td&gt;</v>
      </c>
      <c r="S352" t="str">
        <f t="shared" si="44"/>
        <v>&lt;td&gt;Transcona Optimist Semifinal 1&lt;/td&gt; &lt;/tr&gt;</v>
      </c>
    </row>
    <row r="353" spans="1:19" x14ac:dyDescent="0.25">
      <c r="A353" s="5">
        <v>42406</v>
      </c>
      <c r="B353" s="6">
        <v>0.5625</v>
      </c>
      <c r="C353" t="s">
        <v>272</v>
      </c>
      <c r="E353">
        <v>70</v>
      </c>
      <c r="F353" t="s">
        <v>19</v>
      </c>
      <c r="G353" t="s">
        <v>56</v>
      </c>
      <c r="H353">
        <v>51</v>
      </c>
      <c r="J353" t="str">
        <f t="shared" si="38"/>
        <v>V</v>
      </c>
      <c r="K353" t="s">
        <v>566</v>
      </c>
      <c r="L353" t="s">
        <v>180</v>
      </c>
      <c r="N353" t="str">
        <f t="shared" si="39"/>
        <v>&lt;tr&gt; &lt;td&gt;Feb. 6&lt;/td&gt;</v>
      </c>
      <c r="O353" t="str">
        <f t="shared" si="40"/>
        <v>&lt;td&gt;1:30 PM&lt;/td&gt;</v>
      </c>
      <c r="P353" t="str">
        <f t="shared" si="41"/>
        <v>&lt;td class="sched"&gt;Lorette&lt;/td&gt;</v>
      </c>
      <c r="Q353" t="str">
        <f t="shared" si="42"/>
        <v>&lt;td&gt;70 - 51&lt;/td&gt;</v>
      </c>
      <c r="R353" t="str">
        <f t="shared" si="43"/>
        <v>&lt;td class="TCIsched"&gt;Transcona&lt;/td&gt;</v>
      </c>
      <c r="S353" t="str">
        <f t="shared" si="44"/>
        <v>&lt;td&gt;Transcona Optimist Semifinal 2&lt;/td&gt; &lt;/tr&gt;</v>
      </c>
    </row>
    <row r="354" spans="1:19" x14ac:dyDescent="0.25">
      <c r="A354" s="5">
        <v>42406</v>
      </c>
      <c r="B354" s="6">
        <v>0.58333333333333337</v>
      </c>
      <c r="C354" t="s">
        <v>239</v>
      </c>
      <c r="E354">
        <v>51</v>
      </c>
      <c r="F354" t="s">
        <v>135</v>
      </c>
      <c r="G354" t="s">
        <v>136</v>
      </c>
      <c r="H354">
        <v>62</v>
      </c>
      <c r="J354" t="str">
        <f t="shared" si="38"/>
        <v>H</v>
      </c>
      <c r="K354" t="s">
        <v>566</v>
      </c>
      <c r="L354" t="s">
        <v>181</v>
      </c>
      <c r="N354" t="str">
        <f t="shared" si="39"/>
        <v>&lt;tr&gt; &lt;td&gt;Feb. 6&lt;/td&gt;</v>
      </c>
      <c r="O354" t="str">
        <f t="shared" si="40"/>
        <v>&lt;td&gt;2:00 PM&lt;/td&gt;</v>
      </c>
      <c r="P354" t="str">
        <f t="shared" si="41"/>
        <v>&lt;td class="sched"&gt;Pierre-Elliott-Trudeau&lt;/td&gt;</v>
      </c>
      <c r="Q354" t="str">
        <f t="shared" si="42"/>
        <v>&lt;td&gt;51 - 62&lt;/td&gt;</v>
      </c>
      <c r="R354" t="str">
        <f t="shared" si="43"/>
        <v>&lt;td class="NPCsched"&gt;Northlands Parkway&lt;/td&gt;</v>
      </c>
      <c r="S354" t="str">
        <f t="shared" si="44"/>
        <v>&lt;td&gt;Transcona Optimist 7th Place&lt;/td&gt; &lt;/tr&gt;</v>
      </c>
    </row>
    <row r="355" spans="1:19" x14ac:dyDescent="0.25">
      <c r="A355" s="5">
        <v>42406</v>
      </c>
      <c r="B355" s="6">
        <v>0.66666666666666663</v>
      </c>
      <c r="C355" t="s">
        <v>15</v>
      </c>
      <c r="D355" t="s">
        <v>68</v>
      </c>
      <c r="E355">
        <v>76</v>
      </c>
      <c r="F355" t="s">
        <v>8</v>
      </c>
      <c r="G355" t="s">
        <v>60</v>
      </c>
      <c r="H355">
        <v>56</v>
      </c>
      <c r="J355" t="str">
        <f t="shared" si="38"/>
        <v>V</v>
      </c>
      <c r="K355" t="s">
        <v>773</v>
      </c>
      <c r="L355" t="s">
        <v>183</v>
      </c>
      <c r="N355" t="str">
        <f t="shared" si="39"/>
        <v>&lt;tr&gt; &lt;td&gt;Feb. 6&lt;/td&gt;</v>
      </c>
      <c r="O355" t="str">
        <f t="shared" si="40"/>
        <v>&lt;td&gt;4:00 PM&lt;/td&gt;</v>
      </c>
      <c r="P355" t="str">
        <f t="shared" si="41"/>
        <v>&lt;td class="FRCsched"&gt;Fort Richmond&lt;/td&gt;</v>
      </c>
      <c r="Q355" t="str">
        <f t="shared" si="42"/>
        <v>&lt;td&gt;76 - 56&lt;/td&gt;</v>
      </c>
      <c r="R355" t="str">
        <f t="shared" si="43"/>
        <v>&lt;td class="DCIsched"&gt;Dakota&lt;/td&gt;</v>
      </c>
      <c r="S355" t="str">
        <f t="shared" si="44"/>
        <v>&lt;td&gt;Laping Memorial 3rd Place&lt;/td&gt; &lt;/tr&gt;</v>
      </c>
    </row>
    <row r="356" spans="1:19" x14ac:dyDescent="0.25">
      <c r="A356" s="5">
        <v>42406</v>
      </c>
      <c r="B356" s="6">
        <v>0.6875</v>
      </c>
      <c r="C356" t="s">
        <v>198</v>
      </c>
      <c r="E356">
        <v>44</v>
      </c>
      <c r="F356" t="s">
        <v>21</v>
      </c>
      <c r="G356" t="s">
        <v>64</v>
      </c>
      <c r="H356">
        <v>62</v>
      </c>
      <c r="J356" t="str">
        <f t="shared" si="38"/>
        <v>H</v>
      </c>
      <c r="K356" t="s">
        <v>566</v>
      </c>
      <c r="L356" t="s">
        <v>182</v>
      </c>
      <c r="N356" t="str">
        <f t="shared" si="39"/>
        <v>&lt;tr&gt; &lt;td&gt;Feb. 6&lt;/td&gt;</v>
      </c>
      <c r="O356" t="str">
        <f t="shared" si="40"/>
        <v>&lt;td&gt;4:30 PM&lt;/td&gt;</v>
      </c>
      <c r="P356" t="str">
        <f t="shared" si="41"/>
        <v>&lt;td class="sched"&gt;Windsor Park&lt;/td&gt;</v>
      </c>
      <c r="Q356" t="str">
        <f t="shared" si="42"/>
        <v>&lt;td&gt;44 - 62&lt;/td&gt;</v>
      </c>
      <c r="R356" t="str">
        <f t="shared" si="43"/>
        <v>&lt;td class="JHBsched"&gt;J.H. Bruns&lt;/td&gt;</v>
      </c>
      <c r="S356" t="str">
        <f t="shared" si="44"/>
        <v>&lt;td&gt;Transcona Optimist Consolation Final&lt;/td&gt; &lt;/tr&gt;</v>
      </c>
    </row>
    <row r="357" spans="1:19" x14ac:dyDescent="0.25">
      <c r="A357" s="5">
        <v>42406</v>
      </c>
      <c r="B357" s="6">
        <v>0.6875</v>
      </c>
      <c r="C357" t="s">
        <v>19</v>
      </c>
      <c r="D357" t="s">
        <v>56</v>
      </c>
      <c r="E357">
        <v>47</v>
      </c>
      <c r="F357" t="s">
        <v>25</v>
      </c>
      <c r="G357" t="s">
        <v>84</v>
      </c>
      <c r="H357">
        <v>73</v>
      </c>
      <c r="J357" t="str">
        <f t="shared" si="38"/>
        <v>H</v>
      </c>
      <c r="K357" t="s">
        <v>566</v>
      </c>
      <c r="L357" t="s">
        <v>183</v>
      </c>
      <c r="N357" t="str">
        <f t="shared" si="39"/>
        <v>&lt;tr&gt; &lt;td&gt;Feb. 6&lt;/td&gt;</v>
      </c>
      <c r="O357" t="str">
        <f t="shared" si="40"/>
        <v>&lt;td&gt;4:30 PM&lt;/td&gt;</v>
      </c>
      <c r="P357" t="str">
        <f t="shared" si="41"/>
        <v>&lt;td class="TCIsched"&gt;Transcona&lt;/td&gt;</v>
      </c>
      <c r="Q357" t="str">
        <f t="shared" si="42"/>
        <v>&lt;td&gt;47 - 73&lt;/td&gt;</v>
      </c>
      <c r="R357" t="str">
        <f t="shared" si="43"/>
        <v>&lt;td class="EHSsched"&gt;Elmwood&lt;/td&gt;</v>
      </c>
      <c r="S357" t="str">
        <f t="shared" si="44"/>
        <v>&lt;td&gt;Transcona Optimist 3rd Place&lt;/td&gt; &lt;/tr&gt;</v>
      </c>
    </row>
    <row r="358" spans="1:19" x14ac:dyDescent="0.25">
      <c r="A358" s="5">
        <v>42406</v>
      </c>
      <c r="B358" s="6">
        <v>0.8125</v>
      </c>
      <c r="C358" t="s">
        <v>272</v>
      </c>
      <c r="E358" t="s">
        <v>156</v>
      </c>
      <c r="F358" t="s">
        <v>17</v>
      </c>
      <c r="G358" t="s">
        <v>50</v>
      </c>
      <c r="H358" t="s">
        <v>254</v>
      </c>
      <c r="J358" t="str">
        <f t="shared" si="38"/>
        <v>V</v>
      </c>
      <c r="K358" t="s">
        <v>566</v>
      </c>
      <c r="L358" t="s">
        <v>184</v>
      </c>
      <c r="N358" t="str">
        <f t="shared" si="39"/>
        <v>&lt;tr&gt; &lt;td&gt;Feb. 6&lt;/td&gt;</v>
      </c>
      <c r="O358" t="str">
        <f t="shared" si="40"/>
        <v>&lt;td&gt;7:30 PM&lt;/td&gt;</v>
      </c>
      <c r="P358" t="str">
        <f t="shared" si="41"/>
        <v>&lt;td class="sched"&gt;Lorette&lt;/td&gt;</v>
      </c>
      <c r="Q358" t="str">
        <f t="shared" si="42"/>
        <v>&lt;td&gt;W - L&lt;/td&gt;</v>
      </c>
      <c r="R358" t="str">
        <f t="shared" si="43"/>
        <v>&lt;td class="MMCIsched"&gt;Murdoch MacKay&lt;/td&gt;</v>
      </c>
      <c r="S358" t="str">
        <f t="shared" si="44"/>
        <v>&lt;td&gt;Transcona Optimist Championship&lt;/td&gt; &lt;/tr&gt;</v>
      </c>
    </row>
    <row r="359" spans="1:19" x14ac:dyDescent="0.25">
      <c r="A359" s="5">
        <v>42406</v>
      </c>
      <c r="B359" s="6">
        <v>0.8125</v>
      </c>
      <c r="C359" t="s">
        <v>4</v>
      </c>
      <c r="D359" t="s">
        <v>41</v>
      </c>
      <c r="E359">
        <v>75</v>
      </c>
      <c r="F359" t="s">
        <v>3</v>
      </c>
      <c r="G359" t="s">
        <v>78</v>
      </c>
      <c r="H359">
        <v>70</v>
      </c>
      <c r="J359" t="str">
        <f t="shared" si="38"/>
        <v>V</v>
      </c>
      <c r="K359" t="s">
        <v>773</v>
      </c>
      <c r="L359" t="s">
        <v>184</v>
      </c>
      <c r="N359" t="str">
        <f t="shared" si="39"/>
        <v>&lt;tr&gt; &lt;td&gt;Feb. 6&lt;/td&gt;</v>
      </c>
      <c r="O359" t="str">
        <f t="shared" si="40"/>
        <v>&lt;td&gt;7:30 PM&lt;/td&gt;</v>
      </c>
      <c r="P359" t="str">
        <f t="shared" si="41"/>
        <v>&lt;td class="GCCsched"&gt;Garden City&lt;/td&gt;</v>
      </c>
      <c r="Q359" t="str">
        <f t="shared" si="42"/>
        <v>&lt;td&gt;75 - 70&lt;/td&gt;</v>
      </c>
      <c r="R359" t="str">
        <f t="shared" si="43"/>
        <v>&lt;td class="SPHSsched"&gt;St. Paul's&lt;/td&gt;</v>
      </c>
      <c r="S359" t="str">
        <f t="shared" si="44"/>
        <v>&lt;td&gt;Laping Memorial Championship&lt;/td&gt; &lt;/tr&gt;</v>
      </c>
    </row>
    <row r="360" spans="1:19" x14ac:dyDescent="0.25">
      <c r="A360" s="5">
        <v>42406</v>
      </c>
      <c r="B360" s="6">
        <v>0.85416666666666663</v>
      </c>
      <c r="C360" t="s">
        <v>816</v>
      </c>
      <c r="E360">
        <v>63</v>
      </c>
      <c r="F360" t="s">
        <v>16</v>
      </c>
      <c r="G360" t="s">
        <v>45</v>
      </c>
      <c r="H360">
        <v>104</v>
      </c>
      <c r="J360" t="str">
        <f t="shared" si="38"/>
        <v>H</v>
      </c>
      <c r="K360" t="s">
        <v>813</v>
      </c>
      <c r="L360" t="s">
        <v>184</v>
      </c>
      <c r="N360" t="str">
        <f t="shared" si="39"/>
        <v>&lt;tr&gt; &lt;td&gt;Feb. 6&lt;/td&gt;</v>
      </c>
      <c r="O360" t="str">
        <f t="shared" si="40"/>
        <v>&lt;td&gt;8:30 PM&lt;/td&gt;</v>
      </c>
      <c r="P360" t="str">
        <f t="shared" si="41"/>
        <v>&lt;td class="sched"&gt;Balfour&lt;/td&gt;</v>
      </c>
      <c r="Q360" t="str">
        <f t="shared" si="42"/>
        <v>&lt;td&gt;63 - 104&lt;/td&gt;</v>
      </c>
      <c r="R360" t="str">
        <f t="shared" si="43"/>
        <v>&lt;td class="MCsched"&gt;Maples&lt;/td&gt;</v>
      </c>
      <c r="S360" t="str">
        <f t="shared" si="44"/>
        <v>&lt;td&gt;Marauder Invitational Championship&lt;/td&gt; &lt;/tr&gt;</v>
      </c>
    </row>
    <row r="361" spans="1:19" x14ac:dyDescent="0.25">
      <c r="A361" s="5">
        <v>42406</v>
      </c>
      <c r="C361" t="s">
        <v>162</v>
      </c>
      <c r="D361" t="s">
        <v>164</v>
      </c>
      <c r="E361">
        <v>67</v>
      </c>
      <c r="F361" t="s">
        <v>9</v>
      </c>
      <c r="G361" t="s">
        <v>76</v>
      </c>
      <c r="H361">
        <v>81</v>
      </c>
      <c r="J361" t="str">
        <f t="shared" si="38"/>
        <v>H</v>
      </c>
      <c r="K361" t="s">
        <v>767</v>
      </c>
      <c r="L361" t="s">
        <v>179</v>
      </c>
      <c r="N361" t="str">
        <f t="shared" si="39"/>
        <v>&lt;tr&gt; &lt;td&gt;Feb. 6&lt;/td&gt;</v>
      </c>
      <c r="O361" t="str">
        <f t="shared" si="40"/>
        <v>&lt;td&gt;&lt;/td&gt;</v>
      </c>
      <c r="P361" t="str">
        <f t="shared" si="41"/>
        <v>&lt;td class="GVCsched"&gt;Garden Valley&lt;/td&gt;</v>
      </c>
      <c r="Q361" t="str">
        <f t="shared" si="42"/>
        <v>&lt;td&gt;67 - 81&lt;/td&gt;</v>
      </c>
      <c r="R361" t="str">
        <f t="shared" si="43"/>
        <v>&lt;td class="SiHSsched"&gt;Sisler&lt;/td&gt;</v>
      </c>
      <c r="S361" t="str">
        <f t="shared" si="44"/>
        <v>&lt;td&gt;Sisler Invitational Semifinal 1&lt;/td&gt; &lt;/tr&gt;</v>
      </c>
    </row>
    <row r="362" spans="1:19" x14ac:dyDescent="0.25">
      <c r="A362" s="5">
        <v>42406</v>
      </c>
      <c r="C362" t="s">
        <v>11</v>
      </c>
      <c r="D362" t="s">
        <v>48</v>
      </c>
      <c r="E362">
        <v>64</v>
      </c>
      <c r="F362" t="s">
        <v>253</v>
      </c>
      <c r="H362">
        <v>77</v>
      </c>
      <c r="J362" t="str">
        <f t="shared" si="38"/>
        <v>H</v>
      </c>
      <c r="K362" t="s">
        <v>767</v>
      </c>
      <c r="L362" t="s">
        <v>180</v>
      </c>
      <c r="N362" t="str">
        <f t="shared" si="39"/>
        <v>&lt;tr&gt; &lt;td&gt;Feb. 6&lt;/td&gt;</v>
      </c>
      <c r="O362" t="str">
        <f t="shared" si="40"/>
        <v>&lt;td&gt;&lt;/td&gt;</v>
      </c>
      <c r="P362" t="str">
        <f t="shared" si="41"/>
        <v>&lt;td class="MMCsched"&gt;Miles Macdonell&lt;/td&gt;</v>
      </c>
      <c r="Q362" t="str">
        <f t="shared" si="42"/>
        <v>&lt;td&gt;64 - 77&lt;/td&gt;</v>
      </c>
      <c r="R362" t="str">
        <f t="shared" si="43"/>
        <v>&lt;td class="sched"&gt;St. James&lt;/td&gt;</v>
      </c>
      <c r="S362" t="str">
        <f t="shared" si="44"/>
        <v>&lt;td&gt;Sisler Invitational Semifinal 2&lt;/td&gt; &lt;/tr&gt;</v>
      </c>
    </row>
    <row r="363" spans="1:19" x14ac:dyDescent="0.25">
      <c r="A363" s="5">
        <v>42406</v>
      </c>
      <c r="C363" t="s">
        <v>11</v>
      </c>
      <c r="D363" t="s">
        <v>48</v>
      </c>
      <c r="E363">
        <v>59</v>
      </c>
      <c r="F363" t="s">
        <v>162</v>
      </c>
      <c r="G363" t="s">
        <v>164</v>
      </c>
      <c r="H363">
        <v>51</v>
      </c>
      <c r="J363" t="str">
        <f t="shared" si="38"/>
        <v>V</v>
      </c>
      <c r="K363" t="s">
        <v>767</v>
      </c>
      <c r="L363" t="s">
        <v>183</v>
      </c>
      <c r="N363" t="str">
        <f t="shared" si="39"/>
        <v>&lt;tr&gt; &lt;td&gt;Feb. 6&lt;/td&gt;</v>
      </c>
      <c r="O363" t="str">
        <f t="shared" si="40"/>
        <v>&lt;td&gt;&lt;/td&gt;</v>
      </c>
      <c r="P363" t="str">
        <f t="shared" si="41"/>
        <v>&lt;td class="MMCsched"&gt;Miles Macdonell&lt;/td&gt;</v>
      </c>
      <c r="Q363" t="str">
        <f t="shared" si="42"/>
        <v>&lt;td&gt;59 - 51&lt;/td&gt;</v>
      </c>
      <c r="R363" t="str">
        <f t="shared" si="43"/>
        <v>&lt;td class="GVCsched"&gt;Garden Valley&lt;/td&gt;</v>
      </c>
      <c r="S363" t="str">
        <f t="shared" si="44"/>
        <v>&lt;td&gt;Sisler Invitational 3rd Place&lt;/td&gt; &lt;/tr&gt;</v>
      </c>
    </row>
    <row r="364" spans="1:19" x14ac:dyDescent="0.25">
      <c r="A364" s="5">
        <v>42406</v>
      </c>
      <c r="C364" t="s">
        <v>253</v>
      </c>
      <c r="E364">
        <v>55</v>
      </c>
      <c r="F364" t="s">
        <v>9</v>
      </c>
      <c r="G364" t="s">
        <v>76</v>
      </c>
      <c r="H364">
        <v>83</v>
      </c>
      <c r="J364" t="str">
        <f t="shared" si="38"/>
        <v>H</v>
      </c>
      <c r="K364" t="s">
        <v>767</v>
      </c>
      <c r="L364" t="s">
        <v>184</v>
      </c>
      <c r="N364" t="str">
        <f t="shared" si="39"/>
        <v>&lt;tr&gt; &lt;td&gt;Feb. 6&lt;/td&gt;</v>
      </c>
      <c r="O364" t="str">
        <f t="shared" si="40"/>
        <v>&lt;td&gt;&lt;/td&gt;</v>
      </c>
      <c r="P364" t="str">
        <f t="shared" si="41"/>
        <v>&lt;td class="sched"&gt;St. James&lt;/td&gt;</v>
      </c>
      <c r="Q364" t="str">
        <f t="shared" si="42"/>
        <v>&lt;td&gt;55 - 83&lt;/td&gt;</v>
      </c>
      <c r="R364" t="str">
        <f t="shared" si="43"/>
        <v>&lt;td class="SiHSsched"&gt;Sisler&lt;/td&gt;</v>
      </c>
      <c r="S364" t="str">
        <f t="shared" si="44"/>
        <v>&lt;td&gt;Sisler Invitational Championship&lt;/td&gt; &lt;/tr&gt;</v>
      </c>
    </row>
    <row r="365" spans="1:19" x14ac:dyDescent="0.25">
      <c r="A365" s="5">
        <v>42408</v>
      </c>
      <c r="B365" s="6">
        <v>0.76041666666666663</v>
      </c>
      <c r="C365" t="s">
        <v>31</v>
      </c>
      <c r="D365" t="s">
        <v>96</v>
      </c>
      <c r="E365">
        <v>65</v>
      </c>
      <c r="F365" t="s">
        <v>30</v>
      </c>
      <c r="G365" t="s">
        <v>92</v>
      </c>
      <c r="H365">
        <v>67</v>
      </c>
      <c r="J365" t="str">
        <f t="shared" si="38"/>
        <v>H</v>
      </c>
      <c r="K365" t="s">
        <v>252</v>
      </c>
      <c r="L365" t="s">
        <v>228</v>
      </c>
      <c r="M365" t="s">
        <v>229</v>
      </c>
      <c r="N365" t="str">
        <f t="shared" si="39"/>
        <v>&lt;tr&gt; &lt;td&gt;Feb. 8&lt;/td&gt;</v>
      </c>
      <c r="O365" t="str">
        <f t="shared" si="40"/>
        <v>&lt;td&gt;6:15 PM&lt;/td&gt;</v>
      </c>
      <c r="P365" t="str">
        <f t="shared" si="41"/>
        <v>&lt;td class="TVHSsched"&gt;Tec Voc&lt;/td&gt;</v>
      </c>
      <c r="Q365" t="str">
        <f t="shared" si="42"/>
        <v>&lt;td&gt;65 - 67&lt;/td&gt;</v>
      </c>
      <c r="R365" t="str">
        <f t="shared" si="43"/>
        <v>&lt;td class="SJHSsched"&gt;St. John's&lt;/td&gt;</v>
      </c>
      <c r="S365" t="str">
        <f t="shared" si="44"/>
        <v>&lt;td&gt;WWAC-WAC Tier 2 Regular Season&lt;/td&gt; &lt;/tr&gt;</v>
      </c>
    </row>
    <row r="366" spans="1:19" x14ac:dyDescent="0.25">
      <c r="A366" s="5">
        <v>42408</v>
      </c>
      <c r="B366" s="6">
        <v>0.76041666666666663</v>
      </c>
      <c r="C366" t="s">
        <v>171</v>
      </c>
      <c r="E366">
        <v>57</v>
      </c>
      <c r="F366" t="s">
        <v>26</v>
      </c>
      <c r="G366" t="s">
        <v>86</v>
      </c>
      <c r="H366">
        <v>64</v>
      </c>
      <c r="J366" t="str">
        <f t="shared" si="38"/>
        <v>H</v>
      </c>
      <c r="K366" t="s">
        <v>252</v>
      </c>
      <c r="L366" t="s">
        <v>228</v>
      </c>
      <c r="M366" t="s">
        <v>229</v>
      </c>
      <c r="N366" t="str">
        <f t="shared" si="39"/>
        <v>&lt;tr&gt; &lt;td&gt;Feb. 8&lt;/td&gt;</v>
      </c>
      <c r="O366" t="str">
        <f t="shared" si="40"/>
        <v>&lt;td&gt;6:15 PM&lt;/td&gt;</v>
      </c>
      <c r="P366" t="str">
        <f t="shared" si="41"/>
        <v>&lt;td class="sched"&gt;Churchill&lt;/td&gt;</v>
      </c>
      <c r="Q366" t="str">
        <f t="shared" si="42"/>
        <v>&lt;td&gt;57 - 64&lt;/td&gt;</v>
      </c>
      <c r="R366" t="str">
        <f t="shared" si="43"/>
        <v>&lt;td class="GBHSsched"&gt;Gordon Bell&lt;/td&gt;</v>
      </c>
      <c r="S366" t="str">
        <f t="shared" si="44"/>
        <v>&lt;td&gt;WWAC-WAC Tier 2 Regular Season&lt;/td&gt; &lt;/tr&gt;</v>
      </c>
    </row>
    <row r="367" spans="1:19" x14ac:dyDescent="0.25">
      <c r="A367" s="5">
        <v>42408</v>
      </c>
      <c r="B367" s="6">
        <v>0.76041666666666663</v>
      </c>
      <c r="C367" t="s">
        <v>1</v>
      </c>
      <c r="D367" t="s">
        <v>74</v>
      </c>
      <c r="E367">
        <v>92</v>
      </c>
      <c r="F367" t="s">
        <v>24</v>
      </c>
      <c r="G367" t="s">
        <v>82</v>
      </c>
      <c r="H367">
        <v>67</v>
      </c>
      <c r="J367" t="str">
        <f t="shared" si="38"/>
        <v>V</v>
      </c>
      <c r="K367" t="s">
        <v>251</v>
      </c>
      <c r="L367" t="s">
        <v>228</v>
      </c>
      <c r="M367" t="s">
        <v>229</v>
      </c>
      <c r="N367" t="str">
        <f t="shared" si="39"/>
        <v>&lt;tr&gt; &lt;td&gt;Feb. 8&lt;/td&gt;</v>
      </c>
      <c r="O367" t="str">
        <f t="shared" si="40"/>
        <v>&lt;td&gt;6:15 PM&lt;/td&gt;</v>
      </c>
      <c r="P367" t="str">
        <f t="shared" si="41"/>
        <v>&lt;td class="OPHSsched"&gt;Oak Park&lt;/td&gt;</v>
      </c>
      <c r="Q367" t="str">
        <f t="shared" si="42"/>
        <v>&lt;td&gt;92 - 67&lt;/td&gt;</v>
      </c>
      <c r="R367" t="str">
        <f t="shared" si="43"/>
        <v>&lt;td class="DMCIsched"&gt;Daniel McIntyre&lt;/td&gt;</v>
      </c>
      <c r="S367" t="str">
        <f t="shared" si="44"/>
        <v>&lt;td&gt;WWAC-WAC Tier 1 Regular Season&lt;/td&gt; &lt;/tr&gt;</v>
      </c>
    </row>
    <row r="368" spans="1:19" x14ac:dyDescent="0.25">
      <c r="A368" s="5">
        <v>42408</v>
      </c>
      <c r="B368" s="6">
        <v>0.76041666666666663</v>
      </c>
      <c r="C368" t="s">
        <v>3</v>
      </c>
      <c r="D368" t="s">
        <v>78</v>
      </c>
      <c r="E368">
        <v>73</v>
      </c>
      <c r="F368" t="s">
        <v>15</v>
      </c>
      <c r="G368" t="s">
        <v>68</v>
      </c>
      <c r="H368">
        <v>76</v>
      </c>
      <c r="J368" t="str">
        <f t="shared" si="38"/>
        <v>H</v>
      </c>
      <c r="K368" t="s">
        <v>251</v>
      </c>
      <c r="L368" t="s">
        <v>228</v>
      </c>
      <c r="M368" t="s">
        <v>229</v>
      </c>
      <c r="N368" t="str">
        <f t="shared" si="39"/>
        <v>&lt;tr&gt; &lt;td&gt;Feb. 8&lt;/td&gt;</v>
      </c>
      <c r="O368" t="str">
        <f t="shared" si="40"/>
        <v>&lt;td&gt;6:15 PM&lt;/td&gt;</v>
      </c>
      <c r="P368" t="str">
        <f t="shared" si="41"/>
        <v>&lt;td class="SPHSsched"&gt;St. Paul's&lt;/td&gt;</v>
      </c>
      <c r="Q368" t="str">
        <f t="shared" si="42"/>
        <v>&lt;td&gt;73 - 76&lt;/td&gt;</v>
      </c>
      <c r="R368" t="str">
        <f t="shared" si="43"/>
        <v>&lt;td class="FRCsched"&gt;Fort Richmond&lt;/td&gt;</v>
      </c>
      <c r="S368" t="str">
        <f t="shared" si="44"/>
        <v>&lt;td&gt;WWAC-WAC Tier 1 Regular Season&lt;/td&gt; &lt;/tr&gt;</v>
      </c>
    </row>
    <row r="369" spans="1:19" x14ac:dyDescent="0.25">
      <c r="A369" s="5">
        <v>42408</v>
      </c>
      <c r="B369" s="6">
        <v>0.76041666666666663</v>
      </c>
      <c r="C369" t="s">
        <v>9</v>
      </c>
      <c r="D369" t="s">
        <v>76</v>
      </c>
      <c r="E369">
        <v>82</v>
      </c>
      <c r="F369" t="s">
        <v>10</v>
      </c>
      <c r="G369" t="s">
        <v>72</v>
      </c>
      <c r="H369">
        <v>57</v>
      </c>
      <c r="J369" t="str">
        <f t="shared" si="38"/>
        <v>V</v>
      </c>
      <c r="K369" t="s">
        <v>251</v>
      </c>
      <c r="L369" t="s">
        <v>228</v>
      </c>
      <c r="M369" t="s">
        <v>229</v>
      </c>
      <c r="N369" t="str">
        <f t="shared" si="39"/>
        <v>&lt;tr&gt; &lt;td&gt;Feb. 8&lt;/td&gt;</v>
      </c>
      <c r="O369" t="str">
        <f t="shared" si="40"/>
        <v>&lt;td&gt;6:15 PM&lt;/td&gt;</v>
      </c>
      <c r="P369" t="str">
        <f t="shared" si="41"/>
        <v>&lt;td class="SiHSsched"&gt;Sisler&lt;/td&gt;</v>
      </c>
      <c r="Q369" t="str">
        <f t="shared" si="42"/>
        <v>&lt;td&gt;82 - 57&lt;/td&gt;</v>
      </c>
      <c r="R369" t="str">
        <f t="shared" si="43"/>
        <v>&lt;td class="KHSsched"&gt;Kelvin&lt;/td&gt;</v>
      </c>
      <c r="S369" t="str">
        <f t="shared" si="44"/>
        <v>&lt;td&gt;WWAC-WAC Tier 1 Regular Season&lt;/td&gt; &lt;/tr&gt;</v>
      </c>
    </row>
    <row r="370" spans="1:19" x14ac:dyDescent="0.25">
      <c r="A370" s="5">
        <v>42408</v>
      </c>
      <c r="B370" s="6">
        <v>0.76041666666666663</v>
      </c>
      <c r="C370" t="s">
        <v>27</v>
      </c>
      <c r="D370" t="s">
        <v>88</v>
      </c>
      <c r="E370">
        <v>43</v>
      </c>
      <c r="F370" t="s">
        <v>6</v>
      </c>
      <c r="G370" t="s">
        <v>70</v>
      </c>
      <c r="H370">
        <v>81</v>
      </c>
      <c r="J370" t="str">
        <f t="shared" si="38"/>
        <v>H</v>
      </c>
      <c r="K370" t="s">
        <v>251</v>
      </c>
      <c r="L370" t="s">
        <v>228</v>
      </c>
      <c r="M370" t="s">
        <v>229</v>
      </c>
      <c r="N370" t="str">
        <f t="shared" si="39"/>
        <v>&lt;tr&gt; &lt;td&gt;Feb. 8&lt;/td&gt;</v>
      </c>
      <c r="O370" t="str">
        <f t="shared" si="40"/>
        <v>&lt;td&gt;6:15 PM&lt;/td&gt;</v>
      </c>
      <c r="P370" t="str">
        <f t="shared" si="41"/>
        <v>&lt;td class="GPHSsched"&gt;Grant Park&lt;/td&gt;</v>
      </c>
      <c r="Q370" t="str">
        <f t="shared" si="42"/>
        <v>&lt;td&gt;43 - 81&lt;/td&gt;</v>
      </c>
      <c r="R370" t="str">
        <f t="shared" si="43"/>
        <v>&lt;td class="JTCsched"&gt;John Taylor&lt;/td&gt;</v>
      </c>
      <c r="S370" t="str">
        <f t="shared" si="44"/>
        <v>&lt;td&gt;WWAC-WAC Tier 1 Regular Season&lt;/td&gt; &lt;/tr&gt;</v>
      </c>
    </row>
    <row r="371" spans="1:19" x14ac:dyDescent="0.25">
      <c r="A371" s="5">
        <v>42408</v>
      </c>
      <c r="B371" s="6">
        <v>0.8125</v>
      </c>
      <c r="C371" t="s">
        <v>7</v>
      </c>
      <c r="D371" t="s">
        <v>7</v>
      </c>
      <c r="E371">
        <v>80</v>
      </c>
      <c r="F371" t="s">
        <v>20</v>
      </c>
      <c r="G371" t="s">
        <v>58</v>
      </c>
      <c r="H371">
        <v>81</v>
      </c>
      <c r="I371" t="s">
        <v>290</v>
      </c>
      <c r="J371" t="str">
        <f t="shared" si="38"/>
        <v>H</v>
      </c>
      <c r="K371" t="s">
        <v>37</v>
      </c>
      <c r="L371" t="s">
        <v>228</v>
      </c>
      <c r="M371" t="s">
        <v>229</v>
      </c>
      <c r="N371" t="str">
        <f t="shared" si="39"/>
        <v>&lt;tr&gt; &lt;td&gt;Feb. 8&lt;/td&gt;</v>
      </c>
      <c r="O371" t="str">
        <f t="shared" si="40"/>
        <v>&lt;td&gt;7:30 PM&lt;/td&gt;</v>
      </c>
      <c r="P371" t="str">
        <f t="shared" si="41"/>
        <v>&lt;td class="MBCIsched"&gt;MBCI&lt;/td&gt;</v>
      </c>
      <c r="Q371" t="str">
        <f t="shared" si="42"/>
        <v>&lt;td&gt;80 - 81 2OT&lt;/td&gt;</v>
      </c>
      <c r="R371" t="str">
        <f t="shared" si="43"/>
        <v>&lt;td class="WKCsched"&gt;West Kildonan&lt;/td&gt;</v>
      </c>
      <c r="S371" t="str">
        <f t="shared" si="44"/>
        <v>&lt;td&gt;KPAC Regular Season&lt;/td&gt; &lt;/tr&gt;</v>
      </c>
    </row>
    <row r="372" spans="1:19" x14ac:dyDescent="0.25">
      <c r="A372" s="5">
        <v>42408</v>
      </c>
      <c r="B372" s="6">
        <v>0.8125</v>
      </c>
      <c r="C372" t="s">
        <v>16</v>
      </c>
      <c r="D372" t="s">
        <v>45</v>
      </c>
      <c r="E372">
        <v>64</v>
      </c>
      <c r="F372" t="s">
        <v>4</v>
      </c>
      <c r="G372" t="s">
        <v>41</v>
      </c>
      <c r="H372">
        <v>104</v>
      </c>
      <c r="J372" t="str">
        <f t="shared" ref="J372:J401" si="45">IF(H372&gt;E372,"H",IF(E372&gt;H372,"V",""))</f>
        <v>H</v>
      </c>
      <c r="K372" t="s">
        <v>37</v>
      </c>
      <c r="L372" t="s">
        <v>228</v>
      </c>
      <c r="M372" t="s">
        <v>229</v>
      </c>
      <c r="N372" t="str">
        <f t="shared" si="39"/>
        <v>&lt;tr&gt; &lt;td&gt;Feb. 8&lt;/td&gt;</v>
      </c>
      <c r="O372" t="str">
        <f t="shared" si="40"/>
        <v>&lt;td&gt;7:30 PM&lt;/td&gt;</v>
      </c>
      <c r="P372" t="str">
        <f t="shared" si="41"/>
        <v>&lt;td class="MCsched"&gt;Maples&lt;/td&gt;</v>
      </c>
      <c r="Q372" t="str">
        <f t="shared" si="42"/>
        <v>&lt;td&gt;64 - 104&lt;/td&gt;</v>
      </c>
      <c r="R372" t="str">
        <f t="shared" si="43"/>
        <v>&lt;td class="GCCsched"&gt;Garden City&lt;/td&gt;</v>
      </c>
      <c r="S372" t="str">
        <f t="shared" si="44"/>
        <v>&lt;td&gt;KPAC Regular Season&lt;/td&gt; &lt;/tr&gt;</v>
      </c>
    </row>
    <row r="373" spans="1:19" x14ac:dyDescent="0.25">
      <c r="A373" s="5">
        <v>42408</v>
      </c>
      <c r="B373" s="6">
        <v>0.8125</v>
      </c>
      <c r="C373" t="s">
        <v>19</v>
      </c>
      <c r="D373" t="s">
        <v>56</v>
      </c>
      <c r="E373">
        <v>57</v>
      </c>
      <c r="F373" t="s">
        <v>12</v>
      </c>
      <c r="G373" t="s">
        <v>54</v>
      </c>
      <c r="H373">
        <v>77</v>
      </c>
      <c r="J373" t="str">
        <f t="shared" si="45"/>
        <v>H</v>
      </c>
      <c r="K373" t="s">
        <v>37</v>
      </c>
      <c r="L373" t="s">
        <v>228</v>
      </c>
      <c r="M373" t="s">
        <v>229</v>
      </c>
      <c r="N373" t="str">
        <f t="shared" si="39"/>
        <v>&lt;tr&gt; &lt;td&gt;Feb. 8&lt;/td&gt;</v>
      </c>
      <c r="O373" t="str">
        <f t="shared" si="40"/>
        <v>&lt;td&gt;7:30 PM&lt;/td&gt;</v>
      </c>
      <c r="P373" t="str">
        <f t="shared" si="41"/>
        <v>&lt;td class="TCIsched"&gt;Transcona&lt;/td&gt;</v>
      </c>
      <c r="Q373" t="str">
        <f t="shared" si="42"/>
        <v>&lt;td&gt;57 - 77&lt;/td&gt;</v>
      </c>
      <c r="R373" t="str">
        <f t="shared" si="43"/>
        <v>&lt;td class="LSsched"&gt;Selkirk&lt;/td&gt;</v>
      </c>
      <c r="S373" t="str">
        <f t="shared" si="44"/>
        <v>&lt;td&gt;KPAC Regular Season&lt;/td&gt; &lt;/tr&gt;</v>
      </c>
    </row>
    <row r="374" spans="1:19" x14ac:dyDescent="0.25">
      <c r="A374" s="5">
        <v>42408</v>
      </c>
      <c r="B374" s="6">
        <v>0.8125</v>
      </c>
      <c r="C374" t="s">
        <v>11</v>
      </c>
      <c r="D374" t="s">
        <v>48</v>
      </c>
      <c r="E374">
        <v>53</v>
      </c>
      <c r="F374" t="s">
        <v>18</v>
      </c>
      <c r="G374" t="s">
        <v>52</v>
      </c>
      <c r="H374">
        <v>93</v>
      </c>
      <c r="J374" t="str">
        <f t="shared" si="45"/>
        <v>H</v>
      </c>
      <c r="K374" t="s">
        <v>37</v>
      </c>
      <c r="L374" t="s">
        <v>228</v>
      </c>
      <c r="M374" t="s">
        <v>229</v>
      </c>
      <c r="N374" t="str">
        <f t="shared" si="39"/>
        <v>&lt;tr&gt; &lt;td&gt;Feb. 8&lt;/td&gt;</v>
      </c>
      <c r="O374" t="str">
        <f t="shared" si="40"/>
        <v>&lt;td&gt;7:30 PM&lt;/td&gt;</v>
      </c>
      <c r="P374" t="str">
        <f t="shared" si="41"/>
        <v>&lt;td class="MMCsched"&gt;Miles Macdonell&lt;/td&gt;</v>
      </c>
      <c r="Q374" t="str">
        <f t="shared" si="42"/>
        <v>&lt;td&gt;53 - 93&lt;/td&gt;</v>
      </c>
      <c r="R374" t="str">
        <f t="shared" si="43"/>
        <v>&lt;td class="RECsched"&gt;River East&lt;/td&gt;</v>
      </c>
      <c r="S374" t="str">
        <f t="shared" si="44"/>
        <v>&lt;td&gt;KPAC Regular Season&lt;/td&gt; &lt;/tr&gt;</v>
      </c>
    </row>
    <row r="375" spans="1:19" x14ac:dyDescent="0.25">
      <c r="A375" s="5">
        <v>42408</v>
      </c>
      <c r="B375" s="6">
        <v>0.8125</v>
      </c>
      <c r="C375" t="s">
        <v>108</v>
      </c>
      <c r="D375" t="s">
        <v>109</v>
      </c>
      <c r="E375">
        <v>26</v>
      </c>
      <c r="F375" t="s">
        <v>200</v>
      </c>
      <c r="H375">
        <v>59</v>
      </c>
      <c r="J375" t="str">
        <f t="shared" si="45"/>
        <v>H</v>
      </c>
      <c r="K375" t="s">
        <v>236</v>
      </c>
      <c r="L375" t="s">
        <v>228</v>
      </c>
      <c r="M375" t="s">
        <v>229</v>
      </c>
      <c r="N375" t="str">
        <f t="shared" si="39"/>
        <v>&lt;tr&gt; &lt;td&gt;Feb. 8&lt;/td&gt;</v>
      </c>
      <c r="O375" t="str">
        <f t="shared" si="40"/>
        <v>&lt;td&gt;7:30 PM&lt;/td&gt;</v>
      </c>
      <c r="P375" t="str">
        <f t="shared" si="41"/>
        <v>&lt;td class="CJSsched"&gt;Jeanne-Sauv&amp;eacute;&lt;/td&gt;</v>
      </c>
      <c r="Q375" t="str">
        <f t="shared" si="42"/>
        <v>&lt;td&gt;26 - 59&lt;/td&gt;</v>
      </c>
      <c r="R375" t="str">
        <f t="shared" si="43"/>
        <v>&lt;td class="sched"&gt;St. Norbert&lt;/td&gt;</v>
      </c>
      <c r="S375" t="str">
        <f t="shared" si="44"/>
        <v>&lt;td&gt;SCAC Tier 2 Regular Season&lt;/td&gt; &lt;/tr&gt;</v>
      </c>
    </row>
    <row r="376" spans="1:19" x14ac:dyDescent="0.25">
      <c r="A376" s="5">
        <v>42408</v>
      </c>
      <c r="B376" s="6">
        <v>0.8125</v>
      </c>
      <c r="C376" t="s">
        <v>239</v>
      </c>
      <c r="E376">
        <v>47</v>
      </c>
      <c r="F376" t="s">
        <v>135</v>
      </c>
      <c r="G376" t="s">
        <v>136</v>
      </c>
      <c r="H376">
        <v>66</v>
      </c>
      <c r="J376" t="str">
        <f t="shared" si="45"/>
        <v>H</v>
      </c>
      <c r="K376" t="s">
        <v>236</v>
      </c>
      <c r="L376" t="s">
        <v>228</v>
      </c>
      <c r="M376" t="s">
        <v>229</v>
      </c>
      <c r="N376" t="str">
        <f t="shared" si="39"/>
        <v>&lt;tr&gt; &lt;td&gt;Feb. 8&lt;/td&gt;</v>
      </c>
      <c r="O376" t="str">
        <f t="shared" si="40"/>
        <v>&lt;td&gt;7:30 PM&lt;/td&gt;</v>
      </c>
      <c r="P376" t="str">
        <f t="shared" si="41"/>
        <v>&lt;td class="sched"&gt;Pierre-Elliott-Trudeau&lt;/td&gt;</v>
      </c>
      <c r="Q376" t="str">
        <f t="shared" si="42"/>
        <v>&lt;td&gt;47 - 66&lt;/td&gt;</v>
      </c>
      <c r="R376" t="str">
        <f t="shared" si="43"/>
        <v>&lt;td class="NPCsched"&gt;Northlands Parkway&lt;/td&gt;</v>
      </c>
      <c r="S376" t="str">
        <f t="shared" si="44"/>
        <v>&lt;td&gt;SCAC Tier 2 Regular Season&lt;/td&gt; &lt;/tr&gt;</v>
      </c>
    </row>
    <row r="377" spans="1:19" x14ac:dyDescent="0.25">
      <c r="A377" s="5">
        <v>42408</v>
      </c>
      <c r="B377" s="6">
        <v>0.8125</v>
      </c>
      <c r="C377" t="s">
        <v>213</v>
      </c>
      <c r="D377" t="s">
        <v>540</v>
      </c>
      <c r="E377">
        <v>56</v>
      </c>
      <c r="F377" t="s">
        <v>21</v>
      </c>
      <c r="G377" t="s">
        <v>64</v>
      </c>
      <c r="H377">
        <v>64</v>
      </c>
      <c r="J377" t="str">
        <f t="shared" si="45"/>
        <v>H</v>
      </c>
      <c r="K377" t="s">
        <v>281</v>
      </c>
      <c r="L377" t="s">
        <v>228</v>
      </c>
      <c r="M377" t="s">
        <v>229</v>
      </c>
      <c r="N377" t="str">
        <f t="shared" si="39"/>
        <v>&lt;tr&gt; &lt;td&gt;Feb. 8&lt;/td&gt;</v>
      </c>
      <c r="O377" t="str">
        <f t="shared" si="40"/>
        <v>&lt;td&gt;7:30 PM&lt;/td&gt;</v>
      </c>
      <c r="P377" t="str">
        <f t="shared" si="41"/>
        <v>&lt;td class="SJRsched"&gt;St. John's-Ravenscourt&lt;/td&gt;</v>
      </c>
      <c r="Q377" t="str">
        <f t="shared" si="42"/>
        <v>&lt;td&gt;56 - 64&lt;/td&gt;</v>
      </c>
      <c r="R377" t="str">
        <f t="shared" si="43"/>
        <v>&lt;td class="JHBsched"&gt;J.H. Bruns&lt;/td&gt;</v>
      </c>
      <c r="S377" t="str">
        <f t="shared" si="44"/>
        <v>&lt;td&gt;SCAC Tier 1 Regular Season&lt;/td&gt; &lt;/tr&gt;</v>
      </c>
    </row>
    <row r="378" spans="1:19" x14ac:dyDescent="0.25">
      <c r="A378" s="5">
        <v>42409</v>
      </c>
      <c r="B378" s="6">
        <v>0.6875</v>
      </c>
      <c r="C378" t="s">
        <v>31</v>
      </c>
      <c r="D378" t="s">
        <v>96</v>
      </c>
      <c r="E378">
        <v>86</v>
      </c>
      <c r="F378" t="s">
        <v>171</v>
      </c>
      <c r="H378">
        <v>63</v>
      </c>
      <c r="J378" t="str">
        <f t="shared" si="45"/>
        <v>V</v>
      </c>
      <c r="K378" t="s">
        <v>252</v>
      </c>
      <c r="L378" t="s">
        <v>228</v>
      </c>
      <c r="M378" t="s">
        <v>229</v>
      </c>
      <c r="N378" t="str">
        <f t="shared" si="39"/>
        <v>&lt;tr&gt; &lt;td&gt;Feb. 9&lt;/td&gt;</v>
      </c>
      <c r="O378" t="str">
        <f t="shared" si="40"/>
        <v>&lt;td&gt;4:30 PM&lt;/td&gt;</v>
      </c>
      <c r="P378" t="str">
        <f t="shared" si="41"/>
        <v>&lt;td class="TVHSsched"&gt;Tec Voc&lt;/td&gt;</v>
      </c>
      <c r="Q378" t="str">
        <f t="shared" si="42"/>
        <v>&lt;td&gt;86 - 63&lt;/td&gt;</v>
      </c>
      <c r="R378" t="str">
        <f t="shared" si="43"/>
        <v>&lt;td class="sched"&gt;Churchill&lt;/td&gt;</v>
      </c>
      <c r="S378" t="str">
        <f t="shared" si="44"/>
        <v>&lt;td&gt;WWAC-WAC Tier 2 Regular Season&lt;/td&gt; &lt;/tr&gt;</v>
      </c>
    </row>
    <row r="379" spans="1:19" x14ac:dyDescent="0.25">
      <c r="A379" s="5">
        <v>42409</v>
      </c>
      <c r="B379" s="6">
        <v>0.82291666666666663</v>
      </c>
      <c r="C379" t="s">
        <v>32</v>
      </c>
      <c r="D379" t="s">
        <v>100</v>
      </c>
      <c r="E379">
        <v>65</v>
      </c>
      <c r="F379" t="s">
        <v>256</v>
      </c>
      <c r="H379">
        <v>74</v>
      </c>
      <c r="J379" t="str">
        <f t="shared" si="45"/>
        <v>H</v>
      </c>
      <c r="K379" t="s">
        <v>40</v>
      </c>
      <c r="L379" t="s">
        <v>228</v>
      </c>
      <c r="M379" t="s">
        <v>229</v>
      </c>
      <c r="N379" t="str">
        <f t="shared" si="39"/>
        <v>&lt;tr&gt; &lt;td&gt;Feb. 9&lt;/td&gt;</v>
      </c>
      <c r="O379" t="str">
        <f t="shared" si="40"/>
        <v>&lt;td&gt;7:45 PM&lt;/td&gt;</v>
      </c>
      <c r="P379" t="str">
        <f t="shared" si="41"/>
        <v>&lt;td class="CPRSsched"&gt;Crocus Plains&lt;/td&gt;</v>
      </c>
      <c r="Q379" t="str">
        <f t="shared" si="42"/>
        <v>&lt;td&gt;65 - 74&lt;/td&gt;</v>
      </c>
      <c r="R379" t="str">
        <f t="shared" si="43"/>
        <v>&lt;td class="sched"&gt;Neelin&lt;/td&gt;</v>
      </c>
      <c r="S379" t="str">
        <f t="shared" si="44"/>
        <v>&lt;td&gt;Zone 15 Regular Season&lt;/td&gt; &lt;/tr&gt;</v>
      </c>
    </row>
    <row r="380" spans="1:19" x14ac:dyDescent="0.25">
      <c r="A380" s="5">
        <v>42410</v>
      </c>
      <c r="B380" s="6">
        <v>0.6875</v>
      </c>
      <c r="C380" t="s">
        <v>30</v>
      </c>
      <c r="D380" t="s">
        <v>92</v>
      </c>
      <c r="E380">
        <v>76</v>
      </c>
      <c r="F380" t="s">
        <v>29</v>
      </c>
      <c r="G380" t="s">
        <v>91</v>
      </c>
      <c r="H380">
        <v>67</v>
      </c>
      <c r="J380" t="str">
        <f t="shared" si="45"/>
        <v>V</v>
      </c>
      <c r="K380" t="s">
        <v>252</v>
      </c>
      <c r="L380" t="s">
        <v>228</v>
      </c>
      <c r="M380" t="s">
        <v>229</v>
      </c>
      <c r="N380" t="str">
        <f t="shared" si="39"/>
        <v>&lt;tr&gt; &lt;td&gt;Feb. 10&lt;/td&gt;</v>
      </c>
      <c r="O380" t="str">
        <f t="shared" si="40"/>
        <v>&lt;td&gt;4:30 PM&lt;/td&gt;</v>
      </c>
      <c r="P380" t="str">
        <f t="shared" si="41"/>
        <v>&lt;td class="SJHSsched"&gt;St. John's&lt;/td&gt;</v>
      </c>
      <c r="Q380" t="str">
        <f t="shared" si="42"/>
        <v>&lt;td&gt;76 - 67&lt;/td&gt;</v>
      </c>
      <c r="R380" t="str">
        <f t="shared" si="43"/>
        <v>&lt;td class="ShHSsched"&gt;Shaftesbury&lt;/td&gt;</v>
      </c>
      <c r="S380" t="str">
        <f t="shared" si="44"/>
        <v>&lt;td&gt;WWAC-WAC Tier 2 Regular Season&lt;/td&gt; &lt;/tr&gt;</v>
      </c>
    </row>
    <row r="381" spans="1:19" x14ac:dyDescent="0.25">
      <c r="A381" s="5">
        <v>42410</v>
      </c>
      <c r="B381" s="6">
        <v>0.6875</v>
      </c>
      <c r="C381" t="s">
        <v>218</v>
      </c>
      <c r="E381">
        <v>36</v>
      </c>
      <c r="F381" t="s">
        <v>31</v>
      </c>
      <c r="G381" t="s">
        <v>96</v>
      </c>
      <c r="H381">
        <v>82</v>
      </c>
      <c r="J381" t="str">
        <f t="shared" si="45"/>
        <v>H</v>
      </c>
      <c r="K381" t="s">
        <v>252</v>
      </c>
      <c r="L381" t="s">
        <v>228</v>
      </c>
      <c r="M381" t="s">
        <v>229</v>
      </c>
      <c r="N381" t="str">
        <f t="shared" si="39"/>
        <v>&lt;tr&gt; &lt;td&gt;Feb. 10&lt;/td&gt;</v>
      </c>
      <c r="O381" t="str">
        <f t="shared" si="40"/>
        <v>&lt;td&gt;4:30 PM&lt;/td&gt;</v>
      </c>
      <c r="P381" t="str">
        <f t="shared" si="41"/>
        <v>&lt;td class="sched"&gt;Stonewall&lt;/td&gt;</v>
      </c>
      <c r="Q381" t="str">
        <f t="shared" si="42"/>
        <v>&lt;td&gt;36 - 82&lt;/td&gt;</v>
      </c>
      <c r="R381" t="str">
        <f t="shared" si="43"/>
        <v>&lt;td class="TVHSsched"&gt;Tec Voc&lt;/td&gt;</v>
      </c>
      <c r="S381" t="str">
        <f t="shared" si="44"/>
        <v>&lt;td&gt;WWAC-WAC Tier 2 Regular Season&lt;/td&gt; &lt;/tr&gt;</v>
      </c>
    </row>
    <row r="382" spans="1:19" x14ac:dyDescent="0.25">
      <c r="A382" s="5">
        <v>42410</v>
      </c>
      <c r="B382" s="6">
        <v>0.6875</v>
      </c>
      <c r="C382" t="s">
        <v>26</v>
      </c>
      <c r="D382" t="s">
        <v>86</v>
      </c>
      <c r="E382">
        <v>74</v>
      </c>
      <c r="F382" t="s">
        <v>13</v>
      </c>
      <c r="G382" t="s">
        <v>98</v>
      </c>
      <c r="H382">
        <v>67</v>
      </c>
      <c r="J382" t="str">
        <f t="shared" si="45"/>
        <v>V</v>
      </c>
      <c r="K382" t="s">
        <v>252</v>
      </c>
      <c r="L382" t="s">
        <v>228</v>
      </c>
      <c r="M382" t="s">
        <v>229</v>
      </c>
      <c r="N382" t="str">
        <f t="shared" si="39"/>
        <v>&lt;tr&gt; &lt;td&gt;Feb. 10&lt;/td&gt;</v>
      </c>
      <c r="O382" t="str">
        <f t="shared" si="40"/>
        <v>&lt;td&gt;4:30 PM&lt;/td&gt;</v>
      </c>
      <c r="P382" t="str">
        <f t="shared" si="41"/>
        <v>&lt;td class="GBHSsched"&gt;Gordon Bell&lt;/td&gt;</v>
      </c>
      <c r="Q382" t="str">
        <f t="shared" si="42"/>
        <v>&lt;td&gt;74 - 67&lt;/td&gt;</v>
      </c>
      <c r="R382" t="str">
        <f t="shared" si="43"/>
        <v>&lt;td class="WWCsched"&gt;Westwood&lt;/td&gt;</v>
      </c>
      <c r="S382" t="str">
        <f t="shared" si="44"/>
        <v>&lt;td&gt;WWAC-WAC Tier 2 Regular Season&lt;/td&gt; &lt;/tr&gt;</v>
      </c>
    </row>
    <row r="383" spans="1:19" x14ac:dyDescent="0.25">
      <c r="A383" s="5">
        <v>42410</v>
      </c>
      <c r="B383" s="6">
        <v>0.6875</v>
      </c>
      <c r="C383" t="s">
        <v>15</v>
      </c>
      <c r="D383" t="s">
        <v>68</v>
      </c>
      <c r="E383">
        <v>74</v>
      </c>
      <c r="F383" t="s">
        <v>23</v>
      </c>
      <c r="G383" t="s">
        <v>80</v>
      </c>
      <c r="H383">
        <v>60</v>
      </c>
      <c r="J383" t="str">
        <f t="shared" si="45"/>
        <v>V</v>
      </c>
      <c r="K383" t="s">
        <v>251</v>
      </c>
      <c r="L383" t="s">
        <v>228</v>
      </c>
      <c r="M383" t="s">
        <v>229</v>
      </c>
      <c r="N383" t="str">
        <f t="shared" si="39"/>
        <v>&lt;tr&gt; &lt;td&gt;Feb. 10&lt;/td&gt;</v>
      </c>
      <c r="O383" t="str">
        <f t="shared" si="40"/>
        <v>&lt;td&gt;4:30 PM&lt;/td&gt;</v>
      </c>
      <c r="P383" t="str">
        <f t="shared" si="41"/>
        <v>&lt;td class="FRCsched"&gt;Fort Richmond&lt;/td&gt;</v>
      </c>
      <c r="Q383" t="str">
        <f t="shared" si="42"/>
        <v>&lt;td&gt;74 - 60&lt;/td&gt;</v>
      </c>
      <c r="R383" t="str">
        <f t="shared" si="43"/>
        <v>&lt;td class="VMCsched"&gt;Vincent Massey&lt;/td&gt;</v>
      </c>
      <c r="S383" t="str">
        <f t="shared" si="44"/>
        <v>&lt;td&gt;WWAC-WAC Tier 1 Regular Season&lt;/td&gt; &lt;/tr&gt;</v>
      </c>
    </row>
    <row r="384" spans="1:19" x14ac:dyDescent="0.25">
      <c r="A384" s="5">
        <v>42410</v>
      </c>
      <c r="B384" s="6">
        <v>0.6875</v>
      </c>
      <c r="C384" t="s">
        <v>9</v>
      </c>
      <c r="D384" t="s">
        <v>76</v>
      </c>
      <c r="E384">
        <v>81</v>
      </c>
      <c r="F384" t="s">
        <v>14</v>
      </c>
      <c r="G384" t="s">
        <v>94</v>
      </c>
      <c r="H384">
        <v>65</v>
      </c>
      <c r="J384" t="str">
        <f t="shared" si="45"/>
        <v>V</v>
      </c>
      <c r="K384" t="s">
        <v>251</v>
      </c>
      <c r="L384" t="s">
        <v>228</v>
      </c>
      <c r="M384" t="s">
        <v>229</v>
      </c>
      <c r="N384" t="str">
        <f t="shared" si="39"/>
        <v>&lt;tr&gt; &lt;td&gt;Feb. 10&lt;/td&gt;</v>
      </c>
      <c r="O384" t="str">
        <f t="shared" si="40"/>
        <v>&lt;td&gt;4:30 PM&lt;/td&gt;</v>
      </c>
      <c r="P384" t="str">
        <f t="shared" si="41"/>
        <v>&lt;td class="SiHSsched"&gt;Sisler&lt;/td&gt;</v>
      </c>
      <c r="Q384" t="str">
        <f t="shared" si="42"/>
        <v>&lt;td&gt;81 - 65&lt;/td&gt;</v>
      </c>
      <c r="R384" t="str">
        <f t="shared" si="43"/>
        <v>&lt;td class="SHCsched"&gt;Sturgeon Heights&lt;/td&gt;</v>
      </c>
      <c r="S384" t="str">
        <f t="shared" si="44"/>
        <v>&lt;td&gt;WWAC-WAC Tier 1 Regular Season&lt;/td&gt; &lt;/tr&gt;</v>
      </c>
    </row>
    <row r="385" spans="1:19" x14ac:dyDescent="0.25">
      <c r="A385" s="5">
        <v>42410</v>
      </c>
      <c r="B385" s="6">
        <v>0.6875</v>
      </c>
      <c r="C385" t="s">
        <v>10</v>
      </c>
      <c r="D385" t="s">
        <v>72</v>
      </c>
      <c r="E385">
        <v>66</v>
      </c>
      <c r="F385" t="s">
        <v>3</v>
      </c>
      <c r="G385" t="s">
        <v>78</v>
      </c>
      <c r="H385">
        <v>81</v>
      </c>
      <c r="J385" t="str">
        <f t="shared" si="45"/>
        <v>H</v>
      </c>
      <c r="K385" t="s">
        <v>251</v>
      </c>
      <c r="L385" t="s">
        <v>228</v>
      </c>
      <c r="M385" t="s">
        <v>229</v>
      </c>
      <c r="N385" t="str">
        <f t="shared" si="39"/>
        <v>&lt;tr&gt; &lt;td&gt;Feb. 10&lt;/td&gt;</v>
      </c>
      <c r="O385" t="str">
        <f t="shared" si="40"/>
        <v>&lt;td&gt;4:30 PM&lt;/td&gt;</v>
      </c>
      <c r="P385" t="str">
        <f t="shared" si="41"/>
        <v>&lt;td class="KHSsched"&gt;Kelvin&lt;/td&gt;</v>
      </c>
      <c r="Q385" t="str">
        <f t="shared" si="42"/>
        <v>&lt;td&gt;66 - 81&lt;/td&gt;</v>
      </c>
      <c r="R385" t="str">
        <f t="shared" si="43"/>
        <v>&lt;td class="SPHSsched"&gt;St. Paul's&lt;/td&gt;</v>
      </c>
      <c r="S385" t="str">
        <f t="shared" si="44"/>
        <v>&lt;td&gt;WWAC-WAC Tier 1 Regular Season&lt;/td&gt; &lt;/tr&gt;</v>
      </c>
    </row>
    <row r="386" spans="1:19" x14ac:dyDescent="0.25">
      <c r="A386" s="5">
        <v>42410</v>
      </c>
      <c r="B386" s="6">
        <v>0.70833333333333337</v>
      </c>
      <c r="C386" t="s">
        <v>28</v>
      </c>
      <c r="D386" t="s">
        <v>90</v>
      </c>
      <c r="E386">
        <v>65</v>
      </c>
      <c r="F386" t="s">
        <v>25</v>
      </c>
      <c r="G386" t="s">
        <v>84</v>
      </c>
      <c r="H386">
        <v>49</v>
      </c>
      <c r="J386" t="str">
        <f t="shared" si="45"/>
        <v>V</v>
      </c>
      <c r="K386" t="s">
        <v>252</v>
      </c>
      <c r="L386" t="s">
        <v>228</v>
      </c>
      <c r="M386" t="s">
        <v>229</v>
      </c>
      <c r="N386" t="str">
        <f t="shared" ref="N386:N449" si="46">"&lt;tr&gt; &lt;td&gt;"&amp;TEXT(A386,"MMM. D")&amp;"&lt;/td&gt;"</f>
        <v>&lt;tr&gt; &lt;td&gt;Feb. 10&lt;/td&gt;</v>
      </c>
      <c r="O386" t="str">
        <f t="shared" ref="O386:O449" si="47">"&lt;td&gt;"&amp;IF(B386&gt;0,TEXT(B386,"H:MM AM/PM"),"")&amp;"&lt;/td&gt;"</f>
        <v>&lt;td&gt;5:00 PM&lt;/td&gt;</v>
      </c>
      <c r="P386" t="str">
        <f t="shared" ref="P386:P449" si="48">"&lt;td class="""&amp;D386&amp;"sched""&gt;"&amp;C386&amp;"&lt;/td&gt;"</f>
        <v>&lt;td class="PCIsched"&gt;Portage&lt;/td&gt;</v>
      </c>
      <c r="Q386" t="str">
        <f t="shared" ref="Q386:Q449" si="49">"&lt;td&gt;"&amp;E386&amp;" - "&amp;H386&amp;IF(I386&gt;0," "&amp;I386,"")&amp;"&lt;/td&gt;"</f>
        <v>&lt;td&gt;65 - 49&lt;/td&gt;</v>
      </c>
      <c r="R386" t="str">
        <f t="shared" ref="R386:R449" si="50">"&lt;td class="""&amp;G386&amp;"sched""&gt;"&amp;F386&amp;"&lt;/td&gt;"</f>
        <v>&lt;td class="EHSsched"&gt;Elmwood&lt;/td&gt;</v>
      </c>
      <c r="S386" t="str">
        <f t="shared" ref="S386:S449" si="51">"&lt;td&gt;"&amp;K386&amp;" "&amp;L386&amp;"&lt;/td&gt; &lt;/tr&gt;"</f>
        <v>&lt;td&gt;WWAC-WAC Tier 2 Regular Season&lt;/td&gt; &lt;/tr&gt;</v>
      </c>
    </row>
    <row r="387" spans="1:19" x14ac:dyDescent="0.25">
      <c r="A387" s="5">
        <v>42410</v>
      </c>
      <c r="B387" s="6">
        <v>0.75</v>
      </c>
      <c r="C387" t="s">
        <v>18</v>
      </c>
      <c r="D387" t="s">
        <v>52</v>
      </c>
      <c r="E387">
        <v>67</v>
      </c>
      <c r="F387" t="s">
        <v>17</v>
      </c>
      <c r="G387" t="s">
        <v>50</v>
      </c>
      <c r="H387">
        <v>68</v>
      </c>
      <c r="J387" t="str">
        <f t="shared" si="45"/>
        <v>H</v>
      </c>
      <c r="K387" t="s">
        <v>37</v>
      </c>
      <c r="L387" t="s">
        <v>228</v>
      </c>
      <c r="M387" t="s">
        <v>229</v>
      </c>
      <c r="N387" t="str">
        <f t="shared" si="46"/>
        <v>&lt;tr&gt; &lt;td&gt;Feb. 10&lt;/td&gt;</v>
      </c>
      <c r="O387" t="str">
        <f t="shared" si="47"/>
        <v>&lt;td&gt;6:00 PM&lt;/td&gt;</v>
      </c>
      <c r="P387" t="str">
        <f t="shared" si="48"/>
        <v>&lt;td class="RECsched"&gt;River East&lt;/td&gt;</v>
      </c>
      <c r="Q387" t="str">
        <f t="shared" si="49"/>
        <v>&lt;td&gt;67 - 68&lt;/td&gt;</v>
      </c>
      <c r="R387" t="str">
        <f t="shared" si="50"/>
        <v>&lt;td class="MMCIsched"&gt;Murdoch MacKay&lt;/td&gt;</v>
      </c>
      <c r="S387" t="str">
        <f t="shared" si="51"/>
        <v>&lt;td&gt;KPAC Regular Season&lt;/td&gt; &lt;/tr&gt;</v>
      </c>
    </row>
    <row r="388" spans="1:19" x14ac:dyDescent="0.25">
      <c r="A388" s="5">
        <v>42410</v>
      </c>
      <c r="B388" s="6">
        <v>0.75</v>
      </c>
      <c r="C388" t="s">
        <v>12</v>
      </c>
      <c r="D388" t="s">
        <v>54</v>
      </c>
      <c r="E388">
        <v>49</v>
      </c>
      <c r="F388" t="s">
        <v>7</v>
      </c>
      <c r="G388" t="s">
        <v>7</v>
      </c>
      <c r="H388">
        <v>84</v>
      </c>
      <c r="J388" t="str">
        <f t="shared" si="45"/>
        <v>H</v>
      </c>
      <c r="K388" t="s">
        <v>37</v>
      </c>
      <c r="L388" t="s">
        <v>228</v>
      </c>
      <c r="M388" t="s">
        <v>229</v>
      </c>
      <c r="N388" t="str">
        <f t="shared" si="46"/>
        <v>&lt;tr&gt; &lt;td&gt;Feb. 10&lt;/td&gt;</v>
      </c>
      <c r="O388" t="str">
        <f t="shared" si="47"/>
        <v>&lt;td&gt;6:00 PM&lt;/td&gt;</v>
      </c>
      <c r="P388" t="str">
        <f t="shared" si="48"/>
        <v>&lt;td class="LSsched"&gt;Selkirk&lt;/td&gt;</v>
      </c>
      <c r="Q388" t="str">
        <f t="shared" si="49"/>
        <v>&lt;td&gt;49 - 84&lt;/td&gt;</v>
      </c>
      <c r="R388" t="str">
        <f t="shared" si="50"/>
        <v>&lt;td class="MBCIsched"&gt;MBCI&lt;/td&gt;</v>
      </c>
      <c r="S388" t="str">
        <f t="shared" si="51"/>
        <v>&lt;td&gt;KPAC Regular Season&lt;/td&gt; &lt;/tr&gt;</v>
      </c>
    </row>
    <row r="389" spans="1:19" x14ac:dyDescent="0.25">
      <c r="A389" s="5">
        <v>42410</v>
      </c>
      <c r="B389" s="6">
        <v>0.75</v>
      </c>
      <c r="C389" t="s">
        <v>16</v>
      </c>
      <c r="D389" t="s">
        <v>45</v>
      </c>
      <c r="E389">
        <v>97</v>
      </c>
      <c r="F389" t="s">
        <v>104</v>
      </c>
      <c r="G389" t="s">
        <v>105</v>
      </c>
      <c r="H389">
        <v>61</v>
      </c>
      <c r="J389" t="str">
        <f t="shared" si="45"/>
        <v>V</v>
      </c>
      <c r="K389" t="s">
        <v>37</v>
      </c>
      <c r="L389" t="s">
        <v>228</v>
      </c>
      <c r="M389" t="s">
        <v>229</v>
      </c>
      <c r="N389" t="str">
        <f t="shared" si="46"/>
        <v>&lt;tr&gt; &lt;td&gt;Feb. 10&lt;/td&gt;</v>
      </c>
      <c r="O389" t="str">
        <f t="shared" si="47"/>
        <v>&lt;td&gt;6:00 PM&lt;/td&gt;</v>
      </c>
      <c r="P389" t="str">
        <f t="shared" si="48"/>
        <v>&lt;td class="MCsched"&gt;Maples&lt;/td&gt;</v>
      </c>
      <c r="Q389" t="str">
        <f t="shared" si="49"/>
        <v>&lt;td&gt;97 - 61&lt;/td&gt;</v>
      </c>
      <c r="R389" t="str">
        <f t="shared" si="50"/>
        <v>&lt;td class="SCIsched"&gt;Springfield&lt;/td&gt;</v>
      </c>
      <c r="S389" t="str">
        <f t="shared" si="51"/>
        <v>&lt;td&gt;KPAC Regular Season&lt;/td&gt; &lt;/tr&gt;</v>
      </c>
    </row>
    <row r="390" spans="1:19" x14ac:dyDescent="0.25">
      <c r="A390" s="5">
        <v>42410</v>
      </c>
      <c r="B390" s="6">
        <v>0.8125</v>
      </c>
      <c r="C390" t="s">
        <v>108</v>
      </c>
      <c r="D390" t="s">
        <v>109</v>
      </c>
      <c r="E390">
        <v>46</v>
      </c>
      <c r="F390" t="s">
        <v>239</v>
      </c>
      <c r="H390">
        <v>54</v>
      </c>
      <c r="J390" t="str">
        <f t="shared" si="45"/>
        <v>H</v>
      </c>
      <c r="K390" t="s">
        <v>236</v>
      </c>
      <c r="L390" t="s">
        <v>228</v>
      </c>
      <c r="M390" t="s">
        <v>229</v>
      </c>
      <c r="N390" t="str">
        <f t="shared" si="46"/>
        <v>&lt;tr&gt; &lt;td&gt;Feb. 10&lt;/td&gt;</v>
      </c>
      <c r="O390" t="str">
        <f t="shared" si="47"/>
        <v>&lt;td&gt;7:30 PM&lt;/td&gt;</v>
      </c>
      <c r="P390" t="str">
        <f t="shared" si="48"/>
        <v>&lt;td class="CJSsched"&gt;Jeanne-Sauv&amp;eacute;&lt;/td&gt;</v>
      </c>
      <c r="Q390" t="str">
        <f t="shared" si="49"/>
        <v>&lt;td&gt;46 - 54&lt;/td&gt;</v>
      </c>
      <c r="R390" t="str">
        <f t="shared" si="50"/>
        <v>&lt;td class="sched"&gt;Pierre-Elliott-Trudeau&lt;/td&gt;</v>
      </c>
      <c r="S390" t="str">
        <f t="shared" si="51"/>
        <v>&lt;td&gt;SCAC Tier 2 Regular Season&lt;/td&gt; &lt;/tr&gt;</v>
      </c>
    </row>
    <row r="391" spans="1:19" x14ac:dyDescent="0.25">
      <c r="A391" s="5">
        <v>42410</v>
      </c>
      <c r="B391" s="6">
        <v>0.83333333333333337</v>
      </c>
      <c r="C391" t="s">
        <v>22</v>
      </c>
      <c r="D391" t="s">
        <v>66</v>
      </c>
      <c r="E391">
        <v>52</v>
      </c>
      <c r="F391" t="s">
        <v>8</v>
      </c>
      <c r="G391" t="s">
        <v>60</v>
      </c>
      <c r="H391">
        <v>82</v>
      </c>
      <c r="J391" t="str">
        <f t="shared" si="45"/>
        <v>H</v>
      </c>
      <c r="K391" t="s">
        <v>281</v>
      </c>
      <c r="L391" t="s">
        <v>228</v>
      </c>
      <c r="M391" t="s">
        <v>229</v>
      </c>
      <c r="N391" t="str">
        <f t="shared" si="46"/>
        <v>&lt;tr&gt; &lt;td&gt;Feb. 10&lt;/td&gt;</v>
      </c>
      <c r="O391" t="str">
        <f t="shared" si="47"/>
        <v>&lt;td&gt;8:00 PM&lt;/td&gt;</v>
      </c>
      <c r="P391" t="str">
        <f t="shared" si="48"/>
        <v>&lt;td class="SRSSsched"&gt;Steinbach&lt;/td&gt;</v>
      </c>
      <c r="Q391" t="str">
        <f t="shared" si="49"/>
        <v>&lt;td&gt;52 - 82&lt;/td&gt;</v>
      </c>
      <c r="R391" t="str">
        <f t="shared" si="50"/>
        <v>&lt;td class="DCIsched"&gt;Dakota&lt;/td&gt;</v>
      </c>
      <c r="S391" t="str">
        <f t="shared" si="51"/>
        <v>&lt;td&gt;SCAC Tier 1 Regular Season&lt;/td&gt; &lt;/tr&gt;</v>
      </c>
    </row>
    <row r="392" spans="1:19" x14ac:dyDescent="0.25">
      <c r="A392" s="5">
        <v>42411</v>
      </c>
      <c r="B392" s="6">
        <v>0.5</v>
      </c>
      <c r="C392" t="s">
        <v>797</v>
      </c>
      <c r="E392">
        <v>62</v>
      </c>
      <c r="F392" t="s">
        <v>1</v>
      </c>
      <c r="G392" t="s">
        <v>74</v>
      </c>
      <c r="H392">
        <v>67</v>
      </c>
      <c r="J392" t="str">
        <f t="shared" si="45"/>
        <v>H</v>
      </c>
      <c r="K392" t="s">
        <v>770</v>
      </c>
      <c r="L392" t="s">
        <v>173</v>
      </c>
      <c r="N392" t="str">
        <f t="shared" si="46"/>
        <v>&lt;tr&gt; &lt;td&gt;Feb. 11&lt;/td&gt;</v>
      </c>
      <c r="O392" t="str">
        <f t="shared" si="47"/>
        <v>&lt;td&gt;12:00 PM&lt;/td&gt;</v>
      </c>
      <c r="P392" t="str">
        <f t="shared" si="48"/>
        <v>&lt;td class="sched"&gt;Ross Sheppard&lt;/td&gt;</v>
      </c>
      <c r="Q392" t="str">
        <f t="shared" si="49"/>
        <v>&lt;td&gt;62 - 67&lt;/td&gt;</v>
      </c>
      <c r="R392" t="str">
        <f t="shared" si="50"/>
        <v>&lt;td class="OPHSsched"&gt;Oak Park&lt;/td&gt;</v>
      </c>
      <c r="S392" t="str">
        <f t="shared" si="51"/>
        <v>&lt;td&gt;Ainlay Tri-Prov Quarterfinal 1&lt;/td&gt; &lt;/tr&gt;</v>
      </c>
    </row>
    <row r="393" spans="1:19" x14ac:dyDescent="0.25">
      <c r="A393" s="5">
        <v>42411</v>
      </c>
      <c r="B393" s="6">
        <v>0.60416666666666663</v>
      </c>
      <c r="C393" t="s">
        <v>2</v>
      </c>
      <c r="D393" t="s">
        <v>43</v>
      </c>
      <c r="E393">
        <v>55</v>
      </c>
      <c r="F393" t="s">
        <v>564</v>
      </c>
      <c r="H393">
        <v>92</v>
      </c>
      <c r="J393" t="str">
        <f t="shared" si="45"/>
        <v>H</v>
      </c>
      <c r="K393" t="s">
        <v>775</v>
      </c>
      <c r="L393" t="s">
        <v>174</v>
      </c>
      <c r="N393" t="str">
        <f t="shared" si="46"/>
        <v>&lt;tr&gt; &lt;td&gt;Feb. 11&lt;/td&gt;</v>
      </c>
      <c r="O393" t="str">
        <f t="shared" si="47"/>
        <v>&lt;td&gt;2:30 PM&lt;/td&gt;</v>
      </c>
      <c r="P393" t="str">
        <f t="shared" si="48"/>
        <v>&lt;td class="KECsched"&gt;Kildonan-East&lt;/td&gt;</v>
      </c>
      <c r="Q393" t="str">
        <f t="shared" si="49"/>
        <v>&lt;td&gt;55 - 92&lt;/td&gt;</v>
      </c>
      <c r="R393" t="str">
        <f t="shared" si="50"/>
        <v>&lt;td class="sched"&gt;LeBoldus&lt;/td&gt;</v>
      </c>
      <c r="S393" t="str">
        <f t="shared" si="51"/>
        <v>&lt;td&gt;Luther Invitational Quarterfinal 2&lt;/td&gt; &lt;/tr&gt;</v>
      </c>
    </row>
    <row r="394" spans="1:19" x14ac:dyDescent="0.25">
      <c r="A394" s="5">
        <v>42411</v>
      </c>
      <c r="B394" s="6">
        <v>0.66666666666666663</v>
      </c>
      <c r="C394" t="s">
        <v>23</v>
      </c>
      <c r="D394" t="s">
        <v>80</v>
      </c>
      <c r="E394">
        <v>80</v>
      </c>
      <c r="F394" t="s">
        <v>5</v>
      </c>
      <c r="G394" t="s">
        <v>62</v>
      </c>
      <c r="H394">
        <v>49</v>
      </c>
      <c r="J394" t="str">
        <f t="shared" si="45"/>
        <v>V</v>
      </c>
      <c r="K394" t="s">
        <v>199</v>
      </c>
      <c r="L394" t="s">
        <v>173</v>
      </c>
      <c r="N394" t="str">
        <f t="shared" si="46"/>
        <v>&lt;tr&gt; &lt;td&gt;Feb. 11&lt;/td&gt;</v>
      </c>
      <c r="O394" t="str">
        <f t="shared" si="47"/>
        <v>&lt;td&gt;4:00 PM&lt;/td&gt;</v>
      </c>
      <c r="P394" t="str">
        <f t="shared" si="48"/>
        <v>&lt;td class="VMCsched"&gt;Vincent Massey&lt;/td&gt;</v>
      </c>
      <c r="Q394" t="str">
        <f t="shared" si="49"/>
        <v>&lt;td&gt;80 - 49&lt;/td&gt;</v>
      </c>
      <c r="R394" t="str">
        <f t="shared" si="50"/>
        <v>&lt;td class="GCIsched"&gt;Glenlawn&lt;/td&gt;</v>
      </c>
      <c r="S394" t="str">
        <f t="shared" si="51"/>
        <v>&lt;td&gt;St. Vital Invitational Quarterfinal 1&lt;/td&gt; &lt;/tr&gt;</v>
      </c>
    </row>
    <row r="395" spans="1:19" x14ac:dyDescent="0.25">
      <c r="A395" s="5">
        <v>42411</v>
      </c>
      <c r="B395" s="6">
        <v>0.72916666666666663</v>
      </c>
      <c r="C395" t="s">
        <v>31</v>
      </c>
      <c r="D395" t="s">
        <v>96</v>
      </c>
      <c r="E395">
        <v>58</v>
      </c>
      <c r="F395" t="s">
        <v>3</v>
      </c>
      <c r="G395" t="s">
        <v>78</v>
      </c>
      <c r="H395">
        <v>95</v>
      </c>
      <c r="J395" t="str">
        <f t="shared" si="45"/>
        <v>H</v>
      </c>
      <c r="K395" t="s">
        <v>199</v>
      </c>
      <c r="L395" t="s">
        <v>174</v>
      </c>
      <c r="N395" t="str">
        <f t="shared" si="46"/>
        <v>&lt;tr&gt; &lt;td&gt;Feb. 11&lt;/td&gt;</v>
      </c>
      <c r="O395" t="str">
        <f t="shared" si="47"/>
        <v>&lt;td&gt;5:30 PM&lt;/td&gt;</v>
      </c>
      <c r="P395" t="str">
        <f t="shared" si="48"/>
        <v>&lt;td class="TVHSsched"&gt;Tec Voc&lt;/td&gt;</v>
      </c>
      <c r="Q395" t="str">
        <f t="shared" si="49"/>
        <v>&lt;td&gt;58 - 95&lt;/td&gt;</v>
      </c>
      <c r="R395" t="str">
        <f t="shared" si="50"/>
        <v>&lt;td class="SPHSsched"&gt;St. Paul's&lt;/td&gt;</v>
      </c>
      <c r="S395" t="str">
        <f t="shared" si="51"/>
        <v>&lt;td&gt;St. Vital Invitational Quarterfinal 2&lt;/td&gt; &lt;/tr&gt;</v>
      </c>
    </row>
    <row r="396" spans="1:19" x14ac:dyDescent="0.25">
      <c r="A396" s="5">
        <v>42411</v>
      </c>
      <c r="B396" s="6">
        <v>0.77083333333333337</v>
      </c>
      <c r="C396" t="s">
        <v>776</v>
      </c>
      <c r="E396">
        <v>58</v>
      </c>
      <c r="F396" t="s">
        <v>6</v>
      </c>
      <c r="G396" t="s">
        <v>70</v>
      </c>
      <c r="H396">
        <v>103</v>
      </c>
      <c r="J396" t="str">
        <f t="shared" si="45"/>
        <v>H</v>
      </c>
      <c r="K396" t="s">
        <v>775</v>
      </c>
      <c r="L396" t="s">
        <v>176</v>
      </c>
      <c r="N396" t="str">
        <f t="shared" si="46"/>
        <v>&lt;tr&gt; &lt;td&gt;Feb. 11&lt;/td&gt;</v>
      </c>
      <c r="O396" t="str">
        <f t="shared" si="47"/>
        <v>&lt;td&gt;6:30 PM&lt;/td&gt;</v>
      </c>
      <c r="P396" t="str">
        <f t="shared" si="48"/>
        <v>&lt;td class="sched"&gt;Luther&lt;/td&gt;</v>
      </c>
      <c r="Q396" t="str">
        <f t="shared" si="49"/>
        <v>&lt;td&gt;58 - 103&lt;/td&gt;</v>
      </c>
      <c r="R396" t="str">
        <f t="shared" si="50"/>
        <v>&lt;td class="JTCsched"&gt;John Taylor&lt;/td&gt;</v>
      </c>
      <c r="S396" t="str">
        <f t="shared" si="51"/>
        <v>&lt;td&gt;Luther Invitational Quarterfinal 4&lt;/td&gt; &lt;/tr&gt;</v>
      </c>
    </row>
    <row r="397" spans="1:19" x14ac:dyDescent="0.25">
      <c r="A397" s="5">
        <v>42411</v>
      </c>
      <c r="B397" s="6">
        <v>0.79166666666666663</v>
      </c>
      <c r="C397" t="s">
        <v>11</v>
      </c>
      <c r="D397" t="s">
        <v>48</v>
      </c>
      <c r="E397">
        <v>53</v>
      </c>
      <c r="F397" t="s">
        <v>8</v>
      </c>
      <c r="G397" t="s">
        <v>60</v>
      </c>
      <c r="H397">
        <v>82</v>
      </c>
      <c r="J397" t="str">
        <f t="shared" si="45"/>
        <v>H</v>
      </c>
      <c r="K397" t="s">
        <v>199</v>
      </c>
      <c r="L397" t="s">
        <v>175</v>
      </c>
      <c r="N397" t="str">
        <f t="shared" si="46"/>
        <v>&lt;tr&gt; &lt;td&gt;Feb. 11&lt;/td&gt;</v>
      </c>
      <c r="O397" t="str">
        <f t="shared" si="47"/>
        <v>&lt;td&gt;7:00 PM&lt;/td&gt;</v>
      </c>
      <c r="P397" t="str">
        <f t="shared" si="48"/>
        <v>&lt;td class="MMCsched"&gt;Miles Macdonell&lt;/td&gt;</v>
      </c>
      <c r="Q397" t="str">
        <f t="shared" si="49"/>
        <v>&lt;td&gt;53 - 82&lt;/td&gt;</v>
      </c>
      <c r="R397" t="str">
        <f t="shared" si="50"/>
        <v>&lt;td class="DCIsched"&gt;Dakota&lt;/td&gt;</v>
      </c>
      <c r="S397" t="str">
        <f t="shared" si="51"/>
        <v>&lt;td&gt;St. Vital Invitational Quarterfinal 3&lt;/td&gt; &lt;/tr&gt;</v>
      </c>
    </row>
    <row r="398" spans="1:19" x14ac:dyDescent="0.25">
      <c r="A398" s="5">
        <v>42411</v>
      </c>
      <c r="B398" s="6">
        <v>0.8125</v>
      </c>
      <c r="C398" t="s">
        <v>162</v>
      </c>
      <c r="D398" t="s">
        <v>164</v>
      </c>
      <c r="E398">
        <v>85</v>
      </c>
      <c r="F398" t="s">
        <v>555</v>
      </c>
      <c r="H398">
        <v>24</v>
      </c>
      <c r="J398" t="str">
        <f t="shared" si="45"/>
        <v>V</v>
      </c>
      <c r="K398" t="s">
        <v>163</v>
      </c>
      <c r="L398" t="s">
        <v>228</v>
      </c>
      <c r="M398" t="s">
        <v>229</v>
      </c>
      <c r="N398" t="str">
        <f t="shared" si="46"/>
        <v>&lt;tr&gt; &lt;td&gt;Feb. 11&lt;/td&gt;</v>
      </c>
      <c r="O398" t="str">
        <f t="shared" si="47"/>
        <v>&lt;td&gt;7:30 PM&lt;/td&gt;</v>
      </c>
      <c r="P398" t="str">
        <f t="shared" si="48"/>
        <v>&lt;td class="GVCsched"&gt;Garden Valley&lt;/td&gt;</v>
      </c>
      <c r="Q398" t="str">
        <f t="shared" si="49"/>
        <v>&lt;td&gt;85 - 24&lt;/td&gt;</v>
      </c>
      <c r="R398" t="str">
        <f t="shared" si="50"/>
        <v>&lt;td class="sched"&gt;W.C. Miller&lt;/td&gt;</v>
      </c>
      <c r="S398" t="str">
        <f t="shared" si="51"/>
        <v>&lt;td&gt;Zone 4 Regular Season&lt;/td&gt; &lt;/tr&gt;</v>
      </c>
    </row>
    <row r="399" spans="1:19" x14ac:dyDescent="0.25">
      <c r="A399" s="5">
        <v>42411</v>
      </c>
      <c r="B399" s="6">
        <v>0.85416666666666663</v>
      </c>
      <c r="C399" t="s">
        <v>7</v>
      </c>
      <c r="D399" t="s">
        <v>7</v>
      </c>
      <c r="E399">
        <v>65</v>
      </c>
      <c r="F399" t="s">
        <v>4</v>
      </c>
      <c r="G399" t="s">
        <v>41</v>
      </c>
      <c r="H399">
        <v>106</v>
      </c>
      <c r="J399" t="str">
        <f t="shared" si="45"/>
        <v>H</v>
      </c>
      <c r="K399" t="s">
        <v>199</v>
      </c>
      <c r="L399" t="s">
        <v>176</v>
      </c>
      <c r="N399" t="str">
        <f t="shared" si="46"/>
        <v>&lt;tr&gt; &lt;td&gt;Feb. 11&lt;/td&gt;</v>
      </c>
      <c r="O399" t="str">
        <f t="shared" si="47"/>
        <v>&lt;td&gt;8:30 PM&lt;/td&gt;</v>
      </c>
      <c r="P399" t="str">
        <f t="shared" si="48"/>
        <v>&lt;td class="MBCIsched"&gt;MBCI&lt;/td&gt;</v>
      </c>
      <c r="Q399" t="str">
        <f t="shared" si="49"/>
        <v>&lt;td&gt;65 - 106&lt;/td&gt;</v>
      </c>
      <c r="R399" t="str">
        <f t="shared" si="50"/>
        <v>&lt;td class="GCCsched"&gt;Garden City&lt;/td&gt;</v>
      </c>
      <c r="S399" t="str">
        <f t="shared" si="51"/>
        <v>&lt;td&gt;St. Vital Invitational Quarterfinal 4&lt;/td&gt; &lt;/tr&gt;</v>
      </c>
    </row>
    <row r="400" spans="1:19" x14ac:dyDescent="0.25">
      <c r="A400" s="5">
        <v>42411</v>
      </c>
      <c r="C400" t="s">
        <v>803</v>
      </c>
      <c r="E400">
        <v>67</v>
      </c>
      <c r="F400" t="s">
        <v>26</v>
      </c>
      <c r="G400" t="s">
        <v>86</v>
      </c>
      <c r="H400">
        <v>80</v>
      </c>
      <c r="J400" t="str">
        <f t="shared" si="45"/>
        <v>H</v>
      </c>
      <c r="K400" t="s">
        <v>786</v>
      </c>
      <c r="L400" t="s">
        <v>173</v>
      </c>
      <c r="N400" t="str">
        <f t="shared" si="46"/>
        <v>&lt;tr&gt; &lt;td&gt;Feb. 11&lt;/td&gt;</v>
      </c>
      <c r="O400" t="str">
        <f t="shared" si="47"/>
        <v>&lt;td&gt;&lt;/td&gt;</v>
      </c>
      <c r="P400" t="str">
        <f t="shared" si="48"/>
        <v>&lt;td class="sched"&gt;Gordon Bell JV&lt;/td&gt;</v>
      </c>
      <c r="Q400" t="str">
        <f t="shared" si="49"/>
        <v>&lt;td&gt;67 - 80&lt;/td&gt;</v>
      </c>
      <c r="R400" t="str">
        <f t="shared" si="50"/>
        <v>&lt;td class="GBHSsched"&gt;Gordon Bell&lt;/td&gt;</v>
      </c>
      <c r="S400" t="str">
        <f t="shared" si="51"/>
        <v>&lt;td&gt;Gordon Bell Invitational Quarterfinal 1&lt;/td&gt; &lt;/tr&gt;</v>
      </c>
    </row>
    <row r="401" spans="1:19" x14ac:dyDescent="0.25">
      <c r="A401" s="5">
        <v>42411</v>
      </c>
      <c r="C401" t="s">
        <v>20</v>
      </c>
      <c r="D401" t="s">
        <v>58</v>
      </c>
      <c r="E401">
        <v>79</v>
      </c>
      <c r="F401" t="s">
        <v>12</v>
      </c>
      <c r="G401" t="s">
        <v>54</v>
      </c>
      <c r="H401">
        <v>51</v>
      </c>
      <c r="J401" t="str">
        <f t="shared" si="45"/>
        <v>V</v>
      </c>
      <c r="K401" t="s">
        <v>786</v>
      </c>
      <c r="L401" t="s">
        <v>175</v>
      </c>
      <c r="N401" t="str">
        <f t="shared" si="46"/>
        <v>&lt;tr&gt; &lt;td&gt;Feb. 11&lt;/td&gt;</v>
      </c>
      <c r="O401" t="str">
        <f t="shared" si="47"/>
        <v>&lt;td&gt;&lt;/td&gt;</v>
      </c>
      <c r="P401" t="str">
        <f t="shared" si="48"/>
        <v>&lt;td class="WKCsched"&gt;West Kildonan&lt;/td&gt;</v>
      </c>
      <c r="Q401" t="str">
        <f t="shared" si="49"/>
        <v>&lt;td&gt;79 - 51&lt;/td&gt;</v>
      </c>
      <c r="R401" t="str">
        <f t="shared" si="50"/>
        <v>&lt;td class="LSsched"&gt;Selkirk&lt;/td&gt;</v>
      </c>
      <c r="S401" t="str">
        <f t="shared" si="51"/>
        <v>&lt;td&gt;Gordon Bell Invitational Quarterfinal 3&lt;/td&gt; &lt;/tr&gt;</v>
      </c>
    </row>
    <row r="402" spans="1:19" x14ac:dyDescent="0.25">
      <c r="A402" s="5">
        <v>42411</v>
      </c>
      <c r="C402" t="s">
        <v>200</v>
      </c>
      <c r="E402" t="s">
        <v>156</v>
      </c>
      <c r="F402" t="s">
        <v>25</v>
      </c>
      <c r="G402" t="s">
        <v>84</v>
      </c>
      <c r="H402" t="s">
        <v>254</v>
      </c>
      <c r="K402" t="s">
        <v>786</v>
      </c>
      <c r="L402" t="s">
        <v>176</v>
      </c>
      <c r="N402" t="str">
        <f t="shared" si="46"/>
        <v>&lt;tr&gt; &lt;td&gt;Feb. 11&lt;/td&gt;</v>
      </c>
      <c r="O402" t="str">
        <f t="shared" si="47"/>
        <v>&lt;td&gt;&lt;/td&gt;</v>
      </c>
      <c r="P402" t="str">
        <f t="shared" si="48"/>
        <v>&lt;td class="sched"&gt;St. Norbert&lt;/td&gt;</v>
      </c>
      <c r="Q402" t="str">
        <f t="shared" si="49"/>
        <v>&lt;td&gt;W - L&lt;/td&gt;</v>
      </c>
      <c r="R402" t="str">
        <f t="shared" si="50"/>
        <v>&lt;td class="EHSsched"&gt;Elmwood&lt;/td&gt;</v>
      </c>
      <c r="S402" t="str">
        <f t="shared" si="51"/>
        <v>&lt;td&gt;Gordon Bell Invitational Quarterfinal 4&lt;/td&gt; &lt;/tr&gt;</v>
      </c>
    </row>
    <row r="403" spans="1:19" x14ac:dyDescent="0.25">
      <c r="A403" s="5">
        <v>42411</v>
      </c>
      <c r="C403" t="s">
        <v>273</v>
      </c>
      <c r="E403">
        <v>64</v>
      </c>
      <c r="F403" t="s">
        <v>104</v>
      </c>
      <c r="G403" t="s">
        <v>105</v>
      </c>
      <c r="H403">
        <v>29</v>
      </c>
      <c r="J403" t="str">
        <f>IF(H403&gt;E403,"H",IF(E403&gt;H403,"V",""))</f>
        <v>V</v>
      </c>
      <c r="K403" t="s">
        <v>104</v>
      </c>
      <c r="L403" t="s">
        <v>582</v>
      </c>
      <c r="N403" t="str">
        <f t="shared" si="46"/>
        <v>&lt;tr&gt; &lt;td&gt;Feb. 11&lt;/td&gt;</v>
      </c>
      <c r="O403" t="str">
        <f t="shared" si="47"/>
        <v>&lt;td&gt;&lt;/td&gt;</v>
      </c>
      <c r="P403" t="str">
        <f t="shared" si="48"/>
        <v>&lt;td class="sched"&gt;Ste. Anne&lt;/td&gt;</v>
      </c>
      <c r="Q403" t="str">
        <f t="shared" si="49"/>
        <v>&lt;td&gt;64 - 29&lt;/td&gt;</v>
      </c>
      <c r="R403" t="str">
        <f t="shared" si="50"/>
        <v>&lt;td class="SCIsched"&gt;Springfield&lt;/td&gt;</v>
      </c>
      <c r="S403" t="str">
        <f t="shared" si="51"/>
        <v>&lt;td&gt;Springfield Round Robin&lt;/td&gt; &lt;/tr&gt;</v>
      </c>
    </row>
    <row r="404" spans="1:19" x14ac:dyDescent="0.25">
      <c r="A404" s="5">
        <v>42412</v>
      </c>
      <c r="B404" s="6">
        <v>0.5</v>
      </c>
      <c r="C404" t="s">
        <v>2</v>
      </c>
      <c r="D404" t="s">
        <v>43</v>
      </c>
      <c r="E404">
        <v>83</v>
      </c>
      <c r="F404" t="s">
        <v>800</v>
      </c>
      <c r="H404">
        <v>90</v>
      </c>
      <c r="J404" t="str">
        <f>IF(H404&gt;E404,"H",IF(E404&gt;H404,"V",""))</f>
        <v>H</v>
      </c>
      <c r="K404" t="s">
        <v>775</v>
      </c>
      <c r="L404" t="s">
        <v>177</v>
      </c>
      <c r="N404" t="str">
        <f t="shared" si="46"/>
        <v>&lt;tr&gt; &lt;td&gt;Feb. 12&lt;/td&gt;</v>
      </c>
      <c r="O404" t="str">
        <f t="shared" si="47"/>
        <v>&lt;td&gt;12:00 PM&lt;/td&gt;</v>
      </c>
      <c r="P404" t="str">
        <f t="shared" si="48"/>
        <v>&lt;td class="KECsched"&gt;Kildonan-East&lt;/td&gt;</v>
      </c>
      <c r="Q404" t="str">
        <f t="shared" si="49"/>
        <v>&lt;td&gt;83 - 90&lt;/td&gt;</v>
      </c>
      <c r="R404" t="str">
        <f t="shared" si="50"/>
        <v>&lt;td class="sched"&gt;Marion Graham&lt;/td&gt;</v>
      </c>
      <c r="S404" t="str">
        <f t="shared" si="51"/>
        <v>&lt;td&gt;Luther Invitational Consolation Semi 1&lt;/td&gt; &lt;/tr&gt;</v>
      </c>
    </row>
    <row r="405" spans="1:19" x14ac:dyDescent="0.25">
      <c r="A405" s="5">
        <v>42412</v>
      </c>
      <c r="B405" s="6">
        <v>0.66666666666666663</v>
      </c>
      <c r="C405" t="s">
        <v>31</v>
      </c>
      <c r="D405" t="s">
        <v>96</v>
      </c>
      <c r="E405">
        <v>80</v>
      </c>
      <c r="F405" t="s">
        <v>5</v>
      </c>
      <c r="G405" t="s">
        <v>62</v>
      </c>
      <c r="H405">
        <v>73</v>
      </c>
      <c r="J405" t="str">
        <f>IF(H405&gt;E405,"H",IF(E405&gt;H405,"V",""))</f>
        <v>V</v>
      </c>
      <c r="K405" t="s">
        <v>199</v>
      </c>
      <c r="L405" t="s">
        <v>177</v>
      </c>
      <c r="N405" t="str">
        <f t="shared" si="46"/>
        <v>&lt;tr&gt; &lt;td&gt;Feb. 12&lt;/td&gt;</v>
      </c>
      <c r="O405" t="str">
        <f t="shared" si="47"/>
        <v>&lt;td&gt;4:00 PM&lt;/td&gt;</v>
      </c>
      <c r="P405" t="str">
        <f t="shared" si="48"/>
        <v>&lt;td class="TVHSsched"&gt;Tec Voc&lt;/td&gt;</v>
      </c>
      <c r="Q405" t="str">
        <f t="shared" si="49"/>
        <v>&lt;td&gt;80 - 73&lt;/td&gt;</v>
      </c>
      <c r="R405" t="str">
        <f t="shared" si="50"/>
        <v>&lt;td class="GCIsched"&gt;Glenlawn&lt;/td&gt;</v>
      </c>
      <c r="S405" t="str">
        <f t="shared" si="51"/>
        <v>&lt;td&gt;St. Vital Invitational Consolation Semi 1&lt;/td&gt; &lt;/tr&gt;</v>
      </c>
    </row>
    <row r="406" spans="1:19" x14ac:dyDescent="0.25">
      <c r="A406" s="5">
        <v>42412</v>
      </c>
      <c r="B406" s="6">
        <v>0.72916666666666663</v>
      </c>
      <c r="C406" t="s">
        <v>7</v>
      </c>
      <c r="D406" t="s">
        <v>7</v>
      </c>
      <c r="E406">
        <v>69</v>
      </c>
      <c r="F406" t="s">
        <v>11</v>
      </c>
      <c r="G406" t="s">
        <v>48</v>
      </c>
      <c r="H406">
        <v>54</v>
      </c>
      <c r="J406" t="str">
        <f>IF(H406&gt;E406,"H",IF(E406&gt;H406,"V",""))</f>
        <v>V</v>
      </c>
      <c r="K406" t="s">
        <v>199</v>
      </c>
      <c r="L406" t="s">
        <v>178</v>
      </c>
      <c r="N406" t="str">
        <f t="shared" si="46"/>
        <v>&lt;tr&gt; &lt;td&gt;Feb. 12&lt;/td&gt;</v>
      </c>
      <c r="O406" t="str">
        <f t="shared" si="47"/>
        <v>&lt;td&gt;5:30 PM&lt;/td&gt;</v>
      </c>
      <c r="P406" t="str">
        <f t="shared" si="48"/>
        <v>&lt;td class="MBCIsched"&gt;MBCI&lt;/td&gt;</v>
      </c>
      <c r="Q406" t="str">
        <f t="shared" si="49"/>
        <v>&lt;td&gt;69 - 54&lt;/td&gt;</v>
      </c>
      <c r="R406" t="str">
        <f t="shared" si="50"/>
        <v>&lt;td class="MMCsched"&gt;Miles Macdonell&lt;/td&gt;</v>
      </c>
      <c r="S406" t="str">
        <f t="shared" si="51"/>
        <v>&lt;td&gt;St. Vital Invitational Consolation Semi 2&lt;/td&gt; &lt;/tr&gt;</v>
      </c>
    </row>
    <row r="407" spans="1:19" x14ac:dyDescent="0.25">
      <c r="A407" s="5">
        <v>42412</v>
      </c>
      <c r="B407" s="6">
        <v>0.79166666666666663</v>
      </c>
      <c r="C407" t="s">
        <v>783</v>
      </c>
      <c r="E407">
        <v>73</v>
      </c>
      <c r="F407" t="s">
        <v>1</v>
      </c>
      <c r="G407" t="s">
        <v>74</v>
      </c>
      <c r="H407">
        <v>80</v>
      </c>
      <c r="J407" t="s">
        <v>585</v>
      </c>
      <c r="K407" t="s">
        <v>770</v>
      </c>
      <c r="L407" t="s">
        <v>179</v>
      </c>
      <c r="N407" t="str">
        <f t="shared" si="46"/>
        <v>&lt;tr&gt; &lt;td&gt;Feb. 12&lt;/td&gt;</v>
      </c>
      <c r="O407" t="str">
        <f t="shared" si="47"/>
        <v>&lt;td&gt;7:00 PM&lt;/td&gt;</v>
      </c>
      <c r="P407" t="str">
        <f t="shared" si="48"/>
        <v>&lt;td class="sched"&gt;Raymond&lt;/td&gt;</v>
      </c>
      <c r="Q407" t="str">
        <f t="shared" si="49"/>
        <v>&lt;td&gt;73 - 80&lt;/td&gt;</v>
      </c>
      <c r="R407" t="str">
        <f t="shared" si="50"/>
        <v>&lt;td class="OPHSsched"&gt;Oak Park&lt;/td&gt;</v>
      </c>
      <c r="S407" t="str">
        <f t="shared" si="51"/>
        <v>&lt;td&gt;Ainlay Tri-Prov Semifinal 1&lt;/td&gt; &lt;/tr&gt;</v>
      </c>
    </row>
    <row r="408" spans="1:19" x14ac:dyDescent="0.25">
      <c r="A408" s="5">
        <v>42412</v>
      </c>
      <c r="B408" s="6">
        <v>0.79166666666666663</v>
      </c>
      <c r="C408" t="s">
        <v>4</v>
      </c>
      <c r="D408" t="s">
        <v>41</v>
      </c>
      <c r="E408">
        <v>111</v>
      </c>
      <c r="F408" t="s">
        <v>8</v>
      </c>
      <c r="G408" t="s">
        <v>60</v>
      </c>
      <c r="H408">
        <v>61</v>
      </c>
      <c r="J408" t="str">
        <f t="shared" ref="J408:J414" si="52">IF(H408&gt;E408,"H",IF(E408&gt;H408,"V",""))</f>
        <v>V</v>
      </c>
      <c r="K408" t="s">
        <v>199</v>
      </c>
      <c r="L408" t="s">
        <v>180</v>
      </c>
      <c r="N408" t="str">
        <f t="shared" si="46"/>
        <v>&lt;tr&gt; &lt;td&gt;Feb. 12&lt;/td&gt;</v>
      </c>
      <c r="O408" t="str">
        <f t="shared" si="47"/>
        <v>&lt;td&gt;7:00 PM&lt;/td&gt;</v>
      </c>
      <c r="P408" t="str">
        <f t="shared" si="48"/>
        <v>&lt;td class="GCCsched"&gt;Garden City&lt;/td&gt;</v>
      </c>
      <c r="Q408" t="str">
        <f t="shared" si="49"/>
        <v>&lt;td&gt;111 - 61&lt;/td&gt;</v>
      </c>
      <c r="R408" t="str">
        <f t="shared" si="50"/>
        <v>&lt;td class="DCIsched"&gt;Dakota&lt;/td&gt;</v>
      </c>
      <c r="S408" t="str">
        <f t="shared" si="51"/>
        <v>&lt;td&gt;St. Vital Invitational Semifinal 2&lt;/td&gt; &lt;/tr&gt;</v>
      </c>
    </row>
    <row r="409" spans="1:19" x14ac:dyDescent="0.25">
      <c r="A409" s="5">
        <v>42412</v>
      </c>
      <c r="B409" s="6">
        <v>0.83333333333333337</v>
      </c>
      <c r="C409" t="s">
        <v>6</v>
      </c>
      <c r="D409" t="s">
        <v>70</v>
      </c>
      <c r="E409">
        <v>90</v>
      </c>
      <c r="F409" t="s">
        <v>801</v>
      </c>
      <c r="H409">
        <v>73</v>
      </c>
      <c r="J409" t="str">
        <f t="shared" si="52"/>
        <v>V</v>
      </c>
      <c r="K409" t="s">
        <v>775</v>
      </c>
      <c r="L409" t="s">
        <v>180</v>
      </c>
      <c r="N409" t="str">
        <f t="shared" si="46"/>
        <v>&lt;tr&gt; &lt;td&gt;Feb. 12&lt;/td&gt;</v>
      </c>
      <c r="O409" t="str">
        <f t="shared" si="47"/>
        <v>&lt;td&gt;8:00 PM&lt;/td&gt;</v>
      </c>
      <c r="P409" t="str">
        <f t="shared" si="48"/>
        <v>&lt;td class="JTCsched"&gt;John Taylor&lt;/td&gt;</v>
      </c>
      <c r="Q409" t="str">
        <f t="shared" si="49"/>
        <v>&lt;td&gt;90 - 73&lt;/td&gt;</v>
      </c>
      <c r="R409" t="str">
        <f t="shared" si="50"/>
        <v>&lt;td class="sched"&gt;Cardston&lt;/td&gt;</v>
      </c>
      <c r="S409" t="str">
        <f t="shared" si="51"/>
        <v>&lt;td&gt;Luther Invitational Semifinal 2&lt;/td&gt; &lt;/tr&gt;</v>
      </c>
    </row>
    <row r="410" spans="1:19" x14ac:dyDescent="0.25">
      <c r="A410" s="5">
        <v>42412</v>
      </c>
      <c r="B410" s="6">
        <v>0.85416666666666663</v>
      </c>
      <c r="C410" t="s">
        <v>3</v>
      </c>
      <c r="D410" t="s">
        <v>78</v>
      </c>
      <c r="E410">
        <v>60</v>
      </c>
      <c r="F410" t="s">
        <v>23</v>
      </c>
      <c r="G410" t="s">
        <v>80</v>
      </c>
      <c r="H410">
        <v>72</v>
      </c>
      <c r="J410" t="str">
        <f t="shared" si="52"/>
        <v>H</v>
      </c>
      <c r="K410" t="s">
        <v>199</v>
      </c>
      <c r="L410" t="s">
        <v>179</v>
      </c>
      <c r="N410" t="str">
        <f t="shared" si="46"/>
        <v>&lt;tr&gt; &lt;td&gt;Feb. 12&lt;/td&gt;</v>
      </c>
      <c r="O410" t="str">
        <f t="shared" si="47"/>
        <v>&lt;td&gt;8:30 PM&lt;/td&gt;</v>
      </c>
      <c r="P410" t="str">
        <f t="shared" si="48"/>
        <v>&lt;td class="SPHSsched"&gt;St. Paul's&lt;/td&gt;</v>
      </c>
      <c r="Q410" t="str">
        <f t="shared" si="49"/>
        <v>&lt;td&gt;60 - 72&lt;/td&gt;</v>
      </c>
      <c r="R410" t="str">
        <f t="shared" si="50"/>
        <v>&lt;td class="VMCsched"&gt;Vincent Massey&lt;/td&gt;</v>
      </c>
      <c r="S410" t="str">
        <f t="shared" si="51"/>
        <v>&lt;td&gt;St. Vital Invitational Semifinal 1&lt;/td&gt; &lt;/tr&gt;</v>
      </c>
    </row>
    <row r="411" spans="1:19" x14ac:dyDescent="0.25">
      <c r="A411" s="5">
        <v>42412</v>
      </c>
      <c r="C411" t="s">
        <v>162</v>
      </c>
      <c r="D411" t="s">
        <v>164</v>
      </c>
      <c r="E411">
        <v>71</v>
      </c>
      <c r="F411" t="s">
        <v>167</v>
      </c>
      <c r="H411">
        <v>46</v>
      </c>
      <c r="J411" t="str">
        <f t="shared" si="52"/>
        <v>V</v>
      </c>
      <c r="K411" t="s">
        <v>209</v>
      </c>
      <c r="L411" t="s">
        <v>175</v>
      </c>
      <c r="N411" t="str">
        <f t="shared" si="46"/>
        <v>&lt;tr&gt; &lt;td&gt;Feb. 12&lt;/td&gt;</v>
      </c>
      <c r="O411" t="str">
        <f t="shared" si="47"/>
        <v>&lt;td&gt;&lt;/td&gt;</v>
      </c>
      <c r="P411" t="str">
        <f t="shared" si="48"/>
        <v>&lt;td class="GVCsched"&gt;Garden Valley&lt;/td&gt;</v>
      </c>
      <c r="Q411" t="str">
        <f t="shared" si="49"/>
        <v>&lt;td&gt;71 - 46&lt;/td&gt;</v>
      </c>
      <c r="R411" t="str">
        <f t="shared" si="50"/>
        <v>&lt;td class="sched"&gt;Gray&lt;/td&gt;</v>
      </c>
      <c r="S411" t="str">
        <f t="shared" si="51"/>
        <v>&lt;td&gt;Mac Attack Quarterfinal 3&lt;/td&gt; &lt;/tr&gt;</v>
      </c>
    </row>
    <row r="412" spans="1:19" x14ac:dyDescent="0.25">
      <c r="A412" s="5">
        <v>42412</v>
      </c>
      <c r="C412" t="s">
        <v>303</v>
      </c>
      <c r="E412">
        <v>41</v>
      </c>
      <c r="F412" t="s">
        <v>28</v>
      </c>
      <c r="G412" t="s">
        <v>90</v>
      </c>
      <c r="H412">
        <v>114</v>
      </c>
      <c r="J412" t="str">
        <f t="shared" si="52"/>
        <v>H</v>
      </c>
      <c r="K412" t="s">
        <v>304</v>
      </c>
      <c r="L412" t="s">
        <v>173</v>
      </c>
      <c r="N412" t="str">
        <f t="shared" si="46"/>
        <v>&lt;tr&gt; &lt;td&gt;Feb. 12&lt;/td&gt;</v>
      </c>
      <c r="O412" t="str">
        <f t="shared" si="47"/>
        <v>&lt;td&gt;&lt;/td&gt;</v>
      </c>
      <c r="P412" t="str">
        <f t="shared" si="48"/>
        <v>&lt;td class="sched"&gt;Virden&lt;/td&gt;</v>
      </c>
      <c r="Q412" t="str">
        <f t="shared" si="49"/>
        <v>&lt;td&gt;41 - 114&lt;/td&gt;</v>
      </c>
      <c r="R412" t="str">
        <f t="shared" si="50"/>
        <v>&lt;td class="PCIsched"&gt;Portage&lt;/td&gt;</v>
      </c>
      <c r="S412" t="str">
        <f t="shared" si="51"/>
        <v>&lt;td&gt;Portage Classic Quarterfinal 1&lt;/td&gt; &lt;/tr&gt;</v>
      </c>
    </row>
    <row r="413" spans="1:19" x14ac:dyDescent="0.25">
      <c r="A413" s="5">
        <v>42412</v>
      </c>
      <c r="C413" t="s">
        <v>305</v>
      </c>
      <c r="E413">
        <v>61</v>
      </c>
      <c r="F413" t="s">
        <v>23</v>
      </c>
      <c r="G413" t="s">
        <v>102</v>
      </c>
      <c r="H413">
        <v>67</v>
      </c>
      <c r="J413" t="str">
        <f t="shared" si="52"/>
        <v>H</v>
      </c>
      <c r="K413" t="s">
        <v>304</v>
      </c>
      <c r="L413" t="s">
        <v>175</v>
      </c>
      <c r="N413" t="str">
        <f t="shared" si="46"/>
        <v>&lt;tr&gt; &lt;td&gt;Feb. 12&lt;/td&gt;</v>
      </c>
      <c r="O413" t="str">
        <f t="shared" si="47"/>
        <v>&lt;td&gt;&lt;/td&gt;</v>
      </c>
      <c r="P413" t="str">
        <f t="shared" si="48"/>
        <v>&lt;td class="sched"&gt;Margaret Barbour&lt;/td&gt;</v>
      </c>
      <c r="Q413" t="str">
        <f t="shared" si="49"/>
        <v>&lt;td&gt;61 - 67&lt;/td&gt;</v>
      </c>
      <c r="R413" t="str">
        <f t="shared" si="50"/>
        <v>&lt;td class="VMHSsched"&gt;Vincent Massey&lt;/td&gt;</v>
      </c>
      <c r="S413" t="str">
        <f t="shared" si="51"/>
        <v>&lt;td&gt;Portage Classic Quarterfinal 3&lt;/td&gt; &lt;/tr&gt;</v>
      </c>
    </row>
    <row r="414" spans="1:19" x14ac:dyDescent="0.25">
      <c r="A414" s="5">
        <v>42412</v>
      </c>
      <c r="C414" t="s">
        <v>25</v>
      </c>
      <c r="D414" t="s">
        <v>84</v>
      </c>
      <c r="E414">
        <v>66</v>
      </c>
      <c r="F414" t="s">
        <v>12</v>
      </c>
      <c r="G414" t="s">
        <v>54</v>
      </c>
      <c r="H414">
        <v>54</v>
      </c>
      <c r="J414" t="str">
        <f t="shared" si="52"/>
        <v>V</v>
      </c>
      <c r="K414" t="s">
        <v>786</v>
      </c>
      <c r="L414" t="s">
        <v>178</v>
      </c>
      <c r="N414" t="str">
        <f t="shared" si="46"/>
        <v>&lt;tr&gt; &lt;td&gt;Feb. 12&lt;/td&gt;</v>
      </c>
      <c r="O414" t="str">
        <f t="shared" si="47"/>
        <v>&lt;td&gt;&lt;/td&gt;</v>
      </c>
      <c r="P414" t="str">
        <f t="shared" si="48"/>
        <v>&lt;td class="EHSsched"&gt;Elmwood&lt;/td&gt;</v>
      </c>
      <c r="Q414" t="str">
        <f t="shared" si="49"/>
        <v>&lt;td&gt;66 - 54&lt;/td&gt;</v>
      </c>
      <c r="R414" t="str">
        <f t="shared" si="50"/>
        <v>&lt;td class="LSsched"&gt;Selkirk&lt;/td&gt;</v>
      </c>
      <c r="S414" t="str">
        <f t="shared" si="51"/>
        <v>&lt;td&gt;Gordon Bell Invitational Consolation Semi 2&lt;/td&gt; &lt;/tr&gt;</v>
      </c>
    </row>
    <row r="415" spans="1:19" x14ac:dyDescent="0.25">
      <c r="A415" s="5">
        <v>42412</v>
      </c>
      <c r="C415" t="s">
        <v>272</v>
      </c>
      <c r="E415" t="s">
        <v>254</v>
      </c>
      <c r="F415" t="s">
        <v>26</v>
      </c>
      <c r="G415" t="s">
        <v>86</v>
      </c>
      <c r="H415" t="s">
        <v>156</v>
      </c>
      <c r="J415" t="s">
        <v>585</v>
      </c>
      <c r="K415" t="s">
        <v>786</v>
      </c>
      <c r="L415" t="s">
        <v>179</v>
      </c>
      <c r="N415" t="str">
        <f t="shared" si="46"/>
        <v>&lt;tr&gt; &lt;td&gt;Feb. 12&lt;/td&gt;</v>
      </c>
      <c r="O415" t="str">
        <f t="shared" si="47"/>
        <v>&lt;td&gt;&lt;/td&gt;</v>
      </c>
      <c r="P415" t="str">
        <f t="shared" si="48"/>
        <v>&lt;td class="sched"&gt;Lorette&lt;/td&gt;</v>
      </c>
      <c r="Q415" t="str">
        <f t="shared" si="49"/>
        <v>&lt;td&gt;L - W&lt;/td&gt;</v>
      </c>
      <c r="R415" t="str">
        <f t="shared" si="50"/>
        <v>&lt;td class="GBHSsched"&gt;Gordon Bell&lt;/td&gt;</v>
      </c>
      <c r="S415" t="str">
        <f t="shared" si="51"/>
        <v>&lt;td&gt;Gordon Bell Invitational Semifinal 1&lt;/td&gt; &lt;/tr&gt;</v>
      </c>
    </row>
    <row r="416" spans="1:19" x14ac:dyDescent="0.25">
      <c r="A416" s="5">
        <v>42412</v>
      </c>
      <c r="C416" t="s">
        <v>200</v>
      </c>
      <c r="E416">
        <v>56</v>
      </c>
      <c r="F416" t="s">
        <v>20</v>
      </c>
      <c r="G416" t="s">
        <v>58</v>
      </c>
      <c r="H416">
        <v>74</v>
      </c>
      <c r="J416" t="s">
        <v>585</v>
      </c>
      <c r="K416" t="s">
        <v>786</v>
      </c>
      <c r="L416" t="s">
        <v>180</v>
      </c>
      <c r="N416" t="str">
        <f t="shared" si="46"/>
        <v>&lt;tr&gt; &lt;td&gt;Feb. 12&lt;/td&gt;</v>
      </c>
      <c r="O416" t="str">
        <f t="shared" si="47"/>
        <v>&lt;td&gt;&lt;/td&gt;</v>
      </c>
      <c r="P416" t="str">
        <f t="shared" si="48"/>
        <v>&lt;td class="sched"&gt;St. Norbert&lt;/td&gt;</v>
      </c>
      <c r="Q416" t="str">
        <f t="shared" si="49"/>
        <v>&lt;td&gt;56 - 74&lt;/td&gt;</v>
      </c>
      <c r="R416" t="str">
        <f t="shared" si="50"/>
        <v>&lt;td class="WKCsched"&gt;West Kildonan&lt;/td&gt;</v>
      </c>
      <c r="S416" t="str">
        <f t="shared" si="51"/>
        <v>&lt;td&gt;Gordon Bell Invitational Semifinal 2&lt;/td&gt; &lt;/tr&gt;</v>
      </c>
    </row>
    <row r="417" spans="1:19" x14ac:dyDescent="0.25">
      <c r="A417" s="5">
        <v>42412</v>
      </c>
      <c r="C417" t="s">
        <v>581</v>
      </c>
      <c r="E417">
        <v>80</v>
      </c>
      <c r="F417" t="s">
        <v>104</v>
      </c>
      <c r="G417" t="s">
        <v>105</v>
      </c>
      <c r="H417">
        <v>41</v>
      </c>
      <c r="J417" t="str">
        <f t="shared" ref="J417:J448" si="53">IF(H417&gt;E417,"H",IF(E417&gt;H417,"V",""))</f>
        <v>V</v>
      </c>
      <c r="K417" t="s">
        <v>104</v>
      </c>
      <c r="L417" t="s">
        <v>582</v>
      </c>
      <c r="N417" t="str">
        <f t="shared" si="46"/>
        <v>&lt;tr&gt; &lt;td&gt;Feb. 12&lt;/td&gt;</v>
      </c>
      <c r="O417" t="str">
        <f t="shared" si="47"/>
        <v>&lt;td&gt;&lt;/td&gt;</v>
      </c>
      <c r="P417" t="str">
        <f t="shared" si="48"/>
        <v>&lt;td class="sched"&gt;Ross L. Gray&lt;/td&gt;</v>
      </c>
      <c r="Q417" t="str">
        <f t="shared" si="49"/>
        <v>&lt;td&gt;80 - 41&lt;/td&gt;</v>
      </c>
      <c r="R417" t="str">
        <f t="shared" si="50"/>
        <v>&lt;td class="SCIsched"&gt;Springfield&lt;/td&gt;</v>
      </c>
      <c r="S417" t="str">
        <f t="shared" si="51"/>
        <v>&lt;td&gt;Springfield Round Robin&lt;/td&gt; &lt;/tr&gt;</v>
      </c>
    </row>
    <row r="418" spans="1:19" x14ac:dyDescent="0.25">
      <c r="A418" s="5">
        <v>42412</v>
      </c>
      <c r="C418" t="s">
        <v>583</v>
      </c>
      <c r="E418">
        <v>45</v>
      </c>
      <c r="F418" t="s">
        <v>104</v>
      </c>
      <c r="G418" t="s">
        <v>105</v>
      </c>
      <c r="H418">
        <v>66</v>
      </c>
      <c r="J418" t="str">
        <f t="shared" si="53"/>
        <v>H</v>
      </c>
      <c r="K418" t="s">
        <v>104</v>
      </c>
      <c r="L418" t="s">
        <v>582</v>
      </c>
      <c r="N418" t="str">
        <f t="shared" si="46"/>
        <v>&lt;tr&gt; &lt;td&gt;Feb. 12&lt;/td&gt;</v>
      </c>
      <c r="O418" t="str">
        <f t="shared" si="47"/>
        <v>&lt;td&gt;&lt;/td&gt;</v>
      </c>
      <c r="P418" t="str">
        <f t="shared" si="48"/>
        <v>&lt;td class="sched"&gt;Teulon&lt;/td&gt;</v>
      </c>
      <c r="Q418" t="str">
        <f t="shared" si="49"/>
        <v>&lt;td&gt;45 - 66&lt;/td&gt;</v>
      </c>
      <c r="R418" t="str">
        <f t="shared" si="50"/>
        <v>&lt;td class="SCIsched"&gt;Springfield&lt;/td&gt;</v>
      </c>
      <c r="S418" t="str">
        <f t="shared" si="51"/>
        <v>&lt;td&gt;Springfield Round Robin&lt;/td&gt; &lt;/tr&gt;</v>
      </c>
    </row>
    <row r="419" spans="1:19" x14ac:dyDescent="0.25">
      <c r="A419" s="5">
        <v>42413</v>
      </c>
      <c r="B419" s="6">
        <v>0.52083333333333337</v>
      </c>
      <c r="C419" t="s">
        <v>2</v>
      </c>
      <c r="D419" t="s">
        <v>43</v>
      </c>
      <c r="E419">
        <v>78</v>
      </c>
      <c r="F419" t="s">
        <v>776</v>
      </c>
      <c r="H419">
        <v>49</v>
      </c>
      <c r="J419" t="str">
        <f t="shared" si="53"/>
        <v>V</v>
      </c>
      <c r="K419" t="s">
        <v>775</v>
      </c>
      <c r="L419" t="s">
        <v>181</v>
      </c>
      <c r="N419" t="str">
        <f t="shared" si="46"/>
        <v>&lt;tr&gt; &lt;td&gt;Feb. 13&lt;/td&gt;</v>
      </c>
      <c r="O419" t="str">
        <f t="shared" si="47"/>
        <v>&lt;td&gt;12:30 PM&lt;/td&gt;</v>
      </c>
      <c r="P419" t="str">
        <f t="shared" si="48"/>
        <v>&lt;td class="KECsched"&gt;Kildonan-East&lt;/td&gt;</v>
      </c>
      <c r="Q419" t="str">
        <f t="shared" si="49"/>
        <v>&lt;td&gt;78 - 49&lt;/td&gt;</v>
      </c>
      <c r="R419" t="str">
        <f t="shared" si="50"/>
        <v>&lt;td class="sched"&gt;Luther&lt;/td&gt;</v>
      </c>
      <c r="S419" t="str">
        <f t="shared" si="51"/>
        <v>&lt;td&gt;Luther Invitational 7th Place&lt;/td&gt; &lt;/tr&gt;</v>
      </c>
    </row>
    <row r="420" spans="1:19" x14ac:dyDescent="0.25">
      <c r="A420" s="5">
        <v>42413</v>
      </c>
      <c r="B420" s="6">
        <v>0.54166666666666663</v>
      </c>
      <c r="C420" t="s">
        <v>11</v>
      </c>
      <c r="D420" t="s">
        <v>48</v>
      </c>
      <c r="E420">
        <v>54</v>
      </c>
      <c r="F420" t="s">
        <v>5</v>
      </c>
      <c r="G420" t="s">
        <v>62</v>
      </c>
      <c r="H420">
        <v>64</v>
      </c>
      <c r="J420" t="str">
        <f t="shared" si="53"/>
        <v>H</v>
      </c>
      <c r="K420" t="s">
        <v>199</v>
      </c>
      <c r="L420" t="s">
        <v>181</v>
      </c>
      <c r="N420" t="str">
        <f t="shared" si="46"/>
        <v>&lt;tr&gt; &lt;td&gt;Feb. 13&lt;/td&gt;</v>
      </c>
      <c r="O420" t="str">
        <f t="shared" si="47"/>
        <v>&lt;td&gt;1:00 PM&lt;/td&gt;</v>
      </c>
      <c r="P420" t="str">
        <f t="shared" si="48"/>
        <v>&lt;td class="MMCsched"&gt;Miles Macdonell&lt;/td&gt;</v>
      </c>
      <c r="Q420" t="str">
        <f t="shared" si="49"/>
        <v>&lt;td&gt;54 - 64&lt;/td&gt;</v>
      </c>
      <c r="R420" t="str">
        <f t="shared" si="50"/>
        <v>&lt;td class="GCIsched"&gt;Glenlawn&lt;/td&gt;</v>
      </c>
      <c r="S420" t="str">
        <f t="shared" si="51"/>
        <v>&lt;td&gt;St. Vital Invitational 7th Place&lt;/td&gt; &lt;/tr&gt;</v>
      </c>
    </row>
    <row r="421" spans="1:19" x14ac:dyDescent="0.25">
      <c r="A421" s="5">
        <v>42413</v>
      </c>
      <c r="B421" s="6">
        <v>0.61458333333333337</v>
      </c>
      <c r="C421" t="s">
        <v>7</v>
      </c>
      <c r="D421" t="s">
        <v>7</v>
      </c>
      <c r="E421">
        <v>52</v>
      </c>
      <c r="F421" t="s">
        <v>31</v>
      </c>
      <c r="G421" t="s">
        <v>96</v>
      </c>
      <c r="H421">
        <v>42</v>
      </c>
      <c r="J421" t="str">
        <f t="shared" si="53"/>
        <v>V</v>
      </c>
      <c r="K421" t="s">
        <v>199</v>
      </c>
      <c r="L421" t="s">
        <v>182</v>
      </c>
      <c r="N421" t="str">
        <f t="shared" si="46"/>
        <v>&lt;tr&gt; &lt;td&gt;Feb. 13&lt;/td&gt;</v>
      </c>
      <c r="O421" t="str">
        <f t="shared" si="47"/>
        <v>&lt;td&gt;2:45 PM&lt;/td&gt;</v>
      </c>
      <c r="P421" t="str">
        <f t="shared" si="48"/>
        <v>&lt;td class="MBCIsched"&gt;MBCI&lt;/td&gt;</v>
      </c>
      <c r="Q421" t="str">
        <f t="shared" si="49"/>
        <v>&lt;td&gt;52 - 42&lt;/td&gt;</v>
      </c>
      <c r="R421" t="str">
        <f t="shared" si="50"/>
        <v>&lt;td class="TVHSsched"&gt;Tec Voc&lt;/td&gt;</v>
      </c>
      <c r="S421" t="str">
        <f t="shared" si="51"/>
        <v>&lt;td&gt;St. Vital Invitational Consolation Final&lt;/td&gt; &lt;/tr&gt;</v>
      </c>
    </row>
    <row r="422" spans="1:19" x14ac:dyDescent="0.25">
      <c r="A422" s="5">
        <v>42413</v>
      </c>
      <c r="B422" s="6">
        <v>0.6875</v>
      </c>
      <c r="C422" t="s">
        <v>8</v>
      </c>
      <c r="D422" t="s">
        <v>60</v>
      </c>
      <c r="E422">
        <v>65</v>
      </c>
      <c r="F422" t="s">
        <v>3</v>
      </c>
      <c r="G422" t="s">
        <v>78</v>
      </c>
      <c r="H422">
        <v>66</v>
      </c>
      <c r="J422" t="str">
        <f t="shared" si="53"/>
        <v>H</v>
      </c>
      <c r="K422" t="s">
        <v>199</v>
      </c>
      <c r="L422" t="s">
        <v>183</v>
      </c>
      <c r="N422" t="str">
        <f t="shared" si="46"/>
        <v>&lt;tr&gt; &lt;td&gt;Feb. 13&lt;/td&gt;</v>
      </c>
      <c r="O422" t="str">
        <f t="shared" si="47"/>
        <v>&lt;td&gt;4:30 PM&lt;/td&gt;</v>
      </c>
      <c r="P422" t="str">
        <f t="shared" si="48"/>
        <v>&lt;td class="DCIsched"&gt;Dakota&lt;/td&gt;</v>
      </c>
      <c r="Q422" t="str">
        <f t="shared" si="49"/>
        <v>&lt;td&gt;65 - 66&lt;/td&gt;</v>
      </c>
      <c r="R422" t="str">
        <f t="shared" si="50"/>
        <v>&lt;td class="SPHSsched"&gt;St. Paul's&lt;/td&gt;</v>
      </c>
      <c r="S422" t="str">
        <f t="shared" si="51"/>
        <v>&lt;td&gt;St. Vital Invitational 3rd Place&lt;/td&gt; &lt;/tr&gt;</v>
      </c>
    </row>
    <row r="423" spans="1:19" x14ac:dyDescent="0.25">
      <c r="A423" s="5">
        <v>42413</v>
      </c>
      <c r="B423" s="6">
        <v>0.76041666666666663</v>
      </c>
      <c r="C423" t="s">
        <v>4</v>
      </c>
      <c r="D423" t="s">
        <v>41</v>
      </c>
      <c r="E423">
        <v>75</v>
      </c>
      <c r="F423" t="s">
        <v>23</v>
      </c>
      <c r="G423" t="s">
        <v>80</v>
      </c>
      <c r="H423">
        <v>66</v>
      </c>
      <c r="J423" t="str">
        <f t="shared" si="53"/>
        <v>V</v>
      </c>
      <c r="K423" t="s">
        <v>199</v>
      </c>
      <c r="L423" t="s">
        <v>184</v>
      </c>
      <c r="N423" t="str">
        <f t="shared" si="46"/>
        <v>&lt;tr&gt; &lt;td&gt;Feb. 13&lt;/td&gt;</v>
      </c>
      <c r="O423" t="str">
        <f t="shared" si="47"/>
        <v>&lt;td&gt;6:15 PM&lt;/td&gt;</v>
      </c>
      <c r="P423" t="str">
        <f t="shared" si="48"/>
        <v>&lt;td class="GCCsched"&gt;Garden City&lt;/td&gt;</v>
      </c>
      <c r="Q423" t="str">
        <f t="shared" si="49"/>
        <v>&lt;td&gt;75 - 66&lt;/td&gt;</v>
      </c>
      <c r="R423" t="str">
        <f t="shared" si="50"/>
        <v>&lt;td class="VMCsched"&gt;Vincent Massey&lt;/td&gt;</v>
      </c>
      <c r="S423" t="str">
        <f t="shared" si="51"/>
        <v>&lt;td&gt;St. Vital Invitational Championship&lt;/td&gt; &lt;/tr&gt;</v>
      </c>
    </row>
    <row r="424" spans="1:19" x14ac:dyDescent="0.25">
      <c r="A424" s="5">
        <v>42413</v>
      </c>
      <c r="B424" s="6">
        <v>0.83333333333333337</v>
      </c>
      <c r="C424" t="s">
        <v>6</v>
      </c>
      <c r="D424" t="s">
        <v>70</v>
      </c>
      <c r="E424">
        <v>74</v>
      </c>
      <c r="F424" t="s">
        <v>564</v>
      </c>
      <c r="H424">
        <v>88</v>
      </c>
      <c r="J424" t="str">
        <f t="shared" si="53"/>
        <v>H</v>
      </c>
      <c r="K424" t="s">
        <v>775</v>
      </c>
      <c r="L424" t="s">
        <v>184</v>
      </c>
      <c r="N424" t="str">
        <f t="shared" si="46"/>
        <v>&lt;tr&gt; &lt;td&gt;Feb. 13&lt;/td&gt;</v>
      </c>
      <c r="O424" t="str">
        <f t="shared" si="47"/>
        <v>&lt;td&gt;8:00 PM&lt;/td&gt;</v>
      </c>
      <c r="P424" t="str">
        <f t="shared" si="48"/>
        <v>&lt;td class="JTCsched"&gt;John Taylor&lt;/td&gt;</v>
      </c>
      <c r="Q424" t="str">
        <f t="shared" si="49"/>
        <v>&lt;td&gt;74 - 88&lt;/td&gt;</v>
      </c>
      <c r="R424" t="str">
        <f t="shared" si="50"/>
        <v>&lt;td class="sched"&gt;LeBoldus&lt;/td&gt;</v>
      </c>
      <c r="S424" t="str">
        <f t="shared" si="51"/>
        <v>&lt;td&gt;Luther Invitational Championship&lt;/td&gt; &lt;/tr&gt;</v>
      </c>
    </row>
    <row r="425" spans="1:19" x14ac:dyDescent="0.25">
      <c r="A425" s="5">
        <v>42413</v>
      </c>
      <c r="B425" s="6">
        <v>0.875</v>
      </c>
      <c r="C425" t="s">
        <v>1</v>
      </c>
      <c r="D425" t="s">
        <v>74</v>
      </c>
      <c r="E425">
        <v>77</v>
      </c>
      <c r="F425" t="s">
        <v>798</v>
      </c>
      <c r="H425">
        <v>87</v>
      </c>
      <c r="J425" t="str">
        <f t="shared" si="53"/>
        <v>H</v>
      </c>
      <c r="K425" t="s">
        <v>770</v>
      </c>
      <c r="L425" t="s">
        <v>184</v>
      </c>
      <c r="N425" t="str">
        <f t="shared" si="46"/>
        <v>&lt;tr&gt; &lt;td&gt;Feb. 13&lt;/td&gt;</v>
      </c>
      <c r="O425" t="str">
        <f t="shared" si="47"/>
        <v>&lt;td&gt;9:00 PM&lt;/td&gt;</v>
      </c>
      <c r="P425" t="str">
        <f t="shared" si="48"/>
        <v>&lt;td class="OPHSsched"&gt;Oak Park&lt;/td&gt;</v>
      </c>
      <c r="Q425" t="str">
        <f t="shared" si="49"/>
        <v>&lt;td&gt;77 - 87&lt;/td&gt;</v>
      </c>
      <c r="R425" t="str">
        <f t="shared" si="50"/>
        <v>&lt;td class="sched"&gt;Harry Ainlay&lt;/td&gt;</v>
      </c>
      <c r="S425" t="str">
        <f t="shared" si="51"/>
        <v>&lt;td&gt;Ainlay Tri-Prov Championship&lt;/td&gt; &lt;/tr&gt;</v>
      </c>
    </row>
    <row r="426" spans="1:19" x14ac:dyDescent="0.25">
      <c r="A426" s="5">
        <v>42413</v>
      </c>
      <c r="C426" t="s">
        <v>294</v>
      </c>
      <c r="E426">
        <v>56</v>
      </c>
      <c r="F426" t="s">
        <v>162</v>
      </c>
      <c r="G426" t="s">
        <v>164</v>
      </c>
      <c r="H426">
        <v>65</v>
      </c>
      <c r="J426" t="str">
        <f t="shared" si="53"/>
        <v>H</v>
      </c>
      <c r="K426" t="s">
        <v>209</v>
      </c>
      <c r="L426" t="s">
        <v>180</v>
      </c>
      <c r="N426" t="str">
        <f t="shared" si="46"/>
        <v>&lt;tr&gt; &lt;td&gt;Feb. 13&lt;/td&gt;</v>
      </c>
      <c r="O426" t="str">
        <f t="shared" si="47"/>
        <v>&lt;td&gt;&lt;/td&gt;</v>
      </c>
      <c r="P426" t="str">
        <f t="shared" si="48"/>
        <v>&lt;td class="sched"&gt;Hapnot&lt;/td&gt;</v>
      </c>
      <c r="Q426" t="str">
        <f t="shared" si="49"/>
        <v>&lt;td&gt;56 - 65&lt;/td&gt;</v>
      </c>
      <c r="R426" t="str">
        <f t="shared" si="50"/>
        <v>&lt;td class="GVCsched"&gt;Garden Valley&lt;/td&gt;</v>
      </c>
      <c r="S426" t="str">
        <f t="shared" si="51"/>
        <v>&lt;td&gt;Mac Attack Semifinal 2&lt;/td&gt; &lt;/tr&gt;</v>
      </c>
    </row>
    <row r="427" spans="1:19" x14ac:dyDescent="0.25">
      <c r="A427" s="5">
        <v>42413</v>
      </c>
      <c r="C427" t="s">
        <v>162</v>
      </c>
      <c r="D427" t="s">
        <v>164</v>
      </c>
      <c r="E427">
        <v>105</v>
      </c>
      <c r="F427" t="s">
        <v>240</v>
      </c>
      <c r="H427">
        <v>47</v>
      </c>
      <c r="J427" t="str">
        <f t="shared" si="53"/>
        <v>V</v>
      </c>
      <c r="K427" t="s">
        <v>209</v>
      </c>
      <c r="L427" t="s">
        <v>184</v>
      </c>
      <c r="N427" t="str">
        <f t="shared" si="46"/>
        <v>&lt;tr&gt; &lt;td&gt;Feb. 13&lt;/td&gt;</v>
      </c>
      <c r="O427" t="str">
        <f t="shared" si="47"/>
        <v>&lt;td&gt;&lt;/td&gt;</v>
      </c>
      <c r="P427" t="str">
        <f t="shared" si="48"/>
        <v>&lt;td class="GVCsched"&gt;Garden Valley&lt;/td&gt;</v>
      </c>
      <c r="Q427" t="str">
        <f t="shared" si="49"/>
        <v>&lt;td&gt;105 - 47&lt;/td&gt;</v>
      </c>
      <c r="R427" t="str">
        <f t="shared" si="50"/>
        <v>&lt;td class="sched"&gt;Nelson McIntyre&lt;/td&gt;</v>
      </c>
      <c r="S427" t="str">
        <f t="shared" si="51"/>
        <v>&lt;td&gt;Mac Attack Championship&lt;/td&gt; &lt;/tr&gt;</v>
      </c>
    </row>
    <row r="428" spans="1:19" x14ac:dyDescent="0.25">
      <c r="A428" s="5">
        <v>42413</v>
      </c>
      <c r="C428" t="s">
        <v>238</v>
      </c>
      <c r="E428">
        <v>61</v>
      </c>
      <c r="F428" t="s">
        <v>28</v>
      </c>
      <c r="G428" t="s">
        <v>90</v>
      </c>
      <c r="H428">
        <v>68</v>
      </c>
      <c r="J428" t="str">
        <f t="shared" si="53"/>
        <v>H</v>
      </c>
      <c r="K428" t="s">
        <v>304</v>
      </c>
      <c r="L428" t="s">
        <v>179</v>
      </c>
      <c r="N428" t="str">
        <f t="shared" si="46"/>
        <v>&lt;tr&gt; &lt;td&gt;Feb. 13&lt;/td&gt;</v>
      </c>
      <c r="O428" t="str">
        <f t="shared" si="47"/>
        <v>&lt;td&gt;&lt;/td&gt;</v>
      </c>
      <c r="P428" t="str">
        <f t="shared" si="48"/>
        <v>&lt;td class="sched"&gt;L&amp;eacute;o-R&amp;eacute;millard&lt;/td&gt;</v>
      </c>
      <c r="Q428" t="str">
        <f t="shared" si="49"/>
        <v>&lt;td&gt;61 - 68&lt;/td&gt;</v>
      </c>
      <c r="R428" t="str">
        <f t="shared" si="50"/>
        <v>&lt;td class="PCIsched"&gt;Portage&lt;/td&gt;</v>
      </c>
      <c r="S428" t="str">
        <f t="shared" si="51"/>
        <v>&lt;td&gt;Portage Classic Semifinal 1&lt;/td&gt; &lt;/tr&gt;</v>
      </c>
    </row>
    <row r="429" spans="1:19" x14ac:dyDescent="0.25">
      <c r="A429" s="5">
        <v>42413</v>
      </c>
      <c r="C429" t="s">
        <v>802</v>
      </c>
      <c r="E429">
        <v>78</v>
      </c>
      <c r="F429" t="s">
        <v>23</v>
      </c>
      <c r="G429" t="s">
        <v>102</v>
      </c>
      <c r="H429">
        <v>63</v>
      </c>
      <c r="J429" t="str">
        <f t="shared" si="53"/>
        <v>V</v>
      </c>
      <c r="K429" t="s">
        <v>304</v>
      </c>
      <c r="L429" t="s">
        <v>180</v>
      </c>
      <c r="N429" t="str">
        <f t="shared" si="46"/>
        <v>&lt;tr&gt; &lt;td&gt;Feb. 13&lt;/td&gt;</v>
      </c>
      <c r="O429" t="str">
        <f t="shared" si="47"/>
        <v>&lt;td&gt;&lt;/td&gt;</v>
      </c>
      <c r="P429" t="str">
        <f t="shared" si="48"/>
        <v>&lt;td class="sched"&gt;Steinbach Christian&lt;/td&gt;</v>
      </c>
      <c r="Q429" t="str">
        <f t="shared" si="49"/>
        <v>&lt;td&gt;78 - 63&lt;/td&gt;</v>
      </c>
      <c r="R429" t="str">
        <f t="shared" si="50"/>
        <v>&lt;td class="VMHSsched"&gt;Vincent Massey&lt;/td&gt;</v>
      </c>
      <c r="S429" t="str">
        <f t="shared" si="51"/>
        <v>&lt;td&gt;Portage Classic Semifinal 2&lt;/td&gt; &lt;/tr&gt;</v>
      </c>
    </row>
    <row r="430" spans="1:19" x14ac:dyDescent="0.25">
      <c r="A430" s="5">
        <v>42413</v>
      </c>
      <c r="C430" t="s">
        <v>23</v>
      </c>
      <c r="D430" t="s">
        <v>102</v>
      </c>
      <c r="E430">
        <v>67</v>
      </c>
      <c r="F430" t="s">
        <v>238</v>
      </c>
      <c r="H430">
        <v>61</v>
      </c>
      <c r="J430" t="str">
        <f t="shared" si="53"/>
        <v>V</v>
      </c>
      <c r="K430" t="s">
        <v>304</v>
      </c>
      <c r="L430" t="s">
        <v>183</v>
      </c>
      <c r="N430" t="str">
        <f t="shared" si="46"/>
        <v>&lt;tr&gt; &lt;td&gt;Feb. 13&lt;/td&gt;</v>
      </c>
      <c r="O430" t="str">
        <f t="shared" si="47"/>
        <v>&lt;td&gt;&lt;/td&gt;</v>
      </c>
      <c r="P430" t="str">
        <f t="shared" si="48"/>
        <v>&lt;td class="VMHSsched"&gt;Vincent Massey&lt;/td&gt;</v>
      </c>
      <c r="Q430" t="str">
        <f t="shared" si="49"/>
        <v>&lt;td&gt;67 - 61&lt;/td&gt;</v>
      </c>
      <c r="R430" t="str">
        <f t="shared" si="50"/>
        <v>&lt;td class="sched"&gt;L&amp;eacute;o-R&amp;eacute;millard&lt;/td&gt;</v>
      </c>
      <c r="S430" t="str">
        <f t="shared" si="51"/>
        <v>&lt;td&gt;Portage Classic 3rd Place&lt;/td&gt; &lt;/tr&gt;</v>
      </c>
    </row>
    <row r="431" spans="1:19" x14ac:dyDescent="0.25">
      <c r="A431" s="5">
        <v>42413</v>
      </c>
      <c r="C431" t="s">
        <v>802</v>
      </c>
      <c r="E431">
        <v>41</v>
      </c>
      <c r="F431" t="s">
        <v>28</v>
      </c>
      <c r="G431" t="s">
        <v>90</v>
      </c>
      <c r="H431">
        <v>78</v>
      </c>
      <c r="J431" t="str">
        <f t="shared" si="53"/>
        <v>H</v>
      </c>
      <c r="K431" t="s">
        <v>304</v>
      </c>
      <c r="L431" t="s">
        <v>184</v>
      </c>
      <c r="N431" t="str">
        <f t="shared" si="46"/>
        <v>&lt;tr&gt; &lt;td&gt;Feb. 13&lt;/td&gt;</v>
      </c>
      <c r="O431" t="str">
        <f t="shared" si="47"/>
        <v>&lt;td&gt;&lt;/td&gt;</v>
      </c>
      <c r="P431" t="str">
        <f t="shared" si="48"/>
        <v>&lt;td class="sched"&gt;Steinbach Christian&lt;/td&gt;</v>
      </c>
      <c r="Q431" t="str">
        <f t="shared" si="49"/>
        <v>&lt;td&gt;41 - 78&lt;/td&gt;</v>
      </c>
      <c r="R431" t="str">
        <f t="shared" si="50"/>
        <v>&lt;td class="PCIsched"&gt;Portage&lt;/td&gt;</v>
      </c>
      <c r="S431" t="str">
        <f t="shared" si="51"/>
        <v>&lt;td&gt;Portage Classic Championship&lt;/td&gt; &lt;/tr&gt;</v>
      </c>
    </row>
    <row r="432" spans="1:19" x14ac:dyDescent="0.25">
      <c r="A432" s="5">
        <v>42413</v>
      </c>
      <c r="C432" t="s">
        <v>12</v>
      </c>
      <c r="D432" t="s">
        <v>54</v>
      </c>
      <c r="E432">
        <v>67</v>
      </c>
      <c r="F432" t="s">
        <v>804</v>
      </c>
      <c r="H432">
        <v>62</v>
      </c>
      <c r="J432" t="str">
        <f t="shared" si="53"/>
        <v>V</v>
      </c>
      <c r="K432" t="s">
        <v>786</v>
      </c>
      <c r="L432" t="s">
        <v>181</v>
      </c>
      <c r="N432" t="str">
        <f t="shared" si="46"/>
        <v>&lt;tr&gt; &lt;td&gt;Feb. 13&lt;/td&gt;</v>
      </c>
      <c r="O432" t="str">
        <f t="shared" si="47"/>
        <v>&lt;td&gt;&lt;/td&gt;</v>
      </c>
      <c r="P432" t="str">
        <f t="shared" si="48"/>
        <v>&lt;td class="LSsched"&gt;Selkirk&lt;/td&gt;</v>
      </c>
      <c r="Q432" t="str">
        <f t="shared" si="49"/>
        <v>&lt;td&gt;67 - 62&lt;/td&gt;</v>
      </c>
      <c r="R432" t="str">
        <f t="shared" si="50"/>
        <v>&lt;td class="sched"&gt;St. Laurent&lt;/td&gt;</v>
      </c>
      <c r="S432" t="str">
        <f t="shared" si="51"/>
        <v>&lt;td&gt;Gordon Bell Invitational 7th Place&lt;/td&gt; &lt;/tr&gt;</v>
      </c>
    </row>
    <row r="433" spans="1:19" x14ac:dyDescent="0.25">
      <c r="A433" s="5">
        <v>42413</v>
      </c>
      <c r="C433" t="s">
        <v>25</v>
      </c>
      <c r="D433" t="s">
        <v>84</v>
      </c>
      <c r="E433">
        <v>73</v>
      </c>
      <c r="F433" t="s">
        <v>803</v>
      </c>
      <c r="H433">
        <v>37</v>
      </c>
      <c r="J433" t="str">
        <f t="shared" si="53"/>
        <v>V</v>
      </c>
      <c r="K433" t="s">
        <v>786</v>
      </c>
      <c r="L433" t="s">
        <v>182</v>
      </c>
      <c r="N433" t="str">
        <f t="shared" si="46"/>
        <v>&lt;tr&gt; &lt;td&gt;Feb. 13&lt;/td&gt;</v>
      </c>
      <c r="O433" t="str">
        <f t="shared" si="47"/>
        <v>&lt;td&gt;&lt;/td&gt;</v>
      </c>
      <c r="P433" t="str">
        <f t="shared" si="48"/>
        <v>&lt;td class="EHSsched"&gt;Elmwood&lt;/td&gt;</v>
      </c>
      <c r="Q433" t="str">
        <f t="shared" si="49"/>
        <v>&lt;td&gt;73 - 37&lt;/td&gt;</v>
      </c>
      <c r="R433" t="str">
        <f t="shared" si="50"/>
        <v>&lt;td class="sched"&gt;Gordon Bell JV&lt;/td&gt;</v>
      </c>
      <c r="S433" t="str">
        <f t="shared" si="51"/>
        <v>&lt;td&gt;Gordon Bell Invitational Consolation Final&lt;/td&gt; &lt;/tr&gt;</v>
      </c>
    </row>
    <row r="434" spans="1:19" x14ac:dyDescent="0.25">
      <c r="A434" s="5">
        <v>42413</v>
      </c>
      <c r="C434" t="s">
        <v>20</v>
      </c>
      <c r="D434" t="s">
        <v>58</v>
      </c>
      <c r="E434">
        <v>74</v>
      </c>
      <c r="F434" t="s">
        <v>26</v>
      </c>
      <c r="G434" t="s">
        <v>86</v>
      </c>
      <c r="H434">
        <v>66</v>
      </c>
      <c r="J434" t="str">
        <f t="shared" si="53"/>
        <v>V</v>
      </c>
      <c r="K434" t="s">
        <v>786</v>
      </c>
      <c r="L434" t="s">
        <v>184</v>
      </c>
      <c r="N434" t="str">
        <f t="shared" si="46"/>
        <v>&lt;tr&gt; &lt;td&gt;Feb. 13&lt;/td&gt;</v>
      </c>
      <c r="O434" t="str">
        <f t="shared" si="47"/>
        <v>&lt;td&gt;&lt;/td&gt;</v>
      </c>
      <c r="P434" t="str">
        <f t="shared" si="48"/>
        <v>&lt;td class="WKCsched"&gt;West Kildonan&lt;/td&gt;</v>
      </c>
      <c r="Q434" t="str">
        <f t="shared" si="49"/>
        <v>&lt;td&gt;74 - 66&lt;/td&gt;</v>
      </c>
      <c r="R434" t="str">
        <f t="shared" si="50"/>
        <v>&lt;td class="GBHSsched"&gt;Gordon Bell&lt;/td&gt;</v>
      </c>
      <c r="S434" t="str">
        <f t="shared" si="51"/>
        <v>&lt;td&gt;Gordon Bell Invitational Championship&lt;/td&gt; &lt;/tr&gt;</v>
      </c>
    </row>
    <row r="435" spans="1:19" x14ac:dyDescent="0.25">
      <c r="A435" s="5">
        <v>42416</v>
      </c>
      <c r="B435" s="6">
        <v>0.8125</v>
      </c>
      <c r="C435" t="s">
        <v>5</v>
      </c>
      <c r="D435" t="s">
        <v>62</v>
      </c>
      <c r="E435">
        <v>44</v>
      </c>
      <c r="F435" t="s">
        <v>213</v>
      </c>
      <c r="G435" t="s">
        <v>540</v>
      </c>
      <c r="H435">
        <v>73</v>
      </c>
      <c r="J435" t="str">
        <f t="shared" si="53"/>
        <v>H</v>
      </c>
      <c r="K435" t="s">
        <v>281</v>
      </c>
      <c r="L435" t="s">
        <v>228</v>
      </c>
      <c r="M435" t="s">
        <v>229</v>
      </c>
      <c r="N435" t="str">
        <f t="shared" si="46"/>
        <v>&lt;tr&gt; &lt;td&gt;Feb. 16&lt;/td&gt;</v>
      </c>
      <c r="O435" t="str">
        <f t="shared" si="47"/>
        <v>&lt;td&gt;7:30 PM&lt;/td&gt;</v>
      </c>
      <c r="P435" t="str">
        <f t="shared" si="48"/>
        <v>&lt;td class="GCIsched"&gt;Glenlawn&lt;/td&gt;</v>
      </c>
      <c r="Q435" t="str">
        <f t="shared" si="49"/>
        <v>&lt;td&gt;44 - 73&lt;/td&gt;</v>
      </c>
      <c r="R435" t="str">
        <f t="shared" si="50"/>
        <v>&lt;td class="SJRsched"&gt;St. John's-Ravenscourt&lt;/td&gt;</v>
      </c>
      <c r="S435" t="str">
        <f t="shared" si="51"/>
        <v>&lt;td&gt;SCAC Tier 1 Regular Season&lt;/td&gt; &lt;/tr&gt;</v>
      </c>
    </row>
    <row r="436" spans="1:19" x14ac:dyDescent="0.25">
      <c r="A436" s="5">
        <v>42416</v>
      </c>
      <c r="B436" s="6">
        <v>0.8125</v>
      </c>
      <c r="C436" t="s">
        <v>760</v>
      </c>
      <c r="E436">
        <v>13</v>
      </c>
      <c r="F436" t="s">
        <v>162</v>
      </c>
      <c r="G436" t="s">
        <v>164</v>
      </c>
      <c r="H436">
        <v>86</v>
      </c>
      <c r="J436" t="str">
        <f t="shared" si="53"/>
        <v>H</v>
      </c>
      <c r="K436" t="s">
        <v>163</v>
      </c>
      <c r="L436" t="s">
        <v>228</v>
      </c>
      <c r="M436" t="s">
        <v>229</v>
      </c>
      <c r="N436" t="str">
        <f t="shared" si="46"/>
        <v>&lt;tr&gt; &lt;td&gt;Feb. 16&lt;/td&gt;</v>
      </c>
      <c r="O436" t="str">
        <f t="shared" si="47"/>
        <v>&lt;td&gt;7:30 PM&lt;/td&gt;</v>
      </c>
      <c r="P436" t="str">
        <f t="shared" si="48"/>
        <v>&lt;td class="sched"&gt;Morden&lt;/td&gt;</v>
      </c>
      <c r="Q436" t="str">
        <f t="shared" si="49"/>
        <v>&lt;td&gt;13 - 86&lt;/td&gt;</v>
      </c>
      <c r="R436" t="str">
        <f t="shared" si="50"/>
        <v>&lt;td class="GVCsched"&gt;Garden Valley&lt;/td&gt;</v>
      </c>
      <c r="S436" t="str">
        <f t="shared" si="51"/>
        <v>&lt;td&gt;Zone 4 Regular Season&lt;/td&gt; &lt;/tr&gt;</v>
      </c>
    </row>
    <row r="437" spans="1:19" x14ac:dyDescent="0.25">
      <c r="A437" s="5">
        <v>42416</v>
      </c>
      <c r="B437" s="6">
        <v>0.82291666666666663</v>
      </c>
      <c r="C437" t="s">
        <v>23</v>
      </c>
      <c r="D437" t="s">
        <v>102</v>
      </c>
      <c r="E437">
        <v>70</v>
      </c>
      <c r="F437" t="s">
        <v>256</v>
      </c>
      <c r="H437">
        <v>62</v>
      </c>
      <c r="J437" t="str">
        <f t="shared" si="53"/>
        <v>V</v>
      </c>
      <c r="K437" t="s">
        <v>40</v>
      </c>
      <c r="L437" t="s">
        <v>795</v>
      </c>
      <c r="N437" t="str">
        <f t="shared" si="46"/>
        <v>&lt;tr&gt; &lt;td&gt;Feb. 16&lt;/td&gt;</v>
      </c>
      <c r="O437" t="str">
        <f t="shared" si="47"/>
        <v>&lt;td&gt;7:45 PM&lt;/td&gt;</v>
      </c>
      <c r="P437" t="str">
        <f t="shared" si="48"/>
        <v>&lt;td class="VMHSsched"&gt;Vincent Massey&lt;/td&gt;</v>
      </c>
      <c r="Q437" t="str">
        <f t="shared" si="49"/>
        <v>&lt;td&gt;70 - 62&lt;/td&gt;</v>
      </c>
      <c r="R437" t="str">
        <f t="shared" si="50"/>
        <v>&lt;td class="sched"&gt;Neelin&lt;/td&gt;</v>
      </c>
      <c r="S437" t="str">
        <f t="shared" si="51"/>
        <v>&lt;td&gt;Zone 15 Semifinal&lt;/td&gt; &lt;/tr&gt;</v>
      </c>
    </row>
    <row r="438" spans="1:19" x14ac:dyDescent="0.25">
      <c r="A438" s="5">
        <v>42417</v>
      </c>
      <c r="B438" s="6">
        <v>0.6875</v>
      </c>
      <c r="C438" t="s">
        <v>25</v>
      </c>
      <c r="D438" t="s">
        <v>84</v>
      </c>
      <c r="E438">
        <v>53</v>
      </c>
      <c r="F438" t="s">
        <v>253</v>
      </c>
      <c r="H438">
        <v>72</v>
      </c>
      <c r="J438" t="str">
        <f t="shared" si="53"/>
        <v>H</v>
      </c>
      <c r="K438" t="s">
        <v>252</v>
      </c>
      <c r="L438" t="s">
        <v>228</v>
      </c>
      <c r="M438" t="s">
        <v>229</v>
      </c>
      <c r="N438" t="str">
        <f t="shared" si="46"/>
        <v>&lt;tr&gt; &lt;td&gt;Feb. 17&lt;/td&gt;</v>
      </c>
      <c r="O438" t="str">
        <f t="shared" si="47"/>
        <v>&lt;td&gt;4:30 PM&lt;/td&gt;</v>
      </c>
      <c r="P438" t="str">
        <f t="shared" si="48"/>
        <v>&lt;td class="EHSsched"&gt;Elmwood&lt;/td&gt;</v>
      </c>
      <c r="Q438" t="str">
        <f t="shared" si="49"/>
        <v>&lt;td&gt;53 - 72&lt;/td&gt;</v>
      </c>
      <c r="R438" t="str">
        <f t="shared" si="50"/>
        <v>&lt;td class="sched"&gt;St. James&lt;/td&gt;</v>
      </c>
      <c r="S438" t="str">
        <f t="shared" si="51"/>
        <v>&lt;td&gt;WWAC-WAC Tier 2 Regular Season&lt;/td&gt; &lt;/tr&gt;</v>
      </c>
    </row>
    <row r="439" spans="1:19" x14ac:dyDescent="0.25">
      <c r="A439" s="5">
        <v>42417</v>
      </c>
      <c r="B439" s="6">
        <v>0.6875</v>
      </c>
      <c r="C439" t="s">
        <v>31</v>
      </c>
      <c r="D439" t="s">
        <v>96</v>
      </c>
      <c r="E439">
        <v>49</v>
      </c>
      <c r="F439" t="s">
        <v>13</v>
      </c>
      <c r="G439" t="s">
        <v>98</v>
      </c>
      <c r="H439">
        <v>78</v>
      </c>
      <c r="J439" t="str">
        <f t="shared" si="53"/>
        <v>H</v>
      </c>
      <c r="K439" t="s">
        <v>252</v>
      </c>
      <c r="L439" t="s">
        <v>228</v>
      </c>
      <c r="M439" t="s">
        <v>229</v>
      </c>
      <c r="N439" t="str">
        <f t="shared" si="46"/>
        <v>&lt;tr&gt; &lt;td&gt;Feb. 17&lt;/td&gt;</v>
      </c>
      <c r="O439" t="str">
        <f t="shared" si="47"/>
        <v>&lt;td&gt;4:30 PM&lt;/td&gt;</v>
      </c>
      <c r="P439" t="str">
        <f t="shared" si="48"/>
        <v>&lt;td class="TVHSsched"&gt;Tec Voc&lt;/td&gt;</v>
      </c>
      <c r="Q439" t="str">
        <f t="shared" si="49"/>
        <v>&lt;td&gt;49 - 78&lt;/td&gt;</v>
      </c>
      <c r="R439" t="str">
        <f t="shared" si="50"/>
        <v>&lt;td class="WWCsched"&gt;Westwood&lt;/td&gt;</v>
      </c>
      <c r="S439" t="str">
        <f t="shared" si="51"/>
        <v>&lt;td&gt;WWAC-WAC Tier 2 Regular Season&lt;/td&gt; &lt;/tr&gt;</v>
      </c>
    </row>
    <row r="440" spans="1:19" x14ac:dyDescent="0.25">
      <c r="A440" s="5">
        <v>42417</v>
      </c>
      <c r="B440" s="6">
        <v>0.6875</v>
      </c>
      <c r="C440" t="s">
        <v>23</v>
      </c>
      <c r="D440" t="s">
        <v>80</v>
      </c>
      <c r="E440">
        <v>76</v>
      </c>
      <c r="F440" t="s">
        <v>9</v>
      </c>
      <c r="G440" t="s">
        <v>76</v>
      </c>
      <c r="H440">
        <v>82</v>
      </c>
      <c r="J440" t="str">
        <f t="shared" si="53"/>
        <v>H</v>
      </c>
      <c r="K440" t="s">
        <v>251</v>
      </c>
      <c r="L440" t="s">
        <v>228</v>
      </c>
      <c r="M440" t="s">
        <v>229</v>
      </c>
      <c r="N440" t="str">
        <f t="shared" si="46"/>
        <v>&lt;tr&gt; &lt;td&gt;Feb. 17&lt;/td&gt;</v>
      </c>
      <c r="O440" t="str">
        <f t="shared" si="47"/>
        <v>&lt;td&gt;4:30 PM&lt;/td&gt;</v>
      </c>
      <c r="P440" t="str">
        <f t="shared" si="48"/>
        <v>&lt;td class="VMCsched"&gt;Vincent Massey&lt;/td&gt;</v>
      </c>
      <c r="Q440" t="str">
        <f t="shared" si="49"/>
        <v>&lt;td&gt;76 - 82&lt;/td&gt;</v>
      </c>
      <c r="R440" t="str">
        <f t="shared" si="50"/>
        <v>&lt;td class="SiHSsched"&gt;Sisler&lt;/td&gt;</v>
      </c>
      <c r="S440" t="str">
        <f t="shared" si="51"/>
        <v>&lt;td&gt;WWAC-WAC Tier 1 Regular Season&lt;/td&gt; &lt;/tr&gt;</v>
      </c>
    </row>
    <row r="441" spans="1:19" x14ac:dyDescent="0.25">
      <c r="A441" s="5">
        <v>42417</v>
      </c>
      <c r="B441" s="6">
        <v>0.6875</v>
      </c>
      <c r="C441" t="s">
        <v>15</v>
      </c>
      <c r="D441" t="s">
        <v>68</v>
      </c>
      <c r="E441">
        <v>72</v>
      </c>
      <c r="F441" t="s">
        <v>6</v>
      </c>
      <c r="G441" t="s">
        <v>70</v>
      </c>
      <c r="H441">
        <v>111</v>
      </c>
      <c r="J441" t="str">
        <f t="shared" si="53"/>
        <v>H</v>
      </c>
      <c r="K441" t="s">
        <v>251</v>
      </c>
      <c r="L441" t="s">
        <v>228</v>
      </c>
      <c r="M441" t="s">
        <v>229</v>
      </c>
      <c r="N441" t="str">
        <f t="shared" si="46"/>
        <v>&lt;tr&gt; &lt;td&gt;Feb. 17&lt;/td&gt;</v>
      </c>
      <c r="O441" t="str">
        <f t="shared" si="47"/>
        <v>&lt;td&gt;4:30 PM&lt;/td&gt;</v>
      </c>
      <c r="P441" t="str">
        <f t="shared" si="48"/>
        <v>&lt;td class="FRCsched"&gt;Fort Richmond&lt;/td&gt;</v>
      </c>
      <c r="Q441" t="str">
        <f t="shared" si="49"/>
        <v>&lt;td&gt;72 - 111&lt;/td&gt;</v>
      </c>
      <c r="R441" t="str">
        <f t="shared" si="50"/>
        <v>&lt;td class="JTCsched"&gt;John Taylor&lt;/td&gt;</v>
      </c>
      <c r="S441" t="str">
        <f t="shared" si="51"/>
        <v>&lt;td&gt;WWAC-WAC Tier 1 Regular Season&lt;/td&gt; &lt;/tr&gt;</v>
      </c>
    </row>
    <row r="442" spans="1:19" x14ac:dyDescent="0.25">
      <c r="A442" s="5">
        <v>42417</v>
      </c>
      <c r="B442" s="6">
        <v>0.6875</v>
      </c>
      <c r="C442" t="s">
        <v>14</v>
      </c>
      <c r="D442" t="s">
        <v>94</v>
      </c>
      <c r="E442">
        <v>45</v>
      </c>
      <c r="F442" t="s">
        <v>1</v>
      </c>
      <c r="G442" t="s">
        <v>74</v>
      </c>
      <c r="H442">
        <v>76</v>
      </c>
      <c r="J442" t="str">
        <f t="shared" si="53"/>
        <v>H</v>
      </c>
      <c r="K442" t="s">
        <v>251</v>
      </c>
      <c r="L442" t="s">
        <v>228</v>
      </c>
      <c r="M442" t="s">
        <v>229</v>
      </c>
      <c r="N442" t="str">
        <f t="shared" si="46"/>
        <v>&lt;tr&gt; &lt;td&gt;Feb. 17&lt;/td&gt;</v>
      </c>
      <c r="O442" t="str">
        <f t="shared" si="47"/>
        <v>&lt;td&gt;4:30 PM&lt;/td&gt;</v>
      </c>
      <c r="P442" t="str">
        <f t="shared" si="48"/>
        <v>&lt;td class="SHCsched"&gt;Sturgeon Heights&lt;/td&gt;</v>
      </c>
      <c r="Q442" t="str">
        <f t="shared" si="49"/>
        <v>&lt;td&gt;45 - 76&lt;/td&gt;</v>
      </c>
      <c r="R442" t="str">
        <f t="shared" si="50"/>
        <v>&lt;td class="OPHSsched"&gt;Oak Park&lt;/td&gt;</v>
      </c>
      <c r="S442" t="str">
        <f t="shared" si="51"/>
        <v>&lt;td&gt;WWAC-WAC Tier 1 Regular Season&lt;/td&gt; &lt;/tr&gt;</v>
      </c>
    </row>
    <row r="443" spans="1:19" x14ac:dyDescent="0.25">
      <c r="A443" s="5">
        <v>42417</v>
      </c>
      <c r="B443" s="6">
        <v>0.6875</v>
      </c>
      <c r="C443" t="s">
        <v>3</v>
      </c>
      <c r="D443" t="s">
        <v>78</v>
      </c>
      <c r="E443">
        <v>84</v>
      </c>
      <c r="F443" t="s">
        <v>24</v>
      </c>
      <c r="G443" t="s">
        <v>82</v>
      </c>
      <c r="H443">
        <v>77</v>
      </c>
      <c r="J443" t="str">
        <f t="shared" si="53"/>
        <v>V</v>
      </c>
      <c r="K443" t="s">
        <v>251</v>
      </c>
      <c r="L443" t="s">
        <v>228</v>
      </c>
      <c r="M443" t="s">
        <v>229</v>
      </c>
      <c r="N443" t="str">
        <f t="shared" si="46"/>
        <v>&lt;tr&gt; &lt;td&gt;Feb. 17&lt;/td&gt;</v>
      </c>
      <c r="O443" t="str">
        <f t="shared" si="47"/>
        <v>&lt;td&gt;4:30 PM&lt;/td&gt;</v>
      </c>
      <c r="P443" t="str">
        <f t="shared" si="48"/>
        <v>&lt;td class="SPHSsched"&gt;St. Paul's&lt;/td&gt;</v>
      </c>
      <c r="Q443" t="str">
        <f t="shared" si="49"/>
        <v>&lt;td&gt;84 - 77&lt;/td&gt;</v>
      </c>
      <c r="R443" t="str">
        <f t="shared" si="50"/>
        <v>&lt;td class="DMCIsched"&gt;Daniel McIntyre&lt;/td&gt;</v>
      </c>
      <c r="S443" t="str">
        <f t="shared" si="51"/>
        <v>&lt;td&gt;WWAC-WAC Tier 1 Regular Season&lt;/td&gt; &lt;/tr&gt;</v>
      </c>
    </row>
    <row r="444" spans="1:19" x14ac:dyDescent="0.25">
      <c r="A444" s="5">
        <v>42417</v>
      </c>
      <c r="B444" s="6">
        <v>0.75</v>
      </c>
      <c r="C444" t="s">
        <v>19</v>
      </c>
      <c r="D444" t="s">
        <v>56</v>
      </c>
      <c r="E444">
        <v>39</v>
      </c>
      <c r="F444" t="s">
        <v>18</v>
      </c>
      <c r="G444" t="s">
        <v>52</v>
      </c>
      <c r="H444">
        <v>70</v>
      </c>
      <c r="J444" t="str">
        <f t="shared" si="53"/>
        <v>H</v>
      </c>
      <c r="K444" t="s">
        <v>37</v>
      </c>
      <c r="L444" t="s">
        <v>228</v>
      </c>
      <c r="M444" t="s">
        <v>229</v>
      </c>
      <c r="N444" t="str">
        <f t="shared" si="46"/>
        <v>&lt;tr&gt; &lt;td&gt;Feb. 17&lt;/td&gt;</v>
      </c>
      <c r="O444" t="str">
        <f t="shared" si="47"/>
        <v>&lt;td&gt;6:00 PM&lt;/td&gt;</v>
      </c>
      <c r="P444" t="str">
        <f t="shared" si="48"/>
        <v>&lt;td class="TCIsched"&gt;Transcona&lt;/td&gt;</v>
      </c>
      <c r="Q444" t="str">
        <f t="shared" si="49"/>
        <v>&lt;td&gt;39 - 70&lt;/td&gt;</v>
      </c>
      <c r="R444" t="str">
        <f t="shared" si="50"/>
        <v>&lt;td class="RECsched"&gt;River East&lt;/td&gt;</v>
      </c>
      <c r="S444" t="str">
        <f t="shared" si="51"/>
        <v>&lt;td&gt;KPAC Regular Season&lt;/td&gt; &lt;/tr&gt;</v>
      </c>
    </row>
    <row r="445" spans="1:19" x14ac:dyDescent="0.25">
      <c r="A445" s="5">
        <v>42417</v>
      </c>
      <c r="B445" s="6">
        <v>0.75</v>
      </c>
      <c r="C445" t="s">
        <v>12</v>
      </c>
      <c r="D445" t="s">
        <v>54</v>
      </c>
      <c r="E445">
        <v>57</v>
      </c>
      <c r="F445" t="s">
        <v>11</v>
      </c>
      <c r="G445" t="s">
        <v>48</v>
      </c>
      <c r="H445">
        <v>71</v>
      </c>
      <c r="J445" t="str">
        <f t="shared" si="53"/>
        <v>H</v>
      </c>
      <c r="K445" t="s">
        <v>37</v>
      </c>
      <c r="L445" t="s">
        <v>228</v>
      </c>
      <c r="M445" t="s">
        <v>229</v>
      </c>
      <c r="N445" t="str">
        <f t="shared" si="46"/>
        <v>&lt;tr&gt; &lt;td&gt;Feb. 17&lt;/td&gt;</v>
      </c>
      <c r="O445" t="str">
        <f t="shared" si="47"/>
        <v>&lt;td&gt;6:00 PM&lt;/td&gt;</v>
      </c>
      <c r="P445" t="str">
        <f t="shared" si="48"/>
        <v>&lt;td class="LSsched"&gt;Selkirk&lt;/td&gt;</v>
      </c>
      <c r="Q445" t="str">
        <f t="shared" si="49"/>
        <v>&lt;td&gt;57 - 71&lt;/td&gt;</v>
      </c>
      <c r="R445" t="str">
        <f t="shared" si="50"/>
        <v>&lt;td class="MMCsched"&gt;Miles Macdonell&lt;/td&gt;</v>
      </c>
      <c r="S445" t="str">
        <f t="shared" si="51"/>
        <v>&lt;td&gt;KPAC Regular Season&lt;/td&gt; &lt;/tr&gt;</v>
      </c>
    </row>
    <row r="446" spans="1:19" x14ac:dyDescent="0.25">
      <c r="A446" s="5">
        <v>42417</v>
      </c>
      <c r="B446" s="6">
        <v>0.75</v>
      </c>
      <c r="C446" t="s">
        <v>2</v>
      </c>
      <c r="D446" t="s">
        <v>43</v>
      </c>
      <c r="E446">
        <v>58</v>
      </c>
      <c r="F446" t="s">
        <v>4</v>
      </c>
      <c r="G446" t="s">
        <v>41</v>
      </c>
      <c r="H446">
        <v>76</v>
      </c>
      <c r="J446" t="str">
        <f t="shared" si="53"/>
        <v>H</v>
      </c>
      <c r="K446" t="s">
        <v>37</v>
      </c>
      <c r="L446" t="s">
        <v>228</v>
      </c>
      <c r="M446" t="s">
        <v>229</v>
      </c>
      <c r="N446" t="str">
        <f t="shared" si="46"/>
        <v>&lt;tr&gt; &lt;td&gt;Feb. 17&lt;/td&gt;</v>
      </c>
      <c r="O446" t="str">
        <f t="shared" si="47"/>
        <v>&lt;td&gt;6:00 PM&lt;/td&gt;</v>
      </c>
      <c r="P446" t="str">
        <f t="shared" si="48"/>
        <v>&lt;td class="KECsched"&gt;Kildonan-East&lt;/td&gt;</v>
      </c>
      <c r="Q446" t="str">
        <f t="shared" si="49"/>
        <v>&lt;td&gt;58 - 76&lt;/td&gt;</v>
      </c>
      <c r="R446" t="str">
        <f t="shared" si="50"/>
        <v>&lt;td class="GCCsched"&gt;Garden City&lt;/td&gt;</v>
      </c>
      <c r="S446" t="str">
        <f t="shared" si="51"/>
        <v>&lt;td&gt;KPAC Regular Season&lt;/td&gt; &lt;/tr&gt;</v>
      </c>
    </row>
    <row r="447" spans="1:19" x14ac:dyDescent="0.25">
      <c r="A447" s="5">
        <v>42417</v>
      </c>
      <c r="B447" s="6">
        <v>0.75</v>
      </c>
      <c r="C447" t="s">
        <v>20</v>
      </c>
      <c r="D447" t="s">
        <v>58</v>
      </c>
      <c r="E447">
        <v>100</v>
      </c>
      <c r="F447" t="s">
        <v>104</v>
      </c>
      <c r="G447" t="s">
        <v>105</v>
      </c>
      <c r="H447">
        <v>40</v>
      </c>
      <c r="J447" t="str">
        <f t="shared" si="53"/>
        <v>V</v>
      </c>
      <c r="K447" t="s">
        <v>37</v>
      </c>
      <c r="L447" t="s">
        <v>228</v>
      </c>
      <c r="M447" t="s">
        <v>229</v>
      </c>
      <c r="N447" t="str">
        <f t="shared" si="46"/>
        <v>&lt;tr&gt; &lt;td&gt;Feb. 17&lt;/td&gt;</v>
      </c>
      <c r="O447" t="str">
        <f t="shared" si="47"/>
        <v>&lt;td&gt;6:00 PM&lt;/td&gt;</v>
      </c>
      <c r="P447" t="str">
        <f t="shared" si="48"/>
        <v>&lt;td class="WKCsched"&gt;West Kildonan&lt;/td&gt;</v>
      </c>
      <c r="Q447" t="str">
        <f t="shared" si="49"/>
        <v>&lt;td&gt;100 - 40&lt;/td&gt;</v>
      </c>
      <c r="R447" t="str">
        <f t="shared" si="50"/>
        <v>&lt;td class="SCIsched"&gt;Springfield&lt;/td&gt;</v>
      </c>
      <c r="S447" t="str">
        <f t="shared" si="51"/>
        <v>&lt;td&gt;KPAC Regular Season&lt;/td&gt; &lt;/tr&gt;</v>
      </c>
    </row>
    <row r="448" spans="1:19" x14ac:dyDescent="0.25">
      <c r="A448" s="5">
        <v>42417</v>
      </c>
      <c r="B448" s="6">
        <v>0.77083333333333337</v>
      </c>
      <c r="C448" t="s">
        <v>171</v>
      </c>
      <c r="E448">
        <v>50</v>
      </c>
      <c r="F448" t="s">
        <v>28</v>
      </c>
      <c r="G448" t="s">
        <v>90</v>
      </c>
      <c r="H448">
        <v>56</v>
      </c>
      <c r="J448" t="str">
        <f t="shared" si="53"/>
        <v>H</v>
      </c>
      <c r="K448" t="s">
        <v>252</v>
      </c>
      <c r="L448" t="s">
        <v>228</v>
      </c>
      <c r="M448" t="s">
        <v>229</v>
      </c>
      <c r="N448" t="str">
        <f t="shared" si="46"/>
        <v>&lt;tr&gt; &lt;td&gt;Feb. 17&lt;/td&gt;</v>
      </c>
      <c r="O448" t="str">
        <f t="shared" si="47"/>
        <v>&lt;td&gt;6:30 PM&lt;/td&gt;</v>
      </c>
      <c r="P448" t="str">
        <f t="shared" si="48"/>
        <v>&lt;td class="sched"&gt;Churchill&lt;/td&gt;</v>
      </c>
      <c r="Q448" t="str">
        <f t="shared" si="49"/>
        <v>&lt;td&gt;50 - 56&lt;/td&gt;</v>
      </c>
      <c r="R448" t="str">
        <f t="shared" si="50"/>
        <v>&lt;td class="PCIsched"&gt;Portage&lt;/td&gt;</v>
      </c>
      <c r="S448" t="str">
        <f t="shared" si="51"/>
        <v>&lt;td&gt;WWAC-WAC Tier 2 Regular Season&lt;/td&gt; &lt;/tr&gt;</v>
      </c>
    </row>
    <row r="449" spans="1:19" x14ac:dyDescent="0.25">
      <c r="A449" s="5">
        <v>42417</v>
      </c>
      <c r="B449" s="6">
        <v>0.79166666666666663</v>
      </c>
      <c r="C449" t="s">
        <v>8</v>
      </c>
      <c r="D449" t="s">
        <v>60</v>
      </c>
      <c r="E449">
        <v>72</v>
      </c>
      <c r="F449" t="s">
        <v>5</v>
      </c>
      <c r="G449" t="s">
        <v>62</v>
      </c>
      <c r="H449">
        <v>58</v>
      </c>
      <c r="J449" t="str">
        <f t="shared" ref="J449:J480" si="54">IF(H449&gt;E449,"H",IF(E449&gt;H449,"V",""))</f>
        <v>V</v>
      </c>
      <c r="K449" t="s">
        <v>281</v>
      </c>
      <c r="L449" t="s">
        <v>228</v>
      </c>
      <c r="M449" t="s">
        <v>229</v>
      </c>
      <c r="N449" t="str">
        <f t="shared" si="46"/>
        <v>&lt;tr&gt; &lt;td&gt;Feb. 17&lt;/td&gt;</v>
      </c>
      <c r="O449" t="str">
        <f t="shared" si="47"/>
        <v>&lt;td&gt;7:00 PM&lt;/td&gt;</v>
      </c>
      <c r="P449" t="str">
        <f t="shared" si="48"/>
        <v>&lt;td class="DCIsched"&gt;Dakota&lt;/td&gt;</v>
      </c>
      <c r="Q449" t="str">
        <f t="shared" si="49"/>
        <v>&lt;td&gt;72 - 58&lt;/td&gt;</v>
      </c>
      <c r="R449" t="str">
        <f t="shared" si="50"/>
        <v>&lt;td class="GCIsched"&gt;Glenlawn&lt;/td&gt;</v>
      </c>
      <c r="S449" t="str">
        <f t="shared" si="51"/>
        <v>&lt;td&gt;SCAC Tier 1 Regular Season&lt;/td&gt; &lt;/tr&gt;</v>
      </c>
    </row>
    <row r="450" spans="1:19" x14ac:dyDescent="0.25">
      <c r="A450" s="5">
        <v>42417</v>
      </c>
      <c r="B450" s="6">
        <v>0.8125</v>
      </c>
      <c r="C450" t="s">
        <v>200</v>
      </c>
      <c r="E450">
        <v>81</v>
      </c>
      <c r="F450" t="s">
        <v>135</v>
      </c>
      <c r="G450" t="s">
        <v>136</v>
      </c>
      <c r="H450">
        <v>54</v>
      </c>
      <c r="J450" t="str">
        <f t="shared" si="54"/>
        <v>V</v>
      </c>
      <c r="K450" t="s">
        <v>236</v>
      </c>
      <c r="L450" t="s">
        <v>228</v>
      </c>
      <c r="M450" t="s">
        <v>229</v>
      </c>
      <c r="N450" t="str">
        <f t="shared" ref="N450:N513" si="55">"&lt;tr&gt; &lt;td&gt;"&amp;TEXT(A450,"MMM. D")&amp;"&lt;/td&gt;"</f>
        <v>&lt;tr&gt; &lt;td&gt;Feb. 17&lt;/td&gt;</v>
      </c>
      <c r="O450" t="str">
        <f t="shared" ref="O450:O513" si="56">"&lt;td&gt;"&amp;IF(B450&gt;0,TEXT(B450,"H:MM AM/PM"),"")&amp;"&lt;/td&gt;"</f>
        <v>&lt;td&gt;7:30 PM&lt;/td&gt;</v>
      </c>
      <c r="P450" t="str">
        <f t="shared" ref="P450:P513" si="57">"&lt;td class="""&amp;D450&amp;"sched""&gt;"&amp;C450&amp;"&lt;/td&gt;"</f>
        <v>&lt;td class="sched"&gt;St. Norbert&lt;/td&gt;</v>
      </c>
      <c r="Q450" t="str">
        <f t="shared" ref="Q450:Q513" si="58">"&lt;td&gt;"&amp;E450&amp;" - "&amp;H450&amp;IF(I450&gt;0," "&amp;I450,"")&amp;"&lt;/td&gt;"</f>
        <v>&lt;td&gt;81 - 54&lt;/td&gt;</v>
      </c>
      <c r="R450" t="str">
        <f t="shared" ref="R450:R513" si="59">"&lt;td class="""&amp;G450&amp;"sched""&gt;"&amp;F450&amp;"&lt;/td&gt;"</f>
        <v>&lt;td class="NPCsched"&gt;Northlands Parkway&lt;/td&gt;</v>
      </c>
      <c r="S450" t="str">
        <f t="shared" ref="S450:S513" si="60">"&lt;td&gt;"&amp;K450&amp;" "&amp;L450&amp;"&lt;/td&gt; &lt;/tr&gt;"</f>
        <v>&lt;td&gt;SCAC Tier 2 Regular Season&lt;/td&gt; &lt;/tr&gt;</v>
      </c>
    </row>
    <row r="451" spans="1:19" x14ac:dyDescent="0.25">
      <c r="A451" s="5">
        <v>42417</v>
      </c>
      <c r="B451" s="6">
        <v>0.83333333333333337</v>
      </c>
      <c r="C451" t="s">
        <v>22</v>
      </c>
      <c r="D451" t="s">
        <v>66</v>
      </c>
      <c r="E451">
        <v>53</v>
      </c>
      <c r="F451" t="s">
        <v>21</v>
      </c>
      <c r="G451" t="s">
        <v>64</v>
      </c>
      <c r="H451">
        <v>77</v>
      </c>
      <c r="J451" t="str">
        <f t="shared" si="54"/>
        <v>H</v>
      </c>
      <c r="K451" t="s">
        <v>281</v>
      </c>
      <c r="L451" t="s">
        <v>228</v>
      </c>
      <c r="M451" t="s">
        <v>229</v>
      </c>
      <c r="N451" t="str">
        <f t="shared" si="55"/>
        <v>&lt;tr&gt; &lt;td&gt;Feb. 17&lt;/td&gt;</v>
      </c>
      <c r="O451" t="str">
        <f t="shared" si="56"/>
        <v>&lt;td&gt;8:00 PM&lt;/td&gt;</v>
      </c>
      <c r="P451" t="str">
        <f t="shared" si="57"/>
        <v>&lt;td class="SRSSsched"&gt;Steinbach&lt;/td&gt;</v>
      </c>
      <c r="Q451" t="str">
        <f t="shared" si="58"/>
        <v>&lt;td&gt;53 - 77&lt;/td&gt;</v>
      </c>
      <c r="R451" t="str">
        <f t="shared" si="59"/>
        <v>&lt;td class="JHBsched"&gt;J.H. Bruns&lt;/td&gt;</v>
      </c>
      <c r="S451" t="str">
        <f t="shared" si="60"/>
        <v>&lt;td&gt;SCAC Tier 1 Regular Season&lt;/td&gt; &lt;/tr&gt;</v>
      </c>
    </row>
    <row r="452" spans="1:19" x14ac:dyDescent="0.25">
      <c r="A452" s="5">
        <v>42418</v>
      </c>
      <c r="B452" s="6">
        <v>0.54166666666666663</v>
      </c>
      <c r="C452" t="s">
        <v>24</v>
      </c>
      <c r="D452" t="s">
        <v>82</v>
      </c>
      <c r="E452">
        <v>88</v>
      </c>
      <c r="F452" t="s">
        <v>16</v>
      </c>
      <c r="G452" t="s">
        <v>45</v>
      </c>
      <c r="H452">
        <v>90</v>
      </c>
      <c r="J452" t="str">
        <f t="shared" si="54"/>
        <v>H</v>
      </c>
      <c r="K452" t="s">
        <v>787</v>
      </c>
      <c r="L452" t="s">
        <v>175</v>
      </c>
      <c r="N452" t="str">
        <f t="shared" si="55"/>
        <v>&lt;tr&gt; &lt;td&gt;Feb. 18&lt;/td&gt;</v>
      </c>
      <c r="O452" t="str">
        <f t="shared" si="56"/>
        <v>&lt;td&gt;1:00 PM&lt;/td&gt;</v>
      </c>
      <c r="P452" t="str">
        <f t="shared" si="57"/>
        <v>&lt;td class="DMCIsched"&gt;Daniel McIntyre&lt;/td&gt;</v>
      </c>
      <c r="Q452" t="str">
        <f t="shared" si="58"/>
        <v>&lt;td&gt;88 - 90&lt;/td&gt;</v>
      </c>
      <c r="R452" t="str">
        <f t="shared" si="59"/>
        <v>&lt;td class="MCsched"&gt;Maples&lt;/td&gt;</v>
      </c>
      <c r="S452" t="str">
        <f t="shared" si="60"/>
        <v>&lt;td&gt;North-South Showdown Quarterfinal 3&lt;/td&gt; &lt;/tr&gt;</v>
      </c>
    </row>
    <row r="453" spans="1:19" x14ac:dyDescent="0.25">
      <c r="A453" s="5">
        <v>42418</v>
      </c>
      <c r="B453" s="6">
        <v>0.63541666666666663</v>
      </c>
      <c r="C453" t="s">
        <v>10</v>
      </c>
      <c r="D453" t="s">
        <v>72</v>
      </c>
      <c r="E453">
        <v>56</v>
      </c>
      <c r="F453" t="s">
        <v>1</v>
      </c>
      <c r="G453" t="s">
        <v>74</v>
      </c>
      <c r="H453">
        <v>78</v>
      </c>
      <c r="J453" t="str">
        <f t="shared" si="54"/>
        <v>H</v>
      </c>
      <c r="K453" t="s">
        <v>787</v>
      </c>
      <c r="L453" t="s">
        <v>176</v>
      </c>
      <c r="N453" t="str">
        <f t="shared" si="55"/>
        <v>&lt;tr&gt; &lt;td&gt;Feb. 18&lt;/td&gt;</v>
      </c>
      <c r="O453" t="str">
        <f t="shared" si="56"/>
        <v>&lt;td&gt;3:15 PM&lt;/td&gt;</v>
      </c>
      <c r="P453" t="str">
        <f t="shared" si="57"/>
        <v>&lt;td class="KHSsched"&gt;Kelvin&lt;/td&gt;</v>
      </c>
      <c r="Q453" t="str">
        <f t="shared" si="58"/>
        <v>&lt;td&gt;56 - 78&lt;/td&gt;</v>
      </c>
      <c r="R453" t="str">
        <f t="shared" si="59"/>
        <v>&lt;td class="OPHSsched"&gt;Oak Park&lt;/td&gt;</v>
      </c>
      <c r="S453" t="str">
        <f t="shared" si="60"/>
        <v>&lt;td&gt;North-South Showdown Quarterfinal 4&lt;/td&gt; &lt;/tr&gt;</v>
      </c>
    </row>
    <row r="454" spans="1:19" x14ac:dyDescent="0.25">
      <c r="A454" s="5">
        <v>42418</v>
      </c>
      <c r="B454" s="6">
        <v>0.6875</v>
      </c>
      <c r="C454" t="s">
        <v>213</v>
      </c>
      <c r="D454" t="s">
        <v>540</v>
      </c>
      <c r="E454">
        <v>50</v>
      </c>
      <c r="F454" t="s">
        <v>9</v>
      </c>
      <c r="G454" t="s">
        <v>76</v>
      </c>
      <c r="H454">
        <v>69</v>
      </c>
      <c r="J454" t="str">
        <f t="shared" si="54"/>
        <v>H</v>
      </c>
      <c r="K454" t="s">
        <v>787</v>
      </c>
      <c r="L454" t="s">
        <v>174</v>
      </c>
      <c r="N454" t="str">
        <f t="shared" si="55"/>
        <v>&lt;tr&gt; &lt;td&gt;Feb. 18&lt;/td&gt;</v>
      </c>
      <c r="O454" t="str">
        <f t="shared" si="56"/>
        <v>&lt;td&gt;4:30 PM&lt;/td&gt;</v>
      </c>
      <c r="P454" t="str">
        <f t="shared" si="57"/>
        <v>&lt;td class="SJRsched"&gt;St. John's-Ravenscourt&lt;/td&gt;</v>
      </c>
      <c r="Q454" t="str">
        <f t="shared" si="58"/>
        <v>&lt;td&gt;50 - 69&lt;/td&gt;</v>
      </c>
      <c r="R454" t="str">
        <f t="shared" si="59"/>
        <v>&lt;td class="SiHSsched"&gt;Sisler&lt;/td&gt;</v>
      </c>
      <c r="S454" t="str">
        <f t="shared" si="60"/>
        <v>&lt;td&gt;North-South Showdown Quarterfinal 2&lt;/td&gt; &lt;/tr&gt;</v>
      </c>
    </row>
    <row r="455" spans="1:19" x14ac:dyDescent="0.25">
      <c r="A455" s="5">
        <v>42418</v>
      </c>
      <c r="B455" s="6">
        <v>0.78125</v>
      </c>
      <c r="C455" t="s">
        <v>27</v>
      </c>
      <c r="D455" t="s">
        <v>88</v>
      </c>
      <c r="E455">
        <v>57</v>
      </c>
      <c r="F455" t="s">
        <v>6</v>
      </c>
      <c r="G455" t="s">
        <v>70</v>
      </c>
      <c r="H455">
        <v>87</v>
      </c>
      <c r="J455" t="str">
        <f t="shared" si="54"/>
        <v>H</v>
      </c>
      <c r="K455" t="s">
        <v>787</v>
      </c>
      <c r="L455" t="s">
        <v>173</v>
      </c>
      <c r="N455" t="str">
        <f t="shared" si="55"/>
        <v>&lt;tr&gt; &lt;td&gt;Feb. 18&lt;/td&gt;</v>
      </c>
      <c r="O455" t="str">
        <f t="shared" si="56"/>
        <v>&lt;td&gt;6:45 PM&lt;/td&gt;</v>
      </c>
      <c r="P455" t="str">
        <f t="shared" si="57"/>
        <v>&lt;td class="GPHSsched"&gt;Grant Park&lt;/td&gt;</v>
      </c>
      <c r="Q455" t="str">
        <f t="shared" si="58"/>
        <v>&lt;td&gt;57 - 87&lt;/td&gt;</v>
      </c>
      <c r="R455" t="str">
        <f t="shared" si="59"/>
        <v>&lt;td class="JTCsched"&gt;John Taylor&lt;/td&gt;</v>
      </c>
      <c r="S455" t="str">
        <f t="shared" si="60"/>
        <v>&lt;td&gt;North-South Showdown Quarterfinal 1&lt;/td&gt; &lt;/tr&gt;</v>
      </c>
    </row>
    <row r="456" spans="1:19" x14ac:dyDescent="0.25">
      <c r="A456" s="5">
        <v>42418</v>
      </c>
      <c r="B456" s="6">
        <v>0.8125</v>
      </c>
      <c r="C456" t="s">
        <v>162</v>
      </c>
      <c r="D456" t="s">
        <v>164</v>
      </c>
      <c r="E456">
        <v>89</v>
      </c>
      <c r="F456" t="s">
        <v>762</v>
      </c>
      <c r="H456">
        <v>29</v>
      </c>
      <c r="J456" t="str">
        <f t="shared" si="54"/>
        <v>V</v>
      </c>
      <c r="K456" t="s">
        <v>163</v>
      </c>
      <c r="L456" t="s">
        <v>282</v>
      </c>
      <c r="N456" t="str">
        <f t="shared" si="55"/>
        <v>&lt;tr&gt; &lt;td&gt;Feb. 18&lt;/td&gt;</v>
      </c>
      <c r="O456" t="str">
        <f t="shared" si="56"/>
        <v>&lt;td&gt;7:30 PM&lt;/td&gt;</v>
      </c>
      <c r="P456" t="str">
        <f t="shared" si="57"/>
        <v>&lt;td class="GVCsched"&gt;Garden Valley&lt;/td&gt;</v>
      </c>
      <c r="Q456" t="str">
        <f t="shared" si="58"/>
        <v>&lt;td&gt;89 - 29&lt;/td&gt;</v>
      </c>
      <c r="R456" t="str">
        <f t="shared" si="59"/>
        <v>&lt;td class="sched"&gt;Morris&lt;/td&gt;</v>
      </c>
      <c r="S456" t="str">
        <f t="shared" si="60"/>
        <v>&lt;td&gt;Zone 4 Exhibition&lt;/td&gt; &lt;/tr&gt;</v>
      </c>
    </row>
    <row r="457" spans="1:19" x14ac:dyDescent="0.25">
      <c r="A457" s="5">
        <v>42418</v>
      </c>
      <c r="B457" s="6">
        <v>0.82291666666666663</v>
      </c>
      <c r="C457" t="s">
        <v>23</v>
      </c>
      <c r="D457" t="s">
        <v>102</v>
      </c>
      <c r="E457">
        <v>55</v>
      </c>
      <c r="F457" t="s">
        <v>32</v>
      </c>
      <c r="G457" t="s">
        <v>100</v>
      </c>
      <c r="H457">
        <v>62</v>
      </c>
      <c r="J457" t="str">
        <f t="shared" si="54"/>
        <v>H</v>
      </c>
      <c r="K457" t="s">
        <v>796</v>
      </c>
      <c r="L457" t="s">
        <v>554</v>
      </c>
      <c r="N457" t="str">
        <f t="shared" si="55"/>
        <v>&lt;tr&gt; &lt;td&gt;Feb. 18&lt;/td&gt;</v>
      </c>
      <c r="O457" t="str">
        <f t="shared" si="56"/>
        <v>&lt;td&gt;7:45 PM&lt;/td&gt;</v>
      </c>
      <c r="P457" t="str">
        <f t="shared" si="57"/>
        <v>&lt;td class="VMHSsched"&gt;Vincent Massey&lt;/td&gt;</v>
      </c>
      <c r="Q457" t="str">
        <f t="shared" si="58"/>
        <v>&lt;td&gt;55 - 62&lt;/td&gt;</v>
      </c>
      <c r="R457" t="str">
        <f t="shared" si="59"/>
        <v>&lt;td class="CPRSsched"&gt;Crocus Plains&lt;/td&gt;</v>
      </c>
      <c r="S457" t="str">
        <f t="shared" si="60"/>
        <v>&lt;td&gt;Zone 15 Championship Game 1&lt;/td&gt; &lt;/tr&gt;</v>
      </c>
    </row>
    <row r="458" spans="1:19" x14ac:dyDescent="0.25">
      <c r="A458" s="5">
        <v>42419</v>
      </c>
      <c r="B458" s="6">
        <v>0.54166666666666663</v>
      </c>
      <c r="C458" t="s">
        <v>1</v>
      </c>
      <c r="D458" t="s">
        <v>74</v>
      </c>
      <c r="E458">
        <v>90</v>
      </c>
      <c r="F458" t="s">
        <v>16</v>
      </c>
      <c r="G458" t="s">
        <v>45</v>
      </c>
      <c r="H458">
        <v>78</v>
      </c>
      <c r="J458" t="str">
        <f t="shared" si="54"/>
        <v>V</v>
      </c>
      <c r="K458" t="s">
        <v>787</v>
      </c>
      <c r="L458" t="s">
        <v>180</v>
      </c>
      <c r="N458" t="str">
        <f t="shared" si="55"/>
        <v>&lt;tr&gt; &lt;td&gt;Feb. 19&lt;/td&gt;</v>
      </c>
      <c r="O458" t="str">
        <f t="shared" si="56"/>
        <v>&lt;td&gt;1:00 PM&lt;/td&gt;</v>
      </c>
      <c r="P458" t="str">
        <f t="shared" si="57"/>
        <v>&lt;td class="OPHSsched"&gt;Oak Park&lt;/td&gt;</v>
      </c>
      <c r="Q458" t="str">
        <f t="shared" si="58"/>
        <v>&lt;td&gt;90 - 78&lt;/td&gt;</v>
      </c>
      <c r="R458" t="str">
        <f t="shared" si="59"/>
        <v>&lt;td class="MCsched"&gt;Maples&lt;/td&gt;</v>
      </c>
      <c r="S458" t="str">
        <f t="shared" si="60"/>
        <v>&lt;td&gt;North-South Showdown Semifinal 2&lt;/td&gt; &lt;/tr&gt;</v>
      </c>
    </row>
    <row r="459" spans="1:19" x14ac:dyDescent="0.25">
      <c r="A459" s="5">
        <v>42419</v>
      </c>
      <c r="B459" s="6">
        <v>0.60416666666666663</v>
      </c>
      <c r="C459" t="s">
        <v>555</v>
      </c>
      <c r="E459">
        <v>30</v>
      </c>
      <c r="F459" t="s">
        <v>135</v>
      </c>
      <c r="G459" t="s">
        <v>136</v>
      </c>
      <c r="H459">
        <v>60</v>
      </c>
      <c r="J459" t="str">
        <f t="shared" si="54"/>
        <v>H</v>
      </c>
      <c r="K459" t="s">
        <v>774</v>
      </c>
      <c r="L459" t="s">
        <v>173</v>
      </c>
      <c r="N459" t="str">
        <f t="shared" si="55"/>
        <v>&lt;tr&gt; &lt;td&gt;Feb. 19&lt;/td&gt;</v>
      </c>
      <c r="O459" t="str">
        <f t="shared" si="56"/>
        <v>&lt;td&gt;2:30 PM&lt;/td&gt;</v>
      </c>
      <c r="P459" t="str">
        <f t="shared" si="57"/>
        <v>&lt;td class="sched"&gt;W.C. Miller&lt;/td&gt;</v>
      </c>
      <c r="Q459" t="str">
        <f t="shared" si="58"/>
        <v>&lt;td&gt;30 - 60&lt;/td&gt;</v>
      </c>
      <c r="R459" t="str">
        <f t="shared" si="59"/>
        <v>&lt;td class="NPCsched"&gt;Northlands Parkway&lt;/td&gt;</v>
      </c>
      <c r="S459" t="str">
        <f t="shared" si="60"/>
        <v>&lt;td&gt;Nighthawks Invitational Quarterfinal 1&lt;/td&gt; &lt;/tr&gt;</v>
      </c>
    </row>
    <row r="460" spans="1:19" x14ac:dyDescent="0.25">
      <c r="A460" s="5">
        <v>42419</v>
      </c>
      <c r="B460" s="6">
        <v>0.61458333333333337</v>
      </c>
      <c r="C460" t="s">
        <v>10</v>
      </c>
      <c r="D460" t="s">
        <v>72</v>
      </c>
      <c r="E460">
        <v>56</v>
      </c>
      <c r="F460" t="s">
        <v>24</v>
      </c>
      <c r="G460" t="s">
        <v>82</v>
      </c>
      <c r="H460">
        <v>80</v>
      </c>
      <c r="J460" t="str">
        <f t="shared" si="54"/>
        <v>H</v>
      </c>
      <c r="K460" t="s">
        <v>787</v>
      </c>
      <c r="L460" t="s">
        <v>178</v>
      </c>
      <c r="N460" t="str">
        <f t="shared" si="55"/>
        <v>&lt;tr&gt; &lt;td&gt;Feb. 19&lt;/td&gt;</v>
      </c>
      <c r="O460" t="str">
        <f t="shared" si="56"/>
        <v>&lt;td&gt;2:45 PM&lt;/td&gt;</v>
      </c>
      <c r="P460" t="str">
        <f t="shared" si="57"/>
        <v>&lt;td class="KHSsched"&gt;Kelvin&lt;/td&gt;</v>
      </c>
      <c r="Q460" t="str">
        <f t="shared" si="58"/>
        <v>&lt;td&gt;56 - 80&lt;/td&gt;</v>
      </c>
      <c r="R460" t="str">
        <f t="shared" si="59"/>
        <v>&lt;td class="DMCIsched"&gt;Daniel McIntyre&lt;/td&gt;</v>
      </c>
      <c r="S460" t="str">
        <f t="shared" si="60"/>
        <v>&lt;td&gt;North-South Showdown Consolation Semi 2&lt;/td&gt; &lt;/tr&gt;</v>
      </c>
    </row>
    <row r="461" spans="1:19" x14ac:dyDescent="0.25">
      <c r="A461" s="5">
        <v>42419</v>
      </c>
      <c r="B461" s="6">
        <v>0.6875</v>
      </c>
      <c r="C461" t="s">
        <v>9</v>
      </c>
      <c r="D461" t="s">
        <v>76</v>
      </c>
      <c r="E461">
        <v>78</v>
      </c>
      <c r="F461" t="s">
        <v>6</v>
      </c>
      <c r="G461" t="s">
        <v>70</v>
      </c>
      <c r="H461">
        <v>88</v>
      </c>
      <c r="J461" t="str">
        <f t="shared" si="54"/>
        <v>H</v>
      </c>
      <c r="K461" t="s">
        <v>787</v>
      </c>
      <c r="L461" t="s">
        <v>179</v>
      </c>
      <c r="N461" t="str">
        <f t="shared" si="55"/>
        <v>&lt;tr&gt; &lt;td&gt;Feb. 19&lt;/td&gt;</v>
      </c>
      <c r="O461" t="str">
        <f t="shared" si="56"/>
        <v>&lt;td&gt;4:30 PM&lt;/td&gt;</v>
      </c>
      <c r="P461" t="str">
        <f t="shared" si="57"/>
        <v>&lt;td class="SiHSsched"&gt;Sisler&lt;/td&gt;</v>
      </c>
      <c r="Q461" t="str">
        <f t="shared" si="58"/>
        <v>&lt;td&gt;78 - 88&lt;/td&gt;</v>
      </c>
      <c r="R461" t="str">
        <f t="shared" si="59"/>
        <v>&lt;td class="JTCsched"&gt;John Taylor&lt;/td&gt;</v>
      </c>
      <c r="S461" t="str">
        <f t="shared" si="60"/>
        <v>&lt;td&gt;North-South Showdown Semifinal 1&lt;/td&gt; &lt;/tr&gt;</v>
      </c>
    </row>
    <row r="462" spans="1:19" x14ac:dyDescent="0.25">
      <c r="A462" s="5">
        <v>42419</v>
      </c>
      <c r="B462" s="6">
        <v>0.72916666666666663</v>
      </c>
      <c r="C462" t="s">
        <v>166</v>
      </c>
      <c r="E462">
        <v>54</v>
      </c>
      <c r="F462" t="s">
        <v>22</v>
      </c>
      <c r="G462" t="s">
        <v>66</v>
      </c>
      <c r="H462">
        <v>83</v>
      </c>
      <c r="J462" t="str">
        <f t="shared" si="54"/>
        <v>H</v>
      </c>
      <c r="K462" t="s">
        <v>774</v>
      </c>
      <c r="L462" t="s">
        <v>175</v>
      </c>
      <c r="N462" t="str">
        <f t="shared" si="55"/>
        <v>&lt;tr&gt; &lt;td&gt;Feb. 19&lt;/td&gt;</v>
      </c>
      <c r="O462" t="str">
        <f t="shared" si="56"/>
        <v>&lt;td&gt;5:30 PM&lt;/td&gt;</v>
      </c>
      <c r="P462" t="str">
        <f t="shared" si="57"/>
        <v>&lt;td class="sched"&gt;Sanford&lt;/td&gt;</v>
      </c>
      <c r="Q462" t="str">
        <f t="shared" si="58"/>
        <v>&lt;td&gt;54 - 83&lt;/td&gt;</v>
      </c>
      <c r="R462" t="str">
        <f t="shared" si="59"/>
        <v>&lt;td class="SRSSsched"&gt;Steinbach&lt;/td&gt;</v>
      </c>
      <c r="S462" t="str">
        <f t="shared" si="60"/>
        <v>&lt;td&gt;Nighthawks Invitational Quarterfinal 3&lt;/td&gt; &lt;/tr&gt;</v>
      </c>
    </row>
    <row r="463" spans="1:19" x14ac:dyDescent="0.25">
      <c r="A463" s="5">
        <v>42419</v>
      </c>
      <c r="B463" s="6">
        <v>0.76041666666666663</v>
      </c>
      <c r="C463" t="s">
        <v>213</v>
      </c>
      <c r="D463" t="s">
        <v>540</v>
      </c>
      <c r="E463">
        <v>75</v>
      </c>
      <c r="F463" t="s">
        <v>27</v>
      </c>
      <c r="G463" t="s">
        <v>88</v>
      </c>
      <c r="H463">
        <v>43</v>
      </c>
      <c r="J463" t="str">
        <f t="shared" si="54"/>
        <v>V</v>
      </c>
      <c r="K463" t="s">
        <v>787</v>
      </c>
      <c r="L463" t="s">
        <v>177</v>
      </c>
      <c r="N463" t="str">
        <f t="shared" si="55"/>
        <v>&lt;tr&gt; &lt;td&gt;Feb. 19&lt;/td&gt;</v>
      </c>
      <c r="O463" t="str">
        <f t="shared" si="56"/>
        <v>&lt;td&gt;6:15 PM&lt;/td&gt;</v>
      </c>
      <c r="P463" t="str">
        <f t="shared" si="57"/>
        <v>&lt;td class="SJRsched"&gt;St. John's-Ravenscourt&lt;/td&gt;</v>
      </c>
      <c r="Q463" t="str">
        <f t="shared" si="58"/>
        <v>&lt;td&gt;75 - 43&lt;/td&gt;</v>
      </c>
      <c r="R463" t="str">
        <f t="shared" si="59"/>
        <v>&lt;td class="GPHSsched"&gt;Grant Park&lt;/td&gt;</v>
      </c>
      <c r="S463" t="str">
        <f t="shared" si="60"/>
        <v>&lt;td&gt;North-South Showdown Consolation Semi 1&lt;/td&gt; &lt;/tr&gt;</v>
      </c>
    </row>
    <row r="464" spans="1:19" x14ac:dyDescent="0.25">
      <c r="A464" s="5">
        <v>42419</v>
      </c>
      <c r="C464" t="s">
        <v>104</v>
      </c>
      <c r="D464" t="s">
        <v>105</v>
      </c>
      <c r="E464">
        <v>35</v>
      </c>
      <c r="F464" t="s">
        <v>768</v>
      </c>
      <c r="H464">
        <v>21</v>
      </c>
      <c r="J464" t="str">
        <f t="shared" si="54"/>
        <v>V</v>
      </c>
      <c r="K464" t="s">
        <v>207</v>
      </c>
      <c r="L464" t="s">
        <v>174</v>
      </c>
      <c r="N464" t="str">
        <f t="shared" si="55"/>
        <v>&lt;tr&gt; &lt;td&gt;Feb. 19&lt;/td&gt;</v>
      </c>
      <c r="O464" t="str">
        <f t="shared" si="56"/>
        <v>&lt;td&gt;&lt;/td&gt;</v>
      </c>
      <c r="P464" t="str">
        <f t="shared" si="57"/>
        <v>&lt;td class="SCIsched"&gt;Springfield&lt;/td&gt;</v>
      </c>
      <c r="Q464" t="str">
        <f t="shared" si="58"/>
        <v>&lt;td&gt;35 - 21&lt;/td&gt;</v>
      </c>
      <c r="R464" t="str">
        <f t="shared" si="59"/>
        <v>&lt;td class="sched"&gt;Green Valley&lt;/td&gt;</v>
      </c>
      <c r="S464" t="str">
        <f t="shared" si="60"/>
        <v>&lt;td&gt;Centurion Classic Quarterfinal 2&lt;/td&gt; &lt;/tr&gt;</v>
      </c>
    </row>
    <row r="465" spans="1:19" x14ac:dyDescent="0.25">
      <c r="A465" s="5">
        <v>42420</v>
      </c>
      <c r="B465" s="6">
        <v>0.375</v>
      </c>
      <c r="C465" t="s">
        <v>10</v>
      </c>
      <c r="D465" t="s">
        <v>72</v>
      </c>
      <c r="E465">
        <v>62</v>
      </c>
      <c r="F465" t="s">
        <v>27</v>
      </c>
      <c r="G465" t="s">
        <v>88</v>
      </c>
      <c r="H465">
        <v>56</v>
      </c>
      <c r="J465" t="str">
        <f t="shared" si="54"/>
        <v>V</v>
      </c>
      <c r="K465" t="s">
        <v>787</v>
      </c>
      <c r="L465" t="s">
        <v>181</v>
      </c>
      <c r="N465" t="str">
        <f t="shared" si="55"/>
        <v>&lt;tr&gt; &lt;td&gt;Feb. 20&lt;/td&gt;</v>
      </c>
      <c r="O465" t="str">
        <f t="shared" si="56"/>
        <v>&lt;td&gt;9:00 AM&lt;/td&gt;</v>
      </c>
      <c r="P465" t="str">
        <f t="shared" si="57"/>
        <v>&lt;td class="KHSsched"&gt;Kelvin&lt;/td&gt;</v>
      </c>
      <c r="Q465" t="str">
        <f t="shared" si="58"/>
        <v>&lt;td&gt;62 - 56&lt;/td&gt;</v>
      </c>
      <c r="R465" t="str">
        <f t="shared" si="59"/>
        <v>&lt;td class="GPHSsched"&gt;Grant Park&lt;/td&gt;</v>
      </c>
      <c r="S465" t="str">
        <f t="shared" si="60"/>
        <v>&lt;td&gt;North-South Showdown 7th Place&lt;/td&gt; &lt;/tr&gt;</v>
      </c>
    </row>
    <row r="466" spans="1:19" x14ac:dyDescent="0.25">
      <c r="A466" s="5">
        <v>42420</v>
      </c>
      <c r="B466" s="6">
        <v>0.41666666666666669</v>
      </c>
      <c r="C466" t="s">
        <v>24</v>
      </c>
      <c r="D466" t="s">
        <v>82</v>
      </c>
      <c r="E466">
        <v>84</v>
      </c>
      <c r="F466" t="s">
        <v>213</v>
      </c>
      <c r="G466" t="s">
        <v>540</v>
      </c>
      <c r="H466">
        <v>72</v>
      </c>
      <c r="J466" t="str">
        <f t="shared" si="54"/>
        <v>V</v>
      </c>
      <c r="K466" t="s">
        <v>787</v>
      </c>
      <c r="L466" t="s">
        <v>182</v>
      </c>
      <c r="N466" t="str">
        <f t="shared" si="55"/>
        <v>&lt;tr&gt; &lt;td&gt;Feb. 20&lt;/td&gt;</v>
      </c>
      <c r="O466" t="str">
        <f t="shared" si="56"/>
        <v>&lt;td&gt;10:00 AM&lt;/td&gt;</v>
      </c>
      <c r="P466" t="str">
        <f t="shared" si="57"/>
        <v>&lt;td class="DMCIsched"&gt;Daniel McIntyre&lt;/td&gt;</v>
      </c>
      <c r="Q466" t="str">
        <f t="shared" si="58"/>
        <v>&lt;td&gt;84 - 72&lt;/td&gt;</v>
      </c>
      <c r="R466" t="str">
        <f t="shared" si="59"/>
        <v>&lt;td class="SJRsched"&gt;St. John's-Ravenscourt&lt;/td&gt;</v>
      </c>
      <c r="S466" t="str">
        <f t="shared" si="60"/>
        <v>&lt;td&gt;North-South Showdown Consolation Final&lt;/td&gt; &lt;/tr&gt;</v>
      </c>
    </row>
    <row r="467" spans="1:19" x14ac:dyDescent="0.25">
      <c r="A467" s="5">
        <v>42420</v>
      </c>
      <c r="B467" s="6">
        <v>0.5</v>
      </c>
      <c r="C467" t="s">
        <v>818</v>
      </c>
      <c r="E467">
        <v>57</v>
      </c>
      <c r="F467" t="s">
        <v>135</v>
      </c>
      <c r="G467" t="s">
        <v>136</v>
      </c>
      <c r="H467">
        <v>59</v>
      </c>
      <c r="J467" t="str">
        <f t="shared" si="54"/>
        <v>H</v>
      </c>
      <c r="K467" t="s">
        <v>774</v>
      </c>
      <c r="L467" t="s">
        <v>179</v>
      </c>
      <c r="N467" t="str">
        <f t="shared" si="55"/>
        <v>&lt;tr&gt; &lt;td&gt;Feb. 20&lt;/td&gt;</v>
      </c>
      <c r="O467" t="str">
        <f t="shared" si="56"/>
        <v>&lt;td&gt;12:00 PM&lt;/td&gt;</v>
      </c>
      <c r="P467" t="str">
        <f t="shared" si="57"/>
        <v>&lt;td class="sched"&gt;Carman&lt;/td&gt;</v>
      </c>
      <c r="Q467" t="str">
        <f t="shared" si="58"/>
        <v>&lt;td&gt;57 - 59&lt;/td&gt;</v>
      </c>
      <c r="R467" t="str">
        <f t="shared" si="59"/>
        <v>&lt;td class="NPCsched"&gt;Northlands Parkway&lt;/td&gt;</v>
      </c>
      <c r="S467" t="str">
        <f t="shared" si="60"/>
        <v>&lt;td&gt;Nighthawks Invitational Semifinal 1&lt;/td&gt; &lt;/tr&gt;</v>
      </c>
    </row>
    <row r="468" spans="1:19" x14ac:dyDescent="0.25">
      <c r="A468" s="5">
        <v>42420</v>
      </c>
      <c r="B468" s="6">
        <v>0.5625</v>
      </c>
      <c r="C468" t="s">
        <v>581</v>
      </c>
      <c r="E468">
        <v>69</v>
      </c>
      <c r="F468" t="s">
        <v>22</v>
      </c>
      <c r="G468" t="s">
        <v>66</v>
      </c>
      <c r="H468">
        <v>59</v>
      </c>
      <c r="J468" t="str">
        <f t="shared" si="54"/>
        <v>V</v>
      </c>
      <c r="K468" t="s">
        <v>774</v>
      </c>
      <c r="L468" t="s">
        <v>180</v>
      </c>
      <c r="N468" t="str">
        <f t="shared" si="55"/>
        <v>&lt;tr&gt; &lt;td&gt;Feb. 20&lt;/td&gt;</v>
      </c>
      <c r="O468" t="str">
        <f t="shared" si="56"/>
        <v>&lt;td&gt;1:30 PM&lt;/td&gt;</v>
      </c>
      <c r="P468" t="str">
        <f t="shared" si="57"/>
        <v>&lt;td class="sched"&gt;Ross L. Gray&lt;/td&gt;</v>
      </c>
      <c r="Q468" t="str">
        <f t="shared" si="58"/>
        <v>&lt;td&gt;69 - 59&lt;/td&gt;</v>
      </c>
      <c r="R468" t="str">
        <f t="shared" si="59"/>
        <v>&lt;td class="SRSSsched"&gt;Steinbach&lt;/td&gt;</v>
      </c>
      <c r="S468" t="str">
        <f t="shared" si="60"/>
        <v>&lt;td&gt;Nighthawks Invitational Semifinal 2&lt;/td&gt; &lt;/tr&gt;</v>
      </c>
    </row>
    <row r="469" spans="1:19" x14ac:dyDescent="0.25">
      <c r="A469" s="5">
        <v>42420</v>
      </c>
      <c r="B469" s="6">
        <v>0.5625</v>
      </c>
      <c r="C469" t="s">
        <v>9</v>
      </c>
      <c r="D469" t="s">
        <v>76</v>
      </c>
      <c r="E469">
        <v>100</v>
      </c>
      <c r="F469" t="s">
        <v>16</v>
      </c>
      <c r="G469" t="s">
        <v>45</v>
      </c>
      <c r="H469">
        <v>79</v>
      </c>
      <c r="J469" t="str">
        <f t="shared" si="54"/>
        <v>V</v>
      </c>
      <c r="K469" t="s">
        <v>787</v>
      </c>
      <c r="L469" t="s">
        <v>183</v>
      </c>
      <c r="N469" t="str">
        <f t="shared" si="55"/>
        <v>&lt;tr&gt; &lt;td&gt;Feb. 20&lt;/td&gt;</v>
      </c>
      <c r="O469" t="str">
        <f t="shared" si="56"/>
        <v>&lt;td&gt;1:30 PM&lt;/td&gt;</v>
      </c>
      <c r="P469" t="str">
        <f t="shared" si="57"/>
        <v>&lt;td class="SiHSsched"&gt;Sisler&lt;/td&gt;</v>
      </c>
      <c r="Q469" t="str">
        <f t="shared" si="58"/>
        <v>&lt;td&gt;100 - 79&lt;/td&gt;</v>
      </c>
      <c r="R469" t="str">
        <f t="shared" si="59"/>
        <v>&lt;td class="MCsched"&gt;Maples&lt;/td&gt;</v>
      </c>
      <c r="S469" t="str">
        <f t="shared" si="60"/>
        <v>&lt;td&gt;North-South Showdown 3rd Place&lt;/td&gt; &lt;/tr&gt;</v>
      </c>
    </row>
    <row r="470" spans="1:19" x14ac:dyDescent="0.25">
      <c r="A470" s="5">
        <v>42420</v>
      </c>
      <c r="B470" s="6">
        <v>0.70833333333333337</v>
      </c>
      <c r="C470" t="s">
        <v>1</v>
      </c>
      <c r="D470" t="s">
        <v>74</v>
      </c>
      <c r="E470">
        <v>76</v>
      </c>
      <c r="F470" t="s">
        <v>6</v>
      </c>
      <c r="G470" t="s">
        <v>70</v>
      </c>
      <c r="H470">
        <v>91</v>
      </c>
      <c r="J470" t="str">
        <f t="shared" si="54"/>
        <v>H</v>
      </c>
      <c r="K470" t="s">
        <v>787</v>
      </c>
      <c r="L470" t="s">
        <v>184</v>
      </c>
      <c r="N470" t="str">
        <f t="shared" si="55"/>
        <v>&lt;tr&gt; &lt;td&gt;Feb. 20&lt;/td&gt;</v>
      </c>
      <c r="O470" t="str">
        <f t="shared" si="56"/>
        <v>&lt;td&gt;5:00 PM&lt;/td&gt;</v>
      </c>
      <c r="P470" t="str">
        <f t="shared" si="57"/>
        <v>&lt;td class="OPHSsched"&gt;Oak Park&lt;/td&gt;</v>
      </c>
      <c r="Q470" t="str">
        <f t="shared" si="58"/>
        <v>&lt;td&gt;76 - 91&lt;/td&gt;</v>
      </c>
      <c r="R470" t="str">
        <f t="shared" si="59"/>
        <v>&lt;td class="JTCsched"&gt;John Taylor&lt;/td&gt;</v>
      </c>
      <c r="S470" t="str">
        <f t="shared" si="60"/>
        <v>&lt;td&gt;North-South Showdown Championship&lt;/td&gt; &lt;/tr&gt;</v>
      </c>
    </row>
    <row r="471" spans="1:19" x14ac:dyDescent="0.25">
      <c r="A471" s="5">
        <v>42420</v>
      </c>
      <c r="B471" s="6">
        <v>0.75</v>
      </c>
      <c r="C471" t="s">
        <v>22</v>
      </c>
      <c r="D471" t="s">
        <v>66</v>
      </c>
      <c r="E471">
        <v>58</v>
      </c>
      <c r="F471" t="s">
        <v>818</v>
      </c>
      <c r="H471">
        <v>42</v>
      </c>
      <c r="J471" t="str">
        <f t="shared" si="54"/>
        <v>V</v>
      </c>
      <c r="K471" t="s">
        <v>774</v>
      </c>
      <c r="L471" t="s">
        <v>183</v>
      </c>
      <c r="N471" t="str">
        <f t="shared" si="55"/>
        <v>&lt;tr&gt; &lt;td&gt;Feb. 20&lt;/td&gt;</v>
      </c>
      <c r="O471" t="str">
        <f t="shared" si="56"/>
        <v>&lt;td&gt;6:00 PM&lt;/td&gt;</v>
      </c>
      <c r="P471" t="str">
        <f t="shared" si="57"/>
        <v>&lt;td class="SRSSsched"&gt;Steinbach&lt;/td&gt;</v>
      </c>
      <c r="Q471" t="str">
        <f t="shared" si="58"/>
        <v>&lt;td&gt;58 - 42&lt;/td&gt;</v>
      </c>
      <c r="R471" t="str">
        <f t="shared" si="59"/>
        <v>&lt;td class="sched"&gt;Carman&lt;/td&gt;</v>
      </c>
      <c r="S471" t="str">
        <f t="shared" si="60"/>
        <v>&lt;td&gt;Nighthawks Invitational 3rd Place&lt;/td&gt; &lt;/tr&gt;</v>
      </c>
    </row>
    <row r="472" spans="1:19" x14ac:dyDescent="0.25">
      <c r="A472" s="5">
        <v>42420</v>
      </c>
      <c r="B472" s="6">
        <v>0.8125</v>
      </c>
      <c r="C472" t="s">
        <v>581</v>
      </c>
      <c r="E472">
        <v>99</v>
      </c>
      <c r="F472" t="s">
        <v>135</v>
      </c>
      <c r="G472" t="s">
        <v>136</v>
      </c>
      <c r="H472">
        <v>49</v>
      </c>
      <c r="J472" t="str">
        <f t="shared" si="54"/>
        <v>V</v>
      </c>
      <c r="K472" t="s">
        <v>774</v>
      </c>
      <c r="L472" t="s">
        <v>184</v>
      </c>
      <c r="N472" t="str">
        <f t="shared" si="55"/>
        <v>&lt;tr&gt; &lt;td&gt;Feb. 20&lt;/td&gt;</v>
      </c>
      <c r="O472" t="str">
        <f t="shared" si="56"/>
        <v>&lt;td&gt;7:30 PM&lt;/td&gt;</v>
      </c>
      <c r="P472" t="str">
        <f t="shared" si="57"/>
        <v>&lt;td class="sched"&gt;Ross L. Gray&lt;/td&gt;</v>
      </c>
      <c r="Q472" t="str">
        <f t="shared" si="58"/>
        <v>&lt;td&gt;99 - 49&lt;/td&gt;</v>
      </c>
      <c r="R472" t="str">
        <f t="shared" si="59"/>
        <v>&lt;td class="NPCsched"&gt;Northlands Parkway&lt;/td&gt;</v>
      </c>
      <c r="S472" t="str">
        <f t="shared" si="60"/>
        <v>&lt;td&gt;Nighthawks Invitational Championship&lt;/td&gt; &lt;/tr&gt;</v>
      </c>
    </row>
    <row r="473" spans="1:19" x14ac:dyDescent="0.25">
      <c r="A473" s="5">
        <v>42420</v>
      </c>
      <c r="C473" t="s">
        <v>104</v>
      </c>
      <c r="D473" t="s">
        <v>105</v>
      </c>
      <c r="E473">
        <v>37</v>
      </c>
      <c r="F473" t="s">
        <v>817</v>
      </c>
      <c r="H473">
        <v>31</v>
      </c>
      <c r="J473" t="str">
        <f t="shared" si="54"/>
        <v>V</v>
      </c>
      <c r="K473" t="s">
        <v>207</v>
      </c>
      <c r="L473" t="s">
        <v>179</v>
      </c>
      <c r="N473" t="str">
        <f t="shared" si="55"/>
        <v>&lt;tr&gt; &lt;td&gt;Feb. 20&lt;/td&gt;</v>
      </c>
      <c r="O473" t="str">
        <f t="shared" si="56"/>
        <v>&lt;td&gt;&lt;/td&gt;</v>
      </c>
      <c r="P473" t="str">
        <f t="shared" si="57"/>
        <v>&lt;td class="SCIsched"&gt;Springfield&lt;/td&gt;</v>
      </c>
      <c r="Q473" t="str">
        <f t="shared" si="58"/>
        <v>&lt;td&gt;37 - 31&lt;/td&gt;</v>
      </c>
      <c r="R473" t="str">
        <f t="shared" si="59"/>
        <v>&lt;td class="sched"&gt;St. Maurice&lt;/td&gt;</v>
      </c>
      <c r="S473" t="str">
        <f t="shared" si="60"/>
        <v>&lt;td&gt;Centurion Classic Semifinal 1&lt;/td&gt; &lt;/tr&gt;</v>
      </c>
    </row>
    <row r="474" spans="1:19" x14ac:dyDescent="0.25">
      <c r="A474" s="5">
        <v>42420</v>
      </c>
      <c r="C474" t="s">
        <v>287</v>
      </c>
      <c r="E474">
        <v>60</v>
      </c>
      <c r="F474" t="s">
        <v>104</v>
      </c>
      <c r="G474" t="s">
        <v>105</v>
      </c>
      <c r="H474">
        <v>41</v>
      </c>
      <c r="J474" t="str">
        <f t="shared" si="54"/>
        <v>V</v>
      </c>
      <c r="K474" t="s">
        <v>207</v>
      </c>
      <c r="L474" t="s">
        <v>184</v>
      </c>
      <c r="N474" t="str">
        <f t="shared" si="55"/>
        <v>&lt;tr&gt; &lt;td&gt;Feb. 20&lt;/td&gt;</v>
      </c>
      <c r="O474" t="str">
        <f t="shared" si="56"/>
        <v>&lt;td&gt;&lt;/td&gt;</v>
      </c>
      <c r="P474" t="str">
        <f t="shared" si="57"/>
        <v>&lt;td class="sched"&gt;Killarney&lt;/td&gt;</v>
      </c>
      <c r="Q474" t="str">
        <f t="shared" si="58"/>
        <v>&lt;td&gt;60 - 41&lt;/td&gt;</v>
      </c>
      <c r="R474" t="str">
        <f t="shared" si="59"/>
        <v>&lt;td class="SCIsched"&gt;Springfield&lt;/td&gt;</v>
      </c>
      <c r="S474" t="str">
        <f t="shared" si="60"/>
        <v>&lt;td&gt;Centurion Classic Championship&lt;/td&gt; &lt;/tr&gt;</v>
      </c>
    </row>
    <row r="475" spans="1:19" x14ac:dyDescent="0.25">
      <c r="A475" s="5">
        <v>42422</v>
      </c>
      <c r="B475" s="6">
        <v>0.75</v>
      </c>
      <c r="C475" t="s">
        <v>16</v>
      </c>
      <c r="D475" t="s">
        <v>45</v>
      </c>
      <c r="E475">
        <v>96</v>
      </c>
      <c r="F475" t="s">
        <v>2</v>
      </c>
      <c r="G475" t="s">
        <v>43</v>
      </c>
      <c r="H475">
        <v>103</v>
      </c>
      <c r="J475" t="str">
        <f t="shared" si="54"/>
        <v>H</v>
      </c>
      <c r="K475" t="s">
        <v>37</v>
      </c>
      <c r="L475" t="s">
        <v>228</v>
      </c>
      <c r="M475" t="s">
        <v>229</v>
      </c>
      <c r="N475" t="str">
        <f t="shared" si="55"/>
        <v>&lt;tr&gt; &lt;td&gt;Feb. 22&lt;/td&gt;</v>
      </c>
      <c r="O475" t="str">
        <f t="shared" si="56"/>
        <v>&lt;td&gt;6:00 PM&lt;/td&gt;</v>
      </c>
      <c r="P475" t="str">
        <f t="shared" si="57"/>
        <v>&lt;td class="MCsched"&gt;Maples&lt;/td&gt;</v>
      </c>
      <c r="Q475" t="str">
        <f t="shared" si="58"/>
        <v>&lt;td&gt;96 - 103&lt;/td&gt;</v>
      </c>
      <c r="R475" t="str">
        <f t="shared" si="59"/>
        <v>&lt;td class="KECsched"&gt;Kildonan-East&lt;/td&gt;</v>
      </c>
      <c r="S475" t="str">
        <f t="shared" si="60"/>
        <v>&lt;td&gt;KPAC Regular Season&lt;/td&gt; &lt;/tr&gt;</v>
      </c>
    </row>
    <row r="476" spans="1:19" x14ac:dyDescent="0.25">
      <c r="A476" s="5">
        <v>42422</v>
      </c>
      <c r="B476" s="6">
        <v>0.76041666666666663</v>
      </c>
      <c r="C476" t="s">
        <v>31</v>
      </c>
      <c r="D476" t="s">
        <v>96</v>
      </c>
      <c r="E476">
        <v>69</v>
      </c>
      <c r="F476" t="s">
        <v>25</v>
      </c>
      <c r="G476" t="s">
        <v>84</v>
      </c>
      <c r="H476">
        <v>50</v>
      </c>
      <c r="J476" t="str">
        <f t="shared" si="54"/>
        <v>V</v>
      </c>
      <c r="K476" t="s">
        <v>252</v>
      </c>
      <c r="L476" t="s">
        <v>228</v>
      </c>
      <c r="M476" t="s">
        <v>229</v>
      </c>
      <c r="N476" t="str">
        <f t="shared" si="55"/>
        <v>&lt;tr&gt; &lt;td&gt;Feb. 22&lt;/td&gt;</v>
      </c>
      <c r="O476" t="str">
        <f t="shared" si="56"/>
        <v>&lt;td&gt;6:15 PM&lt;/td&gt;</v>
      </c>
      <c r="P476" t="str">
        <f t="shared" si="57"/>
        <v>&lt;td class="TVHSsched"&gt;Tec Voc&lt;/td&gt;</v>
      </c>
      <c r="Q476" t="str">
        <f t="shared" si="58"/>
        <v>&lt;td&gt;69 - 50&lt;/td&gt;</v>
      </c>
      <c r="R476" t="str">
        <f t="shared" si="59"/>
        <v>&lt;td class="EHSsched"&gt;Elmwood&lt;/td&gt;</v>
      </c>
      <c r="S476" t="str">
        <f t="shared" si="60"/>
        <v>&lt;td&gt;WWAC-WAC Tier 2 Regular Season&lt;/td&gt; &lt;/tr&gt;</v>
      </c>
    </row>
    <row r="477" spans="1:19" x14ac:dyDescent="0.25">
      <c r="A477" s="5">
        <v>42422</v>
      </c>
      <c r="B477" s="6">
        <v>0.76041666666666663</v>
      </c>
      <c r="C477" t="s">
        <v>253</v>
      </c>
      <c r="E477">
        <v>71</v>
      </c>
      <c r="F477" t="s">
        <v>26</v>
      </c>
      <c r="G477" t="s">
        <v>86</v>
      </c>
      <c r="H477">
        <v>83</v>
      </c>
      <c r="J477" t="str">
        <f t="shared" si="54"/>
        <v>H</v>
      </c>
      <c r="K477" t="s">
        <v>252</v>
      </c>
      <c r="L477" t="s">
        <v>228</v>
      </c>
      <c r="M477" t="s">
        <v>229</v>
      </c>
      <c r="N477" t="str">
        <f t="shared" si="55"/>
        <v>&lt;tr&gt; &lt;td&gt;Feb. 22&lt;/td&gt;</v>
      </c>
      <c r="O477" t="str">
        <f t="shared" si="56"/>
        <v>&lt;td&gt;6:15 PM&lt;/td&gt;</v>
      </c>
      <c r="P477" t="str">
        <f t="shared" si="57"/>
        <v>&lt;td class="sched"&gt;St. James&lt;/td&gt;</v>
      </c>
      <c r="Q477" t="str">
        <f t="shared" si="58"/>
        <v>&lt;td&gt;71 - 83&lt;/td&gt;</v>
      </c>
      <c r="R477" t="str">
        <f t="shared" si="59"/>
        <v>&lt;td class="GBHSsched"&gt;Gordon Bell&lt;/td&gt;</v>
      </c>
      <c r="S477" t="str">
        <f t="shared" si="60"/>
        <v>&lt;td&gt;WWAC-WAC Tier 2 Regular Season&lt;/td&gt; &lt;/tr&gt;</v>
      </c>
    </row>
    <row r="478" spans="1:19" x14ac:dyDescent="0.25">
      <c r="A478" s="5">
        <v>42422</v>
      </c>
      <c r="B478" s="6">
        <v>0.76041666666666663</v>
      </c>
      <c r="C478" t="s">
        <v>13</v>
      </c>
      <c r="D478" t="s">
        <v>98</v>
      </c>
      <c r="E478">
        <v>57</v>
      </c>
      <c r="F478" t="s">
        <v>30</v>
      </c>
      <c r="G478" t="s">
        <v>92</v>
      </c>
      <c r="H478">
        <v>99</v>
      </c>
      <c r="J478" t="str">
        <f t="shared" si="54"/>
        <v>H</v>
      </c>
      <c r="K478" t="s">
        <v>252</v>
      </c>
      <c r="L478" t="s">
        <v>228</v>
      </c>
      <c r="M478" t="s">
        <v>229</v>
      </c>
      <c r="N478" t="str">
        <f t="shared" si="55"/>
        <v>&lt;tr&gt; &lt;td&gt;Feb. 22&lt;/td&gt;</v>
      </c>
      <c r="O478" t="str">
        <f t="shared" si="56"/>
        <v>&lt;td&gt;6:15 PM&lt;/td&gt;</v>
      </c>
      <c r="P478" t="str">
        <f t="shared" si="57"/>
        <v>&lt;td class="WWCsched"&gt;Westwood&lt;/td&gt;</v>
      </c>
      <c r="Q478" t="str">
        <f t="shared" si="58"/>
        <v>&lt;td&gt;57 - 99&lt;/td&gt;</v>
      </c>
      <c r="R478" t="str">
        <f t="shared" si="59"/>
        <v>&lt;td class="SJHSsched"&gt;St. John's&lt;/td&gt;</v>
      </c>
      <c r="S478" t="str">
        <f t="shared" si="60"/>
        <v>&lt;td&gt;WWAC-WAC Tier 2 Regular Season&lt;/td&gt; &lt;/tr&gt;</v>
      </c>
    </row>
    <row r="479" spans="1:19" x14ac:dyDescent="0.25">
      <c r="A479" s="5">
        <v>42422</v>
      </c>
      <c r="B479" s="6">
        <v>0.76041666666666663</v>
      </c>
      <c r="C479" t="s">
        <v>24</v>
      </c>
      <c r="D479" t="s">
        <v>82</v>
      </c>
      <c r="E479">
        <v>100</v>
      </c>
      <c r="F479" t="s">
        <v>27</v>
      </c>
      <c r="G479" t="s">
        <v>88</v>
      </c>
      <c r="H479">
        <v>86</v>
      </c>
      <c r="J479" t="str">
        <f t="shared" si="54"/>
        <v>V</v>
      </c>
      <c r="K479" t="s">
        <v>251</v>
      </c>
      <c r="L479" t="s">
        <v>228</v>
      </c>
      <c r="M479" t="s">
        <v>229</v>
      </c>
      <c r="N479" t="str">
        <f t="shared" si="55"/>
        <v>&lt;tr&gt; &lt;td&gt;Feb. 22&lt;/td&gt;</v>
      </c>
      <c r="O479" t="str">
        <f t="shared" si="56"/>
        <v>&lt;td&gt;6:15 PM&lt;/td&gt;</v>
      </c>
      <c r="P479" t="str">
        <f t="shared" si="57"/>
        <v>&lt;td class="DMCIsched"&gt;Daniel McIntyre&lt;/td&gt;</v>
      </c>
      <c r="Q479" t="str">
        <f t="shared" si="58"/>
        <v>&lt;td&gt;100 - 86&lt;/td&gt;</v>
      </c>
      <c r="R479" t="str">
        <f t="shared" si="59"/>
        <v>&lt;td class="GPHSsched"&gt;Grant Park&lt;/td&gt;</v>
      </c>
      <c r="S479" t="str">
        <f t="shared" si="60"/>
        <v>&lt;td&gt;WWAC-WAC Tier 1 Regular Season&lt;/td&gt; &lt;/tr&gt;</v>
      </c>
    </row>
    <row r="480" spans="1:19" x14ac:dyDescent="0.25">
      <c r="A480" s="5">
        <v>42422</v>
      </c>
      <c r="B480" s="6">
        <v>0.76041666666666663</v>
      </c>
      <c r="C480" t="s">
        <v>10</v>
      </c>
      <c r="D480" t="s">
        <v>72</v>
      </c>
      <c r="E480">
        <v>69</v>
      </c>
      <c r="F480" t="s">
        <v>23</v>
      </c>
      <c r="G480" t="s">
        <v>80</v>
      </c>
      <c r="H480">
        <v>72</v>
      </c>
      <c r="J480" t="str">
        <f t="shared" si="54"/>
        <v>H</v>
      </c>
      <c r="K480" t="s">
        <v>251</v>
      </c>
      <c r="L480" t="s">
        <v>228</v>
      </c>
      <c r="M480" t="s">
        <v>229</v>
      </c>
      <c r="N480" t="str">
        <f t="shared" si="55"/>
        <v>&lt;tr&gt; &lt;td&gt;Feb. 22&lt;/td&gt;</v>
      </c>
      <c r="O480" t="str">
        <f t="shared" si="56"/>
        <v>&lt;td&gt;6:15 PM&lt;/td&gt;</v>
      </c>
      <c r="P480" t="str">
        <f t="shared" si="57"/>
        <v>&lt;td class="KHSsched"&gt;Kelvin&lt;/td&gt;</v>
      </c>
      <c r="Q480" t="str">
        <f t="shared" si="58"/>
        <v>&lt;td&gt;69 - 72&lt;/td&gt;</v>
      </c>
      <c r="R480" t="str">
        <f t="shared" si="59"/>
        <v>&lt;td class="VMCsched"&gt;Vincent Massey&lt;/td&gt;</v>
      </c>
      <c r="S480" t="str">
        <f t="shared" si="60"/>
        <v>&lt;td&gt;WWAC-WAC Tier 1 Regular Season&lt;/td&gt; &lt;/tr&gt;</v>
      </c>
    </row>
    <row r="481" spans="1:19" x14ac:dyDescent="0.25">
      <c r="A481" s="5">
        <v>42422</v>
      </c>
      <c r="B481" s="6">
        <v>0.76041666666666663</v>
      </c>
      <c r="C481" t="s">
        <v>6</v>
      </c>
      <c r="D481" t="s">
        <v>70</v>
      </c>
      <c r="E481">
        <v>72</v>
      </c>
      <c r="F481" t="s">
        <v>3</v>
      </c>
      <c r="G481" t="s">
        <v>78</v>
      </c>
      <c r="H481">
        <v>64</v>
      </c>
      <c r="J481" t="str">
        <f t="shared" ref="J481:J512" si="61">IF(H481&gt;E481,"H",IF(E481&gt;H481,"V",""))</f>
        <v>V</v>
      </c>
      <c r="K481" t="s">
        <v>251</v>
      </c>
      <c r="L481" t="s">
        <v>228</v>
      </c>
      <c r="M481" t="s">
        <v>229</v>
      </c>
      <c r="N481" t="str">
        <f t="shared" si="55"/>
        <v>&lt;tr&gt; &lt;td&gt;Feb. 22&lt;/td&gt;</v>
      </c>
      <c r="O481" t="str">
        <f t="shared" si="56"/>
        <v>&lt;td&gt;6:15 PM&lt;/td&gt;</v>
      </c>
      <c r="P481" t="str">
        <f t="shared" si="57"/>
        <v>&lt;td class="JTCsched"&gt;John Taylor&lt;/td&gt;</v>
      </c>
      <c r="Q481" t="str">
        <f t="shared" si="58"/>
        <v>&lt;td&gt;72 - 64&lt;/td&gt;</v>
      </c>
      <c r="R481" t="str">
        <f t="shared" si="59"/>
        <v>&lt;td class="SPHSsched"&gt;St. Paul's&lt;/td&gt;</v>
      </c>
      <c r="S481" t="str">
        <f t="shared" si="60"/>
        <v>&lt;td&gt;WWAC-WAC Tier 1 Regular Season&lt;/td&gt; &lt;/tr&gt;</v>
      </c>
    </row>
    <row r="482" spans="1:19" x14ac:dyDescent="0.25">
      <c r="A482" s="5">
        <v>42422</v>
      </c>
      <c r="B482" s="6">
        <v>0.8125</v>
      </c>
      <c r="C482" t="s">
        <v>18</v>
      </c>
      <c r="D482" t="s">
        <v>52</v>
      </c>
      <c r="E482">
        <v>63</v>
      </c>
      <c r="F482" t="s">
        <v>20</v>
      </c>
      <c r="G482" t="s">
        <v>58</v>
      </c>
      <c r="H482">
        <v>86</v>
      </c>
      <c r="J482" t="str">
        <f t="shared" si="61"/>
        <v>H</v>
      </c>
      <c r="K482" t="s">
        <v>37</v>
      </c>
      <c r="L482" t="s">
        <v>228</v>
      </c>
      <c r="M482" t="s">
        <v>229</v>
      </c>
      <c r="N482" t="str">
        <f t="shared" si="55"/>
        <v>&lt;tr&gt; &lt;td&gt;Feb. 22&lt;/td&gt;</v>
      </c>
      <c r="O482" t="str">
        <f t="shared" si="56"/>
        <v>&lt;td&gt;7:30 PM&lt;/td&gt;</v>
      </c>
      <c r="P482" t="str">
        <f t="shared" si="57"/>
        <v>&lt;td class="RECsched"&gt;River East&lt;/td&gt;</v>
      </c>
      <c r="Q482" t="str">
        <f t="shared" si="58"/>
        <v>&lt;td&gt;63 - 86&lt;/td&gt;</v>
      </c>
      <c r="R482" t="str">
        <f t="shared" si="59"/>
        <v>&lt;td class="WKCsched"&gt;West Kildonan&lt;/td&gt;</v>
      </c>
      <c r="S482" t="str">
        <f t="shared" si="60"/>
        <v>&lt;td&gt;KPAC Regular Season&lt;/td&gt; &lt;/tr&gt;</v>
      </c>
    </row>
    <row r="483" spans="1:19" x14ac:dyDescent="0.25">
      <c r="A483" s="5">
        <v>42422</v>
      </c>
      <c r="B483" s="6">
        <v>0.8125</v>
      </c>
      <c r="C483" t="s">
        <v>19</v>
      </c>
      <c r="D483" t="s">
        <v>56</v>
      </c>
      <c r="E483">
        <v>50</v>
      </c>
      <c r="F483" t="s">
        <v>11</v>
      </c>
      <c r="G483" t="s">
        <v>48</v>
      </c>
      <c r="H483">
        <v>75</v>
      </c>
      <c r="J483" t="str">
        <f t="shared" si="61"/>
        <v>H</v>
      </c>
      <c r="K483" t="s">
        <v>37</v>
      </c>
      <c r="L483" t="s">
        <v>228</v>
      </c>
      <c r="M483" t="s">
        <v>229</v>
      </c>
      <c r="N483" t="str">
        <f t="shared" si="55"/>
        <v>&lt;tr&gt; &lt;td&gt;Feb. 22&lt;/td&gt;</v>
      </c>
      <c r="O483" t="str">
        <f t="shared" si="56"/>
        <v>&lt;td&gt;7:30 PM&lt;/td&gt;</v>
      </c>
      <c r="P483" t="str">
        <f t="shared" si="57"/>
        <v>&lt;td class="TCIsched"&gt;Transcona&lt;/td&gt;</v>
      </c>
      <c r="Q483" t="str">
        <f t="shared" si="58"/>
        <v>&lt;td&gt;50 - 75&lt;/td&gt;</v>
      </c>
      <c r="R483" t="str">
        <f t="shared" si="59"/>
        <v>&lt;td class="MMCsched"&gt;Miles Macdonell&lt;/td&gt;</v>
      </c>
      <c r="S483" t="str">
        <f t="shared" si="60"/>
        <v>&lt;td&gt;KPAC Regular Season&lt;/td&gt; &lt;/tr&gt;</v>
      </c>
    </row>
    <row r="484" spans="1:19" x14ac:dyDescent="0.25">
      <c r="A484" s="5">
        <v>42422</v>
      </c>
      <c r="B484" s="6">
        <v>0.8125</v>
      </c>
      <c r="C484" t="s">
        <v>108</v>
      </c>
      <c r="D484" t="s">
        <v>109</v>
      </c>
      <c r="E484">
        <v>36</v>
      </c>
      <c r="F484" t="s">
        <v>135</v>
      </c>
      <c r="G484" t="s">
        <v>136</v>
      </c>
      <c r="H484">
        <v>71</v>
      </c>
      <c r="J484" t="str">
        <f t="shared" si="61"/>
        <v>H</v>
      </c>
      <c r="K484" t="s">
        <v>236</v>
      </c>
      <c r="L484" t="s">
        <v>228</v>
      </c>
      <c r="M484" t="s">
        <v>229</v>
      </c>
      <c r="N484" t="str">
        <f t="shared" si="55"/>
        <v>&lt;tr&gt; &lt;td&gt;Feb. 22&lt;/td&gt;</v>
      </c>
      <c r="O484" t="str">
        <f t="shared" si="56"/>
        <v>&lt;td&gt;7:30 PM&lt;/td&gt;</v>
      </c>
      <c r="P484" t="str">
        <f t="shared" si="57"/>
        <v>&lt;td class="CJSsched"&gt;Jeanne-Sauv&amp;eacute;&lt;/td&gt;</v>
      </c>
      <c r="Q484" t="str">
        <f t="shared" si="58"/>
        <v>&lt;td&gt;36 - 71&lt;/td&gt;</v>
      </c>
      <c r="R484" t="str">
        <f t="shared" si="59"/>
        <v>&lt;td class="NPCsched"&gt;Northlands Parkway&lt;/td&gt;</v>
      </c>
      <c r="S484" t="str">
        <f t="shared" si="60"/>
        <v>&lt;td&gt;SCAC Tier 2 Regular Season&lt;/td&gt; &lt;/tr&gt;</v>
      </c>
    </row>
    <row r="485" spans="1:19" x14ac:dyDescent="0.25">
      <c r="A485" s="5">
        <v>42422</v>
      </c>
      <c r="B485" s="6">
        <v>0.8125</v>
      </c>
      <c r="C485" t="s">
        <v>213</v>
      </c>
      <c r="D485" t="s">
        <v>540</v>
      </c>
      <c r="E485">
        <v>85</v>
      </c>
      <c r="F485" t="s">
        <v>8</v>
      </c>
      <c r="G485" t="s">
        <v>60</v>
      </c>
      <c r="H485">
        <v>82</v>
      </c>
      <c r="J485" t="str">
        <f t="shared" si="61"/>
        <v>V</v>
      </c>
      <c r="K485" t="s">
        <v>281</v>
      </c>
      <c r="L485" t="s">
        <v>228</v>
      </c>
      <c r="M485" t="s">
        <v>229</v>
      </c>
      <c r="N485" t="str">
        <f t="shared" si="55"/>
        <v>&lt;tr&gt; &lt;td&gt;Feb. 22&lt;/td&gt;</v>
      </c>
      <c r="O485" t="str">
        <f t="shared" si="56"/>
        <v>&lt;td&gt;7:30 PM&lt;/td&gt;</v>
      </c>
      <c r="P485" t="str">
        <f t="shared" si="57"/>
        <v>&lt;td class="SJRsched"&gt;St. John's-Ravenscourt&lt;/td&gt;</v>
      </c>
      <c r="Q485" t="str">
        <f t="shared" si="58"/>
        <v>&lt;td&gt;85 - 82&lt;/td&gt;</v>
      </c>
      <c r="R485" t="str">
        <f t="shared" si="59"/>
        <v>&lt;td class="DCIsched"&gt;Dakota&lt;/td&gt;</v>
      </c>
      <c r="S485" t="str">
        <f t="shared" si="60"/>
        <v>&lt;td&gt;SCAC Tier 1 Regular Season&lt;/td&gt; &lt;/tr&gt;</v>
      </c>
    </row>
    <row r="486" spans="1:19" x14ac:dyDescent="0.25">
      <c r="A486" s="5">
        <v>42422</v>
      </c>
      <c r="B486" s="6">
        <v>0.8125</v>
      </c>
      <c r="C486" t="s">
        <v>21</v>
      </c>
      <c r="D486" t="s">
        <v>64</v>
      </c>
      <c r="E486">
        <v>35</v>
      </c>
      <c r="F486" t="s">
        <v>5</v>
      </c>
      <c r="G486" t="s">
        <v>62</v>
      </c>
      <c r="H486">
        <v>80</v>
      </c>
      <c r="J486" t="str">
        <f t="shared" si="61"/>
        <v>H</v>
      </c>
      <c r="K486" t="s">
        <v>281</v>
      </c>
      <c r="L486" t="s">
        <v>228</v>
      </c>
      <c r="M486" t="s">
        <v>229</v>
      </c>
      <c r="N486" t="str">
        <f t="shared" si="55"/>
        <v>&lt;tr&gt; &lt;td&gt;Feb. 22&lt;/td&gt;</v>
      </c>
      <c r="O486" t="str">
        <f t="shared" si="56"/>
        <v>&lt;td&gt;7:30 PM&lt;/td&gt;</v>
      </c>
      <c r="P486" t="str">
        <f t="shared" si="57"/>
        <v>&lt;td class="JHBsched"&gt;J.H. Bruns&lt;/td&gt;</v>
      </c>
      <c r="Q486" t="str">
        <f t="shared" si="58"/>
        <v>&lt;td&gt;35 - 80&lt;/td&gt;</v>
      </c>
      <c r="R486" t="str">
        <f t="shared" si="59"/>
        <v>&lt;td class="GCIsched"&gt;Glenlawn&lt;/td&gt;</v>
      </c>
      <c r="S486" t="str">
        <f t="shared" si="60"/>
        <v>&lt;td&gt;SCAC Tier 1 Regular Season&lt;/td&gt; &lt;/tr&gt;</v>
      </c>
    </row>
    <row r="487" spans="1:19" x14ac:dyDescent="0.25">
      <c r="A487" s="5">
        <v>42423</v>
      </c>
      <c r="B487" s="6">
        <v>0.6875</v>
      </c>
      <c r="C487" t="s">
        <v>28</v>
      </c>
      <c r="D487" t="s">
        <v>90</v>
      </c>
      <c r="E487">
        <v>75</v>
      </c>
      <c r="F487" t="s">
        <v>253</v>
      </c>
      <c r="H487">
        <v>77</v>
      </c>
      <c r="J487" t="str">
        <f t="shared" si="61"/>
        <v>H</v>
      </c>
      <c r="K487" t="s">
        <v>252</v>
      </c>
      <c r="L487" t="s">
        <v>228</v>
      </c>
      <c r="M487" t="s">
        <v>229</v>
      </c>
      <c r="N487" t="str">
        <f t="shared" si="55"/>
        <v>&lt;tr&gt; &lt;td&gt;Feb. 23&lt;/td&gt;</v>
      </c>
      <c r="O487" t="str">
        <f t="shared" si="56"/>
        <v>&lt;td&gt;4:30 PM&lt;/td&gt;</v>
      </c>
      <c r="P487" t="str">
        <f t="shared" si="57"/>
        <v>&lt;td class="PCIsched"&gt;Portage&lt;/td&gt;</v>
      </c>
      <c r="Q487" t="str">
        <f t="shared" si="58"/>
        <v>&lt;td&gt;75 - 77&lt;/td&gt;</v>
      </c>
      <c r="R487" t="str">
        <f t="shared" si="59"/>
        <v>&lt;td class="sched"&gt;St. James&lt;/td&gt;</v>
      </c>
      <c r="S487" t="str">
        <f t="shared" si="60"/>
        <v>&lt;td&gt;WWAC-WAC Tier 2 Regular Season&lt;/td&gt; &lt;/tr&gt;</v>
      </c>
    </row>
    <row r="488" spans="1:19" x14ac:dyDescent="0.25">
      <c r="A488" s="5">
        <v>42423</v>
      </c>
      <c r="B488" s="6">
        <v>0.75</v>
      </c>
      <c r="C488" t="s">
        <v>11</v>
      </c>
      <c r="D488" t="s">
        <v>48</v>
      </c>
      <c r="E488">
        <v>32</v>
      </c>
      <c r="F488" t="s">
        <v>4</v>
      </c>
      <c r="G488" t="s">
        <v>41</v>
      </c>
      <c r="H488">
        <v>107</v>
      </c>
      <c r="J488" t="str">
        <f t="shared" si="61"/>
        <v>H</v>
      </c>
      <c r="K488" t="s">
        <v>37</v>
      </c>
      <c r="L488" t="s">
        <v>228</v>
      </c>
      <c r="M488" t="s">
        <v>229</v>
      </c>
      <c r="N488" t="str">
        <f t="shared" si="55"/>
        <v>&lt;tr&gt; &lt;td&gt;Feb. 23&lt;/td&gt;</v>
      </c>
      <c r="O488" t="str">
        <f t="shared" si="56"/>
        <v>&lt;td&gt;6:00 PM&lt;/td&gt;</v>
      </c>
      <c r="P488" t="str">
        <f t="shared" si="57"/>
        <v>&lt;td class="MMCsched"&gt;Miles Macdonell&lt;/td&gt;</v>
      </c>
      <c r="Q488" t="str">
        <f t="shared" si="58"/>
        <v>&lt;td&gt;32 - 107&lt;/td&gt;</v>
      </c>
      <c r="R488" t="str">
        <f t="shared" si="59"/>
        <v>&lt;td class="GCCsched"&gt;Garden City&lt;/td&gt;</v>
      </c>
      <c r="S488" t="str">
        <f t="shared" si="60"/>
        <v>&lt;td&gt;KPAC Regular Season&lt;/td&gt; &lt;/tr&gt;</v>
      </c>
    </row>
    <row r="489" spans="1:19" x14ac:dyDescent="0.25">
      <c r="A489" s="5">
        <v>42423</v>
      </c>
      <c r="B489" s="6">
        <v>0.8125</v>
      </c>
      <c r="C489" t="s">
        <v>213</v>
      </c>
      <c r="D489" t="s">
        <v>540</v>
      </c>
      <c r="E489">
        <v>69</v>
      </c>
      <c r="F489" t="s">
        <v>22</v>
      </c>
      <c r="G489" t="s">
        <v>66</v>
      </c>
      <c r="H489">
        <v>63</v>
      </c>
      <c r="J489" t="str">
        <f t="shared" si="61"/>
        <v>V</v>
      </c>
      <c r="K489" t="s">
        <v>281</v>
      </c>
      <c r="L489" t="s">
        <v>228</v>
      </c>
      <c r="M489" t="s">
        <v>229</v>
      </c>
      <c r="N489" t="str">
        <f t="shared" si="55"/>
        <v>&lt;tr&gt; &lt;td&gt;Feb. 23&lt;/td&gt;</v>
      </c>
      <c r="O489" t="str">
        <f t="shared" si="56"/>
        <v>&lt;td&gt;7:30 PM&lt;/td&gt;</v>
      </c>
      <c r="P489" t="str">
        <f t="shared" si="57"/>
        <v>&lt;td class="SJRsched"&gt;St. John's-Ravenscourt&lt;/td&gt;</v>
      </c>
      <c r="Q489" t="str">
        <f t="shared" si="58"/>
        <v>&lt;td&gt;69 - 63&lt;/td&gt;</v>
      </c>
      <c r="R489" t="str">
        <f t="shared" si="59"/>
        <v>&lt;td class="SRSSsched"&gt;Steinbach&lt;/td&gt;</v>
      </c>
      <c r="S489" t="str">
        <f t="shared" si="60"/>
        <v>&lt;td&gt;SCAC Tier 1 Regular Season&lt;/td&gt; &lt;/tr&gt;</v>
      </c>
    </row>
    <row r="490" spans="1:19" x14ac:dyDescent="0.25">
      <c r="A490" s="5">
        <v>42423</v>
      </c>
      <c r="B490" s="6">
        <v>0.8125</v>
      </c>
      <c r="C490" t="s">
        <v>12</v>
      </c>
      <c r="D490" t="s">
        <v>54</v>
      </c>
      <c r="E490">
        <v>53</v>
      </c>
      <c r="F490" t="s">
        <v>17</v>
      </c>
      <c r="G490" t="s">
        <v>50</v>
      </c>
      <c r="H490">
        <v>89</v>
      </c>
      <c r="J490" t="str">
        <f t="shared" si="61"/>
        <v>H</v>
      </c>
      <c r="K490" t="s">
        <v>37</v>
      </c>
      <c r="L490" t="s">
        <v>228</v>
      </c>
      <c r="M490" t="s">
        <v>229</v>
      </c>
      <c r="N490" t="str">
        <f t="shared" si="55"/>
        <v>&lt;tr&gt; &lt;td&gt;Feb. 23&lt;/td&gt;</v>
      </c>
      <c r="O490" t="str">
        <f t="shared" si="56"/>
        <v>&lt;td&gt;7:30 PM&lt;/td&gt;</v>
      </c>
      <c r="P490" t="str">
        <f t="shared" si="57"/>
        <v>&lt;td class="LSsched"&gt;Selkirk&lt;/td&gt;</v>
      </c>
      <c r="Q490" t="str">
        <f t="shared" si="58"/>
        <v>&lt;td&gt;53 - 89&lt;/td&gt;</v>
      </c>
      <c r="R490" t="str">
        <f t="shared" si="59"/>
        <v>&lt;td class="MMCIsched"&gt;Murdoch MacKay&lt;/td&gt;</v>
      </c>
      <c r="S490" t="str">
        <f t="shared" si="60"/>
        <v>&lt;td&gt;KPAC Regular Season&lt;/td&gt; &lt;/tr&gt;</v>
      </c>
    </row>
    <row r="491" spans="1:19" x14ac:dyDescent="0.25">
      <c r="A491" s="5">
        <v>42423</v>
      </c>
      <c r="B491" s="6">
        <v>0.8125</v>
      </c>
      <c r="C491" t="s">
        <v>162</v>
      </c>
      <c r="D491" t="s">
        <v>164</v>
      </c>
      <c r="E491">
        <v>98</v>
      </c>
      <c r="F491" t="s">
        <v>166</v>
      </c>
      <c r="H491">
        <v>39</v>
      </c>
      <c r="J491" t="str">
        <f t="shared" si="61"/>
        <v>V</v>
      </c>
      <c r="K491" t="s">
        <v>163</v>
      </c>
      <c r="L491" t="s">
        <v>228</v>
      </c>
      <c r="M491" t="s">
        <v>229</v>
      </c>
      <c r="N491" t="str">
        <f t="shared" si="55"/>
        <v>&lt;tr&gt; &lt;td&gt;Feb. 23&lt;/td&gt;</v>
      </c>
      <c r="O491" t="str">
        <f t="shared" si="56"/>
        <v>&lt;td&gt;7:30 PM&lt;/td&gt;</v>
      </c>
      <c r="P491" t="str">
        <f t="shared" si="57"/>
        <v>&lt;td class="GVCsched"&gt;Garden Valley&lt;/td&gt;</v>
      </c>
      <c r="Q491" t="str">
        <f t="shared" si="58"/>
        <v>&lt;td&gt;98 - 39&lt;/td&gt;</v>
      </c>
      <c r="R491" t="str">
        <f t="shared" si="59"/>
        <v>&lt;td class="sched"&gt;Sanford&lt;/td&gt;</v>
      </c>
      <c r="S491" t="str">
        <f t="shared" si="60"/>
        <v>&lt;td&gt;Zone 4 Regular Season&lt;/td&gt; &lt;/tr&gt;</v>
      </c>
    </row>
    <row r="492" spans="1:19" x14ac:dyDescent="0.25">
      <c r="A492" s="5">
        <v>42423</v>
      </c>
      <c r="B492" s="6">
        <v>0.82291666666666663</v>
      </c>
      <c r="C492" t="s">
        <v>32</v>
      </c>
      <c r="D492" t="s">
        <v>100</v>
      </c>
      <c r="E492">
        <v>59</v>
      </c>
      <c r="F492" t="s">
        <v>23</v>
      </c>
      <c r="G492" t="s">
        <v>102</v>
      </c>
      <c r="H492">
        <v>64</v>
      </c>
      <c r="J492" t="str">
        <f t="shared" si="61"/>
        <v>H</v>
      </c>
      <c r="K492" t="s">
        <v>796</v>
      </c>
      <c r="L492" t="s">
        <v>819</v>
      </c>
      <c r="N492" t="str">
        <f t="shared" si="55"/>
        <v>&lt;tr&gt; &lt;td&gt;Feb. 23&lt;/td&gt;</v>
      </c>
      <c r="O492" t="str">
        <f t="shared" si="56"/>
        <v>&lt;td&gt;7:45 PM&lt;/td&gt;</v>
      </c>
      <c r="P492" t="str">
        <f t="shared" si="57"/>
        <v>&lt;td class="CPRSsched"&gt;Crocus Plains&lt;/td&gt;</v>
      </c>
      <c r="Q492" t="str">
        <f t="shared" si="58"/>
        <v>&lt;td&gt;59 - 64&lt;/td&gt;</v>
      </c>
      <c r="R492" t="str">
        <f t="shared" si="59"/>
        <v>&lt;td class="VMHSsched"&gt;Vincent Massey&lt;/td&gt;</v>
      </c>
      <c r="S492" t="str">
        <f t="shared" si="60"/>
        <v>&lt;td&gt;Zone 15 Championship Game 2&lt;/td&gt; &lt;/tr&gt;</v>
      </c>
    </row>
    <row r="493" spans="1:19" x14ac:dyDescent="0.25">
      <c r="A493" s="5">
        <v>42424</v>
      </c>
      <c r="B493" s="6">
        <v>0.6875</v>
      </c>
      <c r="C493" t="s">
        <v>30</v>
      </c>
      <c r="D493" t="s">
        <v>92</v>
      </c>
      <c r="E493">
        <v>78</v>
      </c>
      <c r="F493" t="s">
        <v>26</v>
      </c>
      <c r="G493" t="s">
        <v>86</v>
      </c>
      <c r="H493">
        <v>75</v>
      </c>
      <c r="J493" t="str">
        <f t="shared" si="61"/>
        <v>V</v>
      </c>
      <c r="K493" t="s">
        <v>252</v>
      </c>
      <c r="L493" t="s">
        <v>228</v>
      </c>
      <c r="M493" t="s">
        <v>229</v>
      </c>
      <c r="N493" t="str">
        <f t="shared" si="55"/>
        <v>&lt;tr&gt; &lt;td&gt;Feb. 24&lt;/td&gt;</v>
      </c>
      <c r="O493" t="str">
        <f t="shared" si="56"/>
        <v>&lt;td&gt;4:30 PM&lt;/td&gt;</v>
      </c>
      <c r="P493" t="str">
        <f t="shared" si="57"/>
        <v>&lt;td class="SJHSsched"&gt;St. John's&lt;/td&gt;</v>
      </c>
      <c r="Q493" t="str">
        <f t="shared" si="58"/>
        <v>&lt;td&gt;78 - 75&lt;/td&gt;</v>
      </c>
      <c r="R493" t="str">
        <f t="shared" si="59"/>
        <v>&lt;td class="GBHSsched"&gt;Gordon Bell&lt;/td&gt;</v>
      </c>
      <c r="S493" t="str">
        <f t="shared" si="60"/>
        <v>&lt;td&gt;WWAC-WAC Tier 2 Regular Season&lt;/td&gt; &lt;/tr&gt;</v>
      </c>
    </row>
    <row r="494" spans="1:19" x14ac:dyDescent="0.25">
      <c r="A494" s="5">
        <v>42424</v>
      </c>
      <c r="B494" s="6">
        <v>0.6875</v>
      </c>
      <c r="C494" t="s">
        <v>29</v>
      </c>
      <c r="D494" t="s">
        <v>91</v>
      </c>
      <c r="E494">
        <v>81</v>
      </c>
      <c r="F494" t="s">
        <v>218</v>
      </c>
      <c r="H494">
        <v>45</v>
      </c>
      <c r="J494" t="str">
        <f t="shared" si="61"/>
        <v>V</v>
      </c>
      <c r="K494" t="s">
        <v>252</v>
      </c>
      <c r="L494" t="s">
        <v>228</v>
      </c>
      <c r="M494" t="s">
        <v>229</v>
      </c>
      <c r="N494" t="str">
        <f t="shared" si="55"/>
        <v>&lt;tr&gt; &lt;td&gt;Feb. 24&lt;/td&gt;</v>
      </c>
      <c r="O494" t="str">
        <f t="shared" si="56"/>
        <v>&lt;td&gt;4:30 PM&lt;/td&gt;</v>
      </c>
      <c r="P494" t="str">
        <f t="shared" si="57"/>
        <v>&lt;td class="ShHSsched"&gt;Shaftesbury&lt;/td&gt;</v>
      </c>
      <c r="Q494" t="str">
        <f t="shared" si="58"/>
        <v>&lt;td&gt;81 - 45&lt;/td&gt;</v>
      </c>
      <c r="R494" t="str">
        <f t="shared" si="59"/>
        <v>&lt;td class="sched"&gt;Stonewall&lt;/td&gt;</v>
      </c>
      <c r="S494" t="str">
        <f t="shared" si="60"/>
        <v>&lt;td&gt;WWAC-WAC Tier 2 Regular Season&lt;/td&gt; &lt;/tr&gt;</v>
      </c>
    </row>
    <row r="495" spans="1:19" x14ac:dyDescent="0.25">
      <c r="A495" s="5">
        <v>42424</v>
      </c>
      <c r="B495" s="6">
        <v>0.6875</v>
      </c>
      <c r="C495" t="s">
        <v>253</v>
      </c>
      <c r="E495">
        <v>86</v>
      </c>
      <c r="F495" t="s">
        <v>13</v>
      </c>
      <c r="G495" t="s">
        <v>98</v>
      </c>
      <c r="H495">
        <v>59</v>
      </c>
      <c r="J495" t="str">
        <f t="shared" si="61"/>
        <v>V</v>
      </c>
      <c r="K495" t="s">
        <v>252</v>
      </c>
      <c r="L495" t="s">
        <v>228</v>
      </c>
      <c r="M495" t="s">
        <v>229</v>
      </c>
      <c r="N495" t="str">
        <f t="shared" si="55"/>
        <v>&lt;tr&gt; &lt;td&gt;Feb. 24&lt;/td&gt;</v>
      </c>
      <c r="O495" t="str">
        <f t="shared" si="56"/>
        <v>&lt;td&gt;4:30 PM&lt;/td&gt;</v>
      </c>
      <c r="P495" t="str">
        <f t="shared" si="57"/>
        <v>&lt;td class="sched"&gt;St. James&lt;/td&gt;</v>
      </c>
      <c r="Q495" t="str">
        <f t="shared" si="58"/>
        <v>&lt;td&gt;86 - 59&lt;/td&gt;</v>
      </c>
      <c r="R495" t="str">
        <f t="shared" si="59"/>
        <v>&lt;td class="WWCsched"&gt;Westwood&lt;/td&gt;</v>
      </c>
      <c r="S495" t="str">
        <f t="shared" si="60"/>
        <v>&lt;td&gt;WWAC-WAC Tier 2 Regular Season&lt;/td&gt; &lt;/tr&gt;</v>
      </c>
    </row>
    <row r="496" spans="1:19" x14ac:dyDescent="0.25">
      <c r="A496" s="5">
        <v>42424</v>
      </c>
      <c r="B496" s="6">
        <v>0.6875</v>
      </c>
      <c r="C496" t="s">
        <v>14</v>
      </c>
      <c r="D496" t="s">
        <v>94</v>
      </c>
      <c r="E496">
        <v>47</v>
      </c>
      <c r="F496" t="s">
        <v>3</v>
      </c>
      <c r="G496" t="s">
        <v>78</v>
      </c>
      <c r="H496">
        <v>82</v>
      </c>
      <c r="J496" t="str">
        <f t="shared" si="61"/>
        <v>H</v>
      </c>
      <c r="K496" t="s">
        <v>251</v>
      </c>
      <c r="L496" t="s">
        <v>228</v>
      </c>
      <c r="M496" t="s">
        <v>229</v>
      </c>
      <c r="N496" t="str">
        <f t="shared" si="55"/>
        <v>&lt;tr&gt; &lt;td&gt;Feb. 24&lt;/td&gt;</v>
      </c>
      <c r="O496" t="str">
        <f t="shared" si="56"/>
        <v>&lt;td&gt;4:30 PM&lt;/td&gt;</v>
      </c>
      <c r="P496" t="str">
        <f t="shared" si="57"/>
        <v>&lt;td class="SHCsched"&gt;Sturgeon Heights&lt;/td&gt;</v>
      </c>
      <c r="Q496" t="str">
        <f t="shared" si="58"/>
        <v>&lt;td&gt;47 - 82&lt;/td&gt;</v>
      </c>
      <c r="R496" t="str">
        <f t="shared" si="59"/>
        <v>&lt;td class="SPHSsched"&gt;St. Paul's&lt;/td&gt;</v>
      </c>
      <c r="S496" t="str">
        <f t="shared" si="60"/>
        <v>&lt;td&gt;WWAC-WAC Tier 1 Regular Season&lt;/td&gt; &lt;/tr&gt;</v>
      </c>
    </row>
    <row r="497" spans="1:19" x14ac:dyDescent="0.25">
      <c r="A497" s="5">
        <v>42424</v>
      </c>
      <c r="B497" s="6">
        <v>0.6875</v>
      </c>
      <c r="C497" t="s">
        <v>23</v>
      </c>
      <c r="D497" t="s">
        <v>80</v>
      </c>
      <c r="E497">
        <v>99</v>
      </c>
      <c r="F497" t="s">
        <v>27</v>
      </c>
      <c r="G497" t="s">
        <v>88</v>
      </c>
      <c r="H497">
        <v>68</v>
      </c>
      <c r="J497" t="str">
        <f t="shared" si="61"/>
        <v>V</v>
      </c>
      <c r="K497" t="s">
        <v>251</v>
      </c>
      <c r="L497" t="s">
        <v>228</v>
      </c>
      <c r="M497" t="s">
        <v>229</v>
      </c>
      <c r="N497" t="str">
        <f t="shared" si="55"/>
        <v>&lt;tr&gt; &lt;td&gt;Feb. 24&lt;/td&gt;</v>
      </c>
      <c r="O497" t="str">
        <f t="shared" si="56"/>
        <v>&lt;td&gt;4:30 PM&lt;/td&gt;</v>
      </c>
      <c r="P497" t="str">
        <f t="shared" si="57"/>
        <v>&lt;td class="VMCsched"&gt;Vincent Massey&lt;/td&gt;</v>
      </c>
      <c r="Q497" t="str">
        <f t="shared" si="58"/>
        <v>&lt;td&gt;99 - 68&lt;/td&gt;</v>
      </c>
      <c r="R497" t="str">
        <f t="shared" si="59"/>
        <v>&lt;td class="GPHSsched"&gt;Grant Park&lt;/td&gt;</v>
      </c>
      <c r="S497" t="str">
        <f t="shared" si="60"/>
        <v>&lt;td&gt;WWAC-WAC Tier 1 Regular Season&lt;/td&gt; &lt;/tr&gt;</v>
      </c>
    </row>
    <row r="498" spans="1:19" x14ac:dyDescent="0.25">
      <c r="A498" s="5">
        <v>42424</v>
      </c>
      <c r="B498" s="6">
        <v>0.6875</v>
      </c>
      <c r="C498" t="s">
        <v>1</v>
      </c>
      <c r="D498" t="s">
        <v>74</v>
      </c>
      <c r="E498">
        <v>93</v>
      </c>
      <c r="F498" t="s">
        <v>10</v>
      </c>
      <c r="G498" t="s">
        <v>72</v>
      </c>
      <c r="H498">
        <v>53</v>
      </c>
      <c r="J498" t="str">
        <f t="shared" si="61"/>
        <v>V</v>
      </c>
      <c r="K498" t="s">
        <v>251</v>
      </c>
      <c r="L498" t="s">
        <v>228</v>
      </c>
      <c r="M498" t="s">
        <v>229</v>
      </c>
      <c r="N498" t="str">
        <f t="shared" si="55"/>
        <v>&lt;tr&gt; &lt;td&gt;Feb. 24&lt;/td&gt;</v>
      </c>
      <c r="O498" t="str">
        <f t="shared" si="56"/>
        <v>&lt;td&gt;4:30 PM&lt;/td&gt;</v>
      </c>
      <c r="P498" t="str">
        <f t="shared" si="57"/>
        <v>&lt;td class="OPHSsched"&gt;Oak Park&lt;/td&gt;</v>
      </c>
      <c r="Q498" t="str">
        <f t="shared" si="58"/>
        <v>&lt;td&gt;93 - 53&lt;/td&gt;</v>
      </c>
      <c r="R498" t="str">
        <f t="shared" si="59"/>
        <v>&lt;td class="KHSsched"&gt;Kelvin&lt;/td&gt;</v>
      </c>
      <c r="S498" t="str">
        <f t="shared" si="60"/>
        <v>&lt;td&gt;WWAC-WAC Tier 1 Regular Season&lt;/td&gt; &lt;/tr&gt;</v>
      </c>
    </row>
    <row r="499" spans="1:19" x14ac:dyDescent="0.25">
      <c r="A499" s="5">
        <v>42424</v>
      </c>
      <c r="B499" s="6">
        <v>0.70833333333333337</v>
      </c>
      <c r="C499" t="s">
        <v>28</v>
      </c>
      <c r="D499" t="s">
        <v>90</v>
      </c>
      <c r="E499">
        <v>77</v>
      </c>
      <c r="F499" t="s">
        <v>31</v>
      </c>
      <c r="G499" t="s">
        <v>96</v>
      </c>
      <c r="H499">
        <v>69</v>
      </c>
      <c r="J499" t="str">
        <f t="shared" si="61"/>
        <v>V</v>
      </c>
      <c r="K499" t="s">
        <v>252</v>
      </c>
      <c r="L499" t="s">
        <v>228</v>
      </c>
      <c r="M499" t="s">
        <v>229</v>
      </c>
      <c r="N499" t="str">
        <f t="shared" si="55"/>
        <v>&lt;tr&gt; &lt;td&gt;Feb. 24&lt;/td&gt;</v>
      </c>
      <c r="O499" t="str">
        <f t="shared" si="56"/>
        <v>&lt;td&gt;5:00 PM&lt;/td&gt;</v>
      </c>
      <c r="P499" t="str">
        <f t="shared" si="57"/>
        <v>&lt;td class="PCIsched"&gt;Portage&lt;/td&gt;</v>
      </c>
      <c r="Q499" t="str">
        <f t="shared" si="58"/>
        <v>&lt;td&gt;77 - 69&lt;/td&gt;</v>
      </c>
      <c r="R499" t="str">
        <f t="shared" si="59"/>
        <v>&lt;td class="TVHSsched"&gt;Tec Voc&lt;/td&gt;</v>
      </c>
      <c r="S499" t="str">
        <f t="shared" si="60"/>
        <v>&lt;td&gt;WWAC-WAC Tier 2 Regular Season&lt;/td&gt; &lt;/tr&gt;</v>
      </c>
    </row>
    <row r="500" spans="1:19" x14ac:dyDescent="0.25">
      <c r="A500" s="5">
        <v>42424</v>
      </c>
      <c r="B500" s="6">
        <v>0.75</v>
      </c>
      <c r="C500" t="s">
        <v>2</v>
      </c>
      <c r="D500" t="s">
        <v>43</v>
      </c>
      <c r="E500">
        <v>91</v>
      </c>
      <c r="F500" t="s">
        <v>19</v>
      </c>
      <c r="G500" t="s">
        <v>56</v>
      </c>
      <c r="H500">
        <v>35</v>
      </c>
      <c r="J500" t="str">
        <f t="shared" si="61"/>
        <v>V</v>
      </c>
      <c r="K500" t="s">
        <v>37</v>
      </c>
      <c r="L500" t="s">
        <v>228</v>
      </c>
      <c r="M500" t="s">
        <v>229</v>
      </c>
      <c r="N500" t="str">
        <f t="shared" si="55"/>
        <v>&lt;tr&gt; &lt;td&gt;Feb. 24&lt;/td&gt;</v>
      </c>
      <c r="O500" t="str">
        <f t="shared" si="56"/>
        <v>&lt;td&gt;6:00 PM&lt;/td&gt;</v>
      </c>
      <c r="P500" t="str">
        <f t="shared" si="57"/>
        <v>&lt;td class="KECsched"&gt;Kildonan-East&lt;/td&gt;</v>
      </c>
      <c r="Q500" t="str">
        <f t="shared" si="58"/>
        <v>&lt;td&gt;91 - 35&lt;/td&gt;</v>
      </c>
      <c r="R500" t="str">
        <f t="shared" si="59"/>
        <v>&lt;td class="TCIsched"&gt;Transcona&lt;/td&gt;</v>
      </c>
      <c r="S500" t="str">
        <f t="shared" si="60"/>
        <v>&lt;td&gt;KPAC Regular Season&lt;/td&gt; &lt;/tr&gt;</v>
      </c>
    </row>
    <row r="501" spans="1:19" x14ac:dyDescent="0.25">
      <c r="A501" s="5">
        <v>42424</v>
      </c>
      <c r="B501" s="6">
        <v>0.75</v>
      </c>
      <c r="C501" t="s">
        <v>4</v>
      </c>
      <c r="D501" t="s">
        <v>41</v>
      </c>
      <c r="E501">
        <v>96</v>
      </c>
      <c r="F501" t="s">
        <v>20</v>
      </c>
      <c r="G501" t="s">
        <v>58</v>
      </c>
      <c r="H501">
        <v>66</v>
      </c>
      <c r="J501" t="str">
        <f t="shared" si="61"/>
        <v>V</v>
      </c>
      <c r="K501" t="s">
        <v>37</v>
      </c>
      <c r="L501" t="s">
        <v>228</v>
      </c>
      <c r="M501" t="s">
        <v>229</v>
      </c>
      <c r="N501" t="str">
        <f t="shared" si="55"/>
        <v>&lt;tr&gt; &lt;td&gt;Feb. 24&lt;/td&gt;</v>
      </c>
      <c r="O501" t="str">
        <f t="shared" si="56"/>
        <v>&lt;td&gt;6:00 PM&lt;/td&gt;</v>
      </c>
      <c r="P501" t="str">
        <f t="shared" si="57"/>
        <v>&lt;td class="GCCsched"&gt;Garden City&lt;/td&gt;</v>
      </c>
      <c r="Q501" t="str">
        <f t="shared" si="58"/>
        <v>&lt;td&gt;96 - 66&lt;/td&gt;</v>
      </c>
      <c r="R501" t="str">
        <f t="shared" si="59"/>
        <v>&lt;td class="WKCsched"&gt;West Kildonan&lt;/td&gt;</v>
      </c>
      <c r="S501" t="str">
        <f t="shared" si="60"/>
        <v>&lt;td&gt;KPAC Regular Season&lt;/td&gt; &lt;/tr&gt;</v>
      </c>
    </row>
    <row r="502" spans="1:19" x14ac:dyDescent="0.25">
      <c r="A502" s="5">
        <v>42424</v>
      </c>
      <c r="B502" s="6">
        <v>0.75</v>
      </c>
      <c r="C502" t="s">
        <v>16</v>
      </c>
      <c r="D502" t="s">
        <v>45</v>
      </c>
      <c r="E502">
        <v>64</v>
      </c>
      <c r="F502" t="s">
        <v>7</v>
      </c>
      <c r="G502" t="s">
        <v>7</v>
      </c>
      <c r="H502">
        <v>79</v>
      </c>
      <c r="J502" t="str">
        <f t="shared" si="61"/>
        <v>H</v>
      </c>
      <c r="K502" t="s">
        <v>37</v>
      </c>
      <c r="L502" t="s">
        <v>228</v>
      </c>
      <c r="M502" t="s">
        <v>229</v>
      </c>
      <c r="N502" t="str">
        <f t="shared" si="55"/>
        <v>&lt;tr&gt; &lt;td&gt;Feb. 24&lt;/td&gt;</v>
      </c>
      <c r="O502" t="str">
        <f t="shared" si="56"/>
        <v>&lt;td&gt;6:00 PM&lt;/td&gt;</v>
      </c>
      <c r="P502" t="str">
        <f t="shared" si="57"/>
        <v>&lt;td class="MCsched"&gt;Maples&lt;/td&gt;</v>
      </c>
      <c r="Q502" t="str">
        <f t="shared" si="58"/>
        <v>&lt;td&gt;64 - 79&lt;/td&gt;</v>
      </c>
      <c r="R502" t="str">
        <f t="shared" si="59"/>
        <v>&lt;td class="MBCIsched"&gt;MBCI&lt;/td&gt;</v>
      </c>
      <c r="S502" t="str">
        <f t="shared" si="60"/>
        <v>&lt;td&gt;KPAC Regular Season&lt;/td&gt; &lt;/tr&gt;</v>
      </c>
    </row>
    <row r="503" spans="1:19" x14ac:dyDescent="0.25">
      <c r="A503" s="5">
        <v>42424</v>
      </c>
      <c r="B503" s="6">
        <v>0.8125</v>
      </c>
      <c r="C503" t="s">
        <v>240</v>
      </c>
      <c r="E503">
        <v>70</v>
      </c>
      <c r="F503" t="s">
        <v>108</v>
      </c>
      <c r="G503" t="s">
        <v>109</v>
      </c>
      <c r="H503">
        <v>48</v>
      </c>
      <c r="J503" t="str">
        <f t="shared" si="61"/>
        <v>V</v>
      </c>
      <c r="K503" t="s">
        <v>236</v>
      </c>
      <c r="L503" t="s">
        <v>228</v>
      </c>
      <c r="M503" t="s">
        <v>229</v>
      </c>
      <c r="N503" t="str">
        <f t="shared" si="55"/>
        <v>&lt;tr&gt; &lt;td&gt;Feb. 24&lt;/td&gt;</v>
      </c>
      <c r="O503" t="str">
        <f t="shared" si="56"/>
        <v>&lt;td&gt;7:30 PM&lt;/td&gt;</v>
      </c>
      <c r="P503" t="str">
        <f t="shared" si="57"/>
        <v>&lt;td class="sched"&gt;Nelson McIntyre&lt;/td&gt;</v>
      </c>
      <c r="Q503" t="str">
        <f t="shared" si="58"/>
        <v>&lt;td&gt;70 - 48&lt;/td&gt;</v>
      </c>
      <c r="R503" t="str">
        <f t="shared" si="59"/>
        <v>&lt;td class="CJSsched"&gt;Jeanne-Sauv&amp;eacute;&lt;/td&gt;</v>
      </c>
      <c r="S503" t="str">
        <f t="shared" si="60"/>
        <v>&lt;td&gt;SCAC Tier 2 Regular Season&lt;/td&gt; &lt;/tr&gt;</v>
      </c>
    </row>
    <row r="504" spans="1:19" x14ac:dyDescent="0.25">
      <c r="A504" s="5">
        <v>42424</v>
      </c>
      <c r="B504" s="6">
        <v>0.8125</v>
      </c>
      <c r="C504" t="s">
        <v>22</v>
      </c>
      <c r="D504" t="s">
        <v>66</v>
      </c>
      <c r="E504">
        <v>67</v>
      </c>
      <c r="F504" t="s">
        <v>213</v>
      </c>
      <c r="G504" t="s">
        <v>540</v>
      </c>
      <c r="H504">
        <v>59</v>
      </c>
      <c r="J504" t="str">
        <f t="shared" si="61"/>
        <v>V</v>
      </c>
      <c r="K504" t="s">
        <v>281</v>
      </c>
      <c r="L504" t="s">
        <v>228</v>
      </c>
      <c r="M504" t="s">
        <v>229</v>
      </c>
      <c r="N504" t="str">
        <f t="shared" si="55"/>
        <v>&lt;tr&gt; &lt;td&gt;Feb. 24&lt;/td&gt;</v>
      </c>
      <c r="O504" t="str">
        <f t="shared" si="56"/>
        <v>&lt;td&gt;7:30 PM&lt;/td&gt;</v>
      </c>
      <c r="P504" t="str">
        <f t="shared" si="57"/>
        <v>&lt;td class="SRSSsched"&gt;Steinbach&lt;/td&gt;</v>
      </c>
      <c r="Q504" t="str">
        <f t="shared" si="58"/>
        <v>&lt;td&gt;67 - 59&lt;/td&gt;</v>
      </c>
      <c r="R504" t="str">
        <f t="shared" si="59"/>
        <v>&lt;td class="SJRsched"&gt;St. John's-Ravenscourt&lt;/td&gt;</v>
      </c>
      <c r="S504" t="str">
        <f t="shared" si="60"/>
        <v>&lt;td&gt;SCAC Tier 1 Regular Season&lt;/td&gt; &lt;/tr&gt;</v>
      </c>
    </row>
    <row r="505" spans="1:19" x14ac:dyDescent="0.25">
      <c r="A505" s="5">
        <v>42424</v>
      </c>
      <c r="B505" s="6">
        <v>0.8125</v>
      </c>
      <c r="C505" t="s">
        <v>21</v>
      </c>
      <c r="D505" t="s">
        <v>64</v>
      </c>
      <c r="E505">
        <v>45</v>
      </c>
      <c r="F505" t="s">
        <v>8</v>
      </c>
      <c r="G505" t="s">
        <v>60</v>
      </c>
      <c r="H505">
        <v>95</v>
      </c>
      <c r="J505" t="str">
        <f t="shared" si="61"/>
        <v>H</v>
      </c>
      <c r="K505" t="s">
        <v>281</v>
      </c>
      <c r="L505" t="s">
        <v>228</v>
      </c>
      <c r="M505" t="s">
        <v>229</v>
      </c>
      <c r="N505" t="str">
        <f t="shared" si="55"/>
        <v>&lt;tr&gt; &lt;td&gt;Feb. 24&lt;/td&gt;</v>
      </c>
      <c r="O505" t="str">
        <f t="shared" si="56"/>
        <v>&lt;td&gt;7:30 PM&lt;/td&gt;</v>
      </c>
      <c r="P505" t="str">
        <f t="shared" si="57"/>
        <v>&lt;td class="JHBsched"&gt;J.H. Bruns&lt;/td&gt;</v>
      </c>
      <c r="Q505" t="str">
        <f t="shared" si="58"/>
        <v>&lt;td&gt;45 - 95&lt;/td&gt;</v>
      </c>
      <c r="R505" t="str">
        <f t="shared" si="59"/>
        <v>&lt;td class="DCIsched"&gt;Dakota&lt;/td&gt;</v>
      </c>
      <c r="S505" t="str">
        <f t="shared" si="60"/>
        <v>&lt;td&gt;SCAC Tier 1 Regular Season&lt;/td&gt; &lt;/tr&gt;</v>
      </c>
    </row>
    <row r="506" spans="1:19" x14ac:dyDescent="0.25">
      <c r="A506" s="5">
        <v>42425</v>
      </c>
      <c r="B506" s="6">
        <v>0.75</v>
      </c>
      <c r="C506" t="s">
        <v>5</v>
      </c>
      <c r="D506" t="s">
        <v>62</v>
      </c>
      <c r="E506">
        <v>50</v>
      </c>
      <c r="F506" t="s">
        <v>22</v>
      </c>
      <c r="G506" t="s">
        <v>66</v>
      </c>
      <c r="H506">
        <v>47</v>
      </c>
      <c r="J506" t="str">
        <f t="shared" si="61"/>
        <v>V</v>
      </c>
      <c r="K506" t="s">
        <v>281</v>
      </c>
      <c r="L506" t="s">
        <v>228</v>
      </c>
      <c r="M506" t="s">
        <v>229</v>
      </c>
      <c r="N506" t="str">
        <f t="shared" si="55"/>
        <v>&lt;tr&gt; &lt;td&gt;Feb. 25&lt;/td&gt;</v>
      </c>
      <c r="O506" t="str">
        <f t="shared" si="56"/>
        <v>&lt;td&gt;6:00 PM&lt;/td&gt;</v>
      </c>
      <c r="P506" t="str">
        <f t="shared" si="57"/>
        <v>&lt;td class="GCIsched"&gt;Glenlawn&lt;/td&gt;</v>
      </c>
      <c r="Q506" t="str">
        <f t="shared" si="58"/>
        <v>&lt;td&gt;50 - 47&lt;/td&gt;</v>
      </c>
      <c r="R506" t="str">
        <f t="shared" si="59"/>
        <v>&lt;td class="SRSSsched"&gt;Steinbach&lt;/td&gt;</v>
      </c>
      <c r="S506" t="str">
        <f t="shared" si="60"/>
        <v>&lt;td&gt;SCAC Tier 1 Regular Season&lt;/td&gt; &lt;/tr&gt;</v>
      </c>
    </row>
    <row r="507" spans="1:19" x14ac:dyDescent="0.25">
      <c r="A507" s="5">
        <v>42426</v>
      </c>
      <c r="B507" s="6">
        <v>0.75</v>
      </c>
      <c r="C507" t="s">
        <v>12</v>
      </c>
      <c r="D507" t="s">
        <v>54</v>
      </c>
      <c r="E507">
        <v>61</v>
      </c>
      <c r="F507" t="s">
        <v>11</v>
      </c>
      <c r="G507" t="s">
        <v>48</v>
      </c>
      <c r="H507">
        <v>74</v>
      </c>
      <c r="J507" t="str">
        <f t="shared" si="61"/>
        <v>H</v>
      </c>
      <c r="K507" t="s">
        <v>37</v>
      </c>
      <c r="L507" t="s">
        <v>230</v>
      </c>
      <c r="N507" t="str">
        <f t="shared" si="55"/>
        <v>&lt;tr&gt; &lt;td&gt;Feb. 26&lt;/td&gt;</v>
      </c>
      <c r="O507" t="str">
        <f t="shared" si="56"/>
        <v>&lt;td&gt;6:00 PM&lt;/td&gt;</v>
      </c>
      <c r="P507" t="str">
        <f t="shared" si="57"/>
        <v>&lt;td class="LSsched"&gt;Selkirk&lt;/td&gt;</v>
      </c>
      <c r="Q507" t="str">
        <f t="shared" si="58"/>
        <v>&lt;td&gt;61 - 74&lt;/td&gt;</v>
      </c>
      <c r="R507" t="str">
        <f t="shared" si="59"/>
        <v>&lt;td class="MMCsched"&gt;Miles Macdonell&lt;/td&gt;</v>
      </c>
      <c r="S507" t="str">
        <f t="shared" si="60"/>
        <v>&lt;td&gt;KPAC First Round Game 1&lt;/td&gt; &lt;/tr&gt;</v>
      </c>
    </row>
    <row r="508" spans="1:19" x14ac:dyDescent="0.25">
      <c r="A508" s="5">
        <v>42426</v>
      </c>
      <c r="B508" s="6">
        <v>0.75</v>
      </c>
      <c r="C508" t="s">
        <v>104</v>
      </c>
      <c r="D508" t="s">
        <v>105</v>
      </c>
      <c r="E508">
        <v>18</v>
      </c>
      <c r="F508" t="s">
        <v>18</v>
      </c>
      <c r="G508" t="s">
        <v>52</v>
      </c>
      <c r="H508">
        <v>82</v>
      </c>
      <c r="J508" t="str">
        <f t="shared" si="61"/>
        <v>H</v>
      </c>
      <c r="K508" t="s">
        <v>37</v>
      </c>
      <c r="L508" t="s">
        <v>231</v>
      </c>
      <c r="N508" t="str">
        <f t="shared" si="55"/>
        <v>&lt;tr&gt; &lt;td&gt;Feb. 26&lt;/td&gt;</v>
      </c>
      <c r="O508" t="str">
        <f t="shared" si="56"/>
        <v>&lt;td&gt;6:00 PM&lt;/td&gt;</v>
      </c>
      <c r="P508" t="str">
        <f t="shared" si="57"/>
        <v>&lt;td class="SCIsched"&gt;Springfield&lt;/td&gt;</v>
      </c>
      <c r="Q508" t="str">
        <f t="shared" si="58"/>
        <v>&lt;td&gt;18 - 82&lt;/td&gt;</v>
      </c>
      <c r="R508" t="str">
        <f t="shared" si="59"/>
        <v>&lt;td class="RECsched"&gt;River East&lt;/td&gt;</v>
      </c>
      <c r="S508" t="str">
        <f t="shared" si="60"/>
        <v>&lt;td&gt;KPAC First Round Game 2&lt;/td&gt; &lt;/tr&gt;</v>
      </c>
    </row>
    <row r="509" spans="1:19" x14ac:dyDescent="0.25">
      <c r="A509" s="5">
        <v>42426</v>
      </c>
      <c r="B509" s="6">
        <v>0.75</v>
      </c>
      <c r="C509" t="s">
        <v>19</v>
      </c>
      <c r="D509" t="s">
        <v>56</v>
      </c>
      <c r="E509">
        <v>55</v>
      </c>
      <c r="F509" t="s">
        <v>17</v>
      </c>
      <c r="G509" t="s">
        <v>50</v>
      </c>
      <c r="H509">
        <v>77</v>
      </c>
      <c r="J509" t="str">
        <f t="shared" si="61"/>
        <v>H</v>
      </c>
      <c r="K509" t="s">
        <v>37</v>
      </c>
      <c r="L509" t="s">
        <v>232</v>
      </c>
      <c r="N509" t="str">
        <f t="shared" si="55"/>
        <v>&lt;tr&gt; &lt;td&gt;Feb. 26&lt;/td&gt;</v>
      </c>
      <c r="O509" t="str">
        <f t="shared" si="56"/>
        <v>&lt;td&gt;6:00 PM&lt;/td&gt;</v>
      </c>
      <c r="P509" t="str">
        <f t="shared" si="57"/>
        <v>&lt;td class="TCIsched"&gt;Transcona&lt;/td&gt;</v>
      </c>
      <c r="Q509" t="str">
        <f t="shared" si="58"/>
        <v>&lt;td&gt;55 - 77&lt;/td&gt;</v>
      </c>
      <c r="R509" t="str">
        <f t="shared" si="59"/>
        <v>&lt;td class="MMCIsched"&gt;Murdoch MacKay&lt;/td&gt;</v>
      </c>
      <c r="S509" t="str">
        <f t="shared" si="60"/>
        <v>&lt;td&gt;KPAC First Round Game 3&lt;/td&gt; &lt;/tr&gt;</v>
      </c>
    </row>
    <row r="510" spans="1:19" x14ac:dyDescent="0.25">
      <c r="A510" s="5">
        <v>42426</v>
      </c>
      <c r="C510" t="s">
        <v>162</v>
      </c>
      <c r="D510" t="s">
        <v>164</v>
      </c>
      <c r="E510">
        <v>66</v>
      </c>
      <c r="F510" t="s">
        <v>23</v>
      </c>
      <c r="G510" t="s">
        <v>102</v>
      </c>
      <c r="H510">
        <v>41</v>
      </c>
      <c r="J510" t="str">
        <f t="shared" si="61"/>
        <v>V</v>
      </c>
      <c r="K510" t="s">
        <v>821</v>
      </c>
      <c r="L510" t="s">
        <v>822</v>
      </c>
      <c r="N510" t="str">
        <f t="shared" si="55"/>
        <v>&lt;tr&gt; &lt;td&gt;Feb. 26&lt;/td&gt;</v>
      </c>
      <c r="O510" t="str">
        <f t="shared" si="56"/>
        <v>&lt;td&gt;&lt;/td&gt;</v>
      </c>
      <c r="P510" t="str">
        <f t="shared" si="57"/>
        <v>&lt;td class="GVCsched"&gt;Garden Valley&lt;/td&gt;</v>
      </c>
      <c r="Q510" t="str">
        <f t="shared" si="58"/>
        <v>&lt;td&gt;66 - 41&lt;/td&gt;</v>
      </c>
      <c r="R510" t="str">
        <f t="shared" si="59"/>
        <v>&lt;td class="VMHSsched"&gt;Vincent Massey&lt;/td&gt;</v>
      </c>
      <c r="S510" t="str">
        <f t="shared" si="60"/>
        <v>&lt;td&gt;Triple Crown Zone Challenge&lt;/td&gt; &lt;/tr&gt;</v>
      </c>
    </row>
    <row r="511" spans="1:19" x14ac:dyDescent="0.25">
      <c r="A511" s="5">
        <v>42426</v>
      </c>
      <c r="C511" t="s">
        <v>303</v>
      </c>
      <c r="E511">
        <v>33</v>
      </c>
      <c r="F511" t="s">
        <v>32</v>
      </c>
      <c r="G511" t="s">
        <v>100</v>
      </c>
      <c r="H511">
        <v>65</v>
      </c>
      <c r="J511" t="str">
        <f t="shared" si="61"/>
        <v>H</v>
      </c>
      <c r="K511" t="s">
        <v>821</v>
      </c>
      <c r="L511" t="s">
        <v>822</v>
      </c>
      <c r="N511" t="str">
        <f t="shared" si="55"/>
        <v>&lt;tr&gt; &lt;td&gt;Feb. 26&lt;/td&gt;</v>
      </c>
      <c r="O511" t="str">
        <f t="shared" si="56"/>
        <v>&lt;td&gt;&lt;/td&gt;</v>
      </c>
      <c r="P511" t="str">
        <f t="shared" si="57"/>
        <v>&lt;td class="sched"&gt;Virden&lt;/td&gt;</v>
      </c>
      <c r="Q511" t="str">
        <f t="shared" si="58"/>
        <v>&lt;td&gt;33 - 65&lt;/td&gt;</v>
      </c>
      <c r="R511" t="str">
        <f t="shared" si="59"/>
        <v>&lt;td class="CPRSsched"&gt;Crocus Plains&lt;/td&gt;</v>
      </c>
      <c r="S511" t="str">
        <f t="shared" si="60"/>
        <v>&lt;td&gt;Triple Crown Zone Challenge&lt;/td&gt; &lt;/tr&gt;</v>
      </c>
    </row>
    <row r="512" spans="1:19" x14ac:dyDescent="0.25">
      <c r="A512" s="5">
        <v>42427</v>
      </c>
      <c r="C512" t="s">
        <v>303</v>
      </c>
      <c r="E512">
        <v>42</v>
      </c>
      <c r="F512" t="s">
        <v>23</v>
      </c>
      <c r="G512" t="s">
        <v>102</v>
      </c>
      <c r="H512">
        <v>76</v>
      </c>
      <c r="J512" t="str">
        <f t="shared" si="61"/>
        <v>H</v>
      </c>
      <c r="K512" t="s">
        <v>821</v>
      </c>
      <c r="L512" t="s">
        <v>822</v>
      </c>
      <c r="N512" t="str">
        <f t="shared" si="55"/>
        <v>&lt;tr&gt; &lt;td&gt;Feb. 27&lt;/td&gt;</v>
      </c>
      <c r="O512" t="str">
        <f t="shared" si="56"/>
        <v>&lt;td&gt;&lt;/td&gt;</v>
      </c>
      <c r="P512" t="str">
        <f t="shared" si="57"/>
        <v>&lt;td class="sched"&gt;Virden&lt;/td&gt;</v>
      </c>
      <c r="Q512" t="str">
        <f t="shared" si="58"/>
        <v>&lt;td&gt;42 - 76&lt;/td&gt;</v>
      </c>
      <c r="R512" t="str">
        <f t="shared" si="59"/>
        <v>&lt;td class="VMHSsched"&gt;Vincent Massey&lt;/td&gt;</v>
      </c>
      <c r="S512" t="str">
        <f t="shared" si="60"/>
        <v>&lt;td&gt;Triple Crown Zone Challenge&lt;/td&gt; &lt;/tr&gt;</v>
      </c>
    </row>
    <row r="513" spans="1:19" x14ac:dyDescent="0.25">
      <c r="A513" s="5">
        <v>42427</v>
      </c>
      <c r="C513" t="s">
        <v>823</v>
      </c>
      <c r="E513">
        <v>60</v>
      </c>
      <c r="F513" t="s">
        <v>32</v>
      </c>
      <c r="G513" t="s">
        <v>100</v>
      </c>
      <c r="H513">
        <v>42</v>
      </c>
      <c r="J513" t="str">
        <f t="shared" ref="J513:J544" si="62">IF(H513&gt;E513,"H",IF(E513&gt;H513,"V",""))</f>
        <v>V</v>
      </c>
      <c r="K513" t="s">
        <v>821</v>
      </c>
      <c r="L513" t="s">
        <v>822</v>
      </c>
      <c r="N513" t="str">
        <f t="shared" si="55"/>
        <v>&lt;tr&gt; &lt;td&gt;Feb. 27&lt;/td&gt;</v>
      </c>
      <c r="O513" t="str">
        <f t="shared" si="56"/>
        <v>&lt;td&gt;&lt;/td&gt;</v>
      </c>
      <c r="P513" t="str">
        <f t="shared" si="57"/>
        <v>&lt;td class="sched"&gt;McNaughton&lt;/td&gt;</v>
      </c>
      <c r="Q513" t="str">
        <f t="shared" si="58"/>
        <v>&lt;td&gt;60 - 42&lt;/td&gt;</v>
      </c>
      <c r="R513" t="str">
        <f t="shared" si="59"/>
        <v>&lt;td class="CPRSsched"&gt;Crocus Plains&lt;/td&gt;</v>
      </c>
      <c r="S513" t="str">
        <f t="shared" si="60"/>
        <v>&lt;td&gt;Triple Crown Zone Challenge&lt;/td&gt; &lt;/tr&gt;</v>
      </c>
    </row>
    <row r="514" spans="1:19" x14ac:dyDescent="0.25">
      <c r="A514" s="5">
        <v>42427</v>
      </c>
      <c r="C514" t="s">
        <v>289</v>
      </c>
      <c r="E514">
        <v>39</v>
      </c>
      <c r="F514" t="s">
        <v>162</v>
      </c>
      <c r="H514">
        <v>59</v>
      </c>
      <c r="J514" t="str">
        <f t="shared" si="62"/>
        <v>H</v>
      </c>
      <c r="K514" t="s">
        <v>821</v>
      </c>
      <c r="L514" t="s">
        <v>822</v>
      </c>
      <c r="N514" t="str">
        <f t="shared" ref="N514:N577" si="63">"&lt;tr&gt; &lt;td&gt;"&amp;TEXT(A514,"MMM. D")&amp;"&lt;/td&gt;"</f>
        <v>&lt;tr&gt; &lt;td&gt;Feb. 27&lt;/td&gt;</v>
      </c>
      <c r="O514" t="str">
        <f t="shared" ref="O514:O577" si="64">"&lt;td&gt;"&amp;IF(B514&gt;0,TEXT(B514,"H:MM AM/PM"),"")&amp;"&lt;/td&gt;"</f>
        <v>&lt;td&gt;&lt;/td&gt;</v>
      </c>
      <c r="P514" t="str">
        <f t="shared" ref="P514:P577" si="65">"&lt;td class="""&amp;D514&amp;"sched""&gt;"&amp;C514&amp;"&lt;/td&gt;"</f>
        <v>&lt;td class="sched"&gt;Glenboro&lt;/td&gt;</v>
      </c>
      <c r="Q514" t="str">
        <f t="shared" ref="Q514:Q577" si="66">"&lt;td&gt;"&amp;E514&amp;" - "&amp;H514&amp;IF(I514&gt;0," "&amp;I514,"")&amp;"&lt;/td&gt;"</f>
        <v>&lt;td&gt;39 - 59&lt;/td&gt;</v>
      </c>
      <c r="R514" t="str">
        <f t="shared" ref="R514:R577" si="67">"&lt;td class="""&amp;G514&amp;"sched""&gt;"&amp;F514&amp;"&lt;/td&gt;"</f>
        <v>&lt;td class="sched"&gt;Garden Valley&lt;/td&gt;</v>
      </c>
      <c r="S514" t="str">
        <f t="shared" ref="S514:S577" si="68">"&lt;td&gt;"&amp;K514&amp;" "&amp;L514&amp;"&lt;/td&gt; &lt;/tr&gt;"</f>
        <v>&lt;td&gt;Triple Crown Zone Challenge&lt;/td&gt; &lt;/tr&gt;</v>
      </c>
    </row>
    <row r="515" spans="1:19" x14ac:dyDescent="0.25">
      <c r="A515" s="5">
        <v>42427</v>
      </c>
      <c r="C515" t="s">
        <v>823</v>
      </c>
      <c r="E515">
        <v>67</v>
      </c>
      <c r="F515" t="s">
        <v>23</v>
      </c>
      <c r="G515" t="s">
        <v>102</v>
      </c>
      <c r="H515">
        <v>39</v>
      </c>
      <c r="J515" t="str">
        <f t="shared" si="62"/>
        <v>V</v>
      </c>
      <c r="K515" t="s">
        <v>821</v>
      </c>
      <c r="L515" t="s">
        <v>822</v>
      </c>
      <c r="N515" t="str">
        <f t="shared" si="63"/>
        <v>&lt;tr&gt; &lt;td&gt;Feb. 27&lt;/td&gt;</v>
      </c>
      <c r="O515" t="str">
        <f t="shared" si="64"/>
        <v>&lt;td&gt;&lt;/td&gt;</v>
      </c>
      <c r="P515" t="str">
        <f t="shared" si="65"/>
        <v>&lt;td class="sched"&gt;McNaughton&lt;/td&gt;</v>
      </c>
      <c r="Q515" t="str">
        <f t="shared" si="66"/>
        <v>&lt;td&gt;67 - 39&lt;/td&gt;</v>
      </c>
      <c r="R515" t="str">
        <f t="shared" si="67"/>
        <v>&lt;td class="VMHSsched"&gt;Vincent Massey&lt;/td&gt;</v>
      </c>
      <c r="S515" t="str">
        <f t="shared" si="68"/>
        <v>&lt;td&gt;Triple Crown Zone Challenge&lt;/td&gt; &lt;/tr&gt;</v>
      </c>
    </row>
    <row r="516" spans="1:19" x14ac:dyDescent="0.25">
      <c r="A516" s="5">
        <v>42427</v>
      </c>
      <c r="C516" t="s">
        <v>162</v>
      </c>
      <c r="D516" t="s">
        <v>164</v>
      </c>
      <c r="E516">
        <v>38</v>
      </c>
      <c r="F516" t="s">
        <v>32</v>
      </c>
      <c r="G516" t="s">
        <v>100</v>
      </c>
      <c r="H516">
        <v>61</v>
      </c>
      <c r="J516" t="str">
        <f t="shared" si="62"/>
        <v>H</v>
      </c>
      <c r="K516" t="s">
        <v>821</v>
      </c>
      <c r="L516" t="s">
        <v>822</v>
      </c>
      <c r="N516" t="str">
        <f t="shared" si="63"/>
        <v>&lt;tr&gt; &lt;td&gt;Feb. 27&lt;/td&gt;</v>
      </c>
      <c r="O516" t="str">
        <f t="shared" si="64"/>
        <v>&lt;td&gt;&lt;/td&gt;</v>
      </c>
      <c r="P516" t="str">
        <f t="shared" si="65"/>
        <v>&lt;td class="GVCsched"&gt;Garden Valley&lt;/td&gt;</v>
      </c>
      <c r="Q516" t="str">
        <f t="shared" si="66"/>
        <v>&lt;td&gt;38 - 61&lt;/td&gt;</v>
      </c>
      <c r="R516" t="str">
        <f t="shared" si="67"/>
        <v>&lt;td class="CPRSsched"&gt;Crocus Plains&lt;/td&gt;</v>
      </c>
      <c r="S516" t="str">
        <f t="shared" si="68"/>
        <v>&lt;td&gt;Triple Crown Zone Challenge&lt;/td&gt; &lt;/tr&gt;</v>
      </c>
    </row>
    <row r="517" spans="1:19" x14ac:dyDescent="0.25">
      <c r="A517" s="5">
        <v>42429</v>
      </c>
      <c r="B517" s="6">
        <v>0.6875</v>
      </c>
      <c r="C517" t="s">
        <v>25</v>
      </c>
      <c r="D517" t="s">
        <v>84</v>
      </c>
      <c r="E517">
        <v>57</v>
      </c>
      <c r="F517" t="s">
        <v>30</v>
      </c>
      <c r="G517" t="s">
        <v>92</v>
      </c>
      <c r="H517">
        <v>88</v>
      </c>
      <c r="J517" t="str">
        <f t="shared" si="62"/>
        <v>H</v>
      </c>
      <c r="K517" t="s">
        <v>252</v>
      </c>
      <c r="L517" t="s">
        <v>173</v>
      </c>
      <c r="N517" t="str">
        <f t="shared" si="63"/>
        <v>&lt;tr&gt; &lt;td&gt;Feb. 29&lt;/td&gt;</v>
      </c>
      <c r="O517" t="str">
        <f t="shared" si="64"/>
        <v>&lt;td&gt;4:30 PM&lt;/td&gt;</v>
      </c>
      <c r="P517" t="str">
        <f t="shared" si="65"/>
        <v>&lt;td class="EHSsched"&gt;Elmwood&lt;/td&gt;</v>
      </c>
      <c r="Q517" t="str">
        <f t="shared" si="66"/>
        <v>&lt;td&gt;57 - 88&lt;/td&gt;</v>
      </c>
      <c r="R517" t="str">
        <f t="shared" si="67"/>
        <v>&lt;td class="SJHSsched"&gt;St. John's&lt;/td&gt;</v>
      </c>
      <c r="S517" t="str">
        <f t="shared" si="68"/>
        <v>&lt;td&gt;WWAC-WAC Tier 2 Quarterfinal 1&lt;/td&gt; &lt;/tr&gt;</v>
      </c>
    </row>
    <row r="518" spans="1:19" x14ac:dyDescent="0.25">
      <c r="A518" s="5">
        <v>42429</v>
      </c>
      <c r="B518" s="6">
        <v>0.6875</v>
      </c>
      <c r="C518" t="s">
        <v>29</v>
      </c>
      <c r="D518" t="s">
        <v>91</v>
      </c>
      <c r="E518">
        <v>86</v>
      </c>
      <c r="F518" t="s">
        <v>26</v>
      </c>
      <c r="G518" t="s">
        <v>86</v>
      </c>
      <c r="H518">
        <v>78</v>
      </c>
      <c r="J518" t="str">
        <f t="shared" si="62"/>
        <v>V</v>
      </c>
      <c r="K518" t="s">
        <v>252</v>
      </c>
      <c r="L518" t="s">
        <v>175</v>
      </c>
      <c r="N518" t="str">
        <f t="shared" si="63"/>
        <v>&lt;tr&gt; &lt;td&gt;Feb. 29&lt;/td&gt;</v>
      </c>
      <c r="O518" t="str">
        <f t="shared" si="64"/>
        <v>&lt;td&gt;4:30 PM&lt;/td&gt;</v>
      </c>
      <c r="P518" t="str">
        <f t="shared" si="65"/>
        <v>&lt;td class="ShHSsched"&gt;Shaftesbury&lt;/td&gt;</v>
      </c>
      <c r="Q518" t="str">
        <f t="shared" si="66"/>
        <v>&lt;td&gt;86 - 78&lt;/td&gt;</v>
      </c>
      <c r="R518" t="str">
        <f t="shared" si="67"/>
        <v>&lt;td class="GBHSsched"&gt;Gordon Bell&lt;/td&gt;</v>
      </c>
      <c r="S518" t="str">
        <f t="shared" si="68"/>
        <v>&lt;td&gt;WWAC-WAC Tier 2 Quarterfinal 3&lt;/td&gt; &lt;/tr&gt;</v>
      </c>
    </row>
    <row r="519" spans="1:19" x14ac:dyDescent="0.25">
      <c r="A519" s="5">
        <v>42429</v>
      </c>
      <c r="B519" s="6">
        <v>0.6875</v>
      </c>
      <c r="C519" t="s">
        <v>31</v>
      </c>
      <c r="D519" t="s">
        <v>96</v>
      </c>
      <c r="E519">
        <v>84</v>
      </c>
      <c r="F519" t="s">
        <v>253</v>
      </c>
      <c r="H519">
        <v>85</v>
      </c>
      <c r="J519" t="str">
        <f t="shared" si="62"/>
        <v>H</v>
      </c>
      <c r="K519" t="s">
        <v>252</v>
      </c>
      <c r="L519" t="s">
        <v>176</v>
      </c>
      <c r="N519" t="str">
        <f t="shared" si="63"/>
        <v>&lt;tr&gt; &lt;td&gt;Feb. 29&lt;/td&gt;</v>
      </c>
      <c r="O519" t="str">
        <f t="shared" si="64"/>
        <v>&lt;td&gt;4:30 PM&lt;/td&gt;</v>
      </c>
      <c r="P519" t="str">
        <f t="shared" si="65"/>
        <v>&lt;td class="TVHSsched"&gt;Tec Voc&lt;/td&gt;</v>
      </c>
      <c r="Q519" t="str">
        <f t="shared" si="66"/>
        <v>&lt;td&gt;84 - 85&lt;/td&gt;</v>
      </c>
      <c r="R519" t="str">
        <f t="shared" si="67"/>
        <v>&lt;td class="sched"&gt;St. James&lt;/td&gt;</v>
      </c>
      <c r="S519" t="str">
        <f t="shared" si="68"/>
        <v>&lt;td&gt;WWAC-WAC Tier 2 Quarterfinal 4&lt;/td&gt; &lt;/tr&gt;</v>
      </c>
    </row>
    <row r="520" spans="1:19" x14ac:dyDescent="0.25">
      <c r="A520" s="5">
        <v>42429</v>
      </c>
      <c r="B520" s="6">
        <v>0.6875</v>
      </c>
      <c r="C520" t="s">
        <v>24</v>
      </c>
      <c r="D520" t="s">
        <v>82</v>
      </c>
      <c r="E520">
        <v>71</v>
      </c>
      <c r="F520" t="s">
        <v>6</v>
      </c>
      <c r="G520" t="s">
        <v>70</v>
      </c>
      <c r="H520">
        <v>91</v>
      </c>
      <c r="J520" t="str">
        <f t="shared" si="62"/>
        <v>H</v>
      </c>
      <c r="K520" t="s">
        <v>251</v>
      </c>
      <c r="L520" t="s">
        <v>173</v>
      </c>
      <c r="N520" t="str">
        <f t="shared" si="63"/>
        <v>&lt;tr&gt; &lt;td&gt;Feb. 29&lt;/td&gt;</v>
      </c>
      <c r="O520" t="str">
        <f t="shared" si="64"/>
        <v>&lt;td&gt;4:30 PM&lt;/td&gt;</v>
      </c>
      <c r="P520" t="str">
        <f t="shared" si="65"/>
        <v>&lt;td class="DMCIsched"&gt;Daniel McIntyre&lt;/td&gt;</v>
      </c>
      <c r="Q520" t="str">
        <f t="shared" si="66"/>
        <v>&lt;td&gt;71 - 91&lt;/td&gt;</v>
      </c>
      <c r="R520" t="str">
        <f t="shared" si="67"/>
        <v>&lt;td class="JTCsched"&gt;John Taylor&lt;/td&gt;</v>
      </c>
      <c r="S520" t="str">
        <f t="shared" si="68"/>
        <v>&lt;td&gt;WWAC-WAC Tier 1 Quarterfinal 1&lt;/td&gt; &lt;/tr&gt;</v>
      </c>
    </row>
    <row r="521" spans="1:19" x14ac:dyDescent="0.25">
      <c r="A521" s="5">
        <v>42429</v>
      </c>
      <c r="B521" s="6">
        <v>0.6875</v>
      </c>
      <c r="C521" t="s">
        <v>15</v>
      </c>
      <c r="D521" t="s">
        <v>68</v>
      </c>
      <c r="E521">
        <v>77</v>
      </c>
      <c r="F521" t="s">
        <v>3</v>
      </c>
      <c r="G521" t="s">
        <v>78</v>
      </c>
      <c r="H521">
        <v>71</v>
      </c>
      <c r="I521" t="s">
        <v>290</v>
      </c>
      <c r="J521" t="str">
        <f t="shared" si="62"/>
        <v>V</v>
      </c>
      <c r="K521" t="s">
        <v>251</v>
      </c>
      <c r="L521" t="s">
        <v>174</v>
      </c>
      <c r="N521" t="str">
        <f t="shared" si="63"/>
        <v>&lt;tr&gt; &lt;td&gt;Feb. 29&lt;/td&gt;</v>
      </c>
      <c r="O521" t="str">
        <f t="shared" si="64"/>
        <v>&lt;td&gt;4:30 PM&lt;/td&gt;</v>
      </c>
      <c r="P521" t="str">
        <f t="shared" si="65"/>
        <v>&lt;td class="FRCsched"&gt;Fort Richmond&lt;/td&gt;</v>
      </c>
      <c r="Q521" t="str">
        <f t="shared" si="66"/>
        <v>&lt;td&gt;77 - 71 2OT&lt;/td&gt;</v>
      </c>
      <c r="R521" t="str">
        <f t="shared" si="67"/>
        <v>&lt;td class="SPHSsched"&gt;St. Paul's&lt;/td&gt;</v>
      </c>
      <c r="S521" t="str">
        <f t="shared" si="68"/>
        <v>&lt;td&gt;WWAC-WAC Tier 1 Quarterfinal 2&lt;/td&gt; &lt;/tr&gt;</v>
      </c>
    </row>
    <row r="522" spans="1:19" x14ac:dyDescent="0.25">
      <c r="A522" s="5">
        <v>42429</v>
      </c>
      <c r="B522" s="6">
        <v>0.75</v>
      </c>
      <c r="C522" t="s">
        <v>18</v>
      </c>
      <c r="D522" t="s">
        <v>52</v>
      </c>
      <c r="E522">
        <v>54</v>
      </c>
      <c r="F522" t="s">
        <v>2</v>
      </c>
      <c r="G522" t="s">
        <v>43</v>
      </c>
      <c r="H522">
        <v>70</v>
      </c>
      <c r="J522" t="str">
        <f t="shared" si="62"/>
        <v>H</v>
      </c>
      <c r="K522" t="s">
        <v>37</v>
      </c>
      <c r="L522" t="s">
        <v>175</v>
      </c>
      <c r="N522" t="str">
        <f t="shared" si="63"/>
        <v>&lt;tr&gt; &lt;td&gt;Feb. 29&lt;/td&gt;</v>
      </c>
      <c r="O522" t="str">
        <f t="shared" si="64"/>
        <v>&lt;td&gt;6:00 PM&lt;/td&gt;</v>
      </c>
      <c r="P522" t="str">
        <f t="shared" si="65"/>
        <v>&lt;td class="RECsched"&gt;River East&lt;/td&gt;</v>
      </c>
      <c r="Q522" t="str">
        <f t="shared" si="66"/>
        <v>&lt;td&gt;54 - 70&lt;/td&gt;</v>
      </c>
      <c r="R522" t="str">
        <f t="shared" si="67"/>
        <v>&lt;td class="KECsched"&gt;Kildonan-East&lt;/td&gt;</v>
      </c>
      <c r="S522" t="str">
        <f t="shared" si="68"/>
        <v>&lt;td&gt;KPAC Quarterfinal 3&lt;/td&gt; &lt;/tr&gt;</v>
      </c>
    </row>
    <row r="523" spans="1:19" x14ac:dyDescent="0.25">
      <c r="A523" s="5">
        <v>42429</v>
      </c>
      <c r="B523" s="6">
        <v>0.75</v>
      </c>
      <c r="C523" t="s">
        <v>17</v>
      </c>
      <c r="D523" t="s">
        <v>50</v>
      </c>
      <c r="E523">
        <v>81</v>
      </c>
      <c r="F523" t="s">
        <v>20</v>
      </c>
      <c r="G523" t="s">
        <v>58</v>
      </c>
      <c r="H523">
        <v>68</v>
      </c>
      <c r="J523" t="str">
        <f t="shared" si="62"/>
        <v>V</v>
      </c>
      <c r="K523" t="s">
        <v>37</v>
      </c>
      <c r="L523" t="s">
        <v>176</v>
      </c>
      <c r="N523" t="str">
        <f t="shared" si="63"/>
        <v>&lt;tr&gt; &lt;td&gt;Feb. 29&lt;/td&gt;</v>
      </c>
      <c r="O523" t="str">
        <f t="shared" si="64"/>
        <v>&lt;td&gt;6:00 PM&lt;/td&gt;</v>
      </c>
      <c r="P523" t="str">
        <f t="shared" si="65"/>
        <v>&lt;td class="MMCIsched"&gt;Murdoch MacKay&lt;/td&gt;</v>
      </c>
      <c r="Q523" t="str">
        <f t="shared" si="66"/>
        <v>&lt;td&gt;81 - 68&lt;/td&gt;</v>
      </c>
      <c r="R523" t="str">
        <f t="shared" si="67"/>
        <v>&lt;td class="WKCsched"&gt;West Kildonan&lt;/td&gt;</v>
      </c>
      <c r="S523" t="str">
        <f t="shared" si="68"/>
        <v>&lt;td&gt;KPAC Quarterfinal 4&lt;/td&gt; &lt;/tr&gt;</v>
      </c>
    </row>
    <row r="524" spans="1:19" x14ac:dyDescent="0.25">
      <c r="A524" s="5">
        <v>42429</v>
      </c>
      <c r="B524" s="6">
        <v>0.75</v>
      </c>
      <c r="C524" t="s">
        <v>135</v>
      </c>
      <c r="D524" t="s">
        <v>136</v>
      </c>
      <c r="E524">
        <v>35</v>
      </c>
      <c r="F524" t="s">
        <v>5</v>
      </c>
      <c r="G524" t="s">
        <v>62</v>
      </c>
      <c r="H524">
        <v>98</v>
      </c>
      <c r="J524" t="str">
        <f t="shared" si="62"/>
        <v>H</v>
      </c>
      <c r="K524" t="s">
        <v>763</v>
      </c>
      <c r="L524" t="s">
        <v>174</v>
      </c>
      <c r="N524" t="str">
        <f t="shared" si="63"/>
        <v>&lt;tr&gt; &lt;td&gt;Feb. 29&lt;/td&gt;</v>
      </c>
      <c r="O524" t="str">
        <f t="shared" si="64"/>
        <v>&lt;td&gt;6:00 PM&lt;/td&gt;</v>
      </c>
      <c r="P524" t="str">
        <f t="shared" si="65"/>
        <v>&lt;td class="NPCsched"&gt;Northlands Parkway&lt;/td&gt;</v>
      </c>
      <c r="Q524" t="str">
        <f t="shared" si="66"/>
        <v>&lt;td&gt;35 - 98&lt;/td&gt;</v>
      </c>
      <c r="R524" t="str">
        <f t="shared" si="67"/>
        <v>&lt;td class="GCIsched"&gt;Glenlawn&lt;/td&gt;</v>
      </c>
      <c r="S524" t="str">
        <f t="shared" si="68"/>
        <v>&lt;td&gt;SCAC Quarterfinal 2&lt;/td&gt; &lt;/tr&gt;</v>
      </c>
    </row>
    <row r="525" spans="1:19" x14ac:dyDescent="0.25">
      <c r="A525" s="5">
        <v>42429</v>
      </c>
      <c r="B525" s="6">
        <v>0.76041666666666663</v>
      </c>
      <c r="C525" t="s">
        <v>10</v>
      </c>
      <c r="D525" t="s">
        <v>72</v>
      </c>
      <c r="E525">
        <v>54</v>
      </c>
      <c r="F525" t="s">
        <v>1</v>
      </c>
      <c r="G525" t="s">
        <v>74</v>
      </c>
      <c r="H525">
        <v>88</v>
      </c>
      <c r="J525" t="str">
        <f t="shared" si="62"/>
        <v>H</v>
      </c>
      <c r="K525" t="s">
        <v>251</v>
      </c>
      <c r="L525" t="s">
        <v>175</v>
      </c>
      <c r="N525" t="str">
        <f t="shared" si="63"/>
        <v>&lt;tr&gt; &lt;td&gt;Feb. 29&lt;/td&gt;</v>
      </c>
      <c r="O525" t="str">
        <f t="shared" si="64"/>
        <v>&lt;td&gt;6:15 PM&lt;/td&gt;</v>
      </c>
      <c r="P525" t="str">
        <f t="shared" si="65"/>
        <v>&lt;td class="KHSsched"&gt;Kelvin&lt;/td&gt;</v>
      </c>
      <c r="Q525" t="str">
        <f t="shared" si="66"/>
        <v>&lt;td&gt;54 - 88&lt;/td&gt;</v>
      </c>
      <c r="R525" t="str">
        <f t="shared" si="67"/>
        <v>&lt;td class="OPHSsched"&gt;Oak Park&lt;/td&gt;</v>
      </c>
      <c r="S525" t="str">
        <f t="shared" si="68"/>
        <v>&lt;td&gt;WWAC-WAC Tier 1 Quarterfinal 3&lt;/td&gt; &lt;/tr&gt;</v>
      </c>
    </row>
    <row r="526" spans="1:19" x14ac:dyDescent="0.25">
      <c r="A526" s="5">
        <v>42429</v>
      </c>
      <c r="B526" s="6">
        <v>0.76041666666666663</v>
      </c>
      <c r="C526" t="s">
        <v>23</v>
      </c>
      <c r="D526" t="s">
        <v>80</v>
      </c>
      <c r="E526">
        <v>72</v>
      </c>
      <c r="F526" t="s">
        <v>9</v>
      </c>
      <c r="G526" t="s">
        <v>76</v>
      </c>
      <c r="H526">
        <v>88</v>
      </c>
      <c r="J526" t="str">
        <f t="shared" si="62"/>
        <v>H</v>
      </c>
      <c r="K526" t="s">
        <v>251</v>
      </c>
      <c r="L526" t="s">
        <v>176</v>
      </c>
      <c r="N526" t="str">
        <f t="shared" si="63"/>
        <v>&lt;tr&gt; &lt;td&gt;Feb. 29&lt;/td&gt;</v>
      </c>
      <c r="O526" t="str">
        <f t="shared" si="64"/>
        <v>&lt;td&gt;6:15 PM&lt;/td&gt;</v>
      </c>
      <c r="P526" t="str">
        <f t="shared" si="65"/>
        <v>&lt;td class="VMCsched"&gt;Vincent Massey&lt;/td&gt;</v>
      </c>
      <c r="Q526" t="str">
        <f t="shared" si="66"/>
        <v>&lt;td&gt;72 - 88&lt;/td&gt;</v>
      </c>
      <c r="R526" t="str">
        <f t="shared" si="67"/>
        <v>&lt;td class="SiHSsched"&gt;Sisler&lt;/td&gt;</v>
      </c>
      <c r="S526" t="str">
        <f t="shared" si="68"/>
        <v>&lt;td&gt;WWAC-WAC Tier 1 Quarterfinal 4&lt;/td&gt; &lt;/tr&gt;</v>
      </c>
    </row>
    <row r="527" spans="1:19" x14ac:dyDescent="0.25">
      <c r="A527" s="5">
        <v>42429</v>
      </c>
      <c r="B527" s="6">
        <v>0.77083333333333337</v>
      </c>
      <c r="C527" t="s">
        <v>22</v>
      </c>
      <c r="D527" t="s">
        <v>66</v>
      </c>
      <c r="E527">
        <v>88</v>
      </c>
      <c r="F527" t="s">
        <v>21</v>
      </c>
      <c r="G527" t="s">
        <v>64</v>
      </c>
      <c r="H527">
        <v>60</v>
      </c>
      <c r="J527" t="str">
        <f t="shared" si="62"/>
        <v>V</v>
      </c>
      <c r="K527" t="s">
        <v>763</v>
      </c>
      <c r="L527" t="s">
        <v>173</v>
      </c>
      <c r="N527" t="str">
        <f t="shared" si="63"/>
        <v>&lt;tr&gt; &lt;td&gt;Feb. 29&lt;/td&gt;</v>
      </c>
      <c r="O527" t="str">
        <f t="shared" si="64"/>
        <v>&lt;td&gt;6:30 PM&lt;/td&gt;</v>
      </c>
      <c r="P527" t="str">
        <f t="shared" si="65"/>
        <v>&lt;td class="SRSSsched"&gt;Steinbach&lt;/td&gt;</v>
      </c>
      <c r="Q527" t="str">
        <f t="shared" si="66"/>
        <v>&lt;td&gt;88 - 60&lt;/td&gt;</v>
      </c>
      <c r="R527" t="str">
        <f t="shared" si="67"/>
        <v>&lt;td class="JHBsched"&gt;J.H. Bruns&lt;/td&gt;</v>
      </c>
      <c r="S527" t="str">
        <f t="shared" si="68"/>
        <v>&lt;td&gt;SCAC Quarterfinal 1&lt;/td&gt; &lt;/tr&gt;</v>
      </c>
    </row>
    <row r="528" spans="1:19" x14ac:dyDescent="0.25">
      <c r="A528" s="5">
        <v>42429</v>
      </c>
      <c r="B528" s="6">
        <v>0.78125</v>
      </c>
      <c r="C528" t="s">
        <v>13</v>
      </c>
      <c r="D528" t="s">
        <v>98</v>
      </c>
      <c r="E528">
        <v>42</v>
      </c>
      <c r="F528" t="s">
        <v>28</v>
      </c>
      <c r="G528" t="s">
        <v>90</v>
      </c>
      <c r="H528">
        <v>92</v>
      </c>
      <c r="J528" t="str">
        <f t="shared" si="62"/>
        <v>H</v>
      </c>
      <c r="K528" t="s">
        <v>252</v>
      </c>
      <c r="L528" t="s">
        <v>174</v>
      </c>
      <c r="N528" t="str">
        <f t="shared" si="63"/>
        <v>&lt;tr&gt; &lt;td&gt;Feb. 29&lt;/td&gt;</v>
      </c>
      <c r="O528" t="str">
        <f t="shared" si="64"/>
        <v>&lt;td&gt;6:45 PM&lt;/td&gt;</v>
      </c>
      <c r="P528" t="str">
        <f t="shared" si="65"/>
        <v>&lt;td class="WWCsched"&gt;Westwood&lt;/td&gt;</v>
      </c>
      <c r="Q528" t="str">
        <f t="shared" si="66"/>
        <v>&lt;td&gt;42 - 92&lt;/td&gt;</v>
      </c>
      <c r="R528" t="str">
        <f t="shared" si="67"/>
        <v>&lt;td class="PCIsched"&gt;Portage&lt;/td&gt;</v>
      </c>
      <c r="S528" t="str">
        <f t="shared" si="68"/>
        <v>&lt;td&gt;WWAC-WAC Tier 2 Quarterfinal 2&lt;/td&gt; &lt;/tr&gt;</v>
      </c>
    </row>
    <row r="529" spans="1:19" x14ac:dyDescent="0.25">
      <c r="A529" s="5">
        <v>42429</v>
      </c>
      <c r="B529" s="6">
        <v>0.79166666666666663</v>
      </c>
      <c r="C529" t="s">
        <v>11</v>
      </c>
      <c r="D529" t="s">
        <v>48</v>
      </c>
      <c r="E529">
        <v>33</v>
      </c>
      <c r="F529" t="s">
        <v>4</v>
      </c>
      <c r="G529" t="s">
        <v>41</v>
      </c>
      <c r="H529">
        <v>79</v>
      </c>
      <c r="J529" t="str">
        <f t="shared" si="62"/>
        <v>H</v>
      </c>
      <c r="K529" t="s">
        <v>37</v>
      </c>
      <c r="L529" t="s">
        <v>173</v>
      </c>
      <c r="N529" t="str">
        <f t="shared" si="63"/>
        <v>&lt;tr&gt; &lt;td&gt;Feb. 29&lt;/td&gt;</v>
      </c>
      <c r="O529" t="str">
        <f t="shared" si="64"/>
        <v>&lt;td&gt;7:00 PM&lt;/td&gt;</v>
      </c>
      <c r="P529" t="str">
        <f t="shared" si="65"/>
        <v>&lt;td class="MMCsched"&gt;Miles Macdonell&lt;/td&gt;</v>
      </c>
      <c r="Q529" t="str">
        <f t="shared" si="66"/>
        <v>&lt;td&gt;33 - 79&lt;/td&gt;</v>
      </c>
      <c r="R529" t="str">
        <f t="shared" si="67"/>
        <v>&lt;td class="GCCsched"&gt;Garden City&lt;/td&gt;</v>
      </c>
      <c r="S529" t="str">
        <f t="shared" si="68"/>
        <v>&lt;td&gt;KPAC Quarterfinal 1&lt;/td&gt; &lt;/tr&gt;</v>
      </c>
    </row>
    <row r="530" spans="1:19" x14ac:dyDescent="0.25">
      <c r="A530" s="5">
        <v>42429</v>
      </c>
      <c r="B530" s="6">
        <v>0.8125</v>
      </c>
      <c r="C530" t="s">
        <v>16</v>
      </c>
      <c r="D530" t="s">
        <v>45</v>
      </c>
      <c r="E530">
        <v>97</v>
      </c>
      <c r="F530" t="s">
        <v>7</v>
      </c>
      <c r="G530" t="s">
        <v>7</v>
      </c>
      <c r="H530">
        <v>76</v>
      </c>
      <c r="J530" t="str">
        <f t="shared" si="62"/>
        <v>V</v>
      </c>
      <c r="K530" t="s">
        <v>37</v>
      </c>
      <c r="L530" t="s">
        <v>174</v>
      </c>
      <c r="N530" t="str">
        <f t="shared" si="63"/>
        <v>&lt;tr&gt; &lt;td&gt;Feb. 29&lt;/td&gt;</v>
      </c>
      <c r="O530" t="str">
        <f t="shared" si="64"/>
        <v>&lt;td&gt;7:30 PM&lt;/td&gt;</v>
      </c>
      <c r="P530" t="str">
        <f t="shared" si="65"/>
        <v>&lt;td class="MCsched"&gt;Maples&lt;/td&gt;</v>
      </c>
      <c r="Q530" t="str">
        <f t="shared" si="66"/>
        <v>&lt;td&gt;97 - 76&lt;/td&gt;</v>
      </c>
      <c r="R530" t="str">
        <f t="shared" si="67"/>
        <v>&lt;td class="MBCIsched"&gt;MBCI&lt;/td&gt;</v>
      </c>
      <c r="S530" t="str">
        <f t="shared" si="68"/>
        <v>&lt;td&gt;KPAC Quarterfinal 2&lt;/td&gt; &lt;/tr&gt;</v>
      </c>
    </row>
    <row r="531" spans="1:19" x14ac:dyDescent="0.25">
      <c r="A531" s="5">
        <v>42430</v>
      </c>
      <c r="B531" s="6">
        <v>0.76041666666666663</v>
      </c>
      <c r="C531" t="s">
        <v>28</v>
      </c>
      <c r="D531" t="s">
        <v>90</v>
      </c>
      <c r="E531">
        <v>49</v>
      </c>
      <c r="F531" t="s">
        <v>30</v>
      </c>
      <c r="G531" t="s">
        <v>92</v>
      </c>
      <c r="H531">
        <v>58</v>
      </c>
      <c r="J531" t="str">
        <f t="shared" si="62"/>
        <v>H</v>
      </c>
      <c r="K531" t="s">
        <v>252</v>
      </c>
      <c r="L531" t="s">
        <v>179</v>
      </c>
      <c r="N531" t="str">
        <f t="shared" si="63"/>
        <v>&lt;tr&gt; &lt;td&gt;Mar. 1&lt;/td&gt;</v>
      </c>
      <c r="O531" t="str">
        <f t="shared" si="64"/>
        <v>&lt;td&gt;6:15 PM&lt;/td&gt;</v>
      </c>
      <c r="P531" t="str">
        <f t="shared" si="65"/>
        <v>&lt;td class="PCIsched"&gt;Portage&lt;/td&gt;</v>
      </c>
      <c r="Q531" t="str">
        <f t="shared" si="66"/>
        <v>&lt;td&gt;49 - 58&lt;/td&gt;</v>
      </c>
      <c r="R531" t="str">
        <f t="shared" si="67"/>
        <v>&lt;td class="SJHSsched"&gt;St. John's&lt;/td&gt;</v>
      </c>
      <c r="S531" t="str">
        <f t="shared" si="68"/>
        <v>&lt;td&gt;WWAC-WAC Tier 2 Semifinal 1&lt;/td&gt; &lt;/tr&gt;</v>
      </c>
    </row>
    <row r="532" spans="1:19" x14ac:dyDescent="0.25">
      <c r="A532" s="5">
        <v>42430</v>
      </c>
      <c r="B532" s="6">
        <v>0.76041666666666663</v>
      </c>
      <c r="C532" t="s">
        <v>15</v>
      </c>
      <c r="D532" t="s">
        <v>68</v>
      </c>
      <c r="E532">
        <v>68</v>
      </c>
      <c r="F532" t="s">
        <v>6</v>
      </c>
      <c r="G532" t="s">
        <v>70</v>
      </c>
      <c r="H532">
        <v>89</v>
      </c>
      <c r="J532" t="str">
        <f t="shared" si="62"/>
        <v>H</v>
      </c>
      <c r="K532" t="s">
        <v>251</v>
      </c>
      <c r="L532" t="s">
        <v>179</v>
      </c>
      <c r="N532" t="str">
        <f t="shared" si="63"/>
        <v>&lt;tr&gt; &lt;td&gt;Mar. 1&lt;/td&gt;</v>
      </c>
      <c r="O532" t="str">
        <f t="shared" si="64"/>
        <v>&lt;td&gt;6:15 PM&lt;/td&gt;</v>
      </c>
      <c r="P532" t="str">
        <f t="shared" si="65"/>
        <v>&lt;td class="FRCsched"&gt;Fort Richmond&lt;/td&gt;</v>
      </c>
      <c r="Q532" t="str">
        <f t="shared" si="66"/>
        <v>&lt;td&gt;68 - 89&lt;/td&gt;</v>
      </c>
      <c r="R532" t="str">
        <f t="shared" si="67"/>
        <v>&lt;td class="JTCsched"&gt;John Taylor&lt;/td&gt;</v>
      </c>
      <c r="S532" t="str">
        <f t="shared" si="68"/>
        <v>&lt;td&gt;WWAC-WAC Tier 1 Semifinal 1&lt;/td&gt; &lt;/tr&gt;</v>
      </c>
    </row>
    <row r="533" spans="1:19" x14ac:dyDescent="0.25">
      <c r="A533" s="5">
        <v>42430</v>
      </c>
      <c r="B533" s="6">
        <v>0.82291666666666663</v>
      </c>
      <c r="C533" t="s">
        <v>23</v>
      </c>
      <c r="D533" t="s">
        <v>102</v>
      </c>
      <c r="E533">
        <v>64</v>
      </c>
      <c r="F533" t="s">
        <v>32</v>
      </c>
      <c r="G533" t="s">
        <v>100</v>
      </c>
      <c r="H533">
        <v>68</v>
      </c>
      <c r="J533" t="str">
        <f t="shared" si="62"/>
        <v>H</v>
      </c>
      <c r="K533" t="s">
        <v>796</v>
      </c>
      <c r="L533" t="s">
        <v>820</v>
      </c>
      <c r="N533" t="str">
        <f t="shared" si="63"/>
        <v>&lt;tr&gt; &lt;td&gt;Mar. 1&lt;/td&gt;</v>
      </c>
      <c r="O533" t="str">
        <f t="shared" si="64"/>
        <v>&lt;td&gt;7:45 PM&lt;/td&gt;</v>
      </c>
      <c r="P533" t="str">
        <f t="shared" si="65"/>
        <v>&lt;td class="VMHSsched"&gt;Vincent Massey&lt;/td&gt;</v>
      </c>
      <c r="Q533" t="str">
        <f t="shared" si="66"/>
        <v>&lt;td&gt;64 - 68&lt;/td&gt;</v>
      </c>
      <c r="R533" t="str">
        <f t="shared" si="67"/>
        <v>&lt;td class="CPRSsched"&gt;Crocus Plains&lt;/td&gt;</v>
      </c>
      <c r="S533" t="str">
        <f t="shared" si="68"/>
        <v>&lt;td&gt;Zone 15 Championship Game 3&lt;/td&gt; &lt;/tr&gt;</v>
      </c>
    </row>
    <row r="534" spans="1:19" x14ac:dyDescent="0.25">
      <c r="A534" s="5">
        <v>42431</v>
      </c>
      <c r="B534" s="6">
        <v>0.75</v>
      </c>
      <c r="C534" t="s">
        <v>16</v>
      </c>
      <c r="D534" t="s">
        <v>45</v>
      </c>
      <c r="E534">
        <v>54</v>
      </c>
      <c r="F534" t="s">
        <v>4</v>
      </c>
      <c r="G534" t="s">
        <v>41</v>
      </c>
      <c r="H534">
        <v>87</v>
      </c>
      <c r="J534" t="str">
        <f t="shared" si="62"/>
        <v>H</v>
      </c>
      <c r="K534" t="s">
        <v>37</v>
      </c>
      <c r="L534" t="s">
        <v>179</v>
      </c>
      <c r="N534" t="str">
        <f t="shared" si="63"/>
        <v>&lt;tr&gt; &lt;td&gt;Mar. 2&lt;/td&gt;</v>
      </c>
      <c r="O534" t="str">
        <f t="shared" si="64"/>
        <v>&lt;td&gt;6:00 PM&lt;/td&gt;</v>
      </c>
      <c r="P534" t="str">
        <f t="shared" si="65"/>
        <v>&lt;td class="MCsched"&gt;Maples&lt;/td&gt;</v>
      </c>
      <c r="Q534" t="str">
        <f t="shared" si="66"/>
        <v>&lt;td&gt;54 - 87&lt;/td&gt;</v>
      </c>
      <c r="R534" t="str">
        <f t="shared" si="67"/>
        <v>&lt;td class="GCCsched"&gt;Garden City&lt;/td&gt;</v>
      </c>
      <c r="S534" t="str">
        <f t="shared" si="68"/>
        <v>&lt;td&gt;KPAC Semifinal 1&lt;/td&gt; &lt;/tr&gt;</v>
      </c>
    </row>
    <row r="535" spans="1:19" x14ac:dyDescent="0.25">
      <c r="A535" s="5">
        <v>42431</v>
      </c>
      <c r="B535" s="6">
        <v>0.75</v>
      </c>
      <c r="C535" t="s">
        <v>17</v>
      </c>
      <c r="D535" t="s">
        <v>50</v>
      </c>
      <c r="E535">
        <v>57</v>
      </c>
      <c r="F535" t="s">
        <v>2</v>
      </c>
      <c r="G535" t="s">
        <v>43</v>
      </c>
      <c r="H535">
        <v>90</v>
      </c>
      <c r="J535" t="str">
        <f t="shared" si="62"/>
        <v>H</v>
      </c>
      <c r="K535" t="s">
        <v>37</v>
      </c>
      <c r="L535" t="s">
        <v>180</v>
      </c>
      <c r="N535" t="str">
        <f t="shared" si="63"/>
        <v>&lt;tr&gt; &lt;td&gt;Mar. 2&lt;/td&gt;</v>
      </c>
      <c r="O535" t="str">
        <f t="shared" si="64"/>
        <v>&lt;td&gt;6:00 PM&lt;/td&gt;</v>
      </c>
      <c r="P535" t="str">
        <f t="shared" si="65"/>
        <v>&lt;td class="MMCIsched"&gt;Murdoch MacKay&lt;/td&gt;</v>
      </c>
      <c r="Q535" t="str">
        <f t="shared" si="66"/>
        <v>&lt;td&gt;57 - 90&lt;/td&gt;</v>
      </c>
      <c r="R535" t="str">
        <f t="shared" si="67"/>
        <v>&lt;td class="KECsched"&gt;Kildonan-East&lt;/td&gt;</v>
      </c>
      <c r="S535" t="str">
        <f t="shared" si="68"/>
        <v>&lt;td&gt;KPAC Semifinal 2&lt;/td&gt; &lt;/tr&gt;</v>
      </c>
    </row>
    <row r="536" spans="1:19" x14ac:dyDescent="0.25">
      <c r="A536" s="5">
        <v>42431</v>
      </c>
      <c r="B536" s="6">
        <v>0.76041666666666663</v>
      </c>
      <c r="C536" t="s">
        <v>253</v>
      </c>
      <c r="E536">
        <v>90</v>
      </c>
      <c r="F536" t="s">
        <v>29</v>
      </c>
      <c r="G536" t="s">
        <v>91</v>
      </c>
      <c r="H536">
        <v>60</v>
      </c>
      <c r="J536" t="str">
        <f t="shared" si="62"/>
        <v>V</v>
      </c>
      <c r="K536" t="s">
        <v>252</v>
      </c>
      <c r="L536" t="s">
        <v>180</v>
      </c>
      <c r="N536" t="str">
        <f t="shared" si="63"/>
        <v>&lt;tr&gt; &lt;td&gt;Mar. 2&lt;/td&gt;</v>
      </c>
      <c r="O536" t="str">
        <f t="shared" si="64"/>
        <v>&lt;td&gt;6:15 PM&lt;/td&gt;</v>
      </c>
      <c r="P536" t="str">
        <f t="shared" si="65"/>
        <v>&lt;td class="sched"&gt;St. James&lt;/td&gt;</v>
      </c>
      <c r="Q536" t="str">
        <f t="shared" si="66"/>
        <v>&lt;td&gt;90 - 60&lt;/td&gt;</v>
      </c>
      <c r="R536" t="str">
        <f t="shared" si="67"/>
        <v>&lt;td class="ShHSsched"&gt;Shaftesbury&lt;/td&gt;</v>
      </c>
      <c r="S536" t="str">
        <f t="shared" si="68"/>
        <v>&lt;td&gt;WWAC-WAC Tier 2 Semifinal 2&lt;/td&gt; &lt;/tr&gt;</v>
      </c>
    </row>
    <row r="537" spans="1:19" x14ac:dyDescent="0.25">
      <c r="A537" s="5">
        <v>42431</v>
      </c>
      <c r="B537" s="6">
        <v>0.76041666666666663</v>
      </c>
      <c r="C537" t="s">
        <v>9</v>
      </c>
      <c r="D537" t="s">
        <v>76</v>
      </c>
      <c r="E537">
        <v>71</v>
      </c>
      <c r="F537" t="s">
        <v>1</v>
      </c>
      <c r="G537" t="s">
        <v>74</v>
      </c>
      <c r="H537">
        <v>74</v>
      </c>
      <c r="J537" t="str">
        <f t="shared" si="62"/>
        <v>H</v>
      </c>
      <c r="K537" t="s">
        <v>251</v>
      </c>
      <c r="L537" t="s">
        <v>180</v>
      </c>
      <c r="N537" t="str">
        <f t="shared" si="63"/>
        <v>&lt;tr&gt; &lt;td&gt;Mar. 2&lt;/td&gt;</v>
      </c>
      <c r="O537" t="str">
        <f t="shared" si="64"/>
        <v>&lt;td&gt;6:15 PM&lt;/td&gt;</v>
      </c>
      <c r="P537" t="str">
        <f t="shared" si="65"/>
        <v>&lt;td class="SiHSsched"&gt;Sisler&lt;/td&gt;</v>
      </c>
      <c r="Q537" t="str">
        <f t="shared" si="66"/>
        <v>&lt;td&gt;71 - 74&lt;/td&gt;</v>
      </c>
      <c r="R537" t="str">
        <f t="shared" si="67"/>
        <v>&lt;td class="OPHSsched"&gt;Oak Park&lt;/td&gt;</v>
      </c>
      <c r="S537" t="str">
        <f t="shared" si="68"/>
        <v>&lt;td&gt;WWAC-WAC Tier 1 Semifinal 2&lt;/td&gt; &lt;/tr&gt;</v>
      </c>
    </row>
    <row r="538" spans="1:19" x14ac:dyDescent="0.25">
      <c r="A538" s="5">
        <v>42431</v>
      </c>
      <c r="B538" s="6">
        <v>0.8125</v>
      </c>
      <c r="C538" t="s">
        <v>22</v>
      </c>
      <c r="D538" t="s">
        <v>66</v>
      </c>
      <c r="E538">
        <v>59</v>
      </c>
      <c r="F538" t="s">
        <v>8</v>
      </c>
      <c r="G538" t="s">
        <v>60</v>
      </c>
      <c r="H538">
        <v>74</v>
      </c>
      <c r="J538" t="str">
        <f t="shared" si="62"/>
        <v>H</v>
      </c>
      <c r="K538" t="s">
        <v>763</v>
      </c>
      <c r="L538" t="s">
        <v>179</v>
      </c>
      <c r="N538" t="str">
        <f t="shared" si="63"/>
        <v>&lt;tr&gt; &lt;td&gt;Mar. 2&lt;/td&gt;</v>
      </c>
      <c r="O538" t="str">
        <f t="shared" si="64"/>
        <v>&lt;td&gt;7:30 PM&lt;/td&gt;</v>
      </c>
      <c r="P538" t="str">
        <f t="shared" si="65"/>
        <v>&lt;td class="SRSSsched"&gt;Steinbach&lt;/td&gt;</v>
      </c>
      <c r="Q538" t="str">
        <f t="shared" si="66"/>
        <v>&lt;td&gt;59 - 74&lt;/td&gt;</v>
      </c>
      <c r="R538" t="str">
        <f t="shared" si="67"/>
        <v>&lt;td class="DCIsched"&gt;Dakota&lt;/td&gt;</v>
      </c>
      <c r="S538" t="str">
        <f t="shared" si="68"/>
        <v>&lt;td&gt;SCAC Semifinal 1&lt;/td&gt; &lt;/tr&gt;</v>
      </c>
    </row>
    <row r="539" spans="1:19" x14ac:dyDescent="0.25">
      <c r="A539" s="5">
        <v>42431</v>
      </c>
      <c r="B539" s="6">
        <v>0.8125</v>
      </c>
      <c r="C539" t="s">
        <v>5</v>
      </c>
      <c r="D539" t="s">
        <v>62</v>
      </c>
      <c r="E539">
        <v>59</v>
      </c>
      <c r="F539" t="s">
        <v>213</v>
      </c>
      <c r="G539" t="s">
        <v>540</v>
      </c>
      <c r="H539">
        <v>73</v>
      </c>
      <c r="J539" t="str">
        <f t="shared" si="62"/>
        <v>H</v>
      </c>
      <c r="K539" t="s">
        <v>763</v>
      </c>
      <c r="L539" t="s">
        <v>180</v>
      </c>
      <c r="N539" t="str">
        <f t="shared" si="63"/>
        <v>&lt;tr&gt; &lt;td&gt;Mar. 2&lt;/td&gt;</v>
      </c>
      <c r="O539" t="str">
        <f t="shared" si="64"/>
        <v>&lt;td&gt;7:30 PM&lt;/td&gt;</v>
      </c>
      <c r="P539" t="str">
        <f t="shared" si="65"/>
        <v>&lt;td class="GCIsched"&gt;Glenlawn&lt;/td&gt;</v>
      </c>
      <c r="Q539" t="str">
        <f t="shared" si="66"/>
        <v>&lt;td&gt;59 - 73&lt;/td&gt;</v>
      </c>
      <c r="R539" t="str">
        <f t="shared" si="67"/>
        <v>&lt;td class="SJRsched"&gt;St. John's-Ravenscourt&lt;/td&gt;</v>
      </c>
      <c r="S539" t="str">
        <f t="shared" si="68"/>
        <v>&lt;td&gt;SCAC Semifinal 2&lt;/td&gt; &lt;/tr&gt;</v>
      </c>
    </row>
    <row r="540" spans="1:19" x14ac:dyDescent="0.25">
      <c r="A540" s="5">
        <v>42432</v>
      </c>
      <c r="B540" s="6">
        <v>0.73958333333333337</v>
      </c>
      <c r="C540" t="s">
        <v>162</v>
      </c>
      <c r="D540" t="s">
        <v>164</v>
      </c>
      <c r="E540">
        <v>67</v>
      </c>
      <c r="F540" t="s">
        <v>32</v>
      </c>
      <c r="G540" t="s">
        <v>100</v>
      </c>
      <c r="H540">
        <v>56</v>
      </c>
      <c r="J540" t="str">
        <f t="shared" si="62"/>
        <v>V</v>
      </c>
      <c r="K540" t="s">
        <v>827</v>
      </c>
      <c r="L540" t="s">
        <v>184</v>
      </c>
      <c r="N540" t="str">
        <f t="shared" si="63"/>
        <v>&lt;tr&gt; &lt;td&gt;Mar. 3&lt;/td&gt;</v>
      </c>
      <c r="O540" t="str">
        <f t="shared" si="64"/>
        <v>&lt;td&gt;5:45 PM&lt;/td&gt;</v>
      </c>
      <c r="P540" t="str">
        <f t="shared" si="65"/>
        <v>&lt;td class="GVCsched"&gt;Garden Valley&lt;/td&gt;</v>
      </c>
      <c r="Q540" t="str">
        <f t="shared" si="66"/>
        <v>&lt;td&gt;67 - 56&lt;/td&gt;</v>
      </c>
      <c r="R540" t="str">
        <f t="shared" si="67"/>
        <v>&lt;td class="CPRSsched"&gt;Crocus Plains&lt;/td&gt;</v>
      </c>
      <c r="S540" t="str">
        <f t="shared" si="68"/>
        <v>&lt;td&gt;Zone 4/15 Championship&lt;/td&gt; &lt;/tr&gt;</v>
      </c>
    </row>
    <row r="541" spans="1:19" x14ac:dyDescent="0.25">
      <c r="A541" s="5">
        <v>42432</v>
      </c>
      <c r="B541" s="6">
        <v>0.79166666666666663</v>
      </c>
      <c r="C541" t="s">
        <v>29</v>
      </c>
      <c r="D541" t="s">
        <v>91</v>
      </c>
      <c r="E541">
        <v>69</v>
      </c>
      <c r="F541" t="s">
        <v>28</v>
      </c>
      <c r="G541" t="s">
        <v>90</v>
      </c>
      <c r="H541">
        <v>65</v>
      </c>
      <c r="J541" t="str">
        <f t="shared" si="62"/>
        <v>V</v>
      </c>
      <c r="K541" t="s">
        <v>252</v>
      </c>
      <c r="L541" t="s">
        <v>183</v>
      </c>
      <c r="N541" t="str">
        <f t="shared" si="63"/>
        <v>&lt;tr&gt; &lt;td&gt;Mar. 3&lt;/td&gt;</v>
      </c>
      <c r="O541" t="str">
        <f t="shared" si="64"/>
        <v>&lt;td&gt;7:00 PM&lt;/td&gt;</v>
      </c>
      <c r="P541" t="str">
        <f t="shared" si="65"/>
        <v>&lt;td class="ShHSsched"&gt;Shaftesbury&lt;/td&gt;</v>
      </c>
      <c r="Q541" t="str">
        <f t="shared" si="66"/>
        <v>&lt;td&gt;69 - 65&lt;/td&gt;</v>
      </c>
      <c r="R541" t="str">
        <f t="shared" si="67"/>
        <v>&lt;td class="PCIsched"&gt;Portage&lt;/td&gt;</v>
      </c>
      <c r="S541" t="str">
        <f t="shared" si="68"/>
        <v>&lt;td&gt;WWAC-WAC Tier 2 3rd Place&lt;/td&gt; &lt;/tr&gt;</v>
      </c>
    </row>
    <row r="542" spans="1:19" x14ac:dyDescent="0.25">
      <c r="A542" s="5">
        <v>42432</v>
      </c>
      <c r="B542" s="6">
        <v>0.79166666666666663</v>
      </c>
      <c r="C542" t="s">
        <v>9</v>
      </c>
      <c r="D542" t="s">
        <v>76</v>
      </c>
      <c r="E542">
        <v>87</v>
      </c>
      <c r="F542" t="s">
        <v>15</v>
      </c>
      <c r="G542" t="s">
        <v>68</v>
      </c>
      <c r="H542">
        <v>81</v>
      </c>
      <c r="J542" t="str">
        <f t="shared" si="62"/>
        <v>V</v>
      </c>
      <c r="K542" t="s">
        <v>251</v>
      </c>
      <c r="L542" t="s">
        <v>183</v>
      </c>
      <c r="N542" t="str">
        <f t="shared" si="63"/>
        <v>&lt;tr&gt; &lt;td&gt;Mar. 3&lt;/td&gt;</v>
      </c>
      <c r="O542" t="str">
        <f t="shared" si="64"/>
        <v>&lt;td&gt;7:00 PM&lt;/td&gt;</v>
      </c>
      <c r="P542" t="str">
        <f t="shared" si="65"/>
        <v>&lt;td class="SiHSsched"&gt;Sisler&lt;/td&gt;</v>
      </c>
      <c r="Q542" t="str">
        <f t="shared" si="66"/>
        <v>&lt;td&gt;87 - 81&lt;/td&gt;</v>
      </c>
      <c r="R542" t="str">
        <f t="shared" si="67"/>
        <v>&lt;td class="FRCsched"&gt;Fort Richmond&lt;/td&gt;</v>
      </c>
      <c r="S542" t="str">
        <f t="shared" si="68"/>
        <v>&lt;td&gt;WWAC-WAC Tier 1 3rd Place&lt;/td&gt; &lt;/tr&gt;</v>
      </c>
    </row>
    <row r="543" spans="1:19" x14ac:dyDescent="0.25">
      <c r="A543" s="5">
        <v>42433</v>
      </c>
      <c r="B543" s="6">
        <v>0.79166666666666663</v>
      </c>
      <c r="C543" t="s">
        <v>253</v>
      </c>
      <c r="E543">
        <v>76</v>
      </c>
      <c r="F543" t="s">
        <v>30</v>
      </c>
      <c r="G543" t="s">
        <v>92</v>
      </c>
      <c r="H543">
        <v>80</v>
      </c>
      <c r="J543" t="str">
        <f t="shared" si="62"/>
        <v>H</v>
      </c>
      <c r="K543" t="s">
        <v>252</v>
      </c>
      <c r="L543" t="s">
        <v>184</v>
      </c>
      <c r="N543" t="str">
        <f t="shared" si="63"/>
        <v>&lt;tr&gt; &lt;td&gt;Mar. 4&lt;/td&gt;</v>
      </c>
      <c r="O543" t="str">
        <f t="shared" si="64"/>
        <v>&lt;td&gt;7:00 PM&lt;/td&gt;</v>
      </c>
      <c r="P543" t="str">
        <f t="shared" si="65"/>
        <v>&lt;td class="sched"&gt;St. James&lt;/td&gt;</v>
      </c>
      <c r="Q543" t="str">
        <f t="shared" si="66"/>
        <v>&lt;td&gt;76 - 80&lt;/td&gt;</v>
      </c>
      <c r="R543" t="str">
        <f t="shared" si="67"/>
        <v>&lt;td class="SJHSsched"&gt;St. John's&lt;/td&gt;</v>
      </c>
      <c r="S543" t="str">
        <f t="shared" si="68"/>
        <v>&lt;td&gt;WWAC-WAC Tier 2 Championship&lt;/td&gt; &lt;/tr&gt;</v>
      </c>
    </row>
    <row r="544" spans="1:19" x14ac:dyDescent="0.25">
      <c r="A544" s="5">
        <v>42433</v>
      </c>
      <c r="B544" s="6">
        <v>0.79166666666666663</v>
      </c>
      <c r="C544" t="s">
        <v>1</v>
      </c>
      <c r="D544" t="s">
        <v>74</v>
      </c>
      <c r="E544">
        <v>62</v>
      </c>
      <c r="F544" t="s">
        <v>6</v>
      </c>
      <c r="G544" t="s">
        <v>70</v>
      </c>
      <c r="H544">
        <v>69</v>
      </c>
      <c r="J544" t="str">
        <f t="shared" si="62"/>
        <v>H</v>
      </c>
      <c r="K544" t="s">
        <v>251</v>
      </c>
      <c r="L544" t="s">
        <v>184</v>
      </c>
      <c r="N544" t="str">
        <f t="shared" si="63"/>
        <v>&lt;tr&gt; &lt;td&gt;Mar. 4&lt;/td&gt;</v>
      </c>
      <c r="O544" t="str">
        <f t="shared" si="64"/>
        <v>&lt;td&gt;7:00 PM&lt;/td&gt;</v>
      </c>
      <c r="P544" t="str">
        <f t="shared" si="65"/>
        <v>&lt;td class="OPHSsched"&gt;Oak Park&lt;/td&gt;</v>
      </c>
      <c r="Q544" t="str">
        <f t="shared" si="66"/>
        <v>&lt;td&gt;62 - 69&lt;/td&gt;</v>
      </c>
      <c r="R544" t="str">
        <f t="shared" si="67"/>
        <v>&lt;td class="JTCsched"&gt;John Taylor&lt;/td&gt;</v>
      </c>
      <c r="S544" t="str">
        <f t="shared" si="68"/>
        <v>&lt;td&gt;WWAC-WAC Tier 1 Championship&lt;/td&gt; &lt;/tr&gt;</v>
      </c>
    </row>
    <row r="545" spans="1:19" x14ac:dyDescent="0.25">
      <c r="A545" s="5">
        <v>42433</v>
      </c>
      <c r="B545" s="6">
        <v>0.8125</v>
      </c>
      <c r="C545" t="s">
        <v>213</v>
      </c>
      <c r="D545" t="s">
        <v>540</v>
      </c>
      <c r="E545">
        <v>69</v>
      </c>
      <c r="F545" t="s">
        <v>8</v>
      </c>
      <c r="G545" t="s">
        <v>60</v>
      </c>
      <c r="H545">
        <v>57</v>
      </c>
      <c r="J545" t="str">
        <f t="shared" ref="J545:J559" si="69">IF(H545&gt;E545,"H",IF(E545&gt;H545,"V",""))</f>
        <v>V</v>
      </c>
      <c r="K545" t="s">
        <v>763</v>
      </c>
      <c r="L545" t="s">
        <v>184</v>
      </c>
      <c r="N545" t="str">
        <f t="shared" si="63"/>
        <v>&lt;tr&gt; &lt;td&gt;Mar. 4&lt;/td&gt;</v>
      </c>
      <c r="O545" t="str">
        <f t="shared" si="64"/>
        <v>&lt;td&gt;7:30 PM&lt;/td&gt;</v>
      </c>
      <c r="P545" t="str">
        <f t="shared" si="65"/>
        <v>&lt;td class="SJRsched"&gt;St. John's-Ravenscourt&lt;/td&gt;</v>
      </c>
      <c r="Q545" t="str">
        <f t="shared" si="66"/>
        <v>&lt;td&gt;69 - 57&lt;/td&gt;</v>
      </c>
      <c r="R545" t="str">
        <f t="shared" si="67"/>
        <v>&lt;td class="DCIsched"&gt;Dakota&lt;/td&gt;</v>
      </c>
      <c r="S545" t="str">
        <f t="shared" si="68"/>
        <v>&lt;td&gt;SCAC Championship&lt;/td&gt; &lt;/tr&gt;</v>
      </c>
    </row>
    <row r="546" spans="1:19" x14ac:dyDescent="0.25">
      <c r="A546" s="5">
        <v>42433</v>
      </c>
      <c r="B546" s="6">
        <v>0.83333333333333337</v>
      </c>
      <c r="C546" t="s">
        <v>2</v>
      </c>
      <c r="D546" t="s">
        <v>43</v>
      </c>
      <c r="E546">
        <v>60</v>
      </c>
      <c r="F546" t="s">
        <v>4</v>
      </c>
      <c r="G546" t="s">
        <v>41</v>
      </c>
      <c r="H546">
        <v>85</v>
      </c>
      <c r="J546" t="str">
        <f t="shared" si="69"/>
        <v>H</v>
      </c>
      <c r="K546" t="s">
        <v>37</v>
      </c>
      <c r="L546" t="s">
        <v>184</v>
      </c>
      <c r="N546" t="str">
        <f t="shared" si="63"/>
        <v>&lt;tr&gt; &lt;td&gt;Mar. 4&lt;/td&gt;</v>
      </c>
      <c r="O546" t="str">
        <f t="shared" si="64"/>
        <v>&lt;td&gt;8:00 PM&lt;/td&gt;</v>
      </c>
      <c r="P546" t="str">
        <f t="shared" si="65"/>
        <v>&lt;td class="KECsched"&gt;Kildonan-East&lt;/td&gt;</v>
      </c>
      <c r="Q546" t="str">
        <f t="shared" si="66"/>
        <v>&lt;td&gt;60 - 85&lt;/td&gt;</v>
      </c>
      <c r="R546" t="str">
        <f t="shared" si="67"/>
        <v>&lt;td class="GCCsched"&gt;Garden City&lt;/td&gt;</v>
      </c>
      <c r="S546" t="str">
        <f t="shared" si="68"/>
        <v>&lt;td&gt;KPAC Championship&lt;/td&gt; &lt;/tr&gt;</v>
      </c>
    </row>
    <row r="547" spans="1:19" x14ac:dyDescent="0.25">
      <c r="A547" s="5">
        <v>42436</v>
      </c>
      <c r="B547" s="6">
        <v>0.75</v>
      </c>
      <c r="C547" t="s">
        <v>2</v>
      </c>
      <c r="D547" t="s">
        <v>43</v>
      </c>
      <c r="E547">
        <v>72</v>
      </c>
      <c r="F547" t="s">
        <v>10</v>
      </c>
      <c r="G547" t="s">
        <v>72</v>
      </c>
      <c r="H547">
        <v>78</v>
      </c>
      <c r="J547" t="str">
        <f t="shared" si="69"/>
        <v>H</v>
      </c>
      <c r="K547" t="s">
        <v>829</v>
      </c>
      <c r="L547" t="s">
        <v>830</v>
      </c>
      <c r="N547" t="str">
        <f t="shared" si="63"/>
        <v>&lt;tr&gt; &lt;td&gt;Mar. 7&lt;/td&gt;</v>
      </c>
      <c r="O547" t="str">
        <f t="shared" si="64"/>
        <v>&lt;td&gt;6:00 PM&lt;/td&gt;</v>
      </c>
      <c r="P547" t="str">
        <f t="shared" si="65"/>
        <v>&lt;td class="KECsched"&gt;Kildonan-East&lt;/td&gt;</v>
      </c>
      <c r="Q547" t="str">
        <f t="shared" si="66"/>
        <v>&lt;td&gt;72 - 78&lt;/td&gt;</v>
      </c>
      <c r="R547" t="str">
        <f t="shared" si="67"/>
        <v>&lt;td class="KHSsched"&gt;Kelvin&lt;/td&gt;</v>
      </c>
      <c r="S547" t="str">
        <f t="shared" si="68"/>
        <v>&lt;td&gt;AAAA Provincials Wildcard Play-in&lt;/td&gt; &lt;/tr&gt;</v>
      </c>
    </row>
    <row r="548" spans="1:19" x14ac:dyDescent="0.25">
      <c r="A548" s="5">
        <v>42436</v>
      </c>
      <c r="B548" s="6">
        <v>0.83333333333333337</v>
      </c>
      <c r="C548" t="s">
        <v>16</v>
      </c>
      <c r="D548" t="s">
        <v>45</v>
      </c>
      <c r="E548">
        <v>75</v>
      </c>
      <c r="F548" t="s">
        <v>5</v>
      </c>
      <c r="G548" t="s">
        <v>62</v>
      </c>
      <c r="H548">
        <v>96</v>
      </c>
      <c r="J548" t="str">
        <f t="shared" si="69"/>
        <v>H</v>
      </c>
      <c r="K548" t="s">
        <v>829</v>
      </c>
      <c r="L548" t="s">
        <v>830</v>
      </c>
      <c r="N548" t="str">
        <f t="shared" si="63"/>
        <v>&lt;tr&gt; &lt;td&gt;Mar. 7&lt;/td&gt;</v>
      </c>
      <c r="O548" t="str">
        <f t="shared" si="64"/>
        <v>&lt;td&gt;8:00 PM&lt;/td&gt;</v>
      </c>
      <c r="P548" t="str">
        <f t="shared" si="65"/>
        <v>&lt;td class="MCsched"&gt;Maples&lt;/td&gt;</v>
      </c>
      <c r="Q548" t="str">
        <f t="shared" si="66"/>
        <v>&lt;td&gt;75 - 96&lt;/td&gt;</v>
      </c>
      <c r="R548" t="str">
        <f t="shared" si="67"/>
        <v>&lt;td class="GCIsched"&gt;Glenlawn&lt;/td&gt;</v>
      </c>
      <c r="S548" t="str">
        <f t="shared" si="68"/>
        <v>&lt;td&gt;AAAA Provincials Wildcard Play-in&lt;/td&gt; &lt;/tr&gt;</v>
      </c>
    </row>
    <row r="549" spans="1:19" x14ac:dyDescent="0.25">
      <c r="A549" s="5">
        <v>42440</v>
      </c>
      <c r="B549" s="6">
        <v>0.58333333333333337</v>
      </c>
      <c r="C549" t="s">
        <v>23</v>
      </c>
      <c r="D549" t="s">
        <v>80</v>
      </c>
      <c r="E549">
        <v>77</v>
      </c>
      <c r="F549" t="s">
        <v>8</v>
      </c>
      <c r="G549" t="s">
        <v>60</v>
      </c>
      <c r="H549">
        <v>61</v>
      </c>
      <c r="J549" t="str">
        <f t="shared" si="69"/>
        <v>V</v>
      </c>
      <c r="K549" t="s">
        <v>829</v>
      </c>
      <c r="L549" t="s">
        <v>230</v>
      </c>
      <c r="N549" t="str">
        <f t="shared" si="63"/>
        <v>&lt;tr&gt; &lt;td&gt;Mar. 11&lt;/td&gt;</v>
      </c>
      <c r="O549" t="str">
        <f t="shared" si="64"/>
        <v>&lt;td&gt;2:00 PM&lt;/td&gt;</v>
      </c>
      <c r="P549" t="str">
        <f t="shared" si="65"/>
        <v>&lt;td class="VMCsched"&gt;Vincent Massey&lt;/td&gt;</v>
      </c>
      <c r="Q549" t="str">
        <f t="shared" si="66"/>
        <v>&lt;td&gt;77 - 61&lt;/td&gt;</v>
      </c>
      <c r="R549" t="str">
        <f t="shared" si="67"/>
        <v>&lt;td class="DCIsched"&gt;Dakota&lt;/td&gt;</v>
      </c>
      <c r="S549" t="str">
        <f t="shared" si="68"/>
        <v>&lt;td&gt;AAAA Provincials First Round Game 1&lt;/td&gt; &lt;/tr&gt;</v>
      </c>
    </row>
    <row r="550" spans="1:19" x14ac:dyDescent="0.25">
      <c r="A550" s="5">
        <v>42440</v>
      </c>
      <c r="B550" s="6">
        <v>0.66666666666666663</v>
      </c>
      <c r="C550" t="s">
        <v>162</v>
      </c>
      <c r="D550" t="s">
        <v>164</v>
      </c>
      <c r="E550">
        <v>34</v>
      </c>
      <c r="F550" t="s">
        <v>15</v>
      </c>
      <c r="G550" t="s">
        <v>68</v>
      </c>
      <c r="H550">
        <v>72</v>
      </c>
      <c r="J550" t="str">
        <f t="shared" si="69"/>
        <v>H</v>
      </c>
      <c r="K550" t="s">
        <v>829</v>
      </c>
      <c r="L550" t="s">
        <v>231</v>
      </c>
      <c r="N550" t="str">
        <f t="shared" si="63"/>
        <v>&lt;tr&gt; &lt;td&gt;Mar. 11&lt;/td&gt;</v>
      </c>
      <c r="O550" t="str">
        <f t="shared" si="64"/>
        <v>&lt;td&gt;4:00 PM&lt;/td&gt;</v>
      </c>
      <c r="P550" t="str">
        <f t="shared" si="65"/>
        <v>&lt;td class="GVCsched"&gt;Garden Valley&lt;/td&gt;</v>
      </c>
      <c r="Q550" t="str">
        <f t="shared" si="66"/>
        <v>&lt;td&gt;34 - 72&lt;/td&gt;</v>
      </c>
      <c r="R550" t="str">
        <f t="shared" si="67"/>
        <v>&lt;td class="FRCsched"&gt;Fort Richmond&lt;/td&gt;</v>
      </c>
      <c r="S550" t="str">
        <f t="shared" si="68"/>
        <v>&lt;td&gt;AAAA Provincials First Round Game 2&lt;/td&gt; &lt;/tr&gt;</v>
      </c>
    </row>
    <row r="551" spans="1:19" x14ac:dyDescent="0.25">
      <c r="A551" s="5">
        <v>42440</v>
      </c>
      <c r="B551" s="6">
        <v>0.75</v>
      </c>
      <c r="C551" t="s">
        <v>10</v>
      </c>
      <c r="D551" t="s">
        <v>72</v>
      </c>
      <c r="E551">
        <v>70</v>
      </c>
      <c r="F551" t="s">
        <v>213</v>
      </c>
      <c r="G551" t="s">
        <v>540</v>
      </c>
      <c r="H551">
        <v>80</v>
      </c>
      <c r="J551" t="str">
        <f t="shared" si="69"/>
        <v>H</v>
      </c>
      <c r="K551" t="s">
        <v>829</v>
      </c>
      <c r="L551" t="s">
        <v>232</v>
      </c>
      <c r="N551" t="str">
        <f t="shared" si="63"/>
        <v>&lt;tr&gt; &lt;td&gt;Mar. 11&lt;/td&gt;</v>
      </c>
      <c r="O551" t="str">
        <f t="shared" si="64"/>
        <v>&lt;td&gt;6:00 PM&lt;/td&gt;</v>
      </c>
      <c r="P551" t="str">
        <f t="shared" si="65"/>
        <v>&lt;td class="KHSsched"&gt;Kelvin&lt;/td&gt;</v>
      </c>
      <c r="Q551" t="str">
        <f t="shared" si="66"/>
        <v>&lt;td&gt;70 - 80&lt;/td&gt;</v>
      </c>
      <c r="R551" t="str">
        <f t="shared" si="67"/>
        <v>&lt;td class="SJRsched"&gt;St. John's-Ravenscourt&lt;/td&gt;</v>
      </c>
      <c r="S551" t="str">
        <f t="shared" si="68"/>
        <v>&lt;td&gt;AAAA Provincials First Round Game 3&lt;/td&gt; &lt;/tr&gt;</v>
      </c>
    </row>
    <row r="552" spans="1:19" x14ac:dyDescent="0.25">
      <c r="A552" s="5">
        <v>42440</v>
      </c>
      <c r="B552" s="6">
        <v>0.83333333333333337</v>
      </c>
      <c r="C552" t="s">
        <v>5</v>
      </c>
      <c r="D552" t="s">
        <v>62</v>
      </c>
      <c r="E552">
        <v>51</v>
      </c>
      <c r="F552" t="s">
        <v>3</v>
      </c>
      <c r="G552" t="s">
        <v>78</v>
      </c>
      <c r="H552">
        <v>88</v>
      </c>
      <c r="J552" t="str">
        <f t="shared" si="69"/>
        <v>H</v>
      </c>
      <c r="K552" t="s">
        <v>829</v>
      </c>
      <c r="L552" t="s">
        <v>831</v>
      </c>
      <c r="N552" t="str">
        <f t="shared" si="63"/>
        <v>&lt;tr&gt; &lt;td&gt;Mar. 11&lt;/td&gt;</v>
      </c>
      <c r="O552" t="str">
        <f t="shared" si="64"/>
        <v>&lt;td&gt;8:00 PM&lt;/td&gt;</v>
      </c>
      <c r="P552" t="str">
        <f t="shared" si="65"/>
        <v>&lt;td class="GCIsched"&gt;Glenlawn&lt;/td&gt;</v>
      </c>
      <c r="Q552" t="str">
        <f t="shared" si="66"/>
        <v>&lt;td&gt;51 - 88&lt;/td&gt;</v>
      </c>
      <c r="R552" t="str">
        <f t="shared" si="67"/>
        <v>&lt;td class="SPHSsched"&gt;St. Paul's&lt;/td&gt;</v>
      </c>
      <c r="S552" t="str">
        <f t="shared" si="68"/>
        <v>&lt;td&gt;AAAA Provincials First Round Game 4&lt;/td&gt; &lt;/tr&gt;</v>
      </c>
    </row>
    <row r="553" spans="1:19" x14ac:dyDescent="0.25">
      <c r="A553" s="5">
        <v>42441</v>
      </c>
      <c r="B553" s="6">
        <v>0.5</v>
      </c>
      <c r="C553" t="s">
        <v>23</v>
      </c>
      <c r="D553" t="s">
        <v>80</v>
      </c>
      <c r="E553">
        <v>64</v>
      </c>
      <c r="F553" t="s">
        <v>6</v>
      </c>
      <c r="G553" t="s">
        <v>70</v>
      </c>
      <c r="H553">
        <v>99</v>
      </c>
      <c r="J553" t="str">
        <f t="shared" si="69"/>
        <v>H</v>
      </c>
      <c r="K553" t="s">
        <v>829</v>
      </c>
      <c r="L553" t="s">
        <v>173</v>
      </c>
      <c r="N553" t="str">
        <f t="shared" si="63"/>
        <v>&lt;tr&gt; &lt;td&gt;Mar. 12&lt;/td&gt;</v>
      </c>
      <c r="O553" t="str">
        <f t="shared" si="64"/>
        <v>&lt;td&gt;12:00 PM&lt;/td&gt;</v>
      </c>
      <c r="P553" t="str">
        <f t="shared" si="65"/>
        <v>&lt;td class="VMCsched"&gt;Vincent Massey&lt;/td&gt;</v>
      </c>
      <c r="Q553" t="str">
        <f t="shared" si="66"/>
        <v>&lt;td&gt;64 - 99&lt;/td&gt;</v>
      </c>
      <c r="R553" t="str">
        <f t="shared" si="67"/>
        <v>&lt;td class="JTCsched"&gt;John Taylor&lt;/td&gt;</v>
      </c>
      <c r="S553" t="str">
        <f t="shared" si="68"/>
        <v>&lt;td&gt;AAAA Provincials Quarterfinal 1&lt;/td&gt; &lt;/tr&gt;</v>
      </c>
    </row>
    <row r="554" spans="1:19" x14ac:dyDescent="0.25">
      <c r="A554" s="5">
        <v>42441</v>
      </c>
      <c r="B554" s="6">
        <v>0.58333333333333337</v>
      </c>
      <c r="C554" t="s">
        <v>15</v>
      </c>
      <c r="D554" t="s">
        <v>68</v>
      </c>
      <c r="E554">
        <v>87</v>
      </c>
      <c r="F554" t="s">
        <v>9</v>
      </c>
      <c r="G554" t="s">
        <v>76</v>
      </c>
      <c r="H554">
        <v>84</v>
      </c>
      <c r="J554" t="str">
        <f t="shared" si="69"/>
        <v>V</v>
      </c>
      <c r="K554" t="s">
        <v>829</v>
      </c>
      <c r="L554" t="s">
        <v>174</v>
      </c>
      <c r="N554" t="str">
        <f t="shared" si="63"/>
        <v>&lt;tr&gt; &lt;td&gt;Mar. 12&lt;/td&gt;</v>
      </c>
      <c r="O554" t="str">
        <f t="shared" si="64"/>
        <v>&lt;td&gt;2:00 PM&lt;/td&gt;</v>
      </c>
      <c r="P554" t="str">
        <f t="shared" si="65"/>
        <v>&lt;td class="FRCsched"&gt;Fort Richmond&lt;/td&gt;</v>
      </c>
      <c r="Q554" t="str">
        <f t="shared" si="66"/>
        <v>&lt;td&gt;87 - 84&lt;/td&gt;</v>
      </c>
      <c r="R554" t="str">
        <f t="shared" si="67"/>
        <v>&lt;td class="SiHSsched"&gt;Sisler&lt;/td&gt;</v>
      </c>
      <c r="S554" t="str">
        <f t="shared" si="68"/>
        <v>&lt;td&gt;AAAA Provincials Quarterfinal 2&lt;/td&gt; &lt;/tr&gt;</v>
      </c>
    </row>
    <row r="555" spans="1:19" x14ac:dyDescent="0.25">
      <c r="A555" s="5">
        <v>42441</v>
      </c>
      <c r="B555" s="6">
        <v>0.66666666666666663</v>
      </c>
      <c r="C555" t="s">
        <v>3</v>
      </c>
      <c r="D555" t="s">
        <v>78</v>
      </c>
      <c r="E555">
        <v>92</v>
      </c>
      <c r="F555" t="s">
        <v>4</v>
      </c>
      <c r="G555" t="s">
        <v>41</v>
      </c>
      <c r="H555">
        <v>95</v>
      </c>
      <c r="J555" t="str">
        <f t="shared" si="69"/>
        <v>H</v>
      </c>
      <c r="K555" t="s">
        <v>829</v>
      </c>
      <c r="L555" t="s">
        <v>176</v>
      </c>
      <c r="N555" t="str">
        <f t="shared" si="63"/>
        <v>&lt;tr&gt; &lt;td&gt;Mar. 12&lt;/td&gt;</v>
      </c>
      <c r="O555" t="str">
        <f t="shared" si="64"/>
        <v>&lt;td&gt;4:00 PM&lt;/td&gt;</v>
      </c>
      <c r="P555" t="str">
        <f t="shared" si="65"/>
        <v>&lt;td class="SPHSsched"&gt;St. Paul's&lt;/td&gt;</v>
      </c>
      <c r="Q555" t="str">
        <f t="shared" si="66"/>
        <v>&lt;td&gt;92 - 95&lt;/td&gt;</v>
      </c>
      <c r="R555" t="str">
        <f t="shared" si="67"/>
        <v>&lt;td class="GCCsched"&gt;Garden City&lt;/td&gt;</v>
      </c>
      <c r="S555" t="str">
        <f t="shared" si="68"/>
        <v>&lt;td&gt;AAAA Provincials Quarterfinal 4&lt;/td&gt; &lt;/tr&gt;</v>
      </c>
    </row>
    <row r="556" spans="1:19" x14ac:dyDescent="0.25">
      <c r="A556" s="5">
        <v>42441</v>
      </c>
      <c r="B556" s="6">
        <v>0.75</v>
      </c>
      <c r="C556" t="s">
        <v>213</v>
      </c>
      <c r="D556" t="s">
        <v>540</v>
      </c>
      <c r="E556">
        <v>63</v>
      </c>
      <c r="F556" t="s">
        <v>1</v>
      </c>
      <c r="G556" t="s">
        <v>74</v>
      </c>
      <c r="H556">
        <v>90</v>
      </c>
      <c r="J556" t="str">
        <f t="shared" si="69"/>
        <v>H</v>
      </c>
      <c r="K556" t="s">
        <v>829</v>
      </c>
      <c r="L556" t="s">
        <v>175</v>
      </c>
      <c r="N556" t="str">
        <f t="shared" si="63"/>
        <v>&lt;tr&gt; &lt;td&gt;Mar. 12&lt;/td&gt;</v>
      </c>
      <c r="O556" t="str">
        <f t="shared" si="64"/>
        <v>&lt;td&gt;6:00 PM&lt;/td&gt;</v>
      </c>
      <c r="P556" t="str">
        <f t="shared" si="65"/>
        <v>&lt;td class="SJRsched"&gt;St. John's-Ravenscourt&lt;/td&gt;</v>
      </c>
      <c r="Q556" t="str">
        <f t="shared" si="66"/>
        <v>&lt;td&gt;63 - 90&lt;/td&gt;</v>
      </c>
      <c r="R556" t="str">
        <f t="shared" si="67"/>
        <v>&lt;td class="OPHSsched"&gt;Oak Park&lt;/td&gt;</v>
      </c>
      <c r="S556" t="str">
        <f t="shared" si="68"/>
        <v>&lt;td&gt;AAAA Provincials Quarterfinal 3&lt;/td&gt; &lt;/tr&gt;</v>
      </c>
    </row>
    <row r="557" spans="1:19" x14ac:dyDescent="0.25">
      <c r="A557" s="5">
        <v>42447</v>
      </c>
      <c r="B557" s="6">
        <v>0.75</v>
      </c>
      <c r="C557" t="s">
        <v>15</v>
      </c>
      <c r="D557" t="s">
        <v>68</v>
      </c>
      <c r="F557" t="s">
        <v>6</v>
      </c>
      <c r="G557" t="s">
        <v>70</v>
      </c>
      <c r="J557" t="str">
        <f t="shared" si="69"/>
        <v/>
      </c>
      <c r="K557" t="s">
        <v>829</v>
      </c>
      <c r="L557" t="s">
        <v>179</v>
      </c>
      <c r="N557" t="str">
        <f t="shared" si="63"/>
        <v>&lt;tr&gt; &lt;td&gt;Mar. 18&lt;/td&gt;</v>
      </c>
      <c r="O557" t="str">
        <f t="shared" si="64"/>
        <v>&lt;td&gt;6:00 PM&lt;/td&gt;</v>
      </c>
      <c r="P557" t="str">
        <f t="shared" si="65"/>
        <v>&lt;td class="FRCsched"&gt;Fort Richmond&lt;/td&gt;</v>
      </c>
      <c r="Q557" t="str">
        <f t="shared" si="66"/>
        <v>&lt;td&gt; - &lt;/td&gt;</v>
      </c>
      <c r="R557" t="str">
        <f t="shared" si="67"/>
        <v>&lt;td class="JTCsched"&gt;John Taylor&lt;/td&gt;</v>
      </c>
      <c r="S557" t="str">
        <f t="shared" si="68"/>
        <v>&lt;td&gt;AAAA Provincials Semifinal 1&lt;/td&gt; &lt;/tr&gt;</v>
      </c>
    </row>
    <row r="558" spans="1:19" x14ac:dyDescent="0.25">
      <c r="A558" s="5">
        <v>42447</v>
      </c>
      <c r="B558" s="6">
        <v>0.83333333333333337</v>
      </c>
      <c r="C558" t="s">
        <v>4</v>
      </c>
      <c r="D558" t="s">
        <v>41</v>
      </c>
      <c r="F558" t="s">
        <v>1</v>
      </c>
      <c r="G558" t="s">
        <v>74</v>
      </c>
      <c r="J558" t="str">
        <f t="shared" si="69"/>
        <v/>
      </c>
      <c r="K558" t="s">
        <v>829</v>
      </c>
      <c r="L558" t="s">
        <v>180</v>
      </c>
      <c r="N558" t="str">
        <f t="shared" si="63"/>
        <v>&lt;tr&gt; &lt;td&gt;Mar. 18&lt;/td&gt;</v>
      </c>
      <c r="O558" t="str">
        <f t="shared" si="64"/>
        <v>&lt;td&gt;8:00 PM&lt;/td&gt;</v>
      </c>
      <c r="P558" t="str">
        <f t="shared" si="65"/>
        <v>&lt;td class="GCCsched"&gt;Garden City&lt;/td&gt;</v>
      </c>
      <c r="Q558" t="str">
        <f t="shared" si="66"/>
        <v>&lt;td&gt; - &lt;/td&gt;</v>
      </c>
      <c r="R558" t="str">
        <f t="shared" si="67"/>
        <v>&lt;td class="OPHSsched"&gt;Oak Park&lt;/td&gt;</v>
      </c>
      <c r="S558" t="str">
        <f t="shared" si="68"/>
        <v>&lt;td&gt;AAAA Provincials Semifinal 2&lt;/td&gt; &lt;/tr&gt;</v>
      </c>
    </row>
    <row r="559" spans="1:19" x14ac:dyDescent="0.25">
      <c r="A559" s="5">
        <v>42450</v>
      </c>
      <c r="B559" s="6">
        <v>0.83333333333333337</v>
      </c>
      <c r="C559" t="s">
        <v>832</v>
      </c>
      <c r="F559" t="s">
        <v>833</v>
      </c>
      <c r="J559" t="str">
        <f t="shared" si="69"/>
        <v/>
      </c>
      <c r="K559" t="s">
        <v>829</v>
      </c>
      <c r="L559" t="s">
        <v>184</v>
      </c>
      <c r="N559" t="str">
        <f t="shared" si="63"/>
        <v>&lt;tr&gt; &lt;td&gt;Mar. 21&lt;/td&gt;</v>
      </c>
      <c r="O559" t="str">
        <f t="shared" si="64"/>
        <v>&lt;td&gt;8:00 PM&lt;/td&gt;</v>
      </c>
      <c r="P559" t="str">
        <f t="shared" si="65"/>
        <v>&lt;td class="sched"&gt;SF2 winner&lt;/td&gt;</v>
      </c>
      <c r="Q559" t="str">
        <f t="shared" si="66"/>
        <v>&lt;td&gt; - &lt;/td&gt;</v>
      </c>
      <c r="R559" t="str">
        <f t="shared" si="67"/>
        <v>&lt;td class="sched"&gt;SF1 winner&lt;/td&gt;</v>
      </c>
      <c r="S559" t="str">
        <f t="shared" si="68"/>
        <v>&lt;td&gt;AAAA Provincials Championship&lt;/td&gt; &lt;/tr&gt;</v>
      </c>
    </row>
    <row r="560" spans="1:19" x14ac:dyDescent="0.25">
      <c r="A560" s="5">
        <v>42551</v>
      </c>
      <c r="B560" s="6" t="s">
        <v>261</v>
      </c>
      <c r="C560" t="s">
        <v>262</v>
      </c>
      <c r="D560" t="s">
        <v>263</v>
      </c>
      <c r="E560" t="s">
        <v>264</v>
      </c>
      <c r="F560" t="s">
        <v>265</v>
      </c>
      <c r="G560" t="s">
        <v>266</v>
      </c>
      <c r="H560" t="s">
        <v>267</v>
      </c>
      <c r="I560" t="s">
        <v>268</v>
      </c>
      <c r="N560" t="str">
        <f t="shared" si="63"/>
        <v>&lt;tr&gt; &lt;td&gt;Jun. 30&lt;/td&gt;</v>
      </c>
      <c r="O560" t="str">
        <f t="shared" si="64"/>
        <v>&lt;td&gt;This&lt;/td&gt;</v>
      </c>
      <c r="P560" t="str">
        <f t="shared" si="65"/>
        <v>&lt;td class="emptysched"&gt;is&lt;/td&gt;</v>
      </c>
      <c r="Q560" t="str">
        <f t="shared" si="66"/>
        <v>&lt;td&gt;to - from others&lt;/td&gt;</v>
      </c>
      <c r="R560" t="str">
        <f t="shared" si="67"/>
        <v>&lt;td class="teamssched"&gt;separate&lt;/td&gt;</v>
      </c>
      <c r="S560" t="str">
        <f t="shared" si="68"/>
        <v>&lt;td&gt; &lt;/td&gt; &lt;/tr&gt;</v>
      </c>
    </row>
    <row r="561" spans="1:19" x14ac:dyDescent="0.25">
      <c r="A561" s="5">
        <v>42760</v>
      </c>
      <c r="B561" s="6">
        <v>0.76041666666666663</v>
      </c>
      <c r="C561" t="s">
        <v>171</v>
      </c>
      <c r="E561">
        <v>51</v>
      </c>
      <c r="F561" t="s">
        <v>253</v>
      </c>
      <c r="H561">
        <v>92</v>
      </c>
      <c r="J561" t="str">
        <f t="shared" ref="J561:J592" si="70">IF(H561&gt;E561,"H",IF(E561&gt;H561,"V",""))</f>
        <v>H</v>
      </c>
      <c r="K561" t="s">
        <v>252</v>
      </c>
      <c r="L561" t="s">
        <v>228</v>
      </c>
      <c r="M561" t="s">
        <v>229</v>
      </c>
      <c r="N561" t="str">
        <f t="shared" si="63"/>
        <v>&lt;tr&gt; &lt;td&gt;Jan. 25&lt;/td&gt;</v>
      </c>
      <c r="O561" t="str">
        <f t="shared" si="64"/>
        <v>&lt;td&gt;6:15 PM&lt;/td&gt;</v>
      </c>
      <c r="P561" t="str">
        <f t="shared" si="65"/>
        <v>&lt;td class="sched"&gt;Churchill&lt;/td&gt;</v>
      </c>
      <c r="Q561" t="str">
        <f t="shared" si="66"/>
        <v>&lt;td&gt;51 - 92&lt;/td&gt;</v>
      </c>
      <c r="R561" t="str">
        <f t="shared" si="67"/>
        <v>&lt;td class="sched"&gt;St. James&lt;/td&gt;</v>
      </c>
      <c r="S561" t="str">
        <f t="shared" si="68"/>
        <v>&lt;td&gt;WWAC-WAC Tier 2 Regular Season&lt;/td&gt; &lt;/tr&gt;</v>
      </c>
    </row>
    <row r="562" spans="1:19" x14ac:dyDescent="0.25">
      <c r="A562" s="5">
        <v>42774</v>
      </c>
      <c r="B562" s="6">
        <v>0.76041666666666663</v>
      </c>
      <c r="C562" t="s">
        <v>253</v>
      </c>
      <c r="E562">
        <v>2</v>
      </c>
      <c r="F562" t="s">
        <v>218</v>
      </c>
      <c r="H562">
        <v>0</v>
      </c>
      <c r="J562" t="str">
        <f t="shared" si="70"/>
        <v>V</v>
      </c>
      <c r="K562" t="s">
        <v>252</v>
      </c>
      <c r="L562" t="s">
        <v>228</v>
      </c>
      <c r="M562" t="s">
        <v>229</v>
      </c>
      <c r="N562" t="str">
        <f t="shared" si="63"/>
        <v>&lt;tr&gt; &lt;td&gt;Feb. 8&lt;/td&gt;</v>
      </c>
      <c r="O562" t="str">
        <f t="shared" si="64"/>
        <v>&lt;td&gt;6:15 PM&lt;/td&gt;</v>
      </c>
      <c r="P562" t="str">
        <f t="shared" si="65"/>
        <v>&lt;td class="sched"&gt;St. James&lt;/td&gt;</v>
      </c>
      <c r="Q562" t="str">
        <f t="shared" si="66"/>
        <v>&lt;td&gt;2 - 0&lt;/td&gt;</v>
      </c>
      <c r="R562" t="str">
        <f t="shared" si="67"/>
        <v>&lt;td class="sched"&gt;Stonewall&lt;/td&gt;</v>
      </c>
      <c r="S562" t="str">
        <f t="shared" si="68"/>
        <v>&lt;td&gt;WWAC-WAC Tier 2 Regular Season&lt;/td&gt; &lt;/tr&gt;</v>
      </c>
    </row>
    <row r="563" spans="1:19" x14ac:dyDescent="0.25">
      <c r="A563" s="5">
        <v>42788</v>
      </c>
      <c r="B563" s="6">
        <v>0.76041666666666663</v>
      </c>
      <c r="C563" t="s">
        <v>218</v>
      </c>
      <c r="E563">
        <v>42</v>
      </c>
      <c r="F563" t="s">
        <v>171</v>
      </c>
      <c r="H563">
        <v>64</v>
      </c>
      <c r="J563" t="str">
        <f t="shared" si="70"/>
        <v>H</v>
      </c>
      <c r="K563" t="s">
        <v>252</v>
      </c>
      <c r="L563" t="s">
        <v>228</v>
      </c>
      <c r="M563" t="s">
        <v>229</v>
      </c>
      <c r="N563" t="str">
        <f t="shared" si="63"/>
        <v>&lt;tr&gt; &lt;td&gt;Feb. 22&lt;/td&gt;</v>
      </c>
      <c r="O563" t="str">
        <f t="shared" si="64"/>
        <v>&lt;td&gt;6:15 PM&lt;/td&gt;</v>
      </c>
      <c r="P563" t="str">
        <f t="shared" si="65"/>
        <v>&lt;td class="sched"&gt;Stonewall&lt;/td&gt;</v>
      </c>
      <c r="Q563" t="str">
        <f t="shared" si="66"/>
        <v>&lt;td&gt;42 - 64&lt;/td&gt;</v>
      </c>
      <c r="R563" t="str">
        <f t="shared" si="67"/>
        <v>&lt;td class="sched"&gt;Churchill&lt;/td&gt;</v>
      </c>
      <c r="S563" t="str">
        <f t="shared" si="68"/>
        <v>&lt;td&gt;WWAC-WAC Tier 2 Regular Season&lt;/td&gt; &lt;/tr&gt;</v>
      </c>
    </row>
    <row r="564" spans="1:19" x14ac:dyDescent="0.25">
      <c r="J564" t="str">
        <f t="shared" si="70"/>
        <v/>
      </c>
      <c r="N564" t="str">
        <f t="shared" si="63"/>
        <v>&lt;tr&gt; &lt;td&gt;Jan. 0&lt;/td&gt;</v>
      </c>
      <c r="O564" t="str">
        <f t="shared" si="64"/>
        <v>&lt;td&gt;&lt;/td&gt;</v>
      </c>
      <c r="P564" t="str">
        <f t="shared" si="65"/>
        <v>&lt;td class="sched"&gt;&lt;/td&gt;</v>
      </c>
      <c r="Q564" t="str">
        <f t="shared" si="66"/>
        <v>&lt;td&gt; - &lt;/td&gt;</v>
      </c>
      <c r="R564" t="str">
        <f t="shared" si="67"/>
        <v>&lt;td class="sched"&gt;&lt;/td&gt;</v>
      </c>
      <c r="S564" t="str">
        <f t="shared" si="68"/>
        <v>&lt;td&gt; &lt;/td&gt; &lt;/tr&gt;</v>
      </c>
    </row>
    <row r="565" spans="1:19" x14ac:dyDescent="0.25">
      <c r="J565" t="str">
        <f t="shared" si="70"/>
        <v/>
      </c>
      <c r="N565" t="str">
        <f t="shared" si="63"/>
        <v>&lt;tr&gt; &lt;td&gt;Jan. 0&lt;/td&gt;</v>
      </c>
      <c r="O565" t="str">
        <f t="shared" si="64"/>
        <v>&lt;td&gt;&lt;/td&gt;</v>
      </c>
      <c r="P565" t="str">
        <f t="shared" si="65"/>
        <v>&lt;td class="sched"&gt;&lt;/td&gt;</v>
      </c>
      <c r="Q565" t="str">
        <f t="shared" si="66"/>
        <v>&lt;td&gt; - &lt;/td&gt;</v>
      </c>
      <c r="R565" t="str">
        <f t="shared" si="67"/>
        <v>&lt;td class="sched"&gt;&lt;/td&gt;</v>
      </c>
      <c r="S565" t="str">
        <f t="shared" si="68"/>
        <v>&lt;td&gt; &lt;/td&gt; &lt;/tr&gt;</v>
      </c>
    </row>
    <row r="566" spans="1:19" x14ac:dyDescent="0.25">
      <c r="J566" t="str">
        <f t="shared" si="70"/>
        <v/>
      </c>
      <c r="N566" t="str">
        <f t="shared" si="63"/>
        <v>&lt;tr&gt; &lt;td&gt;Jan. 0&lt;/td&gt;</v>
      </c>
      <c r="O566" t="str">
        <f t="shared" si="64"/>
        <v>&lt;td&gt;&lt;/td&gt;</v>
      </c>
      <c r="P566" t="str">
        <f t="shared" si="65"/>
        <v>&lt;td class="sched"&gt;&lt;/td&gt;</v>
      </c>
      <c r="Q566" t="str">
        <f t="shared" si="66"/>
        <v>&lt;td&gt; - &lt;/td&gt;</v>
      </c>
      <c r="R566" t="str">
        <f t="shared" si="67"/>
        <v>&lt;td class="sched"&gt;&lt;/td&gt;</v>
      </c>
      <c r="S566" t="str">
        <f t="shared" si="68"/>
        <v>&lt;td&gt; &lt;/td&gt; &lt;/tr&gt;</v>
      </c>
    </row>
    <row r="567" spans="1:19" x14ac:dyDescent="0.25">
      <c r="J567" t="str">
        <f t="shared" si="70"/>
        <v/>
      </c>
      <c r="N567" t="str">
        <f t="shared" si="63"/>
        <v>&lt;tr&gt; &lt;td&gt;Jan. 0&lt;/td&gt;</v>
      </c>
      <c r="O567" t="str">
        <f t="shared" si="64"/>
        <v>&lt;td&gt;&lt;/td&gt;</v>
      </c>
      <c r="P567" t="str">
        <f t="shared" si="65"/>
        <v>&lt;td class="sched"&gt;&lt;/td&gt;</v>
      </c>
      <c r="Q567" t="str">
        <f t="shared" si="66"/>
        <v>&lt;td&gt; - &lt;/td&gt;</v>
      </c>
      <c r="R567" t="str">
        <f t="shared" si="67"/>
        <v>&lt;td class="sched"&gt;&lt;/td&gt;</v>
      </c>
      <c r="S567" t="str">
        <f t="shared" si="68"/>
        <v>&lt;td&gt; &lt;/td&gt; &lt;/tr&gt;</v>
      </c>
    </row>
    <row r="568" spans="1:19" x14ac:dyDescent="0.25">
      <c r="J568" t="str">
        <f t="shared" si="70"/>
        <v/>
      </c>
      <c r="N568" t="str">
        <f t="shared" si="63"/>
        <v>&lt;tr&gt; &lt;td&gt;Jan. 0&lt;/td&gt;</v>
      </c>
      <c r="O568" t="str">
        <f t="shared" si="64"/>
        <v>&lt;td&gt;&lt;/td&gt;</v>
      </c>
      <c r="P568" t="str">
        <f t="shared" si="65"/>
        <v>&lt;td class="sched"&gt;&lt;/td&gt;</v>
      </c>
      <c r="Q568" t="str">
        <f t="shared" si="66"/>
        <v>&lt;td&gt; - &lt;/td&gt;</v>
      </c>
      <c r="R568" t="str">
        <f t="shared" si="67"/>
        <v>&lt;td class="sched"&gt;&lt;/td&gt;</v>
      </c>
      <c r="S568" t="str">
        <f t="shared" si="68"/>
        <v>&lt;td&gt; &lt;/td&gt; &lt;/tr&gt;</v>
      </c>
    </row>
    <row r="569" spans="1:19" x14ac:dyDescent="0.25">
      <c r="J569" t="str">
        <f t="shared" si="70"/>
        <v/>
      </c>
      <c r="N569" t="str">
        <f t="shared" si="63"/>
        <v>&lt;tr&gt; &lt;td&gt;Jan. 0&lt;/td&gt;</v>
      </c>
      <c r="O569" t="str">
        <f t="shared" si="64"/>
        <v>&lt;td&gt;&lt;/td&gt;</v>
      </c>
      <c r="P569" t="str">
        <f t="shared" si="65"/>
        <v>&lt;td class="sched"&gt;&lt;/td&gt;</v>
      </c>
      <c r="Q569" t="str">
        <f t="shared" si="66"/>
        <v>&lt;td&gt; - &lt;/td&gt;</v>
      </c>
      <c r="R569" t="str">
        <f t="shared" si="67"/>
        <v>&lt;td class="sched"&gt;&lt;/td&gt;</v>
      </c>
      <c r="S569" t="str">
        <f t="shared" si="68"/>
        <v>&lt;td&gt; &lt;/td&gt; &lt;/tr&gt;</v>
      </c>
    </row>
    <row r="570" spans="1:19" x14ac:dyDescent="0.25">
      <c r="J570" t="str">
        <f t="shared" si="70"/>
        <v/>
      </c>
      <c r="N570" t="str">
        <f t="shared" si="63"/>
        <v>&lt;tr&gt; &lt;td&gt;Jan. 0&lt;/td&gt;</v>
      </c>
      <c r="O570" t="str">
        <f t="shared" si="64"/>
        <v>&lt;td&gt;&lt;/td&gt;</v>
      </c>
      <c r="P570" t="str">
        <f t="shared" si="65"/>
        <v>&lt;td class="sched"&gt;&lt;/td&gt;</v>
      </c>
      <c r="Q570" t="str">
        <f t="shared" si="66"/>
        <v>&lt;td&gt; - &lt;/td&gt;</v>
      </c>
      <c r="R570" t="str">
        <f t="shared" si="67"/>
        <v>&lt;td class="sched"&gt;&lt;/td&gt;</v>
      </c>
      <c r="S570" t="str">
        <f t="shared" si="68"/>
        <v>&lt;td&gt; &lt;/td&gt; &lt;/tr&gt;</v>
      </c>
    </row>
    <row r="571" spans="1:19" x14ac:dyDescent="0.25">
      <c r="J571" t="str">
        <f t="shared" si="70"/>
        <v/>
      </c>
      <c r="N571" t="str">
        <f t="shared" si="63"/>
        <v>&lt;tr&gt; &lt;td&gt;Jan. 0&lt;/td&gt;</v>
      </c>
      <c r="O571" t="str">
        <f t="shared" si="64"/>
        <v>&lt;td&gt;&lt;/td&gt;</v>
      </c>
      <c r="P571" t="str">
        <f t="shared" si="65"/>
        <v>&lt;td class="sched"&gt;&lt;/td&gt;</v>
      </c>
      <c r="Q571" t="str">
        <f t="shared" si="66"/>
        <v>&lt;td&gt; - &lt;/td&gt;</v>
      </c>
      <c r="R571" t="str">
        <f t="shared" si="67"/>
        <v>&lt;td class="sched"&gt;&lt;/td&gt;</v>
      </c>
      <c r="S571" t="str">
        <f t="shared" si="68"/>
        <v>&lt;td&gt; &lt;/td&gt; &lt;/tr&gt;</v>
      </c>
    </row>
    <row r="572" spans="1:19" x14ac:dyDescent="0.25">
      <c r="J572" t="str">
        <f t="shared" si="70"/>
        <v/>
      </c>
      <c r="N572" t="str">
        <f t="shared" si="63"/>
        <v>&lt;tr&gt; &lt;td&gt;Jan. 0&lt;/td&gt;</v>
      </c>
      <c r="O572" t="str">
        <f t="shared" si="64"/>
        <v>&lt;td&gt;&lt;/td&gt;</v>
      </c>
      <c r="P572" t="str">
        <f t="shared" si="65"/>
        <v>&lt;td class="sched"&gt;&lt;/td&gt;</v>
      </c>
      <c r="Q572" t="str">
        <f t="shared" si="66"/>
        <v>&lt;td&gt; - &lt;/td&gt;</v>
      </c>
      <c r="R572" t="str">
        <f t="shared" si="67"/>
        <v>&lt;td class="sched"&gt;&lt;/td&gt;</v>
      </c>
      <c r="S572" t="str">
        <f t="shared" si="68"/>
        <v>&lt;td&gt; &lt;/td&gt; &lt;/tr&gt;</v>
      </c>
    </row>
    <row r="573" spans="1:19" x14ac:dyDescent="0.25">
      <c r="J573" t="str">
        <f t="shared" si="70"/>
        <v/>
      </c>
      <c r="N573" t="str">
        <f t="shared" si="63"/>
        <v>&lt;tr&gt; &lt;td&gt;Jan. 0&lt;/td&gt;</v>
      </c>
      <c r="O573" t="str">
        <f t="shared" si="64"/>
        <v>&lt;td&gt;&lt;/td&gt;</v>
      </c>
      <c r="P573" t="str">
        <f t="shared" si="65"/>
        <v>&lt;td class="sched"&gt;&lt;/td&gt;</v>
      </c>
      <c r="Q573" t="str">
        <f t="shared" si="66"/>
        <v>&lt;td&gt; - &lt;/td&gt;</v>
      </c>
      <c r="R573" t="str">
        <f t="shared" si="67"/>
        <v>&lt;td class="sched"&gt;&lt;/td&gt;</v>
      </c>
      <c r="S573" t="str">
        <f t="shared" si="68"/>
        <v>&lt;td&gt; &lt;/td&gt; &lt;/tr&gt;</v>
      </c>
    </row>
    <row r="574" spans="1:19" x14ac:dyDescent="0.25">
      <c r="J574" t="str">
        <f t="shared" si="70"/>
        <v/>
      </c>
      <c r="N574" t="str">
        <f t="shared" si="63"/>
        <v>&lt;tr&gt; &lt;td&gt;Jan. 0&lt;/td&gt;</v>
      </c>
      <c r="O574" t="str">
        <f t="shared" si="64"/>
        <v>&lt;td&gt;&lt;/td&gt;</v>
      </c>
      <c r="P574" t="str">
        <f t="shared" si="65"/>
        <v>&lt;td class="sched"&gt;&lt;/td&gt;</v>
      </c>
      <c r="Q574" t="str">
        <f t="shared" si="66"/>
        <v>&lt;td&gt; - &lt;/td&gt;</v>
      </c>
      <c r="R574" t="str">
        <f t="shared" si="67"/>
        <v>&lt;td class="sched"&gt;&lt;/td&gt;</v>
      </c>
      <c r="S574" t="str">
        <f t="shared" si="68"/>
        <v>&lt;td&gt; &lt;/td&gt; &lt;/tr&gt;</v>
      </c>
    </row>
    <row r="575" spans="1:19" x14ac:dyDescent="0.25">
      <c r="J575" t="str">
        <f t="shared" si="70"/>
        <v/>
      </c>
      <c r="N575" t="str">
        <f t="shared" si="63"/>
        <v>&lt;tr&gt; &lt;td&gt;Jan. 0&lt;/td&gt;</v>
      </c>
      <c r="O575" t="str">
        <f t="shared" si="64"/>
        <v>&lt;td&gt;&lt;/td&gt;</v>
      </c>
      <c r="P575" t="str">
        <f t="shared" si="65"/>
        <v>&lt;td class="sched"&gt;&lt;/td&gt;</v>
      </c>
      <c r="Q575" t="str">
        <f t="shared" si="66"/>
        <v>&lt;td&gt; - &lt;/td&gt;</v>
      </c>
      <c r="R575" t="str">
        <f t="shared" si="67"/>
        <v>&lt;td class="sched"&gt;&lt;/td&gt;</v>
      </c>
      <c r="S575" t="str">
        <f t="shared" si="68"/>
        <v>&lt;td&gt; &lt;/td&gt; &lt;/tr&gt;</v>
      </c>
    </row>
    <row r="576" spans="1:19" x14ac:dyDescent="0.25">
      <c r="J576" t="str">
        <f t="shared" si="70"/>
        <v/>
      </c>
      <c r="N576" t="str">
        <f t="shared" si="63"/>
        <v>&lt;tr&gt; &lt;td&gt;Jan. 0&lt;/td&gt;</v>
      </c>
      <c r="O576" t="str">
        <f t="shared" si="64"/>
        <v>&lt;td&gt;&lt;/td&gt;</v>
      </c>
      <c r="P576" t="str">
        <f t="shared" si="65"/>
        <v>&lt;td class="sched"&gt;&lt;/td&gt;</v>
      </c>
      <c r="Q576" t="str">
        <f t="shared" si="66"/>
        <v>&lt;td&gt; - &lt;/td&gt;</v>
      </c>
      <c r="R576" t="str">
        <f t="shared" si="67"/>
        <v>&lt;td class="sched"&gt;&lt;/td&gt;</v>
      </c>
      <c r="S576" t="str">
        <f t="shared" si="68"/>
        <v>&lt;td&gt; &lt;/td&gt; &lt;/tr&gt;</v>
      </c>
    </row>
    <row r="577" spans="10:19" x14ac:dyDescent="0.25">
      <c r="J577" t="str">
        <f t="shared" si="70"/>
        <v/>
      </c>
      <c r="N577" t="str">
        <f t="shared" si="63"/>
        <v>&lt;tr&gt; &lt;td&gt;Jan. 0&lt;/td&gt;</v>
      </c>
      <c r="O577" t="str">
        <f t="shared" si="64"/>
        <v>&lt;td&gt;&lt;/td&gt;</v>
      </c>
      <c r="P577" t="str">
        <f t="shared" si="65"/>
        <v>&lt;td class="sched"&gt;&lt;/td&gt;</v>
      </c>
      <c r="Q577" t="str">
        <f t="shared" si="66"/>
        <v>&lt;td&gt; - &lt;/td&gt;</v>
      </c>
      <c r="R577" t="str">
        <f t="shared" si="67"/>
        <v>&lt;td class="sched"&gt;&lt;/td&gt;</v>
      </c>
      <c r="S577" t="str">
        <f t="shared" si="68"/>
        <v>&lt;td&gt; &lt;/td&gt; &lt;/tr&gt;</v>
      </c>
    </row>
    <row r="578" spans="10:19" x14ac:dyDescent="0.25">
      <c r="J578" t="str">
        <f t="shared" si="70"/>
        <v/>
      </c>
      <c r="N578" t="str">
        <f t="shared" ref="N578:N633" si="71">"&lt;tr&gt; &lt;td&gt;"&amp;TEXT(A578,"MMM. D")&amp;"&lt;/td&gt;"</f>
        <v>&lt;tr&gt; &lt;td&gt;Jan. 0&lt;/td&gt;</v>
      </c>
      <c r="O578" t="str">
        <f t="shared" ref="O578:O633" si="72">"&lt;td&gt;"&amp;IF(B578&gt;0,TEXT(B578,"H:MM AM/PM"),"")&amp;"&lt;/td&gt;"</f>
        <v>&lt;td&gt;&lt;/td&gt;</v>
      </c>
      <c r="P578" t="str">
        <f t="shared" ref="P578:P633" si="73">"&lt;td class="""&amp;D578&amp;"sched""&gt;"&amp;C578&amp;"&lt;/td&gt;"</f>
        <v>&lt;td class="sched"&gt;&lt;/td&gt;</v>
      </c>
      <c r="Q578" t="str">
        <f t="shared" ref="Q578:Q633" si="74">"&lt;td&gt;"&amp;E578&amp;" - "&amp;H578&amp;IF(I578&gt;0," "&amp;I578,"")&amp;"&lt;/td&gt;"</f>
        <v>&lt;td&gt; - &lt;/td&gt;</v>
      </c>
      <c r="R578" t="str">
        <f t="shared" ref="R578:R633" si="75">"&lt;td class="""&amp;G578&amp;"sched""&gt;"&amp;F578&amp;"&lt;/td&gt;"</f>
        <v>&lt;td class="sched"&gt;&lt;/td&gt;</v>
      </c>
      <c r="S578" t="str">
        <f t="shared" ref="S578:S633" si="76">"&lt;td&gt;"&amp;K578&amp;" "&amp;L578&amp;"&lt;/td&gt; &lt;/tr&gt;"</f>
        <v>&lt;td&gt; &lt;/td&gt; &lt;/tr&gt;</v>
      </c>
    </row>
    <row r="579" spans="10:19" x14ac:dyDescent="0.25">
      <c r="J579" t="str">
        <f t="shared" si="70"/>
        <v/>
      </c>
      <c r="N579" t="str">
        <f t="shared" si="71"/>
        <v>&lt;tr&gt; &lt;td&gt;Jan. 0&lt;/td&gt;</v>
      </c>
      <c r="O579" t="str">
        <f t="shared" si="72"/>
        <v>&lt;td&gt;&lt;/td&gt;</v>
      </c>
      <c r="P579" t="str">
        <f t="shared" si="73"/>
        <v>&lt;td class="sched"&gt;&lt;/td&gt;</v>
      </c>
      <c r="Q579" t="str">
        <f t="shared" si="74"/>
        <v>&lt;td&gt; - &lt;/td&gt;</v>
      </c>
      <c r="R579" t="str">
        <f t="shared" si="75"/>
        <v>&lt;td class="sched"&gt;&lt;/td&gt;</v>
      </c>
      <c r="S579" t="str">
        <f t="shared" si="76"/>
        <v>&lt;td&gt; &lt;/td&gt; &lt;/tr&gt;</v>
      </c>
    </row>
    <row r="580" spans="10:19" x14ac:dyDescent="0.25">
      <c r="J580" t="str">
        <f t="shared" si="70"/>
        <v/>
      </c>
      <c r="N580" t="str">
        <f t="shared" si="71"/>
        <v>&lt;tr&gt; &lt;td&gt;Jan. 0&lt;/td&gt;</v>
      </c>
      <c r="O580" t="str">
        <f t="shared" si="72"/>
        <v>&lt;td&gt;&lt;/td&gt;</v>
      </c>
      <c r="P580" t="str">
        <f t="shared" si="73"/>
        <v>&lt;td class="sched"&gt;&lt;/td&gt;</v>
      </c>
      <c r="Q580" t="str">
        <f t="shared" si="74"/>
        <v>&lt;td&gt; - &lt;/td&gt;</v>
      </c>
      <c r="R580" t="str">
        <f t="shared" si="75"/>
        <v>&lt;td class="sched"&gt;&lt;/td&gt;</v>
      </c>
      <c r="S580" t="str">
        <f t="shared" si="76"/>
        <v>&lt;td&gt; &lt;/td&gt; &lt;/tr&gt;</v>
      </c>
    </row>
    <row r="581" spans="10:19" x14ac:dyDescent="0.25">
      <c r="J581" t="str">
        <f t="shared" si="70"/>
        <v/>
      </c>
      <c r="N581" t="str">
        <f t="shared" si="71"/>
        <v>&lt;tr&gt; &lt;td&gt;Jan. 0&lt;/td&gt;</v>
      </c>
      <c r="O581" t="str">
        <f t="shared" si="72"/>
        <v>&lt;td&gt;&lt;/td&gt;</v>
      </c>
      <c r="P581" t="str">
        <f t="shared" si="73"/>
        <v>&lt;td class="sched"&gt;&lt;/td&gt;</v>
      </c>
      <c r="Q581" t="str">
        <f t="shared" si="74"/>
        <v>&lt;td&gt; - &lt;/td&gt;</v>
      </c>
      <c r="R581" t="str">
        <f t="shared" si="75"/>
        <v>&lt;td class="sched"&gt;&lt;/td&gt;</v>
      </c>
      <c r="S581" t="str">
        <f t="shared" si="76"/>
        <v>&lt;td&gt; &lt;/td&gt; &lt;/tr&gt;</v>
      </c>
    </row>
    <row r="582" spans="10:19" x14ac:dyDescent="0.25">
      <c r="J582" t="str">
        <f t="shared" si="70"/>
        <v/>
      </c>
      <c r="N582" t="str">
        <f t="shared" si="71"/>
        <v>&lt;tr&gt; &lt;td&gt;Jan. 0&lt;/td&gt;</v>
      </c>
      <c r="O582" t="str">
        <f t="shared" si="72"/>
        <v>&lt;td&gt;&lt;/td&gt;</v>
      </c>
      <c r="P582" t="str">
        <f t="shared" si="73"/>
        <v>&lt;td class="sched"&gt;&lt;/td&gt;</v>
      </c>
      <c r="Q582" t="str">
        <f t="shared" si="74"/>
        <v>&lt;td&gt; - &lt;/td&gt;</v>
      </c>
      <c r="R582" t="str">
        <f t="shared" si="75"/>
        <v>&lt;td class="sched"&gt;&lt;/td&gt;</v>
      </c>
      <c r="S582" t="str">
        <f t="shared" si="76"/>
        <v>&lt;td&gt; &lt;/td&gt; &lt;/tr&gt;</v>
      </c>
    </row>
    <row r="583" spans="10:19" x14ac:dyDescent="0.25">
      <c r="J583" t="str">
        <f t="shared" si="70"/>
        <v/>
      </c>
      <c r="N583" t="str">
        <f t="shared" si="71"/>
        <v>&lt;tr&gt; &lt;td&gt;Jan. 0&lt;/td&gt;</v>
      </c>
      <c r="O583" t="str">
        <f t="shared" si="72"/>
        <v>&lt;td&gt;&lt;/td&gt;</v>
      </c>
      <c r="P583" t="str">
        <f t="shared" si="73"/>
        <v>&lt;td class="sched"&gt;&lt;/td&gt;</v>
      </c>
      <c r="Q583" t="str">
        <f t="shared" si="74"/>
        <v>&lt;td&gt; - &lt;/td&gt;</v>
      </c>
      <c r="R583" t="str">
        <f t="shared" si="75"/>
        <v>&lt;td class="sched"&gt;&lt;/td&gt;</v>
      </c>
      <c r="S583" t="str">
        <f t="shared" si="76"/>
        <v>&lt;td&gt; &lt;/td&gt; &lt;/tr&gt;</v>
      </c>
    </row>
    <row r="584" spans="10:19" x14ac:dyDescent="0.25">
      <c r="J584" t="str">
        <f t="shared" si="70"/>
        <v/>
      </c>
      <c r="N584" t="str">
        <f t="shared" si="71"/>
        <v>&lt;tr&gt; &lt;td&gt;Jan. 0&lt;/td&gt;</v>
      </c>
      <c r="O584" t="str">
        <f t="shared" si="72"/>
        <v>&lt;td&gt;&lt;/td&gt;</v>
      </c>
      <c r="P584" t="str">
        <f t="shared" si="73"/>
        <v>&lt;td class="sched"&gt;&lt;/td&gt;</v>
      </c>
      <c r="Q584" t="str">
        <f t="shared" si="74"/>
        <v>&lt;td&gt; - &lt;/td&gt;</v>
      </c>
      <c r="R584" t="str">
        <f t="shared" si="75"/>
        <v>&lt;td class="sched"&gt;&lt;/td&gt;</v>
      </c>
      <c r="S584" t="str">
        <f t="shared" si="76"/>
        <v>&lt;td&gt; &lt;/td&gt; &lt;/tr&gt;</v>
      </c>
    </row>
    <row r="585" spans="10:19" x14ac:dyDescent="0.25">
      <c r="J585" t="str">
        <f t="shared" si="70"/>
        <v/>
      </c>
      <c r="N585" t="str">
        <f t="shared" si="71"/>
        <v>&lt;tr&gt; &lt;td&gt;Jan. 0&lt;/td&gt;</v>
      </c>
      <c r="O585" t="str">
        <f t="shared" si="72"/>
        <v>&lt;td&gt;&lt;/td&gt;</v>
      </c>
      <c r="P585" t="str">
        <f t="shared" si="73"/>
        <v>&lt;td class="sched"&gt;&lt;/td&gt;</v>
      </c>
      <c r="Q585" t="str">
        <f t="shared" si="74"/>
        <v>&lt;td&gt; - &lt;/td&gt;</v>
      </c>
      <c r="R585" t="str">
        <f t="shared" si="75"/>
        <v>&lt;td class="sched"&gt;&lt;/td&gt;</v>
      </c>
      <c r="S585" t="str">
        <f t="shared" si="76"/>
        <v>&lt;td&gt; &lt;/td&gt; &lt;/tr&gt;</v>
      </c>
    </row>
    <row r="586" spans="10:19" x14ac:dyDescent="0.25">
      <c r="J586" t="str">
        <f t="shared" si="70"/>
        <v/>
      </c>
      <c r="N586" t="str">
        <f t="shared" si="71"/>
        <v>&lt;tr&gt; &lt;td&gt;Jan. 0&lt;/td&gt;</v>
      </c>
      <c r="O586" t="str">
        <f t="shared" si="72"/>
        <v>&lt;td&gt;&lt;/td&gt;</v>
      </c>
      <c r="P586" t="str">
        <f t="shared" si="73"/>
        <v>&lt;td class="sched"&gt;&lt;/td&gt;</v>
      </c>
      <c r="Q586" t="str">
        <f t="shared" si="74"/>
        <v>&lt;td&gt; - &lt;/td&gt;</v>
      </c>
      <c r="R586" t="str">
        <f t="shared" si="75"/>
        <v>&lt;td class="sched"&gt;&lt;/td&gt;</v>
      </c>
      <c r="S586" t="str">
        <f t="shared" si="76"/>
        <v>&lt;td&gt; &lt;/td&gt; &lt;/tr&gt;</v>
      </c>
    </row>
    <row r="587" spans="10:19" x14ac:dyDescent="0.25">
      <c r="J587" t="str">
        <f t="shared" si="70"/>
        <v/>
      </c>
      <c r="N587" t="str">
        <f t="shared" si="71"/>
        <v>&lt;tr&gt; &lt;td&gt;Jan. 0&lt;/td&gt;</v>
      </c>
      <c r="O587" t="str">
        <f t="shared" si="72"/>
        <v>&lt;td&gt;&lt;/td&gt;</v>
      </c>
      <c r="P587" t="str">
        <f t="shared" si="73"/>
        <v>&lt;td class="sched"&gt;&lt;/td&gt;</v>
      </c>
      <c r="Q587" t="str">
        <f t="shared" si="74"/>
        <v>&lt;td&gt; - &lt;/td&gt;</v>
      </c>
      <c r="R587" t="str">
        <f t="shared" si="75"/>
        <v>&lt;td class="sched"&gt;&lt;/td&gt;</v>
      </c>
      <c r="S587" t="str">
        <f t="shared" si="76"/>
        <v>&lt;td&gt; &lt;/td&gt; &lt;/tr&gt;</v>
      </c>
    </row>
    <row r="588" spans="10:19" x14ac:dyDescent="0.25">
      <c r="J588" t="str">
        <f t="shared" si="70"/>
        <v/>
      </c>
      <c r="N588" t="str">
        <f t="shared" si="71"/>
        <v>&lt;tr&gt; &lt;td&gt;Jan. 0&lt;/td&gt;</v>
      </c>
      <c r="O588" t="str">
        <f t="shared" si="72"/>
        <v>&lt;td&gt;&lt;/td&gt;</v>
      </c>
      <c r="P588" t="str">
        <f t="shared" si="73"/>
        <v>&lt;td class="sched"&gt;&lt;/td&gt;</v>
      </c>
      <c r="Q588" t="str">
        <f t="shared" si="74"/>
        <v>&lt;td&gt; - &lt;/td&gt;</v>
      </c>
      <c r="R588" t="str">
        <f t="shared" si="75"/>
        <v>&lt;td class="sched"&gt;&lt;/td&gt;</v>
      </c>
      <c r="S588" t="str">
        <f t="shared" si="76"/>
        <v>&lt;td&gt; &lt;/td&gt; &lt;/tr&gt;</v>
      </c>
    </row>
    <row r="589" spans="10:19" x14ac:dyDescent="0.25">
      <c r="J589" t="str">
        <f t="shared" si="70"/>
        <v/>
      </c>
      <c r="N589" t="str">
        <f t="shared" si="71"/>
        <v>&lt;tr&gt; &lt;td&gt;Jan. 0&lt;/td&gt;</v>
      </c>
      <c r="O589" t="str">
        <f t="shared" si="72"/>
        <v>&lt;td&gt;&lt;/td&gt;</v>
      </c>
      <c r="P589" t="str">
        <f t="shared" si="73"/>
        <v>&lt;td class="sched"&gt;&lt;/td&gt;</v>
      </c>
      <c r="Q589" t="str">
        <f t="shared" si="74"/>
        <v>&lt;td&gt; - &lt;/td&gt;</v>
      </c>
      <c r="R589" t="str">
        <f t="shared" si="75"/>
        <v>&lt;td class="sched"&gt;&lt;/td&gt;</v>
      </c>
      <c r="S589" t="str">
        <f t="shared" si="76"/>
        <v>&lt;td&gt; &lt;/td&gt; &lt;/tr&gt;</v>
      </c>
    </row>
    <row r="590" spans="10:19" x14ac:dyDescent="0.25">
      <c r="J590" t="str">
        <f t="shared" si="70"/>
        <v/>
      </c>
      <c r="N590" t="str">
        <f t="shared" si="71"/>
        <v>&lt;tr&gt; &lt;td&gt;Jan. 0&lt;/td&gt;</v>
      </c>
      <c r="O590" t="str">
        <f t="shared" si="72"/>
        <v>&lt;td&gt;&lt;/td&gt;</v>
      </c>
      <c r="P590" t="str">
        <f t="shared" si="73"/>
        <v>&lt;td class="sched"&gt;&lt;/td&gt;</v>
      </c>
      <c r="Q590" t="str">
        <f t="shared" si="74"/>
        <v>&lt;td&gt; - &lt;/td&gt;</v>
      </c>
      <c r="R590" t="str">
        <f t="shared" si="75"/>
        <v>&lt;td class="sched"&gt;&lt;/td&gt;</v>
      </c>
      <c r="S590" t="str">
        <f t="shared" si="76"/>
        <v>&lt;td&gt; &lt;/td&gt; &lt;/tr&gt;</v>
      </c>
    </row>
    <row r="591" spans="10:19" x14ac:dyDescent="0.25">
      <c r="J591" t="str">
        <f t="shared" si="70"/>
        <v/>
      </c>
      <c r="N591" t="str">
        <f t="shared" si="71"/>
        <v>&lt;tr&gt; &lt;td&gt;Jan. 0&lt;/td&gt;</v>
      </c>
      <c r="O591" t="str">
        <f t="shared" si="72"/>
        <v>&lt;td&gt;&lt;/td&gt;</v>
      </c>
      <c r="P591" t="str">
        <f t="shared" si="73"/>
        <v>&lt;td class="sched"&gt;&lt;/td&gt;</v>
      </c>
      <c r="Q591" t="str">
        <f t="shared" si="74"/>
        <v>&lt;td&gt; - &lt;/td&gt;</v>
      </c>
      <c r="R591" t="str">
        <f t="shared" si="75"/>
        <v>&lt;td class="sched"&gt;&lt;/td&gt;</v>
      </c>
      <c r="S591" t="str">
        <f t="shared" si="76"/>
        <v>&lt;td&gt; &lt;/td&gt; &lt;/tr&gt;</v>
      </c>
    </row>
    <row r="592" spans="10:19" x14ac:dyDescent="0.25">
      <c r="J592" t="str">
        <f t="shared" si="70"/>
        <v/>
      </c>
      <c r="N592" t="str">
        <f t="shared" si="71"/>
        <v>&lt;tr&gt; &lt;td&gt;Jan. 0&lt;/td&gt;</v>
      </c>
      <c r="O592" t="str">
        <f t="shared" si="72"/>
        <v>&lt;td&gt;&lt;/td&gt;</v>
      </c>
      <c r="P592" t="str">
        <f t="shared" si="73"/>
        <v>&lt;td class="sched"&gt;&lt;/td&gt;</v>
      </c>
      <c r="Q592" t="str">
        <f t="shared" si="74"/>
        <v>&lt;td&gt; - &lt;/td&gt;</v>
      </c>
      <c r="R592" t="str">
        <f t="shared" si="75"/>
        <v>&lt;td class="sched"&gt;&lt;/td&gt;</v>
      </c>
      <c r="S592" t="str">
        <f t="shared" si="76"/>
        <v>&lt;td&gt; &lt;/td&gt; &lt;/tr&gt;</v>
      </c>
    </row>
    <row r="593" spans="10:19" x14ac:dyDescent="0.25">
      <c r="J593" t="str">
        <f t="shared" ref="J593:J624" si="77">IF(H593&gt;E593,"H",IF(E593&gt;H593,"V",""))</f>
        <v/>
      </c>
      <c r="N593" t="str">
        <f t="shared" si="71"/>
        <v>&lt;tr&gt; &lt;td&gt;Jan. 0&lt;/td&gt;</v>
      </c>
      <c r="O593" t="str">
        <f t="shared" si="72"/>
        <v>&lt;td&gt;&lt;/td&gt;</v>
      </c>
      <c r="P593" t="str">
        <f t="shared" si="73"/>
        <v>&lt;td class="sched"&gt;&lt;/td&gt;</v>
      </c>
      <c r="Q593" t="str">
        <f t="shared" si="74"/>
        <v>&lt;td&gt; - &lt;/td&gt;</v>
      </c>
      <c r="R593" t="str">
        <f t="shared" si="75"/>
        <v>&lt;td class="sched"&gt;&lt;/td&gt;</v>
      </c>
      <c r="S593" t="str">
        <f t="shared" si="76"/>
        <v>&lt;td&gt; &lt;/td&gt; &lt;/tr&gt;</v>
      </c>
    </row>
    <row r="594" spans="10:19" x14ac:dyDescent="0.25">
      <c r="J594" t="str">
        <f t="shared" si="77"/>
        <v/>
      </c>
      <c r="N594" t="str">
        <f t="shared" si="71"/>
        <v>&lt;tr&gt; &lt;td&gt;Jan. 0&lt;/td&gt;</v>
      </c>
      <c r="O594" t="str">
        <f t="shared" si="72"/>
        <v>&lt;td&gt;&lt;/td&gt;</v>
      </c>
      <c r="P594" t="str">
        <f t="shared" si="73"/>
        <v>&lt;td class="sched"&gt;&lt;/td&gt;</v>
      </c>
      <c r="Q594" t="str">
        <f t="shared" si="74"/>
        <v>&lt;td&gt; - &lt;/td&gt;</v>
      </c>
      <c r="R594" t="str">
        <f t="shared" si="75"/>
        <v>&lt;td class="sched"&gt;&lt;/td&gt;</v>
      </c>
      <c r="S594" t="str">
        <f t="shared" si="76"/>
        <v>&lt;td&gt; &lt;/td&gt; &lt;/tr&gt;</v>
      </c>
    </row>
    <row r="595" spans="10:19" x14ac:dyDescent="0.25">
      <c r="J595" t="str">
        <f t="shared" si="77"/>
        <v/>
      </c>
      <c r="N595" t="str">
        <f t="shared" si="71"/>
        <v>&lt;tr&gt; &lt;td&gt;Jan. 0&lt;/td&gt;</v>
      </c>
      <c r="O595" t="str">
        <f t="shared" si="72"/>
        <v>&lt;td&gt;&lt;/td&gt;</v>
      </c>
      <c r="P595" t="str">
        <f t="shared" si="73"/>
        <v>&lt;td class="sched"&gt;&lt;/td&gt;</v>
      </c>
      <c r="Q595" t="str">
        <f t="shared" si="74"/>
        <v>&lt;td&gt; - &lt;/td&gt;</v>
      </c>
      <c r="R595" t="str">
        <f t="shared" si="75"/>
        <v>&lt;td class="sched"&gt;&lt;/td&gt;</v>
      </c>
      <c r="S595" t="str">
        <f t="shared" si="76"/>
        <v>&lt;td&gt; &lt;/td&gt; &lt;/tr&gt;</v>
      </c>
    </row>
    <row r="596" spans="10:19" x14ac:dyDescent="0.25">
      <c r="J596" t="str">
        <f t="shared" si="77"/>
        <v/>
      </c>
      <c r="N596" t="str">
        <f t="shared" si="71"/>
        <v>&lt;tr&gt; &lt;td&gt;Jan. 0&lt;/td&gt;</v>
      </c>
      <c r="O596" t="str">
        <f t="shared" si="72"/>
        <v>&lt;td&gt;&lt;/td&gt;</v>
      </c>
      <c r="P596" t="str">
        <f t="shared" si="73"/>
        <v>&lt;td class="sched"&gt;&lt;/td&gt;</v>
      </c>
      <c r="Q596" t="str">
        <f t="shared" si="74"/>
        <v>&lt;td&gt; - &lt;/td&gt;</v>
      </c>
      <c r="R596" t="str">
        <f t="shared" si="75"/>
        <v>&lt;td class="sched"&gt;&lt;/td&gt;</v>
      </c>
      <c r="S596" t="str">
        <f t="shared" si="76"/>
        <v>&lt;td&gt; &lt;/td&gt; &lt;/tr&gt;</v>
      </c>
    </row>
    <row r="597" spans="10:19" x14ac:dyDescent="0.25">
      <c r="J597" t="str">
        <f t="shared" si="77"/>
        <v/>
      </c>
      <c r="N597" t="str">
        <f t="shared" si="71"/>
        <v>&lt;tr&gt; &lt;td&gt;Jan. 0&lt;/td&gt;</v>
      </c>
      <c r="O597" t="str">
        <f t="shared" si="72"/>
        <v>&lt;td&gt;&lt;/td&gt;</v>
      </c>
      <c r="P597" t="str">
        <f t="shared" si="73"/>
        <v>&lt;td class="sched"&gt;&lt;/td&gt;</v>
      </c>
      <c r="Q597" t="str">
        <f t="shared" si="74"/>
        <v>&lt;td&gt; - &lt;/td&gt;</v>
      </c>
      <c r="R597" t="str">
        <f t="shared" si="75"/>
        <v>&lt;td class="sched"&gt;&lt;/td&gt;</v>
      </c>
      <c r="S597" t="str">
        <f t="shared" si="76"/>
        <v>&lt;td&gt; &lt;/td&gt; &lt;/tr&gt;</v>
      </c>
    </row>
    <row r="598" spans="10:19" x14ac:dyDescent="0.25">
      <c r="J598" t="str">
        <f t="shared" si="77"/>
        <v/>
      </c>
      <c r="N598" t="str">
        <f t="shared" si="71"/>
        <v>&lt;tr&gt; &lt;td&gt;Jan. 0&lt;/td&gt;</v>
      </c>
      <c r="O598" t="str">
        <f t="shared" si="72"/>
        <v>&lt;td&gt;&lt;/td&gt;</v>
      </c>
      <c r="P598" t="str">
        <f t="shared" si="73"/>
        <v>&lt;td class="sched"&gt;&lt;/td&gt;</v>
      </c>
      <c r="Q598" t="str">
        <f t="shared" si="74"/>
        <v>&lt;td&gt; - &lt;/td&gt;</v>
      </c>
      <c r="R598" t="str">
        <f t="shared" si="75"/>
        <v>&lt;td class="sched"&gt;&lt;/td&gt;</v>
      </c>
      <c r="S598" t="str">
        <f t="shared" si="76"/>
        <v>&lt;td&gt; &lt;/td&gt; &lt;/tr&gt;</v>
      </c>
    </row>
    <row r="599" spans="10:19" x14ac:dyDescent="0.25">
      <c r="J599" t="str">
        <f t="shared" si="77"/>
        <v/>
      </c>
      <c r="N599" t="str">
        <f t="shared" si="71"/>
        <v>&lt;tr&gt; &lt;td&gt;Jan. 0&lt;/td&gt;</v>
      </c>
      <c r="O599" t="str">
        <f t="shared" si="72"/>
        <v>&lt;td&gt;&lt;/td&gt;</v>
      </c>
      <c r="P599" t="str">
        <f t="shared" si="73"/>
        <v>&lt;td class="sched"&gt;&lt;/td&gt;</v>
      </c>
      <c r="Q599" t="str">
        <f t="shared" si="74"/>
        <v>&lt;td&gt; - &lt;/td&gt;</v>
      </c>
      <c r="R599" t="str">
        <f t="shared" si="75"/>
        <v>&lt;td class="sched"&gt;&lt;/td&gt;</v>
      </c>
      <c r="S599" t="str">
        <f t="shared" si="76"/>
        <v>&lt;td&gt; &lt;/td&gt; &lt;/tr&gt;</v>
      </c>
    </row>
    <row r="600" spans="10:19" x14ac:dyDescent="0.25">
      <c r="J600" t="str">
        <f t="shared" si="77"/>
        <v/>
      </c>
      <c r="N600" t="str">
        <f t="shared" si="71"/>
        <v>&lt;tr&gt; &lt;td&gt;Jan. 0&lt;/td&gt;</v>
      </c>
      <c r="O600" t="str">
        <f t="shared" si="72"/>
        <v>&lt;td&gt;&lt;/td&gt;</v>
      </c>
      <c r="P600" t="str">
        <f t="shared" si="73"/>
        <v>&lt;td class="sched"&gt;&lt;/td&gt;</v>
      </c>
      <c r="Q600" t="str">
        <f t="shared" si="74"/>
        <v>&lt;td&gt; - &lt;/td&gt;</v>
      </c>
      <c r="R600" t="str">
        <f t="shared" si="75"/>
        <v>&lt;td class="sched"&gt;&lt;/td&gt;</v>
      </c>
      <c r="S600" t="str">
        <f t="shared" si="76"/>
        <v>&lt;td&gt; &lt;/td&gt; &lt;/tr&gt;</v>
      </c>
    </row>
    <row r="601" spans="10:19" x14ac:dyDescent="0.25">
      <c r="J601" t="str">
        <f t="shared" si="77"/>
        <v/>
      </c>
      <c r="N601" t="str">
        <f t="shared" si="71"/>
        <v>&lt;tr&gt; &lt;td&gt;Jan. 0&lt;/td&gt;</v>
      </c>
      <c r="O601" t="str">
        <f t="shared" si="72"/>
        <v>&lt;td&gt;&lt;/td&gt;</v>
      </c>
      <c r="P601" t="str">
        <f t="shared" si="73"/>
        <v>&lt;td class="sched"&gt;&lt;/td&gt;</v>
      </c>
      <c r="Q601" t="str">
        <f t="shared" si="74"/>
        <v>&lt;td&gt; - &lt;/td&gt;</v>
      </c>
      <c r="R601" t="str">
        <f t="shared" si="75"/>
        <v>&lt;td class="sched"&gt;&lt;/td&gt;</v>
      </c>
      <c r="S601" t="str">
        <f t="shared" si="76"/>
        <v>&lt;td&gt; &lt;/td&gt; &lt;/tr&gt;</v>
      </c>
    </row>
    <row r="602" spans="10:19" x14ac:dyDescent="0.25">
      <c r="J602" t="str">
        <f t="shared" si="77"/>
        <v/>
      </c>
      <c r="N602" t="str">
        <f t="shared" si="71"/>
        <v>&lt;tr&gt; &lt;td&gt;Jan. 0&lt;/td&gt;</v>
      </c>
      <c r="O602" t="str">
        <f t="shared" si="72"/>
        <v>&lt;td&gt;&lt;/td&gt;</v>
      </c>
      <c r="P602" t="str">
        <f t="shared" si="73"/>
        <v>&lt;td class="sched"&gt;&lt;/td&gt;</v>
      </c>
      <c r="Q602" t="str">
        <f t="shared" si="74"/>
        <v>&lt;td&gt; - &lt;/td&gt;</v>
      </c>
      <c r="R602" t="str">
        <f t="shared" si="75"/>
        <v>&lt;td class="sched"&gt;&lt;/td&gt;</v>
      </c>
      <c r="S602" t="str">
        <f t="shared" si="76"/>
        <v>&lt;td&gt; &lt;/td&gt; &lt;/tr&gt;</v>
      </c>
    </row>
    <row r="603" spans="10:19" x14ac:dyDescent="0.25">
      <c r="J603" t="str">
        <f t="shared" si="77"/>
        <v/>
      </c>
      <c r="N603" t="str">
        <f t="shared" si="71"/>
        <v>&lt;tr&gt; &lt;td&gt;Jan. 0&lt;/td&gt;</v>
      </c>
      <c r="O603" t="str">
        <f t="shared" si="72"/>
        <v>&lt;td&gt;&lt;/td&gt;</v>
      </c>
      <c r="P603" t="str">
        <f t="shared" si="73"/>
        <v>&lt;td class="sched"&gt;&lt;/td&gt;</v>
      </c>
      <c r="Q603" t="str">
        <f t="shared" si="74"/>
        <v>&lt;td&gt; - &lt;/td&gt;</v>
      </c>
      <c r="R603" t="str">
        <f t="shared" si="75"/>
        <v>&lt;td class="sched"&gt;&lt;/td&gt;</v>
      </c>
      <c r="S603" t="str">
        <f t="shared" si="76"/>
        <v>&lt;td&gt; &lt;/td&gt; &lt;/tr&gt;</v>
      </c>
    </row>
    <row r="604" spans="10:19" x14ac:dyDescent="0.25">
      <c r="J604" t="str">
        <f t="shared" si="77"/>
        <v/>
      </c>
      <c r="N604" t="str">
        <f t="shared" si="71"/>
        <v>&lt;tr&gt; &lt;td&gt;Jan. 0&lt;/td&gt;</v>
      </c>
      <c r="O604" t="str">
        <f t="shared" si="72"/>
        <v>&lt;td&gt;&lt;/td&gt;</v>
      </c>
      <c r="P604" t="str">
        <f t="shared" si="73"/>
        <v>&lt;td class="sched"&gt;&lt;/td&gt;</v>
      </c>
      <c r="Q604" t="str">
        <f t="shared" si="74"/>
        <v>&lt;td&gt; - &lt;/td&gt;</v>
      </c>
      <c r="R604" t="str">
        <f t="shared" si="75"/>
        <v>&lt;td class="sched"&gt;&lt;/td&gt;</v>
      </c>
      <c r="S604" t="str">
        <f t="shared" si="76"/>
        <v>&lt;td&gt; &lt;/td&gt; &lt;/tr&gt;</v>
      </c>
    </row>
    <row r="605" spans="10:19" x14ac:dyDescent="0.25">
      <c r="J605" t="str">
        <f t="shared" si="77"/>
        <v/>
      </c>
      <c r="N605" t="str">
        <f t="shared" si="71"/>
        <v>&lt;tr&gt; &lt;td&gt;Jan. 0&lt;/td&gt;</v>
      </c>
      <c r="O605" t="str">
        <f t="shared" si="72"/>
        <v>&lt;td&gt;&lt;/td&gt;</v>
      </c>
      <c r="P605" t="str">
        <f t="shared" si="73"/>
        <v>&lt;td class="sched"&gt;&lt;/td&gt;</v>
      </c>
      <c r="Q605" t="str">
        <f t="shared" si="74"/>
        <v>&lt;td&gt; - &lt;/td&gt;</v>
      </c>
      <c r="R605" t="str">
        <f t="shared" si="75"/>
        <v>&lt;td class="sched"&gt;&lt;/td&gt;</v>
      </c>
      <c r="S605" t="str">
        <f t="shared" si="76"/>
        <v>&lt;td&gt; &lt;/td&gt; &lt;/tr&gt;</v>
      </c>
    </row>
    <row r="606" spans="10:19" x14ac:dyDescent="0.25">
      <c r="J606" t="str">
        <f t="shared" si="77"/>
        <v/>
      </c>
      <c r="N606" t="str">
        <f t="shared" si="71"/>
        <v>&lt;tr&gt; &lt;td&gt;Jan. 0&lt;/td&gt;</v>
      </c>
      <c r="O606" t="str">
        <f t="shared" si="72"/>
        <v>&lt;td&gt;&lt;/td&gt;</v>
      </c>
      <c r="P606" t="str">
        <f t="shared" si="73"/>
        <v>&lt;td class="sched"&gt;&lt;/td&gt;</v>
      </c>
      <c r="Q606" t="str">
        <f t="shared" si="74"/>
        <v>&lt;td&gt; - &lt;/td&gt;</v>
      </c>
      <c r="R606" t="str">
        <f t="shared" si="75"/>
        <v>&lt;td class="sched"&gt;&lt;/td&gt;</v>
      </c>
      <c r="S606" t="str">
        <f t="shared" si="76"/>
        <v>&lt;td&gt; &lt;/td&gt; &lt;/tr&gt;</v>
      </c>
    </row>
    <row r="607" spans="10:19" x14ac:dyDescent="0.25">
      <c r="J607" t="str">
        <f t="shared" si="77"/>
        <v/>
      </c>
      <c r="N607" t="str">
        <f t="shared" si="71"/>
        <v>&lt;tr&gt; &lt;td&gt;Jan. 0&lt;/td&gt;</v>
      </c>
      <c r="O607" t="str">
        <f t="shared" si="72"/>
        <v>&lt;td&gt;&lt;/td&gt;</v>
      </c>
      <c r="P607" t="str">
        <f t="shared" si="73"/>
        <v>&lt;td class="sched"&gt;&lt;/td&gt;</v>
      </c>
      <c r="Q607" t="str">
        <f t="shared" si="74"/>
        <v>&lt;td&gt; - &lt;/td&gt;</v>
      </c>
      <c r="R607" t="str">
        <f t="shared" si="75"/>
        <v>&lt;td class="sched"&gt;&lt;/td&gt;</v>
      </c>
      <c r="S607" t="str">
        <f t="shared" si="76"/>
        <v>&lt;td&gt; &lt;/td&gt; &lt;/tr&gt;</v>
      </c>
    </row>
    <row r="608" spans="10:19" x14ac:dyDescent="0.25">
      <c r="J608" t="str">
        <f t="shared" si="77"/>
        <v/>
      </c>
      <c r="N608" t="str">
        <f t="shared" si="71"/>
        <v>&lt;tr&gt; &lt;td&gt;Jan. 0&lt;/td&gt;</v>
      </c>
      <c r="O608" t="str">
        <f t="shared" si="72"/>
        <v>&lt;td&gt;&lt;/td&gt;</v>
      </c>
      <c r="P608" t="str">
        <f t="shared" si="73"/>
        <v>&lt;td class="sched"&gt;&lt;/td&gt;</v>
      </c>
      <c r="Q608" t="str">
        <f t="shared" si="74"/>
        <v>&lt;td&gt; - &lt;/td&gt;</v>
      </c>
      <c r="R608" t="str">
        <f t="shared" si="75"/>
        <v>&lt;td class="sched"&gt;&lt;/td&gt;</v>
      </c>
      <c r="S608" t="str">
        <f t="shared" si="76"/>
        <v>&lt;td&gt; &lt;/td&gt; &lt;/tr&gt;</v>
      </c>
    </row>
    <row r="609" spans="10:19" x14ac:dyDescent="0.25">
      <c r="J609" t="str">
        <f t="shared" si="77"/>
        <v/>
      </c>
      <c r="N609" t="str">
        <f t="shared" si="71"/>
        <v>&lt;tr&gt; &lt;td&gt;Jan. 0&lt;/td&gt;</v>
      </c>
      <c r="O609" t="str">
        <f t="shared" si="72"/>
        <v>&lt;td&gt;&lt;/td&gt;</v>
      </c>
      <c r="P609" t="str">
        <f t="shared" si="73"/>
        <v>&lt;td class="sched"&gt;&lt;/td&gt;</v>
      </c>
      <c r="Q609" t="str">
        <f t="shared" si="74"/>
        <v>&lt;td&gt; - &lt;/td&gt;</v>
      </c>
      <c r="R609" t="str">
        <f t="shared" si="75"/>
        <v>&lt;td class="sched"&gt;&lt;/td&gt;</v>
      </c>
      <c r="S609" t="str">
        <f t="shared" si="76"/>
        <v>&lt;td&gt; &lt;/td&gt; &lt;/tr&gt;</v>
      </c>
    </row>
    <row r="610" spans="10:19" x14ac:dyDescent="0.25">
      <c r="J610" t="str">
        <f t="shared" si="77"/>
        <v/>
      </c>
      <c r="N610" t="str">
        <f t="shared" si="71"/>
        <v>&lt;tr&gt; &lt;td&gt;Jan. 0&lt;/td&gt;</v>
      </c>
      <c r="O610" t="str">
        <f t="shared" si="72"/>
        <v>&lt;td&gt;&lt;/td&gt;</v>
      </c>
      <c r="P610" t="str">
        <f t="shared" si="73"/>
        <v>&lt;td class="sched"&gt;&lt;/td&gt;</v>
      </c>
      <c r="Q610" t="str">
        <f t="shared" si="74"/>
        <v>&lt;td&gt; - &lt;/td&gt;</v>
      </c>
      <c r="R610" t="str">
        <f t="shared" si="75"/>
        <v>&lt;td class="sched"&gt;&lt;/td&gt;</v>
      </c>
      <c r="S610" t="str">
        <f t="shared" si="76"/>
        <v>&lt;td&gt; &lt;/td&gt; &lt;/tr&gt;</v>
      </c>
    </row>
    <row r="611" spans="10:19" x14ac:dyDescent="0.25">
      <c r="J611" t="str">
        <f t="shared" si="77"/>
        <v/>
      </c>
      <c r="N611" t="str">
        <f t="shared" si="71"/>
        <v>&lt;tr&gt; &lt;td&gt;Jan. 0&lt;/td&gt;</v>
      </c>
      <c r="O611" t="str">
        <f t="shared" si="72"/>
        <v>&lt;td&gt;&lt;/td&gt;</v>
      </c>
      <c r="P611" t="str">
        <f t="shared" si="73"/>
        <v>&lt;td class="sched"&gt;&lt;/td&gt;</v>
      </c>
      <c r="Q611" t="str">
        <f t="shared" si="74"/>
        <v>&lt;td&gt; - &lt;/td&gt;</v>
      </c>
      <c r="R611" t="str">
        <f t="shared" si="75"/>
        <v>&lt;td class="sched"&gt;&lt;/td&gt;</v>
      </c>
      <c r="S611" t="str">
        <f t="shared" si="76"/>
        <v>&lt;td&gt; &lt;/td&gt; &lt;/tr&gt;</v>
      </c>
    </row>
    <row r="612" spans="10:19" x14ac:dyDescent="0.25">
      <c r="J612" t="str">
        <f t="shared" si="77"/>
        <v/>
      </c>
      <c r="N612" t="str">
        <f t="shared" si="71"/>
        <v>&lt;tr&gt; &lt;td&gt;Jan. 0&lt;/td&gt;</v>
      </c>
      <c r="O612" t="str">
        <f t="shared" si="72"/>
        <v>&lt;td&gt;&lt;/td&gt;</v>
      </c>
      <c r="P612" t="str">
        <f t="shared" si="73"/>
        <v>&lt;td class="sched"&gt;&lt;/td&gt;</v>
      </c>
      <c r="Q612" t="str">
        <f t="shared" si="74"/>
        <v>&lt;td&gt; - &lt;/td&gt;</v>
      </c>
      <c r="R612" t="str">
        <f t="shared" si="75"/>
        <v>&lt;td class="sched"&gt;&lt;/td&gt;</v>
      </c>
      <c r="S612" t="str">
        <f t="shared" si="76"/>
        <v>&lt;td&gt; &lt;/td&gt; &lt;/tr&gt;</v>
      </c>
    </row>
    <row r="613" spans="10:19" x14ac:dyDescent="0.25">
      <c r="J613" t="str">
        <f t="shared" si="77"/>
        <v/>
      </c>
      <c r="N613" t="str">
        <f t="shared" si="71"/>
        <v>&lt;tr&gt; &lt;td&gt;Jan. 0&lt;/td&gt;</v>
      </c>
      <c r="O613" t="str">
        <f t="shared" si="72"/>
        <v>&lt;td&gt;&lt;/td&gt;</v>
      </c>
      <c r="P613" t="str">
        <f t="shared" si="73"/>
        <v>&lt;td class="sched"&gt;&lt;/td&gt;</v>
      </c>
      <c r="Q613" t="str">
        <f t="shared" si="74"/>
        <v>&lt;td&gt; - &lt;/td&gt;</v>
      </c>
      <c r="R613" t="str">
        <f t="shared" si="75"/>
        <v>&lt;td class="sched"&gt;&lt;/td&gt;</v>
      </c>
      <c r="S613" t="str">
        <f t="shared" si="76"/>
        <v>&lt;td&gt; &lt;/td&gt; &lt;/tr&gt;</v>
      </c>
    </row>
    <row r="614" spans="10:19" x14ac:dyDescent="0.25">
      <c r="J614" t="str">
        <f t="shared" si="77"/>
        <v/>
      </c>
      <c r="N614" t="str">
        <f t="shared" si="71"/>
        <v>&lt;tr&gt; &lt;td&gt;Jan. 0&lt;/td&gt;</v>
      </c>
      <c r="O614" t="str">
        <f t="shared" si="72"/>
        <v>&lt;td&gt;&lt;/td&gt;</v>
      </c>
      <c r="P614" t="str">
        <f t="shared" si="73"/>
        <v>&lt;td class="sched"&gt;&lt;/td&gt;</v>
      </c>
      <c r="Q614" t="str">
        <f t="shared" si="74"/>
        <v>&lt;td&gt; - &lt;/td&gt;</v>
      </c>
      <c r="R614" t="str">
        <f t="shared" si="75"/>
        <v>&lt;td class="sched"&gt;&lt;/td&gt;</v>
      </c>
      <c r="S614" t="str">
        <f t="shared" si="76"/>
        <v>&lt;td&gt; &lt;/td&gt; &lt;/tr&gt;</v>
      </c>
    </row>
    <row r="615" spans="10:19" x14ac:dyDescent="0.25">
      <c r="J615" t="str">
        <f t="shared" si="77"/>
        <v/>
      </c>
      <c r="N615" t="str">
        <f t="shared" si="71"/>
        <v>&lt;tr&gt; &lt;td&gt;Jan. 0&lt;/td&gt;</v>
      </c>
      <c r="O615" t="str">
        <f t="shared" si="72"/>
        <v>&lt;td&gt;&lt;/td&gt;</v>
      </c>
      <c r="P615" t="str">
        <f t="shared" si="73"/>
        <v>&lt;td class="sched"&gt;&lt;/td&gt;</v>
      </c>
      <c r="Q615" t="str">
        <f t="shared" si="74"/>
        <v>&lt;td&gt; - &lt;/td&gt;</v>
      </c>
      <c r="R615" t="str">
        <f t="shared" si="75"/>
        <v>&lt;td class="sched"&gt;&lt;/td&gt;</v>
      </c>
      <c r="S615" t="str">
        <f t="shared" si="76"/>
        <v>&lt;td&gt; &lt;/td&gt; &lt;/tr&gt;</v>
      </c>
    </row>
    <row r="616" spans="10:19" x14ac:dyDescent="0.25">
      <c r="J616" t="str">
        <f t="shared" si="77"/>
        <v/>
      </c>
      <c r="N616" t="str">
        <f t="shared" si="71"/>
        <v>&lt;tr&gt; &lt;td&gt;Jan. 0&lt;/td&gt;</v>
      </c>
      <c r="O616" t="str">
        <f t="shared" si="72"/>
        <v>&lt;td&gt;&lt;/td&gt;</v>
      </c>
      <c r="P616" t="str">
        <f t="shared" si="73"/>
        <v>&lt;td class="sched"&gt;&lt;/td&gt;</v>
      </c>
      <c r="Q616" t="str">
        <f t="shared" si="74"/>
        <v>&lt;td&gt; - &lt;/td&gt;</v>
      </c>
      <c r="R616" t="str">
        <f t="shared" si="75"/>
        <v>&lt;td class="sched"&gt;&lt;/td&gt;</v>
      </c>
      <c r="S616" t="str">
        <f t="shared" si="76"/>
        <v>&lt;td&gt; &lt;/td&gt; &lt;/tr&gt;</v>
      </c>
    </row>
    <row r="617" spans="10:19" x14ac:dyDescent="0.25">
      <c r="J617" t="str">
        <f t="shared" si="77"/>
        <v/>
      </c>
      <c r="N617" t="str">
        <f t="shared" si="71"/>
        <v>&lt;tr&gt; &lt;td&gt;Jan. 0&lt;/td&gt;</v>
      </c>
      <c r="O617" t="str">
        <f t="shared" si="72"/>
        <v>&lt;td&gt;&lt;/td&gt;</v>
      </c>
      <c r="P617" t="str">
        <f t="shared" si="73"/>
        <v>&lt;td class="sched"&gt;&lt;/td&gt;</v>
      </c>
      <c r="Q617" t="str">
        <f t="shared" si="74"/>
        <v>&lt;td&gt; - &lt;/td&gt;</v>
      </c>
      <c r="R617" t="str">
        <f t="shared" si="75"/>
        <v>&lt;td class="sched"&gt;&lt;/td&gt;</v>
      </c>
      <c r="S617" t="str">
        <f t="shared" si="76"/>
        <v>&lt;td&gt; &lt;/td&gt; &lt;/tr&gt;</v>
      </c>
    </row>
    <row r="618" spans="10:19" x14ac:dyDescent="0.25">
      <c r="J618" t="str">
        <f t="shared" si="77"/>
        <v/>
      </c>
      <c r="N618" t="str">
        <f t="shared" si="71"/>
        <v>&lt;tr&gt; &lt;td&gt;Jan. 0&lt;/td&gt;</v>
      </c>
      <c r="O618" t="str">
        <f t="shared" si="72"/>
        <v>&lt;td&gt;&lt;/td&gt;</v>
      </c>
      <c r="P618" t="str">
        <f t="shared" si="73"/>
        <v>&lt;td class="sched"&gt;&lt;/td&gt;</v>
      </c>
      <c r="Q618" t="str">
        <f t="shared" si="74"/>
        <v>&lt;td&gt; - &lt;/td&gt;</v>
      </c>
      <c r="R618" t="str">
        <f t="shared" si="75"/>
        <v>&lt;td class="sched"&gt;&lt;/td&gt;</v>
      </c>
      <c r="S618" t="str">
        <f t="shared" si="76"/>
        <v>&lt;td&gt; &lt;/td&gt; &lt;/tr&gt;</v>
      </c>
    </row>
    <row r="619" spans="10:19" x14ac:dyDescent="0.25">
      <c r="J619" t="str">
        <f t="shared" si="77"/>
        <v/>
      </c>
      <c r="N619" t="str">
        <f t="shared" si="71"/>
        <v>&lt;tr&gt; &lt;td&gt;Jan. 0&lt;/td&gt;</v>
      </c>
      <c r="O619" t="str">
        <f t="shared" si="72"/>
        <v>&lt;td&gt;&lt;/td&gt;</v>
      </c>
      <c r="P619" t="str">
        <f t="shared" si="73"/>
        <v>&lt;td class="sched"&gt;&lt;/td&gt;</v>
      </c>
      <c r="Q619" t="str">
        <f t="shared" si="74"/>
        <v>&lt;td&gt; - &lt;/td&gt;</v>
      </c>
      <c r="R619" t="str">
        <f t="shared" si="75"/>
        <v>&lt;td class="sched"&gt;&lt;/td&gt;</v>
      </c>
      <c r="S619" t="str">
        <f t="shared" si="76"/>
        <v>&lt;td&gt; &lt;/td&gt; &lt;/tr&gt;</v>
      </c>
    </row>
    <row r="620" spans="10:19" x14ac:dyDescent="0.25">
      <c r="J620" t="str">
        <f t="shared" si="77"/>
        <v/>
      </c>
      <c r="N620" t="str">
        <f t="shared" si="71"/>
        <v>&lt;tr&gt; &lt;td&gt;Jan. 0&lt;/td&gt;</v>
      </c>
      <c r="O620" t="str">
        <f t="shared" si="72"/>
        <v>&lt;td&gt;&lt;/td&gt;</v>
      </c>
      <c r="P620" t="str">
        <f t="shared" si="73"/>
        <v>&lt;td class="sched"&gt;&lt;/td&gt;</v>
      </c>
      <c r="Q620" t="str">
        <f t="shared" si="74"/>
        <v>&lt;td&gt; - &lt;/td&gt;</v>
      </c>
      <c r="R620" t="str">
        <f t="shared" si="75"/>
        <v>&lt;td class="sched"&gt;&lt;/td&gt;</v>
      </c>
      <c r="S620" t="str">
        <f t="shared" si="76"/>
        <v>&lt;td&gt; &lt;/td&gt; &lt;/tr&gt;</v>
      </c>
    </row>
    <row r="621" spans="10:19" x14ac:dyDescent="0.25">
      <c r="J621" t="str">
        <f t="shared" si="77"/>
        <v/>
      </c>
      <c r="N621" t="str">
        <f t="shared" si="71"/>
        <v>&lt;tr&gt; &lt;td&gt;Jan. 0&lt;/td&gt;</v>
      </c>
      <c r="O621" t="str">
        <f t="shared" si="72"/>
        <v>&lt;td&gt;&lt;/td&gt;</v>
      </c>
      <c r="P621" t="str">
        <f t="shared" si="73"/>
        <v>&lt;td class="sched"&gt;&lt;/td&gt;</v>
      </c>
      <c r="Q621" t="str">
        <f t="shared" si="74"/>
        <v>&lt;td&gt; - &lt;/td&gt;</v>
      </c>
      <c r="R621" t="str">
        <f t="shared" si="75"/>
        <v>&lt;td class="sched"&gt;&lt;/td&gt;</v>
      </c>
      <c r="S621" t="str">
        <f t="shared" si="76"/>
        <v>&lt;td&gt; &lt;/td&gt; &lt;/tr&gt;</v>
      </c>
    </row>
    <row r="622" spans="10:19" x14ac:dyDescent="0.25">
      <c r="J622" t="str">
        <f t="shared" si="77"/>
        <v/>
      </c>
      <c r="N622" t="str">
        <f t="shared" si="71"/>
        <v>&lt;tr&gt; &lt;td&gt;Jan. 0&lt;/td&gt;</v>
      </c>
      <c r="O622" t="str">
        <f t="shared" si="72"/>
        <v>&lt;td&gt;&lt;/td&gt;</v>
      </c>
      <c r="P622" t="str">
        <f t="shared" si="73"/>
        <v>&lt;td class="sched"&gt;&lt;/td&gt;</v>
      </c>
      <c r="Q622" t="str">
        <f t="shared" si="74"/>
        <v>&lt;td&gt; - &lt;/td&gt;</v>
      </c>
      <c r="R622" t="str">
        <f t="shared" si="75"/>
        <v>&lt;td class="sched"&gt;&lt;/td&gt;</v>
      </c>
      <c r="S622" t="str">
        <f t="shared" si="76"/>
        <v>&lt;td&gt; &lt;/td&gt; &lt;/tr&gt;</v>
      </c>
    </row>
    <row r="623" spans="10:19" x14ac:dyDescent="0.25">
      <c r="J623" t="str">
        <f t="shared" si="77"/>
        <v/>
      </c>
      <c r="N623" t="str">
        <f t="shared" si="71"/>
        <v>&lt;tr&gt; &lt;td&gt;Jan. 0&lt;/td&gt;</v>
      </c>
      <c r="O623" t="str">
        <f t="shared" si="72"/>
        <v>&lt;td&gt;&lt;/td&gt;</v>
      </c>
      <c r="P623" t="str">
        <f t="shared" si="73"/>
        <v>&lt;td class="sched"&gt;&lt;/td&gt;</v>
      </c>
      <c r="Q623" t="str">
        <f t="shared" si="74"/>
        <v>&lt;td&gt; - &lt;/td&gt;</v>
      </c>
      <c r="R623" t="str">
        <f t="shared" si="75"/>
        <v>&lt;td class="sched"&gt;&lt;/td&gt;</v>
      </c>
      <c r="S623" t="str">
        <f t="shared" si="76"/>
        <v>&lt;td&gt; &lt;/td&gt; &lt;/tr&gt;</v>
      </c>
    </row>
    <row r="624" spans="10:19" x14ac:dyDescent="0.25">
      <c r="J624" t="str">
        <f t="shared" si="77"/>
        <v/>
      </c>
      <c r="N624" t="str">
        <f t="shared" si="71"/>
        <v>&lt;tr&gt; &lt;td&gt;Jan. 0&lt;/td&gt;</v>
      </c>
      <c r="O624" t="str">
        <f t="shared" si="72"/>
        <v>&lt;td&gt;&lt;/td&gt;</v>
      </c>
      <c r="P624" t="str">
        <f t="shared" si="73"/>
        <v>&lt;td class="sched"&gt;&lt;/td&gt;</v>
      </c>
      <c r="Q624" t="str">
        <f t="shared" si="74"/>
        <v>&lt;td&gt; - &lt;/td&gt;</v>
      </c>
      <c r="R624" t="str">
        <f t="shared" si="75"/>
        <v>&lt;td class="sched"&gt;&lt;/td&gt;</v>
      </c>
      <c r="S624" t="str">
        <f t="shared" si="76"/>
        <v>&lt;td&gt; &lt;/td&gt; &lt;/tr&gt;</v>
      </c>
    </row>
    <row r="625" spans="10:19" x14ac:dyDescent="0.25">
      <c r="J625" t="str">
        <f t="shared" ref="J625:J633" si="78">IF(H625&gt;E625,"H",IF(E625&gt;H625,"V",""))</f>
        <v/>
      </c>
      <c r="N625" t="str">
        <f t="shared" si="71"/>
        <v>&lt;tr&gt; &lt;td&gt;Jan. 0&lt;/td&gt;</v>
      </c>
      <c r="O625" t="str">
        <f t="shared" si="72"/>
        <v>&lt;td&gt;&lt;/td&gt;</v>
      </c>
      <c r="P625" t="str">
        <f t="shared" si="73"/>
        <v>&lt;td class="sched"&gt;&lt;/td&gt;</v>
      </c>
      <c r="Q625" t="str">
        <f t="shared" si="74"/>
        <v>&lt;td&gt; - &lt;/td&gt;</v>
      </c>
      <c r="R625" t="str">
        <f t="shared" si="75"/>
        <v>&lt;td class="sched"&gt;&lt;/td&gt;</v>
      </c>
      <c r="S625" t="str">
        <f t="shared" si="76"/>
        <v>&lt;td&gt; &lt;/td&gt; &lt;/tr&gt;</v>
      </c>
    </row>
    <row r="626" spans="10:19" x14ac:dyDescent="0.25">
      <c r="J626" t="str">
        <f t="shared" si="78"/>
        <v/>
      </c>
      <c r="N626" t="str">
        <f t="shared" si="71"/>
        <v>&lt;tr&gt; &lt;td&gt;Jan. 0&lt;/td&gt;</v>
      </c>
      <c r="O626" t="str">
        <f t="shared" si="72"/>
        <v>&lt;td&gt;&lt;/td&gt;</v>
      </c>
      <c r="P626" t="str">
        <f t="shared" si="73"/>
        <v>&lt;td class="sched"&gt;&lt;/td&gt;</v>
      </c>
      <c r="Q626" t="str">
        <f t="shared" si="74"/>
        <v>&lt;td&gt; - &lt;/td&gt;</v>
      </c>
      <c r="R626" t="str">
        <f t="shared" si="75"/>
        <v>&lt;td class="sched"&gt;&lt;/td&gt;</v>
      </c>
      <c r="S626" t="str">
        <f t="shared" si="76"/>
        <v>&lt;td&gt; &lt;/td&gt; &lt;/tr&gt;</v>
      </c>
    </row>
    <row r="627" spans="10:19" x14ac:dyDescent="0.25">
      <c r="J627" t="str">
        <f t="shared" si="78"/>
        <v/>
      </c>
      <c r="N627" t="str">
        <f t="shared" si="71"/>
        <v>&lt;tr&gt; &lt;td&gt;Jan. 0&lt;/td&gt;</v>
      </c>
      <c r="O627" t="str">
        <f t="shared" si="72"/>
        <v>&lt;td&gt;&lt;/td&gt;</v>
      </c>
      <c r="P627" t="str">
        <f t="shared" si="73"/>
        <v>&lt;td class="sched"&gt;&lt;/td&gt;</v>
      </c>
      <c r="Q627" t="str">
        <f t="shared" si="74"/>
        <v>&lt;td&gt; - &lt;/td&gt;</v>
      </c>
      <c r="R627" t="str">
        <f t="shared" si="75"/>
        <v>&lt;td class="sched"&gt;&lt;/td&gt;</v>
      </c>
      <c r="S627" t="str">
        <f t="shared" si="76"/>
        <v>&lt;td&gt; &lt;/td&gt; &lt;/tr&gt;</v>
      </c>
    </row>
    <row r="628" spans="10:19" x14ac:dyDescent="0.25">
      <c r="J628" t="str">
        <f t="shared" si="78"/>
        <v/>
      </c>
      <c r="N628" t="str">
        <f t="shared" si="71"/>
        <v>&lt;tr&gt; &lt;td&gt;Jan. 0&lt;/td&gt;</v>
      </c>
      <c r="O628" t="str">
        <f t="shared" si="72"/>
        <v>&lt;td&gt;&lt;/td&gt;</v>
      </c>
      <c r="P628" t="str">
        <f t="shared" si="73"/>
        <v>&lt;td class="sched"&gt;&lt;/td&gt;</v>
      </c>
      <c r="Q628" t="str">
        <f t="shared" si="74"/>
        <v>&lt;td&gt; - &lt;/td&gt;</v>
      </c>
      <c r="R628" t="str">
        <f t="shared" si="75"/>
        <v>&lt;td class="sched"&gt;&lt;/td&gt;</v>
      </c>
      <c r="S628" t="str">
        <f t="shared" si="76"/>
        <v>&lt;td&gt; &lt;/td&gt; &lt;/tr&gt;</v>
      </c>
    </row>
    <row r="629" spans="10:19" x14ac:dyDescent="0.25">
      <c r="J629" t="str">
        <f t="shared" si="78"/>
        <v/>
      </c>
      <c r="N629" t="str">
        <f t="shared" si="71"/>
        <v>&lt;tr&gt; &lt;td&gt;Jan. 0&lt;/td&gt;</v>
      </c>
      <c r="O629" t="str">
        <f t="shared" si="72"/>
        <v>&lt;td&gt;&lt;/td&gt;</v>
      </c>
      <c r="P629" t="str">
        <f t="shared" si="73"/>
        <v>&lt;td class="sched"&gt;&lt;/td&gt;</v>
      </c>
      <c r="Q629" t="str">
        <f t="shared" si="74"/>
        <v>&lt;td&gt; - &lt;/td&gt;</v>
      </c>
      <c r="R629" t="str">
        <f t="shared" si="75"/>
        <v>&lt;td class="sched"&gt;&lt;/td&gt;</v>
      </c>
      <c r="S629" t="str">
        <f t="shared" si="76"/>
        <v>&lt;td&gt; &lt;/td&gt; &lt;/tr&gt;</v>
      </c>
    </row>
    <row r="630" spans="10:19" x14ac:dyDescent="0.25">
      <c r="J630" t="str">
        <f t="shared" si="78"/>
        <v/>
      </c>
      <c r="N630" t="str">
        <f t="shared" si="71"/>
        <v>&lt;tr&gt; &lt;td&gt;Jan. 0&lt;/td&gt;</v>
      </c>
      <c r="O630" t="str">
        <f t="shared" si="72"/>
        <v>&lt;td&gt;&lt;/td&gt;</v>
      </c>
      <c r="P630" t="str">
        <f t="shared" si="73"/>
        <v>&lt;td class="sched"&gt;&lt;/td&gt;</v>
      </c>
      <c r="Q630" t="str">
        <f t="shared" si="74"/>
        <v>&lt;td&gt; - &lt;/td&gt;</v>
      </c>
      <c r="R630" t="str">
        <f t="shared" si="75"/>
        <v>&lt;td class="sched"&gt;&lt;/td&gt;</v>
      </c>
      <c r="S630" t="str">
        <f t="shared" si="76"/>
        <v>&lt;td&gt; &lt;/td&gt; &lt;/tr&gt;</v>
      </c>
    </row>
    <row r="631" spans="10:19" x14ac:dyDescent="0.25">
      <c r="J631" t="str">
        <f t="shared" si="78"/>
        <v/>
      </c>
      <c r="N631" t="str">
        <f t="shared" si="71"/>
        <v>&lt;tr&gt; &lt;td&gt;Jan. 0&lt;/td&gt;</v>
      </c>
      <c r="O631" t="str">
        <f t="shared" si="72"/>
        <v>&lt;td&gt;&lt;/td&gt;</v>
      </c>
      <c r="P631" t="str">
        <f t="shared" si="73"/>
        <v>&lt;td class="sched"&gt;&lt;/td&gt;</v>
      </c>
      <c r="Q631" t="str">
        <f t="shared" si="74"/>
        <v>&lt;td&gt; - &lt;/td&gt;</v>
      </c>
      <c r="R631" t="str">
        <f t="shared" si="75"/>
        <v>&lt;td class="sched"&gt;&lt;/td&gt;</v>
      </c>
      <c r="S631" t="str">
        <f t="shared" si="76"/>
        <v>&lt;td&gt; &lt;/td&gt; &lt;/tr&gt;</v>
      </c>
    </row>
    <row r="632" spans="10:19" x14ac:dyDescent="0.25">
      <c r="J632" t="str">
        <f t="shared" si="78"/>
        <v/>
      </c>
      <c r="N632" t="str">
        <f t="shared" si="71"/>
        <v>&lt;tr&gt; &lt;td&gt;Jan. 0&lt;/td&gt;</v>
      </c>
      <c r="O632" t="str">
        <f t="shared" si="72"/>
        <v>&lt;td&gt;&lt;/td&gt;</v>
      </c>
      <c r="P632" t="str">
        <f t="shared" si="73"/>
        <v>&lt;td class="sched"&gt;&lt;/td&gt;</v>
      </c>
      <c r="Q632" t="str">
        <f t="shared" si="74"/>
        <v>&lt;td&gt; - &lt;/td&gt;</v>
      </c>
      <c r="R632" t="str">
        <f t="shared" si="75"/>
        <v>&lt;td class="sched"&gt;&lt;/td&gt;</v>
      </c>
      <c r="S632" t="str">
        <f t="shared" si="76"/>
        <v>&lt;td&gt; &lt;/td&gt; &lt;/tr&gt;</v>
      </c>
    </row>
    <row r="633" spans="10:19" x14ac:dyDescent="0.25">
      <c r="J633" t="str">
        <f t="shared" si="78"/>
        <v/>
      </c>
      <c r="N633" t="str">
        <f t="shared" si="71"/>
        <v>&lt;tr&gt; &lt;td&gt;Jan. 0&lt;/td&gt;</v>
      </c>
      <c r="O633" t="str">
        <f t="shared" si="72"/>
        <v>&lt;td&gt;&lt;/td&gt;</v>
      </c>
      <c r="P633" t="str">
        <f t="shared" si="73"/>
        <v>&lt;td class="sched"&gt;&lt;/td&gt;</v>
      </c>
      <c r="Q633" t="str">
        <f t="shared" si="74"/>
        <v>&lt;td&gt; - &lt;/td&gt;</v>
      </c>
      <c r="R633" t="str">
        <f t="shared" si="75"/>
        <v>&lt;td class="sched"&gt;&lt;/td&gt;</v>
      </c>
      <c r="S633" t="str">
        <f t="shared" si="76"/>
        <v>&lt;td&gt; &lt;/td&gt; &lt;/tr&gt;</v>
      </c>
    </row>
  </sheetData>
  <sortState ref="A2:T633">
    <sortCondition ref="A2:A633"/>
    <sortCondition ref="B2:B633"/>
  </sortState>
  <conditionalFormatting sqref="A1:A103 A105:A309 A332:A378 A380:A425 A432:A527 A532:A549 A551:A1048576">
    <cfRule type="cellIs" dxfId="37" priority="25" operator="equal">
      <formula>$T$1</formula>
    </cfRule>
    <cfRule type="cellIs" dxfId="36" priority="26" operator="lessThan">
      <formula>$T$1</formula>
    </cfRule>
  </conditionalFormatting>
  <conditionalFormatting sqref="A310:A319">
    <cfRule type="cellIs" dxfId="35" priority="19" operator="equal">
      <formula>$T$1</formula>
    </cfRule>
    <cfRule type="cellIs" dxfId="34" priority="20" operator="lessThan">
      <formula>$T$1</formula>
    </cfRule>
  </conditionalFormatting>
  <conditionalFormatting sqref="A320:A331">
    <cfRule type="cellIs" dxfId="33" priority="17" operator="equal">
      <formula>$T$1</formula>
    </cfRule>
    <cfRule type="cellIs" dxfId="32" priority="18" operator="lessThan">
      <formula>$T$1</formula>
    </cfRule>
  </conditionalFormatting>
  <conditionalFormatting sqref="A379">
    <cfRule type="cellIs" dxfId="31" priority="15" operator="equal">
      <formula>$T$1</formula>
    </cfRule>
    <cfRule type="cellIs" dxfId="30" priority="16" operator="lessThan">
      <formula>$T$1</formula>
    </cfRule>
  </conditionalFormatting>
  <conditionalFormatting sqref="A378">
    <cfRule type="cellIs" dxfId="29" priority="13" operator="equal">
      <formula>$T$1</formula>
    </cfRule>
    <cfRule type="cellIs" dxfId="28" priority="14" operator="lessThan">
      <formula>$T$1</formula>
    </cfRule>
  </conditionalFormatting>
  <conditionalFormatting sqref="A104">
    <cfRule type="cellIs" dxfId="27" priority="11" operator="equal">
      <formula>$T$1</formula>
    </cfRule>
    <cfRule type="cellIs" dxfId="26" priority="12" operator="lessThan">
      <formula>$T$1</formula>
    </cfRule>
  </conditionalFormatting>
  <conditionalFormatting sqref="A426:A431">
    <cfRule type="cellIs" dxfId="25" priority="9" operator="equal">
      <formula>$T$1</formula>
    </cfRule>
    <cfRule type="cellIs" dxfId="24" priority="10" operator="lessThan">
      <formula>$T$1</formula>
    </cfRule>
  </conditionalFormatting>
  <conditionalFormatting sqref="A528:A531">
    <cfRule type="cellIs" dxfId="23" priority="3" operator="equal">
      <formula>$T$1</formula>
    </cfRule>
    <cfRule type="cellIs" dxfId="22" priority="4" operator="lessThan">
      <formula>$T$1</formula>
    </cfRule>
  </conditionalFormatting>
  <conditionalFormatting sqref="A550">
    <cfRule type="cellIs" dxfId="21" priority="1" operator="equal">
      <formula>$T$1</formula>
    </cfRule>
    <cfRule type="cellIs" dxfId="20" priority="2" operator="lessThan">
      <formula>$T$1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623"/>
  <sheetViews>
    <sheetView tabSelected="1" workbookViewId="0">
      <pane ySplit="1" topLeftCell="A534" activePane="bottomLeft" state="frozen"/>
      <selection pane="bottomLeft" activeCell="E546" sqref="E546"/>
    </sheetView>
  </sheetViews>
  <sheetFormatPr defaultRowHeight="15" x14ac:dyDescent="0.25"/>
  <cols>
    <col min="1" max="1" width="10.42578125" style="5" bestFit="1" customWidth="1"/>
    <col min="2" max="2" width="8.85546875" style="6" bestFit="1" customWidth="1"/>
    <col min="7" max="7" width="10.85546875" bestFit="1" customWidth="1"/>
    <col min="10" max="10" width="2.85546875" bestFit="1" customWidth="1"/>
    <col min="14" max="14" width="9.140625" customWidth="1"/>
  </cols>
  <sheetData>
    <row r="1" spans="1:20" x14ac:dyDescent="0.25">
      <c r="A1" s="5" t="s">
        <v>146</v>
      </c>
      <c r="B1" s="6" t="s">
        <v>147</v>
      </c>
      <c r="C1" t="s">
        <v>148</v>
      </c>
      <c r="D1" t="s">
        <v>152</v>
      </c>
      <c r="E1" t="s">
        <v>149</v>
      </c>
      <c r="F1" t="s">
        <v>150</v>
      </c>
      <c r="G1" t="s">
        <v>153</v>
      </c>
      <c r="H1" t="s">
        <v>149</v>
      </c>
      <c r="I1" t="s">
        <v>155</v>
      </c>
      <c r="J1" t="s">
        <v>156</v>
      </c>
      <c r="K1" t="s">
        <v>151</v>
      </c>
      <c r="L1" t="s">
        <v>172</v>
      </c>
      <c r="M1" t="s">
        <v>154</v>
      </c>
      <c r="N1" t="str">
        <f>"&lt;tr&gt; &lt;th width=""8%""&gt;"&amp;A1&amp;"&lt;/th&gt;"</f>
        <v>&lt;tr&gt; &lt;th width="8%"&gt;Date&lt;/th&gt;</v>
      </c>
      <c r="O1" t="str">
        <f>"&lt;th width=""10%""&gt;"&amp;B1&amp;"&lt;/th&gt;"</f>
        <v>&lt;th width="10%"&gt;Time&lt;/th&gt;</v>
      </c>
      <c r="P1" t="str">
        <f>"&lt;th width=""16%""&gt;"&amp;C1&amp;"&lt;/th&gt;"</f>
        <v>&lt;th width="16%"&gt;Visitor&lt;/th&gt;</v>
      </c>
      <c r="Q1" t="str">
        <f>"&lt;th width=""10%""&gt;"&amp;E1&amp;"&lt;/th&gt;"</f>
        <v>&lt;th width="10%"&gt;Score&lt;/th&gt;</v>
      </c>
      <c r="R1" t="str">
        <f>"&lt;th width=""16%""&gt;"&amp;F1&amp;"&lt;/th&gt;"</f>
        <v>&lt;th width="16%"&gt;Home&lt;/th&gt;</v>
      </c>
      <c r="S1" t="str">
        <f>"&lt;th width=""40%""&gt;"&amp;K1&amp;"&lt;/th&gt; &lt;/tr&gt;"</f>
        <v>&lt;th width="40%"&gt;Event&lt;/th&gt; &lt;/tr&gt;</v>
      </c>
      <c r="T1" s="5">
        <f ca="1">TODAY()</f>
        <v>42443</v>
      </c>
    </row>
    <row r="2" spans="1:20" x14ac:dyDescent="0.25">
      <c r="A2" s="5">
        <v>42341</v>
      </c>
      <c r="C2" t="s">
        <v>16</v>
      </c>
      <c r="D2" t="s">
        <v>45</v>
      </c>
      <c r="E2">
        <v>43</v>
      </c>
      <c r="F2" t="s">
        <v>4</v>
      </c>
      <c r="G2" t="s">
        <v>41</v>
      </c>
      <c r="H2">
        <v>79</v>
      </c>
      <c r="J2" t="str">
        <f t="shared" ref="J2:J65" si="0">IF(H2&gt;E2,"H",IF(E2&gt;H2,"V",""))</f>
        <v>H</v>
      </c>
      <c r="K2" t="s">
        <v>185</v>
      </c>
      <c r="L2" t="s">
        <v>173</v>
      </c>
      <c r="N2" t="str">
        <f t="shared" ref="N2:N65" si="1">"&lt;tr&gt; &lt;td&gt;"&amp;TEXT(A2,"MMM. D")&amp;"&lt;/td&gt;"</f>
        <v>&lt;tr&gt; &lt;td&gt;Dec. 3&lt;/td&gt;</v>
      </c>
      <c r="O2" t="str">
        <f t="shared" ref="O2:O65" si="2">"&lt;td&gt;"&amp;IF(B2&gt;0,TEXT(B2,"H:MM AM/PM"),"")&amp;"&lt;/td&gt;"</f>
        <v>&lt;td&gt;&lt;/td&gt;</v>
      </c>
      <c r="P2" t="str">
        <f t="shared" ref="P2:P65" si="3">"&lt;td class="""&amp;D2&amp;"sched""&gt;"&amp;C2&amp;"&lt;/td&gt;"</f>
        <v>&lt;td class="MCsched"&gt;Maples&lt;/td&gt;</v>
      </c>
      <c r="Q2" t="str">
        <f t="shared" ref="Q2:Q65" si="4">"&lt;td&gt;"&amp;E2&amp;" - "&amp;H2&amp;IF(I2&gt;0," "&amp;I2,"")&amp;"&lt;/td&gt;"</f>
        <v>&lt;td&gt;43 - 79&lt;/td&gt;</v>
      </c>
      <c r="R2" t="str">
        <f t="shared" ref="R2:R65" si="5">"&lt;td class="""&amp;G2&amp;"sched""&gt;"&amp;F2&amp;"&lt;/td&gt;"</f>
        <v>&lt;td class="GCCsched"&gt;Garden City&lt;/td&gt;</v>
      </c>
      <c r="S2" t="str">
        <f t="shared" ref="S2:S65" si="6">"&lt;td&gt;"&amp;K2&amp;" "&amp;L2&amp;"&lt;/td&gt; &lt;/tr&gt;"</f>
        <v>&lt;td&gt;Garden City Invitational Quarterfinal 1&lt;/td&gt; &lt;/tr&gt;</v>
      </c>
    </row>
    <row r="3" spans="1:20" x14ac:dyDescent="0.25">
      <c r="A3" s="5">
        <v>42341</v>
      </c>
      <c r="C3" t="s">
        <v>1</v>
      </c>
      <c r="D3" t="s">
        <v>74</v>
      </c>
      <c r="E3">
        <v>66</v>
      </c>
      <c r="F3" t="s">
        <v>11</v>
      </c>
      <c r="G3" t="s">
        <v>48</v>
      </c>
      <c r="H3">
        <v>59</v>
      </c>
      <c r="J3" t="str">
        <f t="shared" si="0"/>
        <v>V</v>
      </c>
      <c r="K3" t="s">
        <v>185</v>
      </c>
      <c r="L3" t="s">
        <v>174</v>
      </c>
      <c r="N3" t="str">
        <f t="shared" si="1"/>
        <v>&lt;tr&gt; &lt;td&gt;Dec. 3&lt;/td&gt;</v>
      </c>
      <c r="O3" t="str">
        <f t="shared" si="2"/>
        <v>&lt;td&gt;&lt;/td&gt;</v>
      </c>
      <c r="P3" t="str">
        <f t="shared" si="3"/>
        <v>&lt;td class="OPHSsched"&gt;Oak Park&lt;/td&gt;</v>
      </c>
      <c r="Q3" t="str">
        <f t="shared" si="4"/>
        <v>&lt;td&gt;66 - 59&lt;/td&gt;</v>
      </c>
      <c r="R3" t="str">
        <f t="shared" si="5"/>
        <v>&lt;td class="MMCsched"&gt;Miles Macdonell&lt;/td&gt;</v>
      </c>
      <c r="S3" t="str">
        <f t="shared" si="6"/>
        <v>&lt;td&gt;Garden City Invitational Quarterfinal 2&lt;/td&gt; &lt;/tr&gt;</v>
      </c>
    </row>
    <row r="4" spans="1:20" x14ac:dyDescent="0.25">
      <c r="A4" s="5">
        <v>42341</v>
      </c>
      <c r="C4" t="s">
        <v>5</v>
      </c>
      <c r="D4" t="s">
        <v>62</v>
      </c>
      <c r="E4">
        <v>56</v>
      </c>
      <c r="F4" t="s">
        <v>2</v>
      </c>
      <c r="G4" t="s">
        <v>43</v>
      </c>
      <c r="H4">
        <v>40</v>
      </c>
      <c r="J4" t="str">
        <f t="shared" si="0"/>
        <v>V</v>
      </c>
      <c r="K4" t="s">
        <v>185</v>
      </c>
      <c r="L4" t="s">
        <v>175</v>
      </c>
      <c r="N4" t="str">
        <f t="shared" si="1"/>
        <v>&lt;tr&gt; &lt;td&gt;Dec. 3&lt;/td&gt;</v>
      </c>
      <c r="O4" t="str">
        <f t="shared" si="2"/>
        <v>&lt;td&gt;&lt;/td&gt;</v>
      </c>
      <c r="P4" t="str">
        <f t="shared" si="3"/>
        <v>&lt;td class="GCIsched"&gt;Glenlawn&lt;/td&gt;</v>
      </c>
      <c r="Q4" t="str">
        <f t="shared" si="4"/>
        <v>&lt;td&gt;56 - 40&lt;/td&gt;</v>
      </c>
      <c r="R4" t="str">
        <f t="shared" si="5"/>
        <v>&lt;td class="KECsched"&gt;Kildonan-East&lt;/td&gt;</v>
      </c>
      <c r="S4" t="str">
        <f t="shared" si="6"/>
        <v>&lt;td&gt;Garden City Invitational Quarterfinal 3&lt;/td&gt; &lt;/tr&gt;</v>
      </c>
    </row>
    <row r="5" spans="1:20" x14ac:dyDescent="0.25">
      <c r="A5" s="5">
        <v>42341</v>
      </c>
      <c r="C5" t="s">
        <v>9</v>
      </c>
      <c r="D5" t="s">
        <v>76</v>
      </c>
      <c r="E5">
        <v>68</v>
      </c>
      <c r="F5" t="s">
        <v>157</v>
      </c>
      <c r="H5">
        <v>42</v>
      </c>
      <c r="J5" t="str">
        <f t="shared" si="0"/>
        <v>V</v>
      </c>
      <c r="K5" t="s">
        <v>185</v>
      </c>
      <c r="L5" t="s">
        <v>176</v>
      </c>
      <c r="N5" t="str">
        <f t="shared" si="1"/>
        <v>&lt;tr&gt; &lt;td&gt;Dec. 3&lt;/td&gt;</v>
      </c>
      <c r="O5" t="str">
        <f t="shared" si="2"/>
        <v>&lt;td&gt;&lt;/td&gt;</v>
      </c>
      <c r="P5" t="str">
        <f t="shared" si="3"/>
        <v>&lt;td class="SiHSsched"&gt;Sisler&lt;/td&gt;</v>
      </c>
      <c r="Q5" t="str">
        <f t="shared" si="4"/>
        <v>&lt;td&gt;68 - 42&lt;/td&gt;</v>
      </c>
      <c r="R5" t="str">
        <f t="shared" si="5"/>
        <v>&lt;td class="sched"&gt;R.D. Parker&lt;/td&gt;</v>
      </c>
      <c r="S5" t="str">
        <f t="shared" si="6"/>
        <v>&lt;td&gt;Garden City Invitational Quarterfinal 4&lt;/td&gt; &lt;/tr&gt;</v>
      </c>
    </row>
    <row r="6" spans="1:20" x14ac:dyDescent="0.25">
      <c r="A6" s="5">
        <v>42341</v>
      </c>
      <c r="C6" t="s">
        <v>253</v>
      </c>
      <c r="E6">
        <v>47</v>
      </c>
      <c r="F6" t="s">
        <v>25</v>
      </c>
      <c r="G6" t="s">
        <v>84</v>
      </c>
      <c r="H6">
        <v>32</v>
      </c>
      <c r="J6" t="str">
        <f t="shared" si="0"/>
        <v>V</v>
      </c>
      <c r="K6" t="s">
        <v>186</v>
      </c>
      <c r="L6" t="s">
        <v>173</v>
      </c>
      <c r="N6" t="str">
        <f t="shared" si="1"/>
        <v>&lt;tr&gt; &lt;td&gt;Dec. 3&lt;/td&gt;</v>
      </c>
      <c r="O6" t="str">
        <f t="shared" si="2"/>
        <v>&lt;td&gt;&lt;/td&gt;</v>
      </c>
      <c r="P6" t="str">
        <f t="shared" si="3"/>
        <v>&lt;td class="sched"&gt;St. James&lt;/td&gt;</v>
      </c>
      <c r="Q6" t="str">
        <f t="shared" si="4"/>
        <v>&lt;td&gt;47 - 32&lt;/td&gt;</v>
      </c>
      <c r="R6" t="str">
        <f t="shared" si="5"/>
        <v>&lt;td class="EHSsched"&gt;Elmwood&lt;/td&gt;</v>
      </c>
      <c r="S6" t="str">
        <f t="shared" si="6"/>
        <v>&lt;td&gt;Rick Symonds Quarterfinal 1&lt;/td&gt; &lt;/tr&gt;</v>
      </c>
    </row>
    <row r="7" spans="1:20" x14ac:dyDescent="0.25">
      <c r="A7" s="5">
        <v>42341</v>
      </c>
      <c r="C7" t="s">
        <v>104</v>
      </c>
      <c r="D7" t="s">
        <v>105</v>
      </c>
      <c r="E7">
        <v>33</v>
      </c>
      <c r="F7" t="s">
        <v>22</v>
      </c>
      <c r="G7" t="s">
        <v>66</v>
      </c>
      <c r="H7">
        <v>44</v>
      </c>
      <c r="J7" t="str">
        <f t="shared" si="0"/>
        <v>H</v>
      </c>
      <c r="K7" t="s">
        <v>186</v>
      </c>
      <c r="L7" t="s">
        <v>175</v>
      </c>
      <c r="N7" t="str">
        <f t="shared" si="1"/>
        <v>&lt;tr&gt; &lt;td&gt;Dec. 3&lt;/td&gt;</v>
      </c>
      <c r="O7" t="str">
        <f t="shared" si="2"/>
        <v>&lt;td&gt;&lt;/td&gt;</v>
      </c>
      <c r="P7" t="str">
        <f t="shared" si="3"/>
        <v>&lt;td class="SCIsched"&gt;Springfield&lt;/td&gt;</v>
      </c>
      <c r="Q7" t="str">
        <f t="shared" si="4"/>
        <v>&lt;td&gt;33 - 44&lt;/td&gt;</v>
      </c>
      <c r="R7" t="str">
        <f t="shared" si="5"/>
        <v>&lt;td class="SRSSsched"&gt;Steinbach&lt;/td&gt;</v>
      </c>
      <c r="S7" t="str">
        <f t="shared" si="6"/>
        <v>&lt;td&gt;Rick Symonds Quarterfinal 3&lt;/td&gt; &lt;/tr&gt;</v>
      </c>
    </row>
    <row r="8" spans="1:20" x14ac:dyDescent="0.25">
      <c r="A8" s="5">
        <v>42341</v>
      </c>
      <c r="C8" t="s">
        <v>171</v>
      </c>
      <c r="E8">
        <v>41</v>
      </c>
      <c r="F8" t="s">
        <v>21</v>
      </c>
      <c r="G8" t="s">
        <v>64</v>
      </c>
      <c r="H8">
        <v>61</v>
      </c>
      <c r="J8" t="str">
        <f t="shared" si="0"/>
        <v>H</v>
      </c>
      <c r="K8" t="s">
        <v>186</v>
      </c>
      <c r="L8" t="s">
        <v>176</v>
      </c>
      <c r="N8" t="str">
        <f t="shared" si="1"/>
        <v>&lt;tr&gt; &lt;td&gt;Dec. 3&lt;/td&gt;</v>
      </c>
      <c r="O8" t="str">
        <f t="shared" si="2"/>
        <v>&lt;td&gt;&lt;/td&gt;</v>
      </c>
      <c r="P8" t="str">
        <f t="shared" si="3"/>
        <v>&lt;td class="sched"&gt;Churchill&lt;/td&gt;</v>
      </c>
      <c r="Q8" t="str">
        <f t="shared" si="4"/>
        <v>&lt;td&gt;41 - 61&lt;/td&gt;</v>
      </c>
      <c r="R8" t="str">
        <f t="shared" si="5"/>
        <v>&lt;td class="JHBsched"&gt;J.H. Bruns&lt;/td&gt;</v>
      </c>
      <c r="S8" t="str">
        <f t="shared" si="6"/>
        <v>&lt;td&gt;Rick Symonds Quarterfinal 4&lt;/td&gt; &lt;/tr&gt;</v>
      </c>
    </row>
    <row r="9" spans="1:20" x14ac:dyDescent="0.25">
      <c r="A9" s="5">
        <v>42342</v>
      </c>
      <c r="C9" t="s">
        <v>11</v>
      </c>
      <c r="D9" t="s">
        <v>48</v>
      </c>
      <c r="E9">
        <v>93</v>
      </c>
      <c r="F9" t="s">
        <v>16</v>
      </c>
      <c r="G9" t="s">
        <v>45</v>
      </c>
      <c r="H9">
        <v>23</v>
      </c>
      <c r="J9" t="str">
        <f t="shared" si="0"/>
        <v>V</v>
      </c>
      <c r="K9" t="s">
        <v>185</v>
      </c>
      <c r="L9" t="s">
        <v>177</v>
      </c>
      <c r="N9" t="str">
        <f t="shared" si="1"/>
        <v>&lt;tr&gt; &lt;td&gt;Dec. 4&lt;/td&gt;</v>
      </c>
      <c r="O9" t="str">
        <f t="shared" si="2"/>
        <v>&lt;td&gt;&lt;/td&gt;</v>
      </c>
      <c r="P9" t="str">
        <f t="shared" si="3"/>
        <v>&lt;td class="MMCsched"&gt;Miles Macdonell&lt;/td&gt;</v>
      </c>
      <c r="Q9" t="str">
        <f t="shared" si="4"/>
        <v>&lt;td&gt;93 - 23&lt;/td&gt;</v>
      </c>
      <c r="R9" t="str">
        <f t="shared" si="5"/>
        <v>&lt;td class="MCsched"&gt;Maples&lt;/td&gt;</v>
      </c>
      <c r="S9" t="str">
        <f t="shared" si="6"/>
        <v>&lt;td&gt;Garden City Invitational Consolation Semi 1&lt;/td&gt; &lt;/tr&gt;</v>
      </c>
    </row>
    <row r="10" spans="1:20" x14ac:dyDescent="0.25">
      <c r="A10" s="5">
        <v>42342</v>
      </c>
      <c r="C10" t="s">
        <v>157</v>
      </c>
      <c r="E10">
        <v>53</v>
      </c>
      <c r="F10" t="s">
        <v>2</v>
      </c>
      <c r="G10" t="s">
        <v>43</v>
      </c>
      <c r="H10">
        <v>47</v>
      </c>
      <c r="J10" t="str">
        <f t="shared" si="0"/>
        <v>V</v>
      </c>
      <c r="K10" t="s">
        <v>185</v>
      </c>
      <c r="L10" t="s">
        <v>178</v>
      </c>
      <c r="N10" t="str">
        <f t="shared" si="1"/>
        <v>&lt;tr&gt; &lt;td&gt;Dec. 4&lt;/td&gt;</v>
      </c>
      <c r="O10" t="str">
        <f t="shared" si="2"/>
        <v>&lt;td&gt;&lt;/td&gt;</v>
      </c>
      <c r="P10" t="str">
        <f t="shared" si="3"/>
        <v>&lt;td class="sched"&gt;R.D. Parker&lt;/td&gt;</v>
      </c>
      <c r="Q10" t="str">
        <f t="shared" si="4"/>
        <v>&lt;td&gt;53 - 47&lt;/td&gt;</v>
      </c>
      <c r="R10" t="str">
        <f t="shared" si="5"/>
        <v>&lt;td class="KECsched"&gt;Kildonan-East&lt;/td&gt;</v>
      </c>
      <c r="S10" t="str">
        <f t="shared" si="6"/>
        <v>&lt;td&gt;Garden City Invitational Consolation Semi 2&lt;/td&gt; &lt;/tr&gt;</v>
      </c>
    </row>
    <row r="11" spans="1:20" x14ac:dyDescent="0.25">
      <c r="A11" s="5">
        <v>42342</v>
      </c>
      <c r="C11" t="s">
        <v>1</v>
      </c>
      <c r="D11" t="s">
        <v>74</v>
      </c>
      <c r="E11">
        <v>47</v>
      </c>
      <c r="F11" t="s">
        <v>4</v>
      </c>
      <c r="G11" t="s">
        <v>41</v>
      </c>
      <c r="H11">
        <v>66</v>
      </c>
      <c r="J11" t="str">
        <f t="shared" si="0"/>
        <v>H</v>
      </c>
      <c r="K11" t="s">
        <v>185</v>
      </c>
      <c r="L11" t="s">
        <v>179</v>
      </c>
      <c r="N11" t="str">
        <f t="shared" si="1"/>
        <v>&lt;tr&gt; &lt;td&gt;Dec. 4&lt;/td&gt;</v>
      </c>
      <c r="O11" t="str">
        <f t="shared" si="2"/>
        <v>&lt;td&gt;&lt;/td&gt;</v>
      </c>
      <c r="P11" t="str">
        <f t="shared" si="3"/>
        <v>&lt;td class="OPHSsched"&gt;Oak Park&lt;/td&gt;</v>
      </c>
      <c r="Q11" t="str">
        <f t="shared" si="4"/>
        <v>&lt;td&gt;47 - 66&lt;/td&gt;</v>
      </c>
      <c r="R11" t="str">
        <f t="shared" si="5"/>
        <v>&lt;td class="GCCsched"&gt;Garden City&lt;/td&gt;</v>
      </c>
      <c r="S11" t="str">
        <f t="shared" si="6"/>
        <v>&lt;td&gt;Garden City Invitational Semifinal 1&lt;/td&gt; &lt;/tr&gt;</v>
      </c>
    </row>
    <row r="12" spans="1:20" x14ac:dyDescent="0.25">
      <c r="A12" s="5">
        <v>42342</v>
      </c>
      <c r="C12" t="s">
        <v>9</v>
      </c>
      <c r="D12" t="s">
        <v>76</v>
      </c>
      <c r="E12">
        <v>55</v>
      </c>
      <c r="F12" t="s">
        <v>5</v>
      </c>
      <c r="G12" t="s">
        <v>62</v>
      </c>
      <c r="H12">
        <v>38</v>
      </c>
      <c r="J12" t="str">
        <f t="shared" si="0"/>
        <v>V</v>
      </c>
      <c r="K12" t="s">
        <v>185</v>
      </c>
      <c r="L12" t="s">
        <v>180</v>
      </c>
      <c r="N12" t="str">
        <f t="shared" si="1"/>
        <v>&lt;tr&gt; &lt;td&gt;Dec. 4&lt;/td&gt;</v>
      </c>
      <c r="O12" t="str">
        <f t="shared" si="2"/>
        <v>&lt;td&gt;&lt;/td&gt;</v>
      </c>
      <c r="P12" t="str">
        <f t="shared" si="3"/>
        <v>&lt;td class="SiHSsched"&gt;Sisler&lt;/td&gt;</v>
      </c>
      <c r="Q12" t="str">
        <f t="shared" si="4"/>
        <v>&lt;td&gt;55 - 38&lt;/td&gt;</v>
      </c>
      <c r="R12" t="str">
        <f t="shared" si="5"/>
        <v>&lt;td class="GCIsched"&gt;Glenlawn&lt;/td&gt;</v>
      </c>
      <c r="S12" t="str">
        <f t="shared" si="6"/>
        <v>&lt;td&gt;Garden City Invitational Semifinal 2&lt;/td&gt; &lt;/tr&gt;</v>
      </c>
    </row>
    <row r="13" spans="1:20" x14ac:dyDescent="0.25">
      <c r="A13" s="5">
        <v>42342</v>
      </c>
      <c r="C13" t="s">
        <v>170</v>
      </c>
      <c r="E13">
        <v>19</v>
      </c>
      <c r="F13" t="s">
        <v>25</v>
      </c>
      <c r="G13" t="s">
        <v>84</v>
      </c>
      <c r="H13">
        <v>52</v>
      </c>
      <c r="J13" t="str">
        <f t="shared" si="0"/>
        <v>H</v>
      </c>
      <c r="K13" t="s">
        <v>186</v>
      </c>
      <c r="L13" t="s">
        <v>177</v>
      </c>
      <c r="N13" t="str">
        <f t="shared" si="1"/>
        <v>&lt;tr&gt; &lt;td&gt;Dec. 4&lt;/td&gt;</v>
      </c>
      <c r="O13" t="str">
        <f t="shared" si="2"/>
        <v>&lt;td&gt;&lt;/td&gt;</v>
      </c>
      <c r="P13" t="str">
        <f t="shared" si="3"/>
        <v>&lt;td class="sched"&gt;St. Boniface&lt;/td&gt;</v>
      </c>
      <c r="Q13" t="str">
        <f t="shared" si="4"/>
        <v>&lt;td&gt;19 - 52&lt;/td&gt;</v>
      </c>
      <c r="R13" t="str">
        <f t="shared" si="5"/>
        <v>&lt;td class="EHSsched"&gt;Elmwood&lt;/td&gt;</v>
      </c>
      <c r="S13" t="str">
        <f t="shared" si="6"/>
        <v>&lt;td&gt;Rick Symonds Consolation Semi 1&lt;/td&gt; &lt;/tr&gt;</v>
      </c>
    </row>
    <row r="14" spans="1:20" x14ac:dyDescent="0.25">
      <c r="A14" s="5">
        <v>42342</v>
      </c>
      <c r="C14" t="s">
        <v>171</v>
      </c>
      <c r="E14">
        <v>48</v>
      </c>
      <c r="F14" t="s">
        <v>104</v>
      </c>
      <c r="G14" t="s">
        <v>105</v>
      </c>
      <c r="H14">
        <v>17</v>
      </c>
      <c r="J14" t="str">
        <f t="shared" si="0"/>
        <v>V</v>
      </c>
      <c r="K14" t="s">
        <v>186</v>
      </c>
      <c r="L14" t="s">
        <v>178</v>
      </c>
      <c r="N14" t="str">
        <f t="shared" si="1"/>
        <v>&lt;tr&gt; &lt;td&gt;Dec. 4&lt;/td&gt;</v>
      </c>
      <c r="O14" t="str">
        <f t="shared" si="2"/>
        <v>&lt;td&gt;&lt;/td&gt;</v>
      </c>
      <c r="P14" t="str">
        <f t="shared" si="3"/>
        <v>&lt;td class="sched"&gt;Churchill&lt;/td&gt;</v>
      </c>
      <c r="Q14" t="str">
        <f t="shared" si="4"/>
        <v>&lt;td&gt;48 - 17&lt;/td&gt;</v>
      </c>
      <c r="R14" t="str">
        <f t="shared" si="5"/>
        <v>&lt;td class="SCIsched"&gt;Springfield&lt;/td&gt;</v>
      </c>
      <c r="S14" t="str">
        <f t="shared" si="6"/>
        <v>&lt;td&gt;Rick Symonds Consolation Semi 2&lt;/td&gt; &lt;/tr&gt;</v>
      </c>
    </row>
    <row r="15" spans="1:20" x14ac:dyDescent="0.25">
      <c r="A15" s="5">
        <v>42342</v>
      </c>
      <c r="C15" t="s">
        <v>21</v>
      </c>
      <c r="D15" t="s">
        <v>64</v>
      </c>
      <c r="E15">
        <v>44</v>
      </c>
      <c r="F15" t="s">
        <v>22</v>
      </c>
      <c r="G15" t="s">
        <v>66</v>
      </c>
      <c r="H15">
        <v>39</v>
      </c>
      <c r="J15" t="str">
        <f t="shared" si="0"/>
        <v>V</v>
      </c>
      <c r="K15" t="s">
        <v>186</v>
      </c>
      <c r="L15" t="s">
        <v>180</v>
      </c>
      <c r="N15" t="str">
        <f t="shared" si="1"/>
        <v>&lt;tr&gt; &lt;td&gt;Dec. 4&lt;/td&gt;</v>
      </c>
      <c r="O15" t="str">
        <f t="shared" si="2"/>
        <v>&lt;td&gt;&lt;/td&gt;</v>
      </c>
      <c r="P15" t="str">
        <f t="shared" si="3"/>
        <v>&lt;td class="JHBsched"&gt;J.H. Bruns&lt;/td&gt;</v>
      </c>
      <c r="Q15" t="str">
        <f t="shared" si="4"/>
        <v>&lt;td&gt;44 - 39&lt;/td&gt;</v>
      </c>
      <c r="R15" t="str">
        <f t="shared" si="5"/>
        <v>&lt;td class="SRSSsched"&gt;Steinbach&lt;/td&gt;</v>
      </c>
      <c r="S15" t="str">
        <f t="shared" si="6"/>
        <v>&lt;td&gt;Rick Symonds Semifinal 2&lt;/td&gt; &lt;/tr&gt;</v>
      </c>
    </row>
    <row r="16" spans="1:20" x14ac:dyDescent="0.25">
      <c r="A16" s="5">
        <v>42342</v>
      </c>
      <c r="C16" t="s">
        <v>14</v>
      </c>
      <c r="D16" t="s">
        <v>94</v>
      </c>
      <c r="E16">
        <v>60</v>
      </c>
      <c r="F16" t="s">
        <v>32</v>
      </c>
      <c r="G16" t="s">
        <v>100</v>
      </c>
      <c r="H16">
        <v>42</v>
      </c>
      <c r="J16" t="str">
        <f t="shared" si="0"/>
        <v>V</v>
      </c>
      <c r="K16" t="s">
        <v>720</v>
      </c>
      <c r="N16" t="str">
        <f t="shared" si="1"/>
        <v>&lt;tr&gt; &lt;td&gt;Dec. 4&lt;/td&gt;</v>
      </c>
      <c r="O16" t="str">
        <f t="shared" si="2"/>
        <v>&lt;td&gt;&lt;/td&gt;</v>
      </c>
      <c r="P16" t="str">
        <f t="shared" si="3"/>
        <v>&lt;td class="SHCsched"&gt;Sturgeon Heights&lt;/td&gt;</v>
      </c>
      <c r="Q16" t="str">
        <f t="shared" si="4"/>
        <v>&lt;td&gt;60 - 42&lt;/td&gt;</v>
      </c>
      <c r="R16" t="str">
        <f t="shared" si="5"/>
        <v>&lt;td class="CPRSsched"&gt;Crocus Plains&lt;/td&gt;</v>
      </c>
      <c r="S16" t="str">
        <f t="shared" si="6"/>
        <v>&lt;td&gt;Kelvin Preseason &lt;/td&gt; &lt;/tr&gt;</v>
      </c>
    </row>
    <row r="17" spans="1:19" x14ac:dyDescent="0.25">
      <c r="A17" s="5">
        <v>42342</v>
      </c>
      <c r="C17" t="s">
        <v>28</v>
      </c>
      <c r="D17" t="s">
        <v>90</v>
      </c>
      <c r="E17">
        <v>68</v>
      </c>
      <c r="F17" t="s">
        <v>10</v>
      </c>
      <c r="G17" t="s">
        <v>72</v>
      </c>
      <c r="H17">
        <v>38</v>
      </c>
      <c r="J17" t="str">
        <f t="shared" si="0"/>
        <v>V</v>
      </c>
      <c r="K17" t="s">
        <v>720</v>
      </c>
      <c r="N17" t="str">
        <f t="shared" si="1"/>
        <v>&lt;tr&gt; &lt;td&gt;Dec. 4&lt;/td&gt;</v>
      </c>
      <c r="O17" t="str">
        <f t="shared" si="2"/>
        <v>&lt;td&gt;&lt;/td&gt;</v>
      </c>
      <c r="P17" t="str">
        <f t="shared" si="3"/>
        <v>&lt;td class="PCIsched"&gt;Portage&lt;/td&gt;</v>
      </c>
      <c r="Q17" t="str">
        <f t="shared" si="4"/>
        <v>&lt;td&gt;68 - 38&lt;/td&gt;</v>
      </c>
      <c r="R17" t="str">
        <f t="shared" si="5"/>
        <v>&lt;td class="KHSsched"&gt;Kelvin&lt;/td&gt;</v>
      </c>
      <c r="S17" t="str">
        <f t="shared" si="6"/>
        <v>&lt;td&gt;Kelvin Preseason &lt;/td&gt; &lt;/tr&gt;</v>
      </c>
    </row>
    <row r="18" spans="1:19" x14ac:dyDescent="0.25">
      <c r="A18" s="5">
        <v>42343</v>
      </c>
      <c r="C18" t="s">
        <v>2</v>
      </c>
      <c r="D18" t="s">
        <v>43</v>
      </c>
      <c r="E18">
        <v>67</v>
      </c>
      <c r="F18" t="s">
        <v>16</v>
      </c>
      <c r="G18" t="s">
        <v>45</v>
      </c>
      <c r="H18">
        <v>34</v>
      </c>
      <c r="J18" t="str">
        <f t="shared" si="0"/>
        <v>V</v>
      </c>
      <c r="K18" t="s">
        <v>185</v>
      </c>
      <c r="L18" t="s">
        <v>181</v>
      </c>
      <c r="N18" t="str">
        <f t="shared" si="1"/>
        <v>&lt;tr&gt; &lt;td&gt;Dec. 5&lt;/td&gt;</v>
      </c>
      <c r="O18" t="str">
        <f t="shared" si="2"/>
        <v>&lt;td&gt;&lt;/td&gt;</v>
      </c>
      <c r="P18" t="str">
        <f t="shared" si="3"/>
        <v>&lt;td class="KECsched"&gt;Kildonan-East&lt;/td&gt;</v>
      </c>
      <c r="Q18" t="str">
        <f t="shared" si="4"/>
        <v>&lt;td&gt;67 - 34&lt;/td&gt;</v>
      </c>
      <c r="R18" t="str">
        <f t="shared" si="5"/>
        <v>&lt;td class="MCsched"&gt;Maples&lt;/td&gt;</v>
      </c>
      <c r="S18" t="str">
        <f t="shared" si="6"/>
        <v>&lt;td&gt;Garden City Invitational 7th Place&lt;/td&gt; &lt;/tr&gt;</v>
      </c>
    </row>
    <row r="19" spans="1:19" x14ac:dyDescent="0.25">
      <c r="A19" s="5">
        <v>42343</v>
      </c>
      <c r="C19" t="s">
        <v>157</v>
      </c>
      <c r="E19">
        <v>30</v>
      </c>
      <c r="F19" t="s">
        <v>11</v>
      </c>
      <c r="G19" t="s">
        <v>48</v>
      </c>
      <c r="H19">
        <v>52</v>
      </c>
      <c r="J19" t="str">
        <f t="shared" si="0"/>
        <v>H</v>
      </c>
      <c r="K19" t="s">
        <v>185</v>
      </c>
      <c r="L19" t="s">
        <v>182</v>
      </c>
      <c r="N19" t="str">
        <f t="shared" si="1"/>
        <v>&lt;tr&gt; &lt;td&gt;Dec. 5&lt;/td&gt;</v>
      </c>
      <c r="O19" t="str">
        <f t="shared" si="2"/>
        <v>&lt;td&gt;&lt;/td&gt;</v>
      </c>
      <c r="P19" t="str">
        <f t="shared" si="3"/>
        <v>&lt;td class="sched"&gt;R.D. Parker&lt;/td&gt;</v>
      </c>
      <c r="Q19" t="str">
        <f t="shared" si="4"/>
        <v>&lt;td&gt;30 - 52&lt;/td&gt;</v>
      </c>
      <c r="R19" t="str">
        <f t="shared" si="5"/>
        <v>&lt;td class="MMCsched"&gt;Miles Macdonell&lt;/td&gt;</v>
      </c>
      <c r="S19" t="str">
        <f t="shared" si="6"/>
        <v>&lt;td&gt;Garden City Invitational Consolation Final&lt;/td&gt; &lt;/tr&gt;</v>
      </c>
    </row>
    <row r="20" spans="1:19" x14ac:dyDescent="0.25">
      <c r="A20" s="5">
        <v>42343</v>
      </c>
      <c r="C20" t="s">
        <v>5</v>
      </c>
      <c r="D20" t="s">
        <v>62</v>
      </c>
      <c r="E20">
        <v>42</v>
      </c>
      <c r="F20" t="s">
        <v>1</v>
      </c>
      <c r="G20" t="s">
        <v>74</v>
      </c>
      <c r="H20">
        <v>65</v>
      </c>
      <c r="J20" t="str">
        <f t="shared" si="0"/>
        <v>H</v>
      </c>
      <c r="K20" t="s">
        <v>185</v>
      </c>
      <c r="L20" t="s">
        <v>183</v>
      </c>
      <c r="N20" t="str">
        <f t="shared" si="1"/>
        <v>&lt;tr&gt; &lt;td&gt;Dec. 5&lt;/td&gt;</v>
      </c>
      <c r="O20" t="str">
        <f t="shared" si="2"/>
        <v>&lt;td&gt;&lt;/td&gt;</v>
      </c>
      <c r="P20" t="str">
        <f t="shared" si="3"/>
        <v>&lt;td class="GCIsched"&gt;Glenlawn&lt;/td&gt;</v>
      </c>
      <c r="Q20" t="str">
        <f t="shared" si="4"/>
        <v>&lt;td&gt;42 - 65&lt;/td&gt;</v>
      </c>
      <c r="R20" t="str">
        <f t="shared" si="5"/>
        <v>&lt;td class="OPHSsched"&gt;Oak Park&lt;/td&gt;</v>
      </c>
      <c r="S20" t="str">
        <f t="shared" si="6"/>
        <v>&lt;td&gt;Garden City Invitational 3rd Place&lt;/td&gt; &lt;/tr&gt;</v>
      </c>
    </row>
    <row r="21" spans="1:19" x14ac:dyDescent="0.25">
      <c r="A21" s="5">
        <v>42343</v>
      </c>
      <c r="C21" t="s">
        <v>9</v>
      </c>
      <c r="D21" t="s">
        <v>76</v>
      </c>
      <c r="E21">
        <v>76</v>
      </c>
      <c r="F21" t="s">
        <v>4</v>
      </c>
      <c r="G21" t="s">
        <v>41</v>
      </c>
      <c r="H21">
        <v>42</v>
      </c>
      <c r="J21" t="str">
        <f t="shared" si="0"/>
        <v>V</v>
      </c>
      <c r="K21" t="s">
        <v>185</v>
      </c>
      <c r="L21" t="s">
        <v>184</v>
      </c>
      <c r="N21" t="str">
        <f t="shared" si="1"/>
        <v>&lt;tr&gt; &lt;td&gt;Dec. 5&lt;/td&gt;</v>
      </c>
      <c r="O21" t="str">
        <f t="shared" si="2"/>
        <v>&lt;td&gt;&lt;/td&gt;</v>
      </c>
      <c r="P21" t="str">
        <f t="shared" si="3"/>
        <v>&lt;td class="SiHSsched"&gt;Sisler&lt;/td&gt;</v>
      </c>
      <c r="Q21" t="str">
        <f t="shared" si="4"/>
        <v>&lt;td&gt;76 - 42&lt;/td&gt;</v>
      </c>
      <c r="R21" t="str">
        <f t="shared" si="5"/>
        <v>&lt;td class="GCCsched"&gt;Garden City&lt;/td&gt;</v>
      </c>
      <c r="S21" t="str">
        <f t="shared" si="6"/>
        <v>&lt;td&gt;Garden City Invitational Championship&lt;/td&gt; &lt;/tr&gt;</v>
      </c>
    </row>
    <row r="22" spans="1:19" x14ac:dyDescent="0.25">
      <c r="A22" s="5">
        <v>42343</v>
      </c>
      <c r="C22" t="s">
        <v>104</v>
      </c>
      <c r="D22" t="s">
        <v>105</v>
      </c>
      <c r="E22">
        <v>49</v>
      </c>
      <c r="F22" t="s">
        <v>170</v>
      </c>
      <c r="H22">
        <v>30</v>
      </c>
      <c r="J22" t="str">
        <f t="shared" si="0"/>
        <v>V</v>
      </c>
      <c r="K22" t="s">
        <v>186</v>
      </c>
      <c r="L22" t="s">
        <v>181</v>
      </c>
      <c r="N22" t="str">
        <f t="shared" si="1"/>
        <v>&lt;tr&gt; &lt;td&gt;Dec. 5&lt;/td&gt;</v>
      </c>
      <c r="O22" t="str">
        <f t="shared" si="2"/>
        <v>&lt;td&gt;&lt;/td&gt;</v>
      </c>
      <c r="P22" t="str">
        <f t="shared" si="3"/>
        <v>&lt;td class="SCIsched"&gt;Springfield&lt;/td&gt;</v>
      </c>
      <c r="Q22" t="str">
        <f t="shared" si="4"/>
        <v>&lt;td&gt;49 - 30&lt;/td&gt;</v>
      </c>
      <c r="R22" t="str">
        <f t="shared" si="5"/>
        <v>&lt;td class="sched"&gt;St. Boniface&lt;/td&gt;</v>
      </c>
      <c r="S22" t="str">
        <f t="shared" si="6"/>
        <v>&lt;td&gt;Rick Symonds 7th Place&lt;/td&gt; &lt;/tr&gt;</v>
      </c>
    </row>
    <row r="23" spans="1:19" x14ac:dyDescent="0.25">
      <c r="A23" s="5">
        <v>42343</v>
      </c>
      <c r="C23" t="s">
        <v>171</v>
      </c>
      <c r="E23">
        <v>40</v>
      </c>
      <c r="F23" t="s">
        <v>25</v>
      </c>
      <c r="G23" t="s">
        <v>84</v>
      </c>
      <c r="H23">
        <v>44</v>
      </c>
      <c r="J23" t="str">
        <f t="shared" si="0"/>
        <v>H</v>
      </c>
      <c r="K23" t="s">
        <v>186</v>
      </c>
      <c r="L23" t="s">
        <v>182</v>
      </c>
      <c r="N23" t="str">
        <f t="shared" si="1"/>
        <v>&lt;tr&gt; &lt;td&gt;Dec. 5&lt;/td&gt;</v>
      </c>
      <c r="O23" t="str">
        <f t="shared" si="2"/>
        <v>&lt;td&gt;&lt;/td&gt;</v>
      </c>
      <c r="P23" t="str">
        <f t="shared" si="3"/>
        <v>&lt;td class="sched"&gt;Churchill&lt;/td&gt;</v>
      </c>
      <c r="Q23" t="str">
        <f t="shared" si="4"/>
        <v>&lt;td&gt;40 - 44&lt;/td&gt;</v>
      </c>
      <c r="R23" t="str">
        <f t="shared" si="5"/>
        <v>&lt;td class="EHSsched"&gt;Elmwood&lt;/td&gt;</v>
      </c>
      <c r="S23" t="str">
        <f t="shared" si="6"/>
        <v>&lt;td&gt;Rick Symonds Consolation Final&lt;/td&gt; &lt;/tr&gt;</v>
      </c>
    </row>
    <row r="24" spans="1:19" x14ac:dyDescent="0.25">
      <c r="A24" s="5">
        <v>42343</v>
      </c>
      <c r="C24" t="s">
        <v>22</v>
      </c>
      <c r="D24" t="s">
        <v>66</v>
      </c>
      <c r="E24">
        <v>37</v>
      </c>
      <c r="F24" t="s">
        <v>253</v>
      </c>
      <c r="H24">
        <v>39</v>
      </c>
      <c r="J24" t="str">
        <f t="shared" si="0"/>
        <v>H</v>
      </c>
      <c r="K24" t="s">
        <v>186</v>
      </c>
      <c r="L24" t="s">
        <v>183</v>
      </c>
      <c r="N24" t="str">
        <f t="shared" si="1"/>
        <v>&lt;tr&gt; &lt;td&gt;Dec. 5&lt;/td&gt;</v>
      </c>
      <c r="O24" t="str">
        <f t="shared" si="2"/>
        <v>&lt;td&gt;&lt;/td&gt;</v>
      </c>
      <c r="P24" t="str">
        <f t="shared" si="3"/>
        <v>&lt;td class="SRSSsched"&gt;Steinbach&lt;/td&gt;</v>
      </c>
      <c r="Q24" t="str">
        <f t="shared" si="4"/>
        <v>&lt;td&gt;37 - 39&lt;/td&gt;</v>
      </c>
      <c r="R24" t="str">
        <f t="shared" si="5"/>
        <v>&lt;td class="sched"&gt;St. James&lt;/td&gt;</v>
      </c>
      <c r="S24" t="str">
        <f t="shared" si="6"/>
        <v>&lt;td&gt;Rick Symonds 3rd Place&lt;/td&gt; &lt;/tr&gt;</v>
      </c>
    </row>
    <row r="25" spans="1:19" x14ac:dyDescent="0.25">
      <c r="A25" s="5">
        <v>42343</v>
      </c>
      <c r="C25" t="s">
        <v>21</v>
      </c>
      <c r="D25" t="s">
        <v>64</v>
      </c>
      <c r="E25">
        <v>37</v>
      </c>
      <c r="F25" t="s">
        <v>218</v>
      </c>
      <c r="H25">
        <v>38</v>
      </c>
      <c r="J25" t="str">
        <f t="shared" si="0"/>
        <v>H</v>
      </c>
      <c r="K25" t="s">
        <v>186</v>
      </c>
      <c r="L25" t="s">
        <v>184</v>
      </c>
      <c r="N25" t="str">
        <f t="shared" si="1"/>
        <v>&lt;tr&gt; &lt;td&gt;Dec. 5&lt;/td&gt;</v>
      </c>
      <c r="O25" t="str">
        <f t="shared" si="2"/>
        <v>&lt;td&gt;&lt;/td&gt;</v>
      </c>
      <c r="P25" t="str">
        <f t="shared" si="3"/>
        <v>&lt;td class="JHBsched"&gt;J.H. Bruns&lt;/td&gt;</v>
      </c>
      <c r="Q25" t="str">
        <f t="shared" si="4"/>
        <v>&lt;td&gt;37 - 38&lt;/td&gt;</v>
      </c>
      <c r="R25" t="str">
        <f t="shared" si="5"/>
        <v>&lt;td class="sched"&gt;Stonewall&lt;/td&gt;</v>
      </c>
      <c r="S25" t="str">
        <f t="shared" si="6"/>
        <v>&lt;td&gt;Rick Symonds Championship&lt;/td&gt; &lt;/tr&gt;</v>
      </c>
    </row>
    <row r="26" spans="1:19" x14ac:dyDescent="0.25">
      <c r="A26" s="5">
        <v>42343</v>
      </c>
      <c r="C26" t="s">
        <v>14</v>
      </c>
      <c r="D26" t="s">
        <v>94</v>
      </c>
      <c r="E26">
        <v>55</v>
      </c>
      <c r="F26" t="s">
        <v>10</v>
      </c>
      <c r="G26" t="s">
        <v>72</v>
      </c>
      <c r="H26">
        <v>26</v>
      </c>
      <c r="J26" t="str">
        <f t="shared" si="0"/>
        <v>V</v>
      </c>
      <c r="K26" t="s">
        <v>720</v>
      </c>
      <c r="N26" t="str">
        <f t="shared" si="1"/>
        <v>&lt;tr&gt; &lt;td&gt;Dec. 5&lt;/td&gt;</v>
      </c>
      <c r="O26" t="str">
        <f t="shared" si="2"/>
        <v>&lt;td&gt;&lt;/td&gt;</v>
      </c>
      <c r="P26" t="str">
        <f t="shared" si="3"/>
        <v>&lt;td class="SHCsched"&gt;Sturgeon Heights&lt;/td&gt;</v>
      </c>
      <c r="Q26" t="str">
        <f t="shared" si="4"/>
        <v>&lt;td&gt;55 - 26&lt;/td&gt;</v>
      </c>
      <c r="R26" t="str">
        <f t="shared" si="5"/>
        <v>&lt;td class="KHSsched"&gt;Kelvin&lt;/td&gt;</v>
      </c>
      <c r="S26" t="str">
        <f t="shared" si="6"/>
        <v>&lt;td&gt;Kelvin Preseason &lt;/td&gt; &lt;/tr&gt;</v>
      </c>
    </row>
    <row r="27" spans="1:19" x14ac:dyDescent="0.25">
      <c r="A27" s="5">
        <v>42343</v>
      </c>
      <c r="C27" t="s">
        <v>32</v>
      </c>
      <c r="D27" t="s">
        <v>100</v>
      </c>
      <c r="E27">
        <v>66</v>
      </c>
      <c r="F27" t="s">
        <v>28</v>
      </c>
      <c r="G27" t="s">
        <v>90</v>
      </c>
      <c r="H27">
        <v>31</v>
      </c>
      <c r="J27" t="str">
        <f t="shared" si="0"/>
        <v>V</v>
      </c>
      <c r="K27" t="s">
        <v>720</v>
      </c>
      <c r="N27" t="str">
        <f t="shared" si="1"/>
        <v>&lt;tr&gt; &lt;td&gt;Dec. 5&lt;/td&gt;</v>
      </c>
      <c r="O27" t="str">
        <f t="shared" si="2"/>
        <v>&lt;td&gt;&lt;/td&gt;</v>
      </c>
      <c r="P27" t="str">
        <f t="shared" si="3"/>
        <v>&lt;td class="CPRSsched"&gt;Crocus Plains&lt;/td&gt;</v>
      </c>
      <c r="Q27" t="str">
        <f t="shared" si="4"/>
        <v>&lt;td&gt;66 - 31&lt;/td&gt;</v>
      </c>
      <c r="R27" t="str">
        <f t="shared" si="5"/>
        <v>&lt;td class="PCIsched"&gt;Portage&lt;/td&gt;</v>
      </c>
      <c r="S27" t="str">
        <f t="shared" si="6"/>
        <v>&lt;td&gt;Kelvin Preseason &lt;/td&gt; &lt;/tr&gt;</v>
      </c>
    </row>
    <row r="28" spans="1:19" x14ac:dyDescent="0.25">
      <c r="A28" s="5">
        <v>42343</v>
      </c>
      <c r="C28" t="s">
        <v>28</v>
      </c>
      <c r="D28" t="s">
        <v>90</v>
      </c>
      <c r="E28">
        <v>36</v>
      </c>
      <c r="F28" t="s">
        <v>14</v>
      </c>
      <c r="G28" t="s">
        <v>94</v>
      </c>
      <c r="H28">
        <v>58</v>
      </c>
      <c r="J28" t="str">
        <f t="shared" si="0"/>
        <v>H</v>
      </c>
      <c r="K28" t="s">
        <v>720</v>
      </c>
      <c r="N28" t="str">
        <f t="shared" si="1"/>
        <v>&lt;tr&gt; &lt;td&gt;Dec. 5&lt;/td&gt;</v>
      </c>
      <c r="O28" t="str">
        <f t="shared" si="2"/>
        <v>&lt;td&gt;&lt;/td&gt;</v>
      </c>
      <c r="P28" t="str">
        <f t="shared" si="3"/>
        <v>&lt;td class="PCIsched"&gt;Portage&lt;/td&gt;</v>
      </c>
      <c r="Q28" t="str">
        <f t="shared" si="4"/>
        <v>&lt;td&gt;36 - 58&lt;/td&gt;</v>
      </c>
      <c r="R28" t="str">
        <f t="shared" si="5"/>
        <v>&lt;td class="SHCsched"&gt;Sturgeon Heights&lt;/td&gt;</v>
      </c>
      <c r="S28" t="str">
        <f t="shared" si="6"/>
        <v>&lt;td&gt;Kelvin Preseason &lt;/td&gt; &lt;/tr&gt;</v>
      </c>
    </row>
    <row r="29" spans="1:19" x14ac:dyDescent="0.25">
      <c r="A29" s="5">
        <v>42343</v>
      </c>
      <c r="C29" t="s">
        <v>32</v>
      </c>
      <c r="D29" t="s">
        <v>100</v>
      </c>
      <c r="E29">
        <v>77</v>
      </c>
      <c r="F29" t="s">
        <v>10</v>
      </c>
      <c r="G29" t="s">
        <v>72</v>
      </c>
      <c r="H29">
        <v>50</v>
      </c>
      <c r="J29" t="str">
        <f t="shared" si="0"/>
        <v>V</v>
      </c>
      <c r="K29" t="s">
        <v>720</v>
      </c>
      <c r="N29" t="str">
        <f t="shared" si="1"/>
        <v>&lt;tr&gt; &lt;td&gt;Dec. 5&lt;/td&gt;</v>
      </c>
      <c r="O29" t="str">
        <f t="shared" si="2"/>
        <v>&lt;td&gt;&lt;/td&gt;</v>
      </c>
      <c r="P29" t="str">
        <f t="shared" si="3"/>
        <v>&lt;td class="CPRSsched"&gt;Crocus Plains&lt;/td&gt;</v>
      </c>
      <c r="Q29" t="str">
        <f t="shared" si="4"/>
        <v>&lt;td&gt;77 - 50&lt;/td&gt;</v>
      </c>
      <c r="R29" t="str">
        <f t="shared" si="5"/>
        <v>&lt;td class="KHSsched"&gt;Kelvin&lt;/td&gt;</v>
      </c>
      <c r="S29" t="str">
        <f t="shared" si="6"/>
        <v>&lt;td&gt;Kelvin Preseason &lt;/td&gt; &lt;/tr&gt;</v>
      </c>
    </row>
    <row r="30" spans="1:19" x14ac:dyDescent="0.25">
      <c r="A30" s="5">
        <v>42345</v>
      </c>
      <c r="B30" s="6">
        <v>0.75</v>
      </c>
      <c r="C30" t="s">
        <v>17</v>
      </c>
      <c r="D30" t="s">
        <v>50</v>
      </c>
      <c r="E30">
        <v>31</v>
      </c>
      <c r="F30" t="s">
        <v>16</v>
      </c>
      <c r="G30" t="s">
        <v>45</v>
      </c>
      <c r="H30">
        <v>82</v>
      </c>
      <c r="J30" t="str">
        <f t="shared" si="0"/>
        <v>H</v>
      </c>
      <c r="K30" t="s">
        <v>233</v>
      </c>
      <c r="L30" t="s">
        <v>228</v>
      </c>
      <c r="M30" t="s">
        <v>229</v>
      </c>
      <c r="N30" t="str">
        <f t="shared" si="1"/>
        <v>&lt;tr&gt; &lt;td&gt;Dec. 7&lt;/td&gt;</v>
      </c>
      <c r="O30" t="str">
        <f t="shared" si="2"/>
        <v>&lt;td&gt;6:00 PM&lt;/td&gt;</v>
      </c>
      <c r="P30" t="str">
        <f t="shared" si="3"/>
        <v>&lt;td class="MMCIsched"&gt;Murdoch MacKay&lt;/td&gt;</v>
      </c>
      <c r="Q30" t="str">
        <f t="shared" si="4"/>
        <v>&lt;td&gt;31 - 82&lt;/td&gt;</v>
      </c>
      <c r="R30" t="str">
        <f t="shared" si="5"/>
        <v>&lt;td class="MCsched"&gt;Maples&lt;/td&gt;</v>
      </c>
      <c r="S30" t="str">
        <f t="shared" si="6"/>
        <v>&lt;td&gt;KPAC Tier 2 Regular Season&lt;/td&gt; &lt;/tr&gt;</v>
      </c>
    </row>
    <row r="31" spans="1:19" x14ac:dyDescent="0.25">
      <c r="A31" s="5">
        <v>42345</v>
      </c>
      <c r="B31" s="6">
        <v>0.75</v>
      </c>
      <c r="C31" t="s">
        <v>7</v>
      </c>
      <c r="D31" t="s">
        <v>7</v>
      </c>
      <c r="E31">
        <v>16</v>
      </c>
      <c r="F31" t="s">
        <v>18</v>
      </c>
      <c r="G31" t="s">
        <v>52</v>
      </c>
      <c r="H31">
        <v>54</v>
      </c>
      <c r="J31" t="str">
        <f t="shared" si="0"/>
        <v>H</v>
      </c>
      <c r="K31" t="s">
        <v>233</v>
      </c>
      <c r="L31" t="s">
        <v>228</v>
      </c>
      <c r="M31" t="s">
        <v>229</v>
      </c>
      <c r="N31" t="str">
        <f t="shared" si="1"/>
        <v>&lt;tr&gt; &lt;td&gt;Dec. 7&lt;/td&gt;</v>
      </c>
      <c r="O31" t="str">
        <f t="shared" si="2"/>
        <v>&lt;td&gt;6:00 PM&lt;/td&gt;</v>
      </c>
      <c r="P31" t="str">
        <f t="shared" si="3"/>
        <v>&lt;td class="MBCIsched"&gt;MBCI&lt;/td&gt;</v>
      </c>
      <c r="Q31" t="str">
        <f t="shared" si="4"/>
        <v>&lt;td&gt;16 - 54&lt;/td&gt;</v>
      </c>
      <c r="R31" t="str">
        <f t="shared" si="5"/>
        <v>&lt;td class="RECsched"&gt;River East&lt;/td&gt;</v>
      </c>
      <c r="S31" t="str">
        <f t="shared" si="6"/>
        <v>&lt;td&gt;KPAC Tier 2 Regular Season&lt;/td&gt; &lt;/tr&gt;</v>
      </c>
    </row>
    <row r="32" spans="1:19" x14ac:dyDescent="0.25">
      <c r="A32" s="5">
        <v>42347</v>
      </c>
      <c r="B32" s="6">
        <v>0.8125</v>
      </c>
      <c r="C32" t="s">
        <v>7</v>
      </c>
      <c r="D32" t="s">
        <v>7</v>
      </c>
      <c r="E32">
        <v>24</v>
      </c>
      <c r="F32" t="s">
        <v>16</v>
      </c>
      <c r="G32" t="s">
        <v>45</v>
      </c>
      <c r="H32">
        <v>62</v>
      </c>
      <c r="J32" t="str">
        <f t="shared" si="0"/>
        <v>H</v>
      </c>
      <c r="K32" t="s">
        <v>233</v>
      </c>
      <c r="L32" t="s">
        <v>228</v>
      </c>
      <c r="M32" t="s">
        <v>229</v>
      </c>
      <c r="N32" t="str">
        <f t="shared" si="1"/>
        <v>&lt;tr&gt; &lt;td&gt;Dec. 9&lt;/td&gt;</v>
      </c>
      <c r="O32" t="str">
        <f t="shared" si="2"/>
        <v>&lt;td&gt;7:30 PM&lt;/td&gt;</v>
      </c>
      <c r="P32" t="str">
        <f t="shared" si="3"/>
        <v>&lt;td class="MBCIsched"&gt;MBCI&lt;/td&gt;</v>
      </c>
      <c r="Q32" t="str">
        <f t="shared" si="4"/>
        <v>&lt;td&gt;24 - 62&lt;/td&gt;</v>
      </c>
      <c r="R32" t="str">
        <f t="shared" si="5"/>
        <v>&lt;td class="MCsched"&gt;Maples&lt;/td&gt;</v>
      </c>
      <c r="S32" t="str">
        <f t="shared" si="6"/>
        <v>&lt;td&gt;KPAC Tier 2 Regular Season&lt;/td&gt; &lt;/tr&gt;</v>
      </c>
    </row>
    <row r="33" spans="1:19" x14ac:dyDescent="0.25">
      <c r="A33" s="5">
        <v>42348</v>
      </c>
      <c r="B33" s="6">
        <v>0.60416666666666663</v>
      </c>
      <c r="C33" t="s">
        <v>2</v>
      </c>
      <c r="D33" t="s">
        <v>43</v>
      </c>
      <c r="E33">
        <v>48</v>
      </c>
      <c r="F33" t="s">
        <v>23</v>
      </c>
      <c r="G33" t="s">
        <v>80</v>
      </c>
      <c r="H33">
        <v>72</v>
      </c>
      <c r="J33" t="str">
        <f t="shared" si="0"/>
        <v>H</v>
      </c>
      <c r="K33" t="s">
        <v>168</v>
      </c>
      <c r="L33" t="s">
        <v>243</v>
      </c>
      <c r="N33" t="str">
        <f t="shared" si="1"/>
        <v>&lt;tr&gt; &lt;td&gt;Dec. 10&lt;/td&gt;</v>
      </c>
      <c r="O33" t="str">
        <f t="shared" si="2"/>
        <v>&lt;td&gt;2:30 PM&lt;/td&gt;</v>
      </c>
      <c r="P33" t="str">
        <f t="shared" si="3"/>
        <v>&lt;td class="KECsched"&gt;Kildonan-East&lt;/td&gt;</v>
      </c>
      <c r="Q33" t="str">
        <f t="shared" si="4"/>
        <v>&lt;td&gt;48 - 72&lt;/td&gt;</v>
      </c>
      <c r="R33" t="str">
        <f t="shared" si="5"/>
        <v>&lt;td class="VMCsched"&gt;Vincent Massey&lt;/td&gt;</v>
      </c>
      <c r="S33" t="str">
        <f t="shared" si="6"/>
        <v>&lt;td&gt;Pembina Trails Classic 1st Round Game 1&lt;/td&gt; &lt;/tr&gt;</v>
      </c>
    </row>
    <row r="34" spans="1:19" x14ac:dyDescent="0.25">
      <c r="A34" s="5">
        <v>42348</v>
      </c>
      <c r="B34" s="6">
        <v>0.625</v>
      </c>
      <c r="C34" t="s">
        <v>13</v>
      </c>
      <c r="D34" t="s">
        <v>98</v>
      </c>
      <c r="E34">
        <v>48</v>
      </c>
      <c r="F34" t="s">
        <v>15</v>
      </c>
      <c r="G34" t="s">
        <v>68</v>
      </c>
      <c r="H34">
        <v>20</v>
      </c>
      <c r="J34" t="str">
        <f t="shared" si="0"/>
        <v>V</v>
      </c>
      <c r="K34" t="s">
        <v>168</v>
      </c>
      <c r="L34" t="s">
        <v>247</v>
      </c>
      <c r="N34" t="str">
        <f t="shared" si="1"/>
        <v>&lt;tr&gt; &lt;td&gt;Dec. 10&lt;/td&gt;</v>
      </c>
      <c r="O34" t="str">
        <f t="shared" si="2"/>
        <v>&lt;td&gt;3:00 PM&lt;/td&gt;</v>
      </c>
      <c r="P34" t="str">
        <f t="shared" si="3"/>
        <v>&lt;td class="WWCsched"&gt;Westwood&lt;/td&gt;</v>
      </c>
      <c r="Q34" t="str">
        <f t="shared" si="4"/>
        <v>&lt;td&gt;48 - 20&lt;/td&gt;</v>
      </c>
      <c r="R34" t="str">
        <f t="shared" si="5"/>
        <v>&lt;td class="FRCsched"&gt;Fort Richmond&lt;/td&gt;</v>
      </c>
      <c r="S34" t="str">
        <f t="shared" si="6"/>
        <v>&lt;td&gt;Pembina Trails Classic 1st Round Game 5&lt;/td&gt; &lt;/tr&gt;</v>
      </c>
    </row>
    <row r="35" spans="1:19" x14ac:dyDescent="0.25">
      <c r="A35" s="5">
        <v>42348</v>
      </c>
      <c r="B35" s="6">
        <v>0.66666666666666663</v>
      </c>
      <c r="C35" t="s">
        <v>24</v>
      </c>
      <c r="D35" t="s">
        <v>82</v>
      </c>
      <c r="E35">
        <v>49</v>
      </c>
      <c r="F35" t="s">
        <v>5</v>
      </c>
      <c r="G35" t="s">
        <v>62</v>
      </c>
      <c r="H35">
        <v>79</v>
      </c>
      <c r="J35" t="str">
        <f t="shared" si="0"/>
        <v>H</v>
      </c>
      <c r="K35" t="s">
        <v>168</v>
      </c>
      <c r="L35" t="s">
        <v>244</v>
      </c>
      <c r="N35" t="str">
        <f t="shared" si="1"/>
        <v>&lt;tr&gt; &lt;td&gt;Dec. 10&lt;/td&gt;</v>
      </c>
      <c r="O35" t="str">
        <f t="shared" si="2"/>
        <v>&lt;td&gt;4:00 PM&lt;/td&gt;</v>
      </c>
      <c r="P35" t="str">
        <f t="shared" si="3"/>
        <v>&lt;td class="DMCIsched"&gt;Daniel McIntyre&lt;/td&gt;</v>
      </c>
      <c r="Q35" t="str">
        <f t="shared" si="4"/>
        <v>&lt;td&gt;49 - 79&lt;/td&gt;</v>
      </c>
      <c r="R35" t="str">
        <f t="shared" si="5"/>
        <v>&lt;td class="GCIsched"&gt;Glenlawn&lt;/td&gt;</v>
      </c>
      <c r="S35" t="str">
        <f t="shared" si="6"/>
        <v>&lt;td&gt;Pembina Trails Classic 1st Round Game 2&lt;/td&gt; &lt;/tr&gt;</v>
      </c>
    </row>
    <row r="36" spans="1:19" x14ac:dyDescent="0.25">
      <c r="A36" s="5">
        <v>42348</v>
      </c>
      <c r="B36" s="6">
        <v>0.69791666666666663</v>
      </c>
      <c r="C36" t="s">
        <v>12</v>
      </c>
      <c r="D36" t="s">
        <v>54</v>
      </c>
      <c r="E36">
        <v>44</v>
      </c>
      <c r="F36" t="s">
        <v>1</v>
      </c>
      <c r="G36" t="s">
        <v>74</v>
      </c>
      <c r="H36">
        <v>101</v>
      </c>
      <c r="J36" t="str">
        <f t="shared" si="0"/>
        <v>H</v>
      </c>
      <c r="K36" t="s">
        <v>168</v>
      </c>
      <c r="L36" t="s">
        <v>249</v>
      </c>
      <c r="N36" t="str">
        <f t="shared" si="1"/>
        <v>&lt;tr&gt; &lt;td&gt;Dec. 10&lt;/td&gt;</v>
      </c>
      <c r="O36" t="str">
        <f t="shared" si="2"/>
        <v>&lt;td&gt;4:45 PM&lt;/td&gt;</v>
      </c>
      <c r="P36" t="str">
        <f t="shared" si="3"/>
        <v>&lt;td class="LSsched"&gt;Selkirk&lt;/td&gt;</v>
      </c>
      <c r="Q36" t="str">
        <f t="shared" si="4"/>
        <v>&lt;td&gt;44 - 101&lt;/td&gt;</v>
      </c>
      <c r="R36" t="str">
        <f t="shared" si="5"/>
        <v>&lt;td class="OPHSsched"&gt;Oak Park&lt;/td&gt;</v>
      </c>
      <c r="S36" t="str">
        <f t="shared" si="6"/>
        <v>&lt;td&gt;Pembina Trails Classic 1st Round Game 7&lt;/td&gt; &lt;/tr&gt;</v>
      </c>
    </row>
    <row r="37" spans="1:19" x14ac:dyDescent="0.25">
      <c r="A37" s="5">
        <v>42348</v>
      </c>
      <c r="B37" s="6">
        <v>0.73958333333333337</v>
      </c>
      <c r="C37" t="s">
        <v>157</v>
      </c>
      <c r="E37">
        <v>55</v>
      </c>
      <c r="F37" t="s">
        <v>4</v>
      </c>
      <c r="G37" t="s">
        <v>41</v>
      </c>
      <c r="H37">
        <v>79</v>
      </c>
      <c r="J37" t="str">
        <f t="shared" si="0"/>
        <v>H</v>
      </c>
      <c r="K37" t="s">
        <v>168</v>
      </c>
      <c r="L37" t="s">
        <v>245</v>
      </c>
      <c r="N37" t="str">
        <f t="shared" si="1"/>
        <v>&lt;tr&gt; &lt;td&gt;Dec. 10&lt;/td&gt;</v>
      </c>
      <c r="O37" t="str">
        <f t="shared" si="2"/>
        <v>&lt;td&gt;5:45 PM&lt;/td&gt;</v>
      </c>
      <c r="P37" t="str">
        <f t="shared" si="3"/>
        <v>&lt;td class="sched"&gt;R.D. Parker&lt;/td&gt;</v>
      </c>
      <c r="Q37" t="str">
        <f t="shared" si="4"/>
        <v>&lt;td&gt;55 - 79&lt;/td&gt;</v>
      </c>
      <c r="R37" t="str">
        <f t="shared" si="5"/>
        <v>&lt;td class="GCCsched"&gt;Garden City&lt;/td&gt;</v>
      </c>
      <c r="S37" t="str">
        <f t="shared" si="6"/>
        <v>&lt;td&gt;Pembina Trails Classic 1st Round Game 3&lt;/td&gt; &lt;/tr&gt;</v>
      </c>
    </row>
    <row r="38" spans="1:19" x14ac:dyDescent="0.25">
      <c r="A38" s="5">
        <v>42348</v>
      </c>
      <c r="B38" s="6">
        <v>0.76041666666666663</v>
      </c>
      <c r="C38" t="s">
        <v>8</v>
      </c>
      <c r="D38" t="s">
        <v>60</v>
      </c>
      <c r="E38">
        <v>36</v>
      </c>
      <c r="F38" t="s">
        <v>9</v>
      </c>
      <c r="G38" t="s">
        <v>76</v>
      </c>
      <c r="H38">
        <v>77</v>
      </c>
      <c r="J38" t="str">
        <f t="shared" si="0"/>
        <v>H</v>
      </c>
      <c r="K38" t="s">
        <v>168</v>
      </c>
      <c r="L38" t="s">
        <v>248</v>
      </c>
      <c r="N38" t="str">
        <f t="shared" si="1"/>
        <v>&lt;tr&gt; &lt;td&gt;Dec. 10&lt;/td&gt;</v>
      </c>
      <c r="O38" t="str">
        <f t="shared" si="2"/>
        <v>&lt;td&gt;6:15 PM&lt;/td&gt;</v>
      </c>
      <c r="P38" t="str">
        <f t="shared" si="3"/>
        <v>&lt;td class="DCIsched"&gt;Dakota&lt;/td&gt;</v>
      </c>
      <c r="Q38" t="str">
        <f t="shared" si="4"/>
        <v>&lt;td&gt;36 - 77&lt;/td&gt;</v>
      </c>
      <c r="R38" t="str">
        <f t="shared" si="5"/>
        <v>&lt;td class="SiHSsched"&gt;Sisler&lt;/td&gt;</v>
      </c>
      <c r="S38" t="str">
        <f t="shared" si="6"/>
        <v>&lt;td&gt;Pembina Trails Classic 1st Round Game 6&lt;/td&gt; &lt;/tr&gt;</v>
      </c>
    </row>
    <row r="39" spans="1:19" x14ac:dyDescent="0.25">
      <c r="A39" s="5">
        <v>42348</v>
      </c>
      <c r="B39" s="6">
        <v>0.8125</v>
      </c>
      <c r="C39" t="s">
        <v>14</v>
      </c>
      <c r="D39" t="s">
        <v>94</v>
      </c>
      <c r="E39">
        <v>27</v>
      </c>
      <c r="F39" t="s">
        <v>169</v>
      </c>
      <c r="H39">
        <v>69</v>
      </c>
      <c r="J39" t="str">
        <f t="shared" si="0"/>
        <v>H</v>
      </c>
      <c r="K39" t="s">
        <v>168</v>
      </c>
      <c r="L39" t="s">
        <v>246</v>
      </c>
      <c r="N39" t="str">
        <f t="shared" si="1"/>
        <v>&lt;tr&gt; &lt;td&gt;Dec. 10&lt;/td&gt;</v>
      </c>
      <c r="O39" t="str">
        <f t="shared" si="2"/>
        <v>&lt;td&gt;7:30 PM&lt;/td&gt;</v>
      </c>
      <c r="P39" t="str">
        <f t="shared" si="3"/>
        <v>&lt;td class="SHCsched"&gt;Sturgeon Heights&lt;/td&gt;</v>
      </c>
      <c r="Q39" t="str">
        <f t="shared" si="4"/>
        <v>&lt;td&gt;27 - 69&lt;/td&gt;</v>
      </c>
      <c r="R39" t="str">
        <f t="shared" si="5"/>
        <v>&lt;td class="sched"&gt;Campbell&lt;/td&gt;</v>
      </c>
      <c r="S39" t="str">
        <f t="shared" si="6"/>
        <v>&lt;td&gt;Pembina Trails Classic 1st Round Game 4&lt;/td&gt; &lt;/tr&gt;</v>
      </c>
    </row>
    <row r="40" spans="1:19" x14ac:dyDescent="0.25">
      <c r="A40" s="5">
        <v>42348</v>
      </c>
      <c r="B40" s="6">
        <v>0.83333333333333337</v>
      </c>
      <c r="C40" t="s">
        <v>6</v>
      </c>
      <c r="D40" t="s">
        <v>70</v>
      </c>
      <c r="E40">
        <v>38</v>
      </c>
      <c r="F40" t="s">
        <v>11</v>
      </c>
      <c r="G40" t="s">
        <v>48</v>
      </c>
      <c r="H40">
        <v>67</v>
      </c>
      <c r="J40" t="str">
        <f t="shared" si="0"/>
        <v>H</v>
      </c>
      <c r="K40" t="s">
        <v>168</v>
      </c>
      <c r="L40" t="s">
        <v>250</v>
      </c>
      <c r="N40" t="str">
        <f t="shared" si="1"/>
        <v>&lt;tr&gt; &lt;td&gt;Dec. 10&lt;/td&gt;</v>
      </c>
      <c r="O40" t="str">
        <f t="shared" si="2"/>
        <v>&lt;td&gt;8:00 PM&lt;/td&gt;</v>
      </c>
      <c r="P40" t="str">
        <f t="shared" si="3"/>
        <v>&lt;td class="JTCsched"&gt;John Taylor&lt;/td&gt;</v>
      </c>
      <c r="Q40" t="str">
        <f t="shared" si="4"/>
        <v>&lt;td&gt;38 - 67&lt;/td&gt;</v>
      </c>
      <c r="R40" t="str">
        <f t="shared" si="5"/>
        <v>&lt;td class="MMCsched"&gt;Miles Macdonell&lt;/td&gt;</v>
      </c>
      <c r="S40" t="str">
        <f t="shared" si="6"/>
        <v>&lt;td&gt;Pembina Trails Classic 1st Round Game 8&lt;/td&gt; &lt;/tr&gt;</v>
      </c>
    </row>
    <row r="41" spans="1:19" x14ac:dyDescent="0.25">
      <c r="A41" s="5">
        <v>42348</v>
      </c>
      <c r="C41" t="s">
        <v>30</v>
      </c>
      <c r="D41" t="s">
        <v>92</v>
      </c>
      <c r="E41">
        <v>21</v>
      </c>
      <c r="F41" t="s">
        <v>31</v>
      </c>
      <c r="G41" t="s">
        <v>96</v>
      </c>
      <c r="H41">
        <v>86</v>
      </c>
      <c r="J41" t="str">
        <f t="shared" si="0"/>
        <v>H</v>
      </c>
      <c r="K41" t="s">
        <v>196</v>
      </c>
      <c r="L41" t="s">
        <v>173</v>
      </c>
      <c r="N41" t="str">
        <f t="shared" si="1"/>
        <v>&lt;tr&gt; &lt;td&gt;Dec. 10&lt;/td&gt;</v>
      </c>
      <c r="O41" t="str">
        <f t="shared" si="2"/>
        <v>&lt;td&gt;&lt;/td&gt;</v>
      </c>
      <c r="P41" t="str">
        <f t="shared" si="3"/>
        <v>&lt;td class="SJHSsched"&gt;St. John's&lt;/td&gt;</v>
      </c>
      <c r="Q41" t="str">
        <f t="shared" si="4"/>
        <v>&lt;td&gt;21 - 86&lt;/td&gt;</v>
      </c>
      <c r="R41" t="str">
        <f t="shared" si="5"/>
        <v>&lt;td class="TVHSsched"&gt;Tec Voc&lt;/td&gt;</v>
      </c>
      <c r="S41" t="str">
        <f t="shared" si="6"/>
        <v>&lt;td&gt;Tec Voc Invitational Quarterfinal 1&lt;/td&gt; &lt;/tr&gt;</v>
      </c>
    </row>
    <row r="42" spans="1:19" x14ac:dyDescent="0.25">
      <c r="A42" s="5">
        <v>42348</v>
      </c>
      <c r="C42" t="s">
        <v>26</v>
      </c>
      <c r="D42" t="s">
        <v>86</v>
      </c>
      <c r="E42">
        <v>61</v>
      </c>
      <c r="F42" t="s">
        <v>7</v>
      </c>
      <c r="G42" t="s">
        <v>7</v>
      </c>
      <c r="H42">
        <v>36</v>
      </c>
      <c r="J42" t="str">
        <f t="shared" si="0"/>
        <v>V</v>
      </c>
      <c r="K42" t="s">
        <v>196</v>
      </c>
      <c r="L42" t="s">
        <v>174</v>
      </c>
      <c r="N42" t="str">
        <f t="shared" si="1"/>
        <v>&lt;tr&gt; &lt;td&gt;Dec. 10&lt;/td&gt;</v>
      </c>
      <c r="O42" t="str">
        <f t="shared" si="2"/>
        <v>&lt;td&gt;&lt;/td&gt;</v>
      </c>
      <c r="P42" t="str">
        <f t="shared" si="3"/>
        <v>&lt;td class="GBHSsched"&gt;Gordon Bell&lt;/td&gt;</v>
      </c>
      <c r="Q42" t="str">
        <f t="shared" si="4"/>
        <v>&lt;td&gt;61 - 36&lt;/td&gt;</v>
      </c>
      <c r="R42" t="str">
        <f t="shared" si="5"/>
        <v>&lt;td class="MBCIsched"&gt;MBCI&lt;/td&gt;</v>
      </c>
      <c r="S42" t="str">
        <f t="shared" si="6"/>
        <v>&lt;td&gt;Tec Voc Invitational Quarterfinal 2&lt;/td&gt; &lt;/tr&gt;</v>
      </c>
    </row>
    <row r="43" spans="1:19" x14ac:dyDescent="0.25">
      <c r="A43" s="5">
        <v>42348</v>
      </c>
      <c r="C43" t="s">
        <v>29</v>
      </c>
      <c r="D43" t="s">
        <v>91</v>
      </c>
      <c r="E43">
        <v>75</v>
      </c>
      <c r="F43" t="s">
        <v>10</v>
      </c>
      <c r="G43" t="s">
        <v>72</v>
      </c>
      <c r="H43">
        <v>39</v>
      </c>
      <c r="J43" t="str">
        <f t="shared" si="0"/>
        <v>V</v>
      </c>
      <c r="K43" t="s">
        <v>196</v>
      </c>
      <c r="L43" t="s">
        <v>175</v>
      </c>
      <c r="N43" t="str">
        <f t="shared" si="1"/>
        <v>&lt;tr&gt; &lt;td&gt;Dec. 10&lt;/td&gt;</v>
      </c>
      <c r="O43" t="str">
        <f t="shared" si="2"/>
        <v>&lt;td&gt;&lt;/td&gt;</v>
      </c>
      <c r="P43" t="str">
        <f t="shared" si="3"/>
        <v>&lt;td class="ShHSsched"&gt;Shaftesbury&lt;/td&gt;</v>
      </c>
      <c r="Q43" t="str">
        <f t="shared" si="4"/>
        <v>&lt;td&gt;75 - 39&lt;/td&gt;</v>
      </c>
      <c r="R43" t="str">
        <f t="shared" si="5"/>
        <v>&lt;td class="KHSsched"&gt;Kelvin&lt;/td&gt;</v>
      </c>
      <c r="S43" t="str">
        <f t="shared" si="6"/>
        <v>&lt;td&gt;Tec Voc Invitational Quarterfinal 3&lt;/td&gt; &lt;/tr&gt;</v>
      </c>
    </row>
    <row r="44" spans="1:19" x14ac:dyDescent="0.25">
      <c r="A44" s="5">
        <v>42348</v>
      </c>
      <c r="C44" t="s">
        <v>171</v>
      </c>
      <c r="E44">
        <v>46</v>
      </c>
      <c r="F44" t="s">
        <v>108</v>
      </c>
      <c r="G44" t="s">
        <v>109</v>
      </c>
      <c r="H44">
        <v>35</v>
      </c>
      <c r="J44" t="str">
        <f t="shared" si="0"/>
        <v>V</v>
      </c>
      <c r="K44" t="s">
        <v>196</v>
      </c>
      <c r="L44" t="s">
        <v>176</v>
      </c>
      <c r="N44" t="str">
        <f t="shared" si="1"/>
        <v>&lt;tr&gt; &lt;td&gt;Dec. 10&lt;/td&gt;</v>
      </c>
      <c r="O44" t="str">
        <f t="shared" si="2"/>
        <v>&lt;td&gt;&lt;/td&gt;</v>
      </c>
      <c r="P44" t="str">
        <f t="shared" si="3"/>
        <v>&lt;td class="sched"&gt;Churchill&lt;/td&gt;</v>
      </c>
      <c r="Q44" t="str">
        <f t="shared" si="4"/>
        <v>&lt;td&gt;46 - 35&lt;/td&gt;</v>
      </c>
      <c r="R44" t="str">
        <f t="shared" si="5"/>
        <v>&lt;td class="CJSsched"&gt;Jeanne-Sauv&amp;eacute;&lt;/td&gt;</v>
      </c>
      <c r="S44" t="str">
        <f t="shared" si="6"/>
        <v>&lt;td&gt;Tec Voc Invitational Quarterfinal 4&lt;/td&gt; &lt;/tr&gt;</v>
      </c>
    </row>
    <row r="45" spans="1:19" x14ac:dyDescent="0.25">
      <c r="A45" s="5">
        <v>42349</v>
      </c>
      <c r="B45" s="6">
        <v>0.35416666666666669</v>
      </c>
      <c r="C45" t="s">
        <v>24</v>
      </c>
      <c r="D45" t="s">
        <v>82</v>
      </c>
      <c r="E45">
        <v>50</v>
      </c>
      <c r="F45" t="s">
        <v>2</v>
      </c>
      <c r="G45" t="s">
        <v>43</v>
      </c>
      <c r="H45">
        <v>55</v>
      </c>
      <c r="J45" t="str">
        <f t="shared" si="0"/>
        <v>H</v>
      </c>
      <c r="K45" t="s">
        <v>168</v>
      </c>
      <c r="L45" t="s">
        <v>188</v>
      </c>
      <c r="N45" t="str">
        <f t="shared" si="1"/>
        <v>&lt;tr&gt; &lt;td&gt;Dec. 11&lt;/td&gt;</v>
      </c>
      <c r="O45" t="str">
        <f t="shared" si="2"/>
        <v>&lt;td&gt;8:30 AM&lt;/td&gt;</v>
      </c>
      <c r="P45" t="str">
        <f t="shared" si="3"/>
        <v>&lt;td class="DMCIsched"&gt;Daniel McIntyre&lt;/td&gt;</v>
      </c>
      <c r="Q45" t="str">
        <f t="shared" si="4"/>
        <v>&lt;td&gt;50 - 55&lt;/td&gt;</v>
      </c>
      <c r="R45" t="str">
        <f t="shared" si="5"/>
        <v>&lt;td class="KECsched"&gt;Kildonan-East&lt;/td&gt;</v>
      </c>
      <c r="S45" t="str">
        <f t="shared" si="6"/>
        <v>&lt;td&gt;Pembina Trails Classic Consolation QF 1&lt;/td&gt; &lt;/tr&gt;</v>
      </c>
    </row>
    <row r="46" spans="1:19" x14ac:dyDescent="0.25">
      <c r="A46" s="5">
        <v>42349</v>
      </c>
      <c r="B46" s="6">
        <v>0.35416666666666669</v>
      </c>
      <c r="C46" t="s">
        <v>14</v>
      </c>
      <c r="D46" t="s">
        <v>94</v>
      </c>
      <c r="E46">
        <v>58</v>
      </c>
      <c r="F46" t="s">
        <v>157</v>
      </c>
      <c r="H46">
        <v>61</v>
      </c>
      <c r="J46" t="str">
        <f t="shared" si="0"/>
        <v>H</v>
      </c>
      <c r="K46" t="s">
        <v>168</v>
      </c>
      <c r="L46" t="s">
        <v>189</v>
      </c>
      <c r="N46" t="str">
        <f t="shared" si="1"/>
        <v>&lt;tr&gt; &lt;td&gt;Dec. 11&lt;/td&gt;</v>
      </c>
      <c r="O46" t="str">
        <f t="shared" si="2"/>
        <v>&lt;td&gt;8:30 AM&lt;/td&gt;</v>
      </c>
      <c r="P46" t="str">
        <f t="shared" si="3"/>
        <v>&lt;td class="SHCsched"&gt;Sturgeon Heights&lt;/td&gt;</v>
      </c>
      <c r="Q46" t="str">
        <f t="shared" si="4"/>
        <v>&lt;td&gt;58 - 61&lt;/td&gt;</v>
      </c>
      <c r="R46" t="str">
        <f t="shared" si="5"/>
        <v>&lt;td class="sched"&gt;R.D. Parker&lt;/td&gt;</v>
      </c>
      <c r="S46" t="str">
        <f t="shared" si="6"/>
        <v>&lt;td&gt;Pembina Trails Classic Consolation QF 2&lt;/td&gt; &lt;/tr&gt;</v>
      </c>
    </row>
    <row r="47" spans="1:19" x14ac:dyDescent="0.25">
      <c r="A47" s="5">
        <v>42349</v>
      </c>
      <c r="B47" s="6">
        <v>0.35416666666666669</v>
      </c>
      <c r="C47" t="s">
        <v>8</v>
      </c>
      <c r="D47" t="s">
        <v>60</v>
      </c>
      <c r="E47">
        <v>38</v>
      </c>
      <c r="F47" t="s">
        <v>15</v>
      </c>
      <c r="G47" t="s">
        <v>68</v>
      </c>
      <c r="H47">
        <v>44</v>
      </c>
      <c r="J47" t="str">
        <f t="shared" si="0"/>
        <v>H</v>
      </c>
      <c r="K47" t="s">
        <v>168</v>
      </c>
      <c r="L47" t="s">
        <v>190</v>
      </c>
      <c r="N47" t="str">
        <f t="shared" si="1"/>
        <v>&lt;tr&gt; &lt;td&gt;Dec. 11&lt;/td&gt;</v>
      </c>
      <c r="O47" t="str">
        <f t="shared" si="2"/>
        <v>&lt;td&gt;8:30 AM&lt;/td&gt;</v>
      </c>
      <c r="P47" t="str">
        <f t="shared" si="3"/>
        <v>&lt;td class="DCIsched"&gt;Dakota&lt;/td&gt;</v>
      </c>
      <c r="Q47" t="str">
        <f t="shared" si="4"/>
        <v>&lt;td&gt;38 - 44&lt;/td&gt;</v>
      </c>
      <c r="R47" t="str">
        <f t="shared" si="5"/>
        <v>&lt;td class="FRCsched"&gt;Fort Richmond&lt;/td&gt;</v>
      </c>
      <c r="S47" t="str">
        <f t="shared" si="6"/>
        <v>&lt;td&gt;Pembina Trails Classic Consolation QF 3&lt;/td&gt; &lt;/tr&gt;</v>
      </c>
    </row>
    <row r="48" spans="1:19" x14ac:dyDescent="0.25">
      <c r="A48" s="5">
        <v>42349</v>
      </c>
      <c r="B48" s="6">
        <v>0.41666666666666669</v>
      </c>
      <c r="C48" t="s">
        <v>6</v>
      </c>
      <c r="D48" t="s">
        <v>70</v>
      </c>
      <c r="E48">
        <v>51</v>
      </c>
      <c r="F48" t="s">
        <v>12</v>
      </c>
      <c r="G48" t="s">
        <v>54</v>
      </c>
      <c r="H48">
        <v>60</v>
      </c>
      <c r="J48" t="str">
        <f t="shared" si="0"/>
        <v>H</v>
      </c>
      <c r="K48" t="s">
        <v>168</v>
      </c>
      <c r="L48" t="s">
        <v>191</v>
      </c>
      <c r="N48" t="str">
        <f t="shared" si="1"/>
        <v>&lt;tr&gt; &lt;td&gt;Dec. 11&lt;/td&gt;</v>
      </c>
      <c r="O48" t="str">
        <f t="shared" si="2"/>
        <v>&lt;td&gt;10:00 AM&lt;/td&gt;</v>
      </c>
      <c r="P48" t="str">
        <f t="shared" si="3"/>
        <v>&lt;td class="JTCsched"&gt;John Taylor&lt;/td&gt;</v>
      </c>
      <c r="Q48" t="str">
        <f t="shared" si="4"/>
        <v>&lt;td&gt;51 - 60&lt;/td&gt;</v>
      </c>
      <c r="R48" t="str">
        <f t="shared" si="5"/>
        <v>&lt;td class="LSsched"&gt;Selkirk&lt;/td&gt;</v>
      </c>
      <c r="S48" t="str">
        <f t="shared" si="6"/>
        <v>&lt;td&gt;Pembina Trails Classic Consolation QF 4&lt;/td&gt; &lt;/tr&gt;</v>
      </c>
    </row>
    <row r="49" spans="1:19" x14ac:dyDescent="0.25">
      <c r="A49" s="5">
        <v>42349</v>
      </c>
      <c r="B49" s="6">
        <v>0.41666666666666669</v>
      </c>
      <c r="C49" t="s">
        <v>5</v>
      </c>
      <c r="D49" t="s">
        <v>62</v>
      </c>
      <c r="E49">
        <v>50</v>
      </c>
      <c r="F49" t="s">
        <v>23</v>
      </c>
      <c r="G49" t="s">
        <v>80</v>
      </c>
      <c r="H49">
        <v>36</v>
      </c>
      <c r="J49" t="str">
        <f t="shared" si="0"/>
        <v>V</v>
      </c>
      <c r="K49" t="s">
        <v>168</v>
      </c>
      <c r="L49" t="s">
        <v>173</v>
      </c>
      <c r="N49" t="str">
        <f t="shared" si="1"/>
        <v>&lt;tr&gt; &lt;td&gt;Dec. 11&lt;/td&gt;</v>
      </c>
      <c r="O49" t="str">
        <f t="shared" si="2"/>
        <v>&lt;td&gt;10:00 AM&lt;/td&gt;</v>
      </c>
      <c r="P49" t="str">
        <f t="shared" si="3"/>
        <v>&lt;td class="GCIsched"&gt;Glenlawn&lt;/td&gt;</v>
      </c>
      <c r="Q49" t="str">
        <f t="shared" si="4"/>
        <v>&lt;td&gt;50 - 36&lt;/td&gt;</v>
      </c>
      <c r="R49" t="str">
        <f t="shared" si="5"/>
        <v>&lt;td class="VMCsched"&gt;Vincent Massey&lt;/td&gt;</v>
      </c>
      <c r="S49" t="str">
        <f t="shared" si="6"/>
        <v>&lt;td&gt;Pembina Trails Classic Quarterfinal 1&lt;/td&gt; &lt;/tr&gt;</v>
      </c>
    </row>
    <row r="50" spans="1:19" x14ac:dyDescent="0.25">
      <c r="A50" s="5">
        <v>42349</v>
      </c>
      <c r="B50" s="6">
        <v>0.41666666666666669</v>
      </c>
      <c r="C50" t="s">
        <v>169</v>
      </c>
      <c r="E50">
        <v>56</v>
      </c>
      <c r="F50" t="s">
        <v>4</v>
      </c>
      <c r="G50" t="s">
        <v>41</v>
      </c>
      <c r="H50">
        <v>59</v>
      </c>
      <c r="J50" t="str">
        <f t="shared" si="0"/>
        <v>H</v>
      </c>
      <c r="K50" t="s">
        <v>168</v>
      </c>
      <c r="L50" t="s">
        <v>174</v>
      </c>
      <c r="N50" t="str">
        <f t="shared" si="1"/>
        <v>&lt;tr&gt; &lt;td&gt;Dec. 11&lt;/td&gt;</v>
      </c>
      <c r="O50" t="str">
        <f t="shared" si="2"/>
        <v>&lt;td&gt;10:00 AM&lt;/td&gt;</v>
      </c>
      <c r="P50" t="str">
        <f t="shared" si="3"/>
        <v>&lt;td class="sched"&gt;Campbell&lt;/td&gt;</v>
      </c>
      <c r="Q50" t="str">
        <f t="shared" si="4"/>
        <v>&lt;td&gt;56 - 59&lt;/td&gt;</v>
      </c>
      <c r="R50" t="str">
        <f t="shared" si="5"/>
        <v>&lt;td class="GCCsched"&gt;Garden City&lt;/td&gt;</v>
      </c>
      <c r="S50" t="str">
        <f t="shared" si="6"/>
        <v>&lt;td&gt;Pembina Trails Classic Quarterfinal 2&lt;/td&gt; &lt;/tr&gt;</v>
      </c>
    </row>
    <row r="51" spans="1:19" x14ac:dyDescent="0.25">
      <c r="A51" s="5">
        <v>42349</v>
      </c>
      <c r="B51" s="6">
        <v>0.47916666666666669</v>
      </c>
      <c r="C51" t="s">
        <v>9</v>
      </c>
      <c r="D51" t="s">
        <v>76</v>
      </c>
      <c r="E51">
        <v>67</v>
      </c>
      <c r="F51" t="s">
        <v>13</v>
      </c>
      <c r="G51" t="s">
        <v>98</v>
      </c>
      <c r="H51">
        <v>56</v>
      </c>
      <c r="J51" t="str">
        <f t="shared" si="0"/>
        <v>V</v>
      </c>
      <c r="K51" t="s">
        <v>168</v>
      </c>
      <c r="L51" t="s">
        <v>175</v>
      </c>
      <c r="N51" t="str">
        <f t="shared" si="1"/>
        <v>&lt;tr&gt; &lt;td&gt;Dec. 11&lt;/td&gt;</v>
      </c>
      <c r="O51" t="str">
        <f t="shared" si="2"/>
        <v>&lt;td&gt;11:30 AM&lt;/td&gt;</v>
      </c>
      <c r="P51" t="str">
        <f t="shared" si="3"/>
        <v>&lt;td class="SiHSsched"&gt;Sisler&lt;/td&gt;</v>
      </c>
      <c r="Q51" t="str">
        <f t="shared" si="4"/>
        <v>&lt;td&gt;67 - 56&lt;/td&gt;</v>
      </c>
      <c r="R51" t="str">
        <f t="shared" si="5"/>
        <v>&lt;td class="WWCsched"&gt;Westwood&lt;/td&gt;</v>
      </c>
      <c r="S51" t="str">
        <f t="shared" si="6"/>
        <v>&lt;td&gt;Pembina Trails Classic Quarterfinal 3&lt;/td&gt; &lt;/tr&gt;</v>
      </c>
    </row>
    <row r="52" spans="1:19" x14ac:dyDescent="0.25">
      <c r="A52" s="5">
        <v>42349</v>
      </c>
      <c r="B52" s="6">
        <v>0.47916666666666669</v>
      </c>
      <c r="C52" t="s">
        <v>11</v>
      </c>
      <c r="D52" t="s">
        <v>48</v>
      </c>
      <c r="E52">
        <v>69</v>
      </c>
      <c r="F52" t="s">
        <v>1</v>
      </c>
      <c r="G52" t="s">
        <v>74</v>
      </c>
      <c r="H52">
        <v>70</v>
      </c>
      <c r="J52" t="str">
        <f t="shared" si="0"/>
        <v>H</v>
      </c>
      <c r="K52" t="s">
        <v>168</v>
      </c>
      <c r="L52" t="s">
        <v>176</v>
      </c>
      <c r="N52" t="str">
        <f t="shared" si="1"/>
        <v>&lt;tr&gt; &lt;td&gt;Dec. 11&lt;/td&gt;</v>
      </c>
      <c r="O52" t="str">
        <f t="shared" si="2"/>
        <v>&lt;td&gt;11:30 AM&lt;/td&gt;</v>
      </c>
      <c r="P52" t="str">
        <f t="shared" si="3"/>
        <v>&lt;td class="MMCsched"&gt;Miles Macdonell&lt;/td&gt;</v>
      </c>
      <c r="Q52" t="str">
        <f t="shared" si="4"/>
        <v>&lt;td&gt;69 - 70&lt;/td&gt;</v>
      </c>
      <c r="R52" t="str">
        <f t="shared" si="5"/>
        <v>&lt;td class="OPHSsched"&gt;Oak Park&lt;/td&gt;</v>
      </c>
      <c r="S52" t="str">
        <f t="shared" si="6"/>
        <v>&lt;td&gt;Pembina Trails Classic Quarterfinal 4&lt;/td&gt; &lt;/tr&gt;</v>
      </c>
    </row>
    <row r="53" spans="1:19" x14ac:dyDescent="0.25">
      <c r="A53" s="5">
        <v>42349</v>
      </c>
      <c r="B53" s="6">
        <v>0.625</v>
      </c>
      <c r="C53" t="s">
        <v>14</v>
      </c>
      <c r="D53" t="s">
        <v>94</v>
      </c>
      <c r="E53">
        <v>46</v>
      </c>
      <c r="F53" t="s">
        <v>24</v>
      </c>
      <c r="G53" t="s">
        <v>82</v>
      </c>
      <c r="H53">
        <v>55</v>
      </c>
      <c r="J53" t="str">
        <f t="shared" si="0"/>
        <v>H</v>
      </c>
      <c r="K53" t="s">
        <v>168</v>
      </c>
      <c r="L53" t="s">
        <v>203</v>
      </c>
      <c r="N53" t="str">
        <f t="shared" si="1"/>
        <v>&lt;tr&gt; &lt;td&gt;Dec. 11&lt;/td&gt;</v>
      </c>
      <c r="O53" t="str">
        <f t="shared" si="2"/>
        <v>&lt;td&gt;3:00 PM&lt;/td&gt;</v>
      </c>
      <c r="P53" t="str">
        <f t="shared" si="3"/>
        <v>&lt;td class="SHCsched"&gt;Sturgeon Heights&lt;/td&gt;</v>
      </c>
      <c r="Q53" t="str">
        <f t="shared" si="4"/>
        <v>&lt;td&gt;46 - 55&lt;/td&gt;</v>
      </c>
      <c r="R53" t="str">
        <f t="shared" si="5"/>
        <v>&lt;td class="DMCIsched"&gt;Daniel McIntyre&lt;/td&gt;</v>
      </c>
      <c r="S53" t="str">
        <f t="shared" si="6"/>
        <v>&lt;td&gt;Pembina Trails Classic 13th Semi 1&lt;/td&gt; &lt;/tr&gt;</v>
      </c>
    </row>
    <row r="54" spans="1:19" x14ac:dyDescent="0.25">
      <c r="A54" s="5">
        <v>42349</v>
      </c>
      <c r="B54" s="6">
        <v>0.625</v>
      </c>
      <c r="C54" t="s">
        <v>169</v>
      </c>
      <c r="E54">
        <v>56</v>
      </c>
      <c r="F54" t="s">
        <v>23</v>
      </c>
      <c r="G54" t="s">
        <v>80</v>
      </c>
      <c r="H54">
        <v>36</v>
      </c>
      <c r="J54" t="str">
        <f t="shared" si="0"/>
        <v>V</v>
      </c>
      <c r="K54" t="s">
        <v>168</v>
      </c>
      <c r="L54" t="s">
        <v>177</v>
      </c>
      <c r="N54" t="str">
        <f t="shared" si="1"/>
        <v>&lt;tr&gt; &lt;td&gt;Dec. 11&lt;/td&gt;</v>
      </c>
      <c r="O54" t="str">
        <f t="shared" si="2"/>
        <v>&lt;td&gt;3:00 PM&lt;/td&gt;</v>
      </c>
      <c r="P54" t="str">
        <f t="shared" si="3"/>
        <v>&lt;td class="sched"&gt;Campbell&lt;/td&gt;</v>
      </c>
      <c r="Q54" t="str">
        <f t="shared" si="4"/>
        <v>&lt;td&gt;56 - 36&lt;/td&gt;</v>
      </c>
      <c r="R54" t="str">
        <f t="shared" si="5"/>
        <v>&lt;td class="VMCsched"&gt;Vincent Massey&lt;/td&gt;</v>
      </c>
      <c r="S54" t="str">
        <f t="shared" si="6"/>
        <v>&lt;td&gt;Pembina Trails Classic Consolation Semi 1&lt;/td&gt; &lt;/tr&gt;</v>
      </c>
    </row>
    <row r="55" spans="1:19" x14ac:dyDescent="0.25">
      <c r="A55" s="5">
        <v>42349</v>
      </c>
      <c r="B55" s="6">
        <v>0.6875</v>
      </c>
      <c r="C55" t="s">
        <v>6</v>
      </c>
      <c r="D55" t="s">
        <v>70</v>
      </c>
      <c r="E55">
        <v>54</v>
      </c>
      <c r="F55" t="s">
        <v>8</v>
      </c>
      <c r="G55" t="s">
        <v>60</v>
      </c>
      <c r="H55">
        <v>42</v>
      </c>
      <c r="J55" t="str">
        <f t="shared" si="0"/>
        <v>V</v>
      </c>
      <c r="K55" t="s">
        <v>168</v>
      </c>
      <c r="L55" t="s">
        <v>204</v>
      </c>
      <c r="N55" t="str">
        <f t="shared" si="1"/>
        <v>&lt;tr&gt; &lt;td&gt;Dec. 11&lt;/td&gt;</v>
      </c>
      <c r="O55" t="str">
        <f t="shared" si="2"/>
        <v>&lt;td&gt;4:30 PM&lt;/td&gt;</v>
      </c>
      <c r="P55" t="str">
        <f t="shared" si="3"/>
        <v>&lt;td class="JTCsched"&gt;John Taylor&lt;/td&gt;</v>
      </c>
      <c r="Q55" t="str">
        <f t="shared" si="4"/>
        <v>&lt;td&gt;54 - 42&lt;/td&gt;</v>
      </c>
      <c r="R55" t="str">
        <f t="shared" si="5"/>
        <v>&lt;td class="DCIsched"&gt;Dakota&lt;/td&gt;</v>
      </c>
      <c r="S55" t="str">
        <f t="shared" si="6"/>
        <v>&lt;td&gt;Pembina Trails Classic 13th Semi 2&lt;/td&gt; &lt;/tr&gt;</v>
      </c>
    </row>
    <row r="56" spans="1:19" x14ac:dyDescent="0.25">
      <c r="A56" s="5">
        <v>42349</v>
      </c>
      <c r="B56" s="6">
        <v>0.6875</v>
      </c>
      <c r="C56" t="s">
        <v>11</v>
      </c>
      <c r="D56" t="s">
        <v>48</v>
      </c>
      <c r="E56">
        <v>31</v>
      </c>
      <c r="F56" t="s">
        <v>13</v>
      </c>
      <c r="G56" t="s">
        <v>98</v>
      </c>
      <c r="H56">
        <v>65</v>
      </c>
      <c r="J56" t="str">
        <f t="shared" si="0"/>
        <v>H</v>
      </c>
      <c r="K56" t="s">
        <v>168</v>
      </c>
      <c r="L56" t="s">
        <v>178</v>
      </c>
      <c r="N56" t="str">
        <f t="shared" si="1"/>
        <v>&lt;tr&gt; &lt;td&gt;Dec. 11&lt;/td&gt;</v>
      </c>
      <c r="O56" t="str">
        <f t="shared" si="2"/>
        <v>&lt;td&gt;4:30 PM&lt;/td&gt;</v>
      </c>
      <c r="P56" t="str">
        <f t="shared" si="3"/>
        <v>&lt;td class="MMCsched"&gt;Miles Macdonell&lt;/td&gt;</v>
      </c>
      <c r="Q56" t="str">
        <f t="shared" si="4"/>
        <v>&lt;td&gt;31 - 65&lt;/td&gt;</v>
      </c>
      <c r="R56" t="str">
        <f t="shared" si="5"/>
        <v>&lt;td class="WWCsched"&gt;Westwood&lt;/td&gt;</v>
      </c>
      <c r="S56" t="str">
        <f t="shared" si="6"/>
        <v>&lt;td&gt;Pembina Trails Classic Consolation Semi 2&lt;/td&gt; &lt;/tr&gt;</v>
      </c>
    </row>
    <row r="57" spans="1:19" x14ac:dyDescent="0.25">
      <c r="A57" s="5">
        <v>42349</v>
      </c>
      <c r="B57" s="6">
        <v>0.76041666666666663</v>
      </c>
      <c r="C57" t="s">
        <v>157</v>
      </c>
      <c r="E57">
        <v>48</v>
      </c>
      <c r="F57" t="s">
        <v>2</v>
      </c>
      <c r="G57" t="s">
        <v>43</v>
      </c>
      <c r="H57">
        <v>52</v>
      </c>
      <c r="J57" t="str">
        <f t="shared" si="0"/>
        <v>H</v>
      </c>
      <c r="K57" t="s">
        <v>168</v>
      </c>
      <c r="L57" t="s">
        <v>205</v>
      </c>
      <c r="N57" t="str">
        <f t="shared" si="1"/>
        <v>&lt;tr&gt; &lt;td&gt;Dec. 11&lt;/td&gt;</v>
      </c>
      <c r="O57" t="str">
        <f t="shared" si="2"/>
        <v>&lt;td&gt;6:15 PM&lt;/td&gt;</v>
      </c>
      <c r="P57" t="str">
        <f t="shared" si="3"/>
        <v>&lt;td class="sched"&gt;R.D. Parker&lt;/td&gt;</v>
      </c>
      <c r="Q57" t="str">
        <f t="shared" si="4"/>
        <v>&lt;td&gt;48 - 52&lt;/td&gt;</v>
      </c>
      <c r="R57" t="str">
        <f t="shared" si="5"/>
        <v>&lt;td class="KECsched"&gt;Kildonan-East&lt;/td&gt;</v>
      </c>
      <c r="S57" t="str">
        <f t="shared" si="6"/>
        <v>&lt;td&gt;Pembina Trails Classic 9th Semi 1&lt;/td&gt; &lt;/tr&gt;</v>
      </c>
    </row>
    <row r="58" spans="1:19" x14ac:dyDescent="0.25">
      <c r="A58" s="5">
        <v>42349</v>
      </c>
      <c r="B58" s="6">
        <v>0.76041666666666663</v>
      </c>
      <c r="C58" t="s">
        <v>4</v>
      </c>
      <c r="D58" t="s">
        <v>41</v>
      </c>
      <c r="E58">
        <v>71</v>
      </c>
      <c r="F58" t="s">
        <v>5</v>
      </c>
      <c r="G58" t="s">
        <v>62</v>
      </c>
      <c r="H58">
        <v>56</v>
      </c>
      <c r="J58" t="str">
        <f t="shared" si="0"/>
        <v>V</v>
      </c>
      <c r="K58" t="s">
        <v>168</v>
      </c>
      <c r="L58" t="s">
        <v>179</v>
      </c>
      <c r="N58" t="str">
        <f t="shared" si="1"/>
        <v>&lt;tr&gt; &lt;td&gt;Dec. 11&lt;/td&gt;</v>
      </c>
      <c r="O58" t="str">
        <f t="shared" si="2"/>
        <v>&lt;td&gt;6:15 PM&lt;/td&gt;</v>
      </c>
      <c r="P58" t="str">
        <f t="shared" si="3"/>
        <v>&lt;td class="GCCsched"&gt;Garden City&lt;/td&gt;</v>
      </c>
      <c r="Q58" t="str">
        <f t="shared" si="4"/>
        <v>&lt;td&gt;71 - 56&lt;/td&gt;</v>
      </c>
      <c r="R58" t="str">
        <f t="shared" si="5"/>
        <v>&lt;td class="GCIsched"&gt;Glenlawn&lt;/td&gt;</v>
      </c>
      <c r="S58" t="str">
        <f t="shared" si="6"/>
        <v>&lt;td&gt;Pembina Trails Classic Semifinal 1&lt;/td&gt; &lt;/tr&gt;</v>
      </c>
    </row>
    <row r="59" spans="1:19" x14ac:dyDescent="0.25">
      <c r="A59" s="5">
        <v>42349</v>
      </c>
      <c r="B59" s="6">
        <v>0.83333333333333337</v>
      </c>
      <c r="C59" t="s">
        <v>12</v>
      </c>
      <c r="D59" t="s">
        <v>54</v>
      </c>
      <c r="E59">
        <v>40</v>
      </c>
      <c r="F59" t="s">
        <v>15</v>
      </c>
      <c r="G59" t="s">
        <v>68</v>
      </c>
      <c r="H59">
        <v>48</v>
      </c>
      <c r="J59" t="str">
        <f t="shared" si="0"/>
        <v>H</v>
      </c>
      <c r="K59" t="s">
        <v>168</v>
      </c>
      <c r="L59" t="s">
        <v>206</v>
      </c>
      <c r="N59" t="str">
        <f t="shared" si="1"/>
        <v>&lt;tr&gt; &lt;td&gt;Dec. 11&lt;/td&gt;</v>
      </c>
      <c r="O59" t="str">
        <f t="shared" si="2"/>
        <v>&lt;td&gt;8:00 PM&lt;/td&gt;</v>
      </c>
      <c r="P59" t="str">
        <f t="shared" si="3"/>
        <v>&lt;td class="LSsched"&gt;Selkirk&lt;/td&gt;</v>
      </c>
      <c r="Q59" t="str">
        <f t="shared" si="4"/>
        <v>&lt;td&gt;40 - 48&lt;/td&gt;</v>
      </c>
      <c r="R59" t="str">
        <f t="shared" si="5"/>
        <v>&lt;td class="FRCsched"&gt;Fort Richmond&lt;/td&gt;</v>
      </c>
      <c r="S59" t="str">
        <f t="shared" si="6"/>
        <v>&lt;td&gt;Pembina Trails Classic 9th Semi 2&lt;/td&gt; &lt;/tr&gt;</v>
      </c>
    </row>
    <row r="60" spans="1:19" x14ac:dyDescent="0.25">
      <c r="A60" s="5">
        <v>42349</v>
      </c>
      <c r="B60" s="6">
        <v>0.83333333333333337</v>
      </c>
      <c r="C60" t="s">
        <v>1</v>
      </c>
      <c r="D60" t="s">
        <v>74</v>
      </c>
      <c r="E60">
        <v>47</v>
      </c>
      <c r="F60" t="s">
        <v>9</v>
      </c>
      <c r="G60" t="s">
        <v>76</v>
      </c>
      <c r="H60">
        <v>60</v>
      </c>
      <c r="J60" t="str">
        <f t="shared" si="0"/>
        <v>H</v>
      </c>
      <c r="K60" t="s">
        <v>168</v>
      </c>
      <c r="L60" t="s">
        <v>180</v>
      </c>
      <c r="N60" t="str">
        <f t="shared" si="1"/>
        <v>&lt;tr&gt; &lt;td&gt;Dec. 11&lt;/td&gt;</v>
      </c>
      <c r="O60" t="str">
        <f t="shared" si="2"/>
        <v>&lt;td&gt;8:00 PM&lt;/td&gt;</v>
      </c>
      <c r="P60" t="str">
        <f t="shared" si="3"/>
        <v>&lt;td class="OPHSsched"&gt;Oak Park&lt;/td&gt;</v>
      </c>
      <c r="Q60" t="str">
        <f t="shared" si="4"/>
        <v>&lt;td&gt;47 - 60&lt;/td&gt;</v>
      </c>
      <c r="R60" t="str">
        <f t="shared" si="5"/>
        <v>&lt;td class="SiHSsched"&gt;Sisler&lt;/td&gt;</v>
      </c>
      <c r="S60" t="str">
        <f t="shared" si="6"/>
        <v>&lt;td&gt;Pembina Trails Classic Semifinal 2&lt;/td&gt; &lt;/tr&gt;</v>
      </c>
    </row>
    <row r="61" spans="1:19" x14ac:dyDescent="0.25">
      <c r="A61" s="5">
        <v>42349</v>
      </c>
      <c r="C61" t="s">
        <v>7</v>
      </c>
      <c r="D61" t="s">
        <v>7</v>
      </c>
      <c r="E61">
        <v>43</v>
      </c>
      <c r="F61" t="s">
        <v>30</v>
      </c>
      <c r="G61" t="s">
        <v>92</v>
      </c>
      <c r="H61">
        <v>36</v>
      </c>
      <c r="J61" t="str">
        <f t="shared" si="0"/>
        <v>V</v>
      </c>
      <c r="K61" t="s">
        <v>196</v>
      </c>
      <c r="L61" t="s">
        <v>177</v>
      </c>
      <c r="N61" t="str">
        <f t="shared" si="1"/>
        <v>&lt;tr&gt; &lt;td&gt;Dec. 11&lt;/td&gt;</v>
      </c>
      <c r="O61" t="str">
        <f t="shared" si="2"/>
        <v>&lt;td&gt;&lt;/td&gt;</v>
      </c>
      <c r="P61" t="str">
        <f t="shared" si="3"/>
        <v>&lt;td class="MBCIsched"&gt;MBCI&lt;/td&gt;</v>
      </c>
      <c r="Q61" t="str">
        <f t="shared" si="4"/>
        <v>&lt;td&gt;43 - 36&lt;/td&gt;</v>
      </c>
      <c r="R61" t="str">
        <f t="shared" si="5"/>
        <v>&lt;td class="SJHSsched"&gt;St. John's&lt;/td&gt;</v>
      </c>
      <c r="S61" t="str">
        <f t="shared" si="6"/>
        <v>&lt;td&gt;Tec Voc Invitational Consolation Semi 1&lt;/td&gt; &lt;/tr&gt;</v>
      </c>
    </row>
    <row r="62" spans="1:19" x14ac:dyDescent="0.25">
      <c r="A62" s="5">
        <v>42349</v>
      </c>
      <c r="C62" t="s">
        <v>108</v>
      </c>
      <c r="D62" t="s">
        <v>109</v>
      </c>
      <c r="E62">
        <v>38</v>
      </c>
      <c r="F62" t="s">
        <v>10</v>
      </c>
      <c r="G62" t="s">
        <v>72</v>
      </c>
      <c r="H62">
        <v>39</v>
      </c>
      <c r="J62" t="str">
        <f t="shared" si="0"/>
        <v>H</v>
      </c>
      <c r="K62" t="s">
        <v>196</v>
      </c>
      <c r="L62" t="s">
        <v>178</v>
      </c>
      <c r="N62" t="str">
        <f t="shared" si="1"/>
        <v>&lt;tr&gt; &lt;td&gt;Dec. 11&lt;/td&gt;</v>
      </c>
      <c r="O62" t="str">
        <f t="shared" si="2"/>
        <v>&lt;td&gt;&lt;/td&gt;</v>
      </c>
      <c r="P62" t="str">
        <f t="shared" si="3"/>
        <v>&lt;td class="CJSsched"&gt;Jeanne-Sauv&amp;eacute;&lt;/td&gt;</v>
      </c>
      <c r="Q62" t="str">
        <f t="shared" si="4"/>
        <v>&lt;td&gt;38 - 39&lt;/td&gt;</v>
      </c>
      <c r="R62" t="str">
        <f t="shared" si="5"/>
        <v>&lt;td class="KHSsched"&gt;Kelvin&lt;/td&gt;</v>
      </c>
      <c r="S62" t="str">
        <f t="shared" si="6"/>
        <v>&lt;td&gt;Tec Voc Invitational Consolation Semi 2&lt;/td&gt; &lt;/tr&gt;</v>
      </c>
    </row>
    <row r="63" spans="1:19" x14ac:dyDescent="0.25">
      <c r="A63" s="5">
        <v>42349</v>
      </c>
      <c r="C63" t="s">
        <v>26</v>
      </c>
      <c r="D63" t="s">
        <v>86</v>
      </c>
      <c r="E63">
        <v>43</v>
      </c>
      <c r="F63" t="s">
        <v>31</v>
      </c>
      <c r="G63" t="s">
        <v>96</v>
      </c>
      <c r="H63">
        <v>93</v>
      </c>
      <c r="J63" t="str">
        <f t="shared" si="0"/>
        <v>H</v>
      </c>
      <c r="K63" t="s">
        <v>196</v>
      </c>
      <c r="L63" t="s">
        <v>179</v>
      </c>
      <c r="N63" t="str">
        <f t="shared" si="1"/>
        <v>&lt;tr&gt; &lt;td&gt;Dec. 11&lt;/td&gt;</v>
      </c>
      <c r="O63" t="str">
        <f t="shared" si="2"/>
        <v>&lt;td&gt;&lt;/td&gt;</v>
      </c>
      <c r="P63" t="str">
        <f t="shared" si="3"/>
        <v>&lt;td class="GBHSsched"&gt;Gordon Bell&lt;/td&gt;</v>
      </c>
      <c r="Q63" t="str">
        <f t="shared" si="4"/>
        <v>&lt;td&gt;43 - 93&lt;/td&gt;</v>
      </c>
      <c r="R63" t="str">
        <f t="shared" si="5"/>
        <v>&lt;td class="TVHSsched"&gt;Tec Voc&lt;/td&gt;</v>
      </c>
      <c r="S63" t="str">
        <f t="shared" si="6"/>
        <v>&lt;td&gt;Tec Voc Invitational Semifinal 1&lt;/td&gt; &lt;/tr&gt;</v>
      </c>
    </row>
    <row r="64" spans="1:19" x14ac:dyDescent="0.25">
      <c r="A64" s="5">
        <v>42349</v>
      </c>
      <c r="C64" t="s">
        <v>171</v>
      </c>
      <c r="E64">
        <v>38</v>
      </c>
      <c r="F64" t="s">
        <v>29</v>
      </c>
      <c r="G64" t="s">
        <v>91</v>
      </c>
      <c r="H64">
        <v>61</v>
      </c>
      <c r="J64" t="str">
        <f t="shared" si="0"/>
        <v>H</v>
      </c>
      <c r="K64" t="s">
        <v>196</v>
      </c>
      <c r="L64" t="s">
        <v>180</v>
      </c>
      <c r="N64" t="str">
        <f t="shared" si="1"/>
        <v>&lt;tr&gt; &lt;td&gt;Dec. 11&lt;/td&gt;</v>
      </c>
      <c r="O64" t="str">
        <f t="shared" si="2"/>
        <v>&lt;td&gt;&lt;/td&gt;</v>
      </c>
      <c r="P64" t="str">
        <f t="shared" si="3"/>
        <v>&lt;td class="sched"&gt;Churchill&lt;/td&gt;</v>
      </c>
      <c r="Q64" t="str">
        <f t="shared" si="4"/>
        <v>&lt;td&gt;38 - 61&lt;/td&gt;</v>
      </c>
      <c r="R64" t="str">
        <f t="shared" si="5"/>
        <v>&lt;td class="ShHSsched"&gt;Shaftesbury&lt;/td&gt;</v>
      </c>
      <c r="S64" t="str">
        <f t="shared" si="6"/>
        <v>&lt;td&gt;Tec Voc Invitational Semifinal 2&lt;/td&gt; &lt;/tr&gt;</v>
      </c>
    </row>
    <row r="65" spans="1:19" x14ac:dyDescent="0.25">
      <c r="A65" s="5">
        <v>42349</v>
      </c>
      <c r="C65" t="s">
        <v>291</v>
      </c>
      <c r="E65">
        <v>30</v>
      </c>
      <c r="F65" t="s">
        <v>28</v>
      </c>
      <c r="G65" t="s">
        <v>90</v>
      </c>
      <c r="H65">
        <v>42</v>
      </c>
      <c r="J65" t="str">
        <f t="shared" si="0"/>
        <v>H</v>
      </c>
      <c r="K65" t="s">
        <v>274</v>
      </c>
      <c r="L65" t="s">
        <v>174</v>
      </c>
      <c r="N65" t="str">
        <f t="shared" si="1"/>
        <v>&lt;tr&gt; &lt;td&gt;Dec. 11&lt;/td&gt;</v>
      </c>
      <c r="O65" t="str">
        <f t="shared" si="2"/>
        <v>&lt;td&gt;&lt;/td&gt;</v>
      </c>
      <c r="P65" t="str">
        <f t="shared" si="3"/>
        <v>&lt;td class="sched"&gt;Treherne&lt;/td&gt;</v>
      </c>
      <c r="Q65" t="str">
        <f t="shared" si="4"/>
        <v>&lt;td&gt;30 - 42&lt;/td&gt;</v>
      </c>
      <c r="R65" t="str">
        <f t="shared" si="5"/>
        <v>&lt;td class="PCIsched"&gt;Portage&lt;/td&gt;</v>
      </c>
      <c r="S65" t="str">
        <f t="shared" si="6"/>
        <v>&lt;td&gt;Saints Early Bird Quarterfinal 2&lt;/td&gt; &lt;/tr&gt;</v>
      </c>
    </row>
    <row r="66" spans="1:19" x14ac:dyDescent="0.25">
      <c r="A66" s="5">
        <v>42349</v>
      </c>
      <c r="C66" t="s">
        <v>23</v>
      </c>
      <c r="D66" t="s">
        <v>102</v>
      </c>
      <c r="E66">
        <v>57</v>
      </c>
      <c r="F66" t="s">
        <v>275</v>
      </c>
      <c r="H66">
        <v>24</v>
      </c>
      <c r="J66" t="str">
        <f t="shared" ref="J66:J129" si="7">IF(H66&gt;E66,"H",IF(E66&gt;H66,"V",""))</f>
        <v>V</v>
      </c>
      <c r="K66" t="s">
        <v>274</v>
      </c>
      <c r="L66" t="s">
        <v>175</v>
      </c>
      <c r="N66" t="str">
        <f t="shared" ref="N66:N129" si="8">"&lt;tr&gt; &lt;td&gt;"&amp;TEXT(A66,"MMM. D")&amp;"&lt;/td&gt;"</f>
        <v>&lt;tr&gt; &lt;td&gt;Dec. 11&lt;/td&gt;</v>
      </c>
      <c r="O66" t="str">
        <f t="shared" ref="O66:O129" si="9">"&lt;td&gt;"&amp;IF(B66&gt;0,TEXT(B66,"H:MM AM/PM"),"")&amp;"&lt;/td&gt;"</f>
        <v>&lt;td&gt;&lt;/td&gt;</v>
      </c>
      <c r="P66" t="str">
        <f t="shared" ref="P66:P129" si="10">"&lt;td class="""&amp;D66&amp;"sched""&gt;"&amp;C66&amp;"&lt;/td&gt;"</f>
        <v>&lt;td class="VMHSsched"&gt;Vincent Massey&lt;/td&gt;</v>
      </c>
      <c r="Q66" t="str">
        <f t="shared" ref="Q66:Q129" si="11">"&lt;td&gt;"&amp;E66&amp;" - "&amp;H66&amp;IF(I66&gt;0," "&amp;I66,"")&amp;"&lt;/td&gt;"</f>
        <v>&lt;td&gt;57 - 24&lt;/td&gt;</v>
      </c>
      <c r="R66" t="str">
        <f t="shared" ref="R66:R129" si="12">"&lt;td class="""&amp;G66&amp;"sched""&gt;"&amp;F66&amp;"&lt;/td&gt;"</f>
        <v>&lt;td class="sched"&gt;Shevchenko&lt;/td&gt;</v>
      </c>
      <c r="S66" t="str">
        <f t="shared" ref="S66:S129" si="13">"&lt;td&gt;"&amp;K66&amp;" "&amp;L66&amp;"&lt;/td&gt; &lt;/tr&gt;"</f>
        <v>&lt;td&gt;Saints Early Bird Quarterfinal 3&lt;/td&gt; &lt;/tr&gt;</v>
      </c>
    </row>
    <row r="67" spans="1:19" x14ac:dyDescent="0.25">
      <c r="A67" s="5">
        <v>42349</v>
      </c>
      <c r="C67" t="s">
        <v>276</v>
      </c>
      <c r="E67">
        <v>64</v>
      </c>
      <c r="F67" t="s">
        <v>162</v>
      </c>
      <c r="G67" t="s">
        <v>164</v>
      </c>
      <c r="H67">
        <v>27</v>
      </c>
      <c r="J67" t="str">
        <f t="shared" si="7"/>
        <v>V</v>
      </c>
      <c r="K67" t="s">
        <v>274</v>
      </c>
      <c r="L67" t="s">
        <v>176</v>
      </c>
      <c r="N67" t="str">
        <f t="shared" si="8"/>
        <v>&lt;tr&gt; &lt;td&gt;Dec. 11&lt;/td&gt;</v>
      </c>
      <c r="O67" t="str">
        <f t="shared" si="9"/>
        <v>&lt;td&gt;&lt;/td&gt;</v>
      </c>
      <c r="P67" t="str">
        <f t="shared" si="10"/>
        <v>&lt;td class="sched"&gt;Grandview&lt;/td&gt;</v>
      </c>
      <c r="Q67" t="str">
        <f t="shared" si="11"/>
        <v>&lt;td&gt;64 - 27&lt;/td&gt;</v>
      </c>
      <c r="R67" t="str">
        <f t="shared" si="12"/>
        <v>&lt;td class="GVCsched"&gt;Garden Valley&lt;/td&gt;</v>
      </c>
      <c r="S67" t="str">
        <f t="shared" si="13"/>
        <v>&lt;td&gt;Saints Early Bird Quarterfinal 4&lt;/td&gt; &lt;/tr&gt;</v>
      </c>
    </row>
    <row r="68" spans="1:19" x14ac:dyDescent="0.25">
      <c r="A68" s="5">
        <v>42349</v>
      </c>
      <c r="C68" t="s">
        <v>277</v>
      </c>
      <c r="E68">
        <v>19</v>
      </c>
      <c r="F68" t="s">
        <v>25</v>
      </c>
      <c r="G68" t="s">
        <v>84</v>
      </c>
      <c r="H68">
        <v>60</v>
      </c>
      <c r="J68" t="str">
        <f t="shared" si="7"/>
        <v>H</v>
      </c>
      <c r="K68" t="s">
        <v>278</v>
      </c>
      <c r="L68" t="s">
        <v>174</v>
      </c>
      <c r="N68" t="str">
        <f t="shared" si="8"/>
        <v>&lt;tr&gt; &lt;td&gt;Dec. 11&lt;/td&gt;</v>
      </c>
      <c r="O68" t="str">
        <f t="shared" si="9"/>
        <v>&lt;td&gt;&lt;/td&gt;</v>
      </c>
      <c r="P68" t="str">
        <f t="shared" si="10"/>
        <v>&lt;td class="sched"&gt;Winnipegosis&lt;/td&gt;</v>
      </c>
      <c r="Q68" t="str">
        <f t="shared" si="11"/>
        <v>&lt;td&gt;19 - 60&lt;/td&gt;</v>
      </c>
      <c r="R68" t="str">
        <f t="shared" si="12"/>
        <v>&lt;td class="EHSsched"&gt;Elmwood&lt;/td&gt;</v>
      </c>
      <c r="S68" t="str">
        <f t="shared" si="13"/>
        <v>&lt;td&gt;Bill McDonald Memorial Quarterfinal 2&lt;/td&gt; &lt;/tr&gt;</v>
      </c>
    </row>
    <row r="69" spans="1:19" x14ac:dyDescent="0.25">
      <c r="A69" s="5">
        <v>42350</v>
      </c>
      <c r="B69" s="6">
        <v>0.375</v>
      </c>
      <c r="C69" t="s">
        <v>8</v>
      </c>
      <c r="D69" t="s">
        <v>60</v>
      </c>
      <c r="E69">
        <v>37</v>
      </c>
      <c r="F69" t="s">
        <v>14</v>
      </c>
      <c r="G69" t="s">
        <v>94</v>
      </c>
      <c r="H69">
        <v>58</v>
      </c>
      <c r="J69" t="str">
        <f t="shared" si="7"/>
        <v>H</v>
      </c>
      <c r="K69" t="s">
        <v>168</v>
      </c>
      <c r="L69" t="s">
        <v>192</v>
      </c>
      <c r="N69" t="str">
        <f t="shared" si="8"/>
        <v>&lt;tr&gt; &lt;td&gt;Dec. 12&lt;/td&gt;</v>
      </c>
      <c r="O69" t="str">
        <f t="shared" si="9"/>
        <v>&lt;td&gt;9:00 AM&lt;/td&gt;</v>
      </c>
      <c r="P69" t="str">
        <f t="shared" si="10"/>
        <v>&lt;td class="DCIsched"&gt;Dakota&lt;/td&gt;</v>
      </c>
      <c r="Q69" t="str">
        <f t="shared" si="11"/>
        <v>&lt;td&gt;37 - 58&lt;/td&gt;</v>
      </c>
      <c r="R69" t="str">
        <f t="shared" si="12"/>
        <v>&lt;td class="SHCsched"&gt;Sturgeon Heights&lt;/td&gt;</v>
      </c>
      <c r="S69" t="str">
        <f t="shared" si="13"/>
        <v>&lt;td&gt;Pembina Trails Classic 15th Place&lt;/td&gt; &lt;/tr&gt;</v>
      </c>
    </row>
    <row r="70" spans="1:19" x14ac:dyDescent="0.25">
      <c r="A70" s="5">
        <v>42350</v>
      </c>
      <c r="B70" s="6">
        <v>0.375</v>
      </c>
      <c r="C70" t="s">
        <v>11</v>
      </c>
      <c r="D70" t="s">
        <v>48</v>
      </c>
      <c r="E70">
        <v>63</v>
      </c>
      <c r="F70" t="s">
        <v>23</v>
      </c>
      <c r="G70" t="s">
        <v>80</v>
      </c>
      <c r="H70">
        <v>65</v>
      </c>
      <c r="J70" t="str">
        <f t="shared" si="7"/>
        <v>H</v>
      </c>
      <c r="K70" t="s">
        <v>168</v>
      </c>
      <c r="L70" t="s">
        <v>181</v>
      </c>
      <c r="N70" t="str">
        <f t="shared" si="8"/>
        <v>&lt;tr&gt; &lt;td&gt;Dec. 12&lt;/td&gt;</v>
      </c>
      <c r="O70" t="str">
        <f t="shared" si="9"/>
        <v>&lt;td&gt;9:00 AM&lt;/td&gt;</v>
      </c>
      <c r="P70" t="str">
        <f t="shared" si="10"/>
        <v>&lt;td class="MMCsched"&gt;Miles Macdonell&lt;/td&gt;</v>
      </c>
      <c r="Q70" t="str">
        <f t="shared" si="11"/>
        <v>&lt;td&gt;63 - 65&lt;/td&gt;</v>
      </c>
      <c r="R70" t="str">
        <f t="shared" si="12"/>
        <v>&lt;td class="VMCsched"&gt;Vincent Massey&lt;/td&gt;</v>
      </c>
      <c r="S70" t="str">
        <f t="shared" si="13"/>
        <v>&lt;td&gt;Pembina Trails Classic 7th Place&lt;/td&gt; &lt;/tr&gt;</v>
      </c>
    </row>
    <row r="71" spans="1:19" x14ac:dyDescent="0.25">
      <c r="A71" s="5">
        <v>42350</v>
      </c>
      <c r="B71" s="6">
        <v>0.44791666666666669</v>
      </c>
      <c r="C71" t="s">
        <v>6</v>
      </c>
      <c r="D71" t="s">
        <v>70</v>
      </c>
      <c r="E71">
        <v>61</v>
      </c>
      <c r="F71" t="s">
        <v>24</v>
      </c>
      <c r="G71" t="s">
        <v>82</v>
      </c>
      <c r="H71">
        <v>73</v>
      </c>
      <c r="J71" t="str">
        <f t="shared" si="7"/>
        <v>H</v>
      </c>
      <c r="K71" t="s">
        <v>168</v>
      </c>
      <c r="L71" t="s">
        <v>193</v>
      </c>
      <c r="N71" t="str">
        <f t="shared" si="8"/>
        <v>&lt;tr&gt; &lt;td&gt;Dec. 12&lt;/td&gt;</v>
      </c>
      <c r="O71" t="str">
        <f t="shared" si="9"/>
        <v>&lt;td&gt;10:45 AM&lt;/td&gt;</v>
      </c>
      <c r="P71" t="str">
        <f t="shared" si="10"/>
        <v>&lt;td class="JTCsched"&gt;John Taylor&lt;/td&gt;</v>
      </c>
      <c r="Q71" t="str">
        <f t="shared" si="11"/>
        <v>&lt;td&gt;61 - 73&lt;/td&gt;</v>
      </c>
      <c r="R71" t="str">
        <f t="shared" si="12"/>
        <v>&lt;td class="DMCIsched"&gt;Daniel McIntyre&lt;/td&gt;</v>
      </c>
      <c r="S71" t="str">
        <f t="shared" si="13"/>
        <v>&lt;td&gt;Pembina Trails Classic 13th Place&lt;/td&gt; &lt;/tr&gt;</v>
      </c>
    </row>
    <row r="72" spans="1:19" x14ac:dyDescent="0.25">
      <c r="A72" s="5">
        <v>42350</v>
      </c>
      <c r="B72" s="6">
        <v>0.44791666666666669</v>
      </c>
      <c r="C72" t="s">
        <v>13</v>
      </c>
      <c r="D72" t="s">
        <v>98</v>
      </c>
      <c r="E72">
        <v>48</v>
      </c>
      <c r="F72" t="s">
        <v>169</v>
      </c>
      <c r="H72">
        <v>61</v>
      </c>
      <c r="J72" t="str">
        <f t="shared" si="7"/>
        <v>H</v>
      </c>
      <c r="K72" t="s">
        <v>168</v>
      </c>
      <c r="L72" t="s">
        <v>182</v>
      </c>
      <c r="N72" t="str">
        <f t="shared" si="8"/>
        <v>&lt;tr&gt; &lt;td&gt;Dec. 12&lt;/td&gt;</v>
      </c>
      <c r="O72" t="str">
        <f t="shared" si="9"/>
        <v>&lt;td&gt;10:45 AM&lt;/td&gt;</v>
      </c>
      <c r="P72" t="str">
        <f t="shared" si="10"/>
        <v>&lt;td class="WWCsched"&gt;Westwood&lt;/td&gt;</v>
      </c>
      <c r="Q72" t="str">
        <f t="shared" si="11"/>
        <v>&lt;td&gt;48 - 61&lt;/td&gt;</v>
      </c>
      <c r="R72" t="str">
        <f t="shared" si="12"/>
        <v>&lt;td class="sched"&gt;Campbell&lt;/td&gt;</v>
      </c>
      <c r="S72" t="str">
        <f t="shared" si="13"/>
        <v>&lt;td&gt;Pembina Trails Classic Consolation Final&lt;/td&gt; &lt;/tr&gt;</v>
      </c>
    </row>
    <row r="73" spans="1:19" x14ac:dyDescent="0.25">
      <c r="A73" s="5">
        <v>42350</v>
      </c>
      <c r="B73" s="6">
        <v>0.52083333333333337</v>
      </c>
      <c r="C73" t="s">
        <v>12</v>
      </c>
      <c r="D73" t="s">
        <v>54</v>
      </c>
      <c r="E73">
        <v>41</v>
      </c>
      <c r="F73" t="s">
        <v>157</v>
      </c>
      <c r="H73">
        <v>59</v>
      </c>
      <c r="J73" t="str">
        <f t="shared" si="7"/>
        <v>H</v>
      </c>
      <c r="K73" t="s">
        <v>168</v>
      </c>
      <c r="L73" t="s">
        <v>194</v>
      </c>
      <c r="N73" t="str">
        <f t="shared" si="8"/>
        <v>&lt;tr&gt; &lt;td&gt;Dec. 12&lt;/td&gt;</v>
      </c>
      <c r="O73" t="str">
        <f t="shared" si="9"/>
        <v>&lt;td&gt;12:30 PM&lt;/td&gt;</v>
      </c>
      <c r="P73" t="str">
        <f t="shared" si="10"/>
        <v>&lt;td class="LSsched"&gt;Selkirk&lt;/td&gt;</v>
      </c>
      <c r="Q73" t="str">
        <f t="shared" si="11"/>
        <v>&lt;td&gt;41 - 59&lt;/td&gt;</v>
      </c>
      <c r="R73" t="str">
        <f t="shared" si="12"/>
        <v>&lt;td class="sched"&gt;R.D. Parker&lt;/td&gt;</v>
      </c>
      <c r="S73" t="str">
        <f t="shared" si="13"/>
        <v>&lt;td&gt;Pembina Trails Classic 11th Place&lt;/td&gt; &lt;/tr&gt;</v>
      </c>
    </row>
    <row r="74" spans="1:19" x14ac:dyDescent="0.25">
      <c r="A74" s="5">
        <v>42350</v>
      </c>
      <c r="B74" s="6">
        <v>0.52083333333333337</v>
      </c>
      <c r="C74" t="s">
        <v>1</v>
      </c>
      <c r="D74" t="s">
        <v>74</v>
      </c>
      <c r="E74">
        <v>65</v>
      </c>
      <c r="F74" t="s">
        <v>5</v>
      </c>
      <c r="G74" t="s">
        <v>62</v>
      </c>
      <c r="H74">
        <v>36</v>
      </c>
      <c r="J74" t="str">
        <f t="shared" si="7"/>
        <v>V</v>
      </c>
      <c r="K74" t="s">
        <v>168</v>
      </c>
      <c r="L74" t="s">
        <v>183</v>
      </c>
      <c r="N74" t="str">
        <f t="shared" si="8"/>
        <v>&lt;tr&gt; &lt;td&gt;Dec. 12&lt;/td&gt;</v>
      </c>
      <c r="O74" t="str">
        <f t="shared" si="9"/>
        <v>&lt;td&gt;12:30 PM&lt;/td&gt;</v>
      </c>
      <c r="P74" t="str">
        <f t="shared" si="10"/>
        <v>&lt;td class="OPHSsched"&gt;Oak Park&lt;/td&gt;</v>
      </c>
      <c r="Q74" t="str">
        <f t="shared" si="11"/>
        <v>&lt;td&gt;65 - 36&lt;/td&gt;</v>
      </c>
      <c r="R74" t="str">
        <f t="shared" si="12"/>
        <v>&lt;td class="GCIsched"&gt;Glenlawn&lt;/td&gt;</v>
      </c>
      <c r="S74" t="str">
        <f t="shared" si="13"/>
        <v>&lt;td&gt;Pembina Trails Classic 3rd Place&lt;/td&gt; &lt;/tr&gt;</v>
      </c>
    </row>
    <row r="75" spans="1:19" x14ac:dyDescent="0.25">
      <c r="A75" s="5">
        <v>42350</v>
      </c>
      <c r="B75" s="6">
        <v>0.59375</v>
      </c>
      <c r="C75" t="s">
        <v>15</v>
      </c>
      <c r="D75" t="s">
        <v>68</v>
      </c>
      <c r="E75">
        <v>38</v>
      </c>
      <c r="F75" t="s">
        <v>2</v>
      </c>
      <c r="G75" t="s">
        <v>43</v>
      </c>
      <c r="H75">
        <v>57</v>
      </c>
      <c r="J75" t="str">
        <f t="shared" si="7"/>
        <v>H</v>
      </c>
      <c r="K75" t="s">
        <v>168</v>
      </c>
      <c r="L75" t="s">
        <v>195</v>
      </c>
      <c r="N75" t="str">
        <f t="shared" si="8"/>
        <v>&lt;tr&gt; &lt;td&gt;Dec. 12&lt;/td&gt;</v>
      </c>
      <c r="O75" t="str">
        <f t="shared" si="9"/>
        <v>&lt;td&gt;2:15 PM&lt;/td&gt;</v>
      </c>
      <c r="P75" t="str">
        <f t="shared" si="10"/>
        <v>&lt;td class="FRCsched"&gt;Fort Richmond&lt;/td&gt;</v>
      </c>
      <c r="Q75" t="str">
        <f t="shared" si="11"/>
        <v>&lt;td&gt;38 - 57&lt;/td&gt;</v>
      </c>
      <c r="R75" t="str">
        <f t="shared" si="12"/>
        <v>&lt;td class="KECsched"&gt;Kildonan-East&lt;/td&gt;</v>
      </c>
      <c r="S75" t="str">
        <f t="shared" si="13"/>
        <v>&lt;td&gt;Pembina Trails Classic 9th Place&lt;/td&gt; &lt;/tr&gt;</v>
      </c>
    </row>
    <row r="76" spans="1:19" x14ac:dyDescent="0.25">
      <c r="A76" s="5">
        <v>42350</v>
      </c>
      <c r="B76" s="6">
        <v>0.59375</v>
      </c>
      <c r="C76" t="s">
        <v>9</v>
      </c>
      <c r="D76" t="s">
        <v>76</v>
      </c>
      <c r="E76">
        <v>74</v>
      </c>
      <c r="F76" t="s">
        <v>4</v>
      </c>
      <c r="G76" t="s">
        <v>41</v>
      </c>
      <c r="H76">
        <v>69</v>
      </c>
      <c r="J76" t="str">
        <f t="shared" si="7"/>
        <v>V</v>
      </c>
      <c r="K76" t="s">
        <v>168</v>
      </c>
      <c r="L76" t="s">
        <v>184</v>
      </c>
      <c r="N76" t="str">
        <f t="shared" si="8"/>
        <v>&lt;tr&gt; &lt;td&gt;Dec. 12&lt;/td&gt;</v>
      </c>
      <c r="O76" t="str">
        <f t="shared" si="9"/>
        <v>&lt;td&gt;2:15 PM&lt;/td&gt;</v>
      </c>
      <c r="P76" t="str">
        <f t="shared" si="10"/>
        <v>&lt;td class="SiHSsched"&gt;Sisler&lt;/td&gt;</v>
      </c>
      <c r="Q76" t="str">
        <f t="shared" si="11"/>
        <v>&lt;td&gt;74 - 69&lt;/td&gt;</v>
      </c>
      <c r="R76" t="str">
        <f t="shared" si="12"/>
        <v>&lt;td class="GCCsched"&gt;Garden City&lt;/td&gt;</v>
      </c>
      <c r="S76" t="str">
        <f t="shared" si="13"/>
        <v>&lt;td&gt;Pembina Trails Classic Championship&lt;/td&gt; &lt;/tr&gt;</v>
      </c>
    </row>
    <row r="77" spans="1:19" x14ac:dyDescent="0.25">
      <c r="A77" s="5">
        <v>42350</v>
      </c>
      <c r="C77" t="s">
        <v>108</v>
      </c>
      <c r="D77" t="s">
        <v>109</v>
      </c>
      <c r="E77">
        <v>45</v>
      </c>
      <c r="F77" t="s">
        <v>30</v>
      </c>
      <c r="G77" t="s">
        <v>92</v>
      </c>
      <c r="H77">
        <v>47</v>
      </c>
      <c r="J77" t="str">
        <f t="shared" si="7"/>
        <v>H</v>
      </c>
      <c r="K77" t="s">
        <v>196</v>
      </c>
      <c r="L77" t="s">
        <v>181</v>
      </c>
      <c r="N77" t="str">
        <f t="shared" si="8"/>
        <v>&lt;tr&gt; &lt;td&gt;Dec. 12&lt;/td&gt;</v>
      </c>
      <c r="O77" t="str">
        <f t="shared" si="9"/>
        <v>&lt;td&gt;&lt;/td&gt;</v>
      </c>
      <c r="P77" t="str">
        <f t="shared" si="10"/>
        <v>&lt;td class="CJSsched"&gt;Jeanne-Sauv&amp;eacute;&lt;/td&gt;</v>
      </c>
      <c r="Q77" t="str">
        <f t="shared" si="11"/>
        <v>&lt;td&gt;45 - 47&lt;/td&gt;</v>
      </c>
      <c r="R77" t="str">
        <f t="shared" si="12"/>
        <v>&lt;td class="SJHSsched"&gt;St. John's&lt;/td&gt;</v>
      </c>
      <c r="S77" t="str">
        <f t="shared" si="13"/>
        <v>&lt;td&gt;Tec Voc Invitational 7th Place&lt;/td&gt; &lt;/tr&gt;</v>
      </c>
    </row>
    <row r="78" spans="1:19" x14ac:dyDescent="0.25">
      <c r="A78" s="5">
        <v>42350</v>
      </c>
      <c r="C78" t="s">
        <v>10</v>
      </c>
      <c r="D78" t="s">
        <v>72</v>
      </c>
      <c r="E78">
        <v>56</v>
      </c>
      <c r="F78" t="s">
        <v>7</v>
      </c>
      <c r="G78" t="s">
        <v>7</v>
      </c>
      <c r="H78">
        <v>39</v>
      </c>
      <c r="J78" t="str">
        <f t="shared" si="7"/>
        <v>V</v>
      </c>
      <c r="K78" t="s">
        <v>196</v>
      </c>
      <c r="L78" t="s">
        <v>182</v>
      </c>
      <c r="N78" t="str">
        <f t="shared" si="8"/>
        <v>&lt;tr&gt; &lt;td&gt;Dec. 12&lt;/td&gt;</v>
      </c>
      <c r="O78" t="str">
        <f t="shared" si="9"/>
        <v>&lt;td&gt;&lt;/td&gt;</v>
      </c>
      <c r="P78" t="str">
        <f t="shared" si="10"/>
        <v>&lt;td class="KHSsched"&gt;Kelvin&lt;/td&gt;</v>
      </c>
      <c r="Q78" t="str">
        <f t="shared" si="11"/>
        <v>&lt;td&gt;56 - 39&lt;/td&gt;</v>
      </c>
      <c r="R78" t="str">
        <f t="shared" si="12"/>
        <v>&lt;td class="MBCIsched"&gt;MBCI&lt;/td&gt;</v>
      </c>
      <c r="S78" t="str">
        <f t="shared" si="13"/>
        <v>&lt;td&gt;Tec Voc Invitational Consolation Final&lt;/td&gt; &lt;/tr&gt;</v>
      </c>
    </row>
    <row r="79" spans="1:19" x14ac:dyDescent="0.25">
      <c r="A79" s="5">
        <v>42350</v>
      </c>
      <c r="C79" t="s">
        <v>171</v>
      </c>
      <c r="E79">
        <v>49</v>
      </c>
      <c r="F79" t="s">
        <v>26</v>
      </c>
      <c r="G79" t="s">
        <v>86</v>
      </c>
      <c r="H79">
        <v>72</v>
      </c>
      <c r="J79" t="str">
        <f t="shared" si="7"/>
        <v>H</v>
      </c>
      <c r="K79" t="s">
        <v>196</v>
      </c>
      <c r="L79" t="s">
        <v>183</v>
      </c>
      <c r="N79" t="str">
        <f t="shared" si="8"/>
        <v>&lt;tr&gt; &lt;td&gt;Dec. 12&lt;/td&gt;</v>
      </c>
      <c r="O79" t="str">
        <f t="shared" si="9"/>
        <v>&lt;td&gt;&lt;/td&gt;</v>
      </c>
      <c r="P79" t="str">
        <f t="shared" si="10"/>
        <v>&lt;td class="sched"&gt;Churchill&lt;/td&gt;</v>
      </c>
      <c r="Q79" t="str">
        <f t="shared" si="11"/>
        <v>&lt;td&gt;49 - 72&lt;/td&gt;</v>
      </c>
      <c r="R79" t="str">
        <f t="shared" si="12"/>
        <v>&lt;td class="GBHSsched"&gt;Gordon Bell&lt;/td&gt;</v>
      </c>
      <c r="S79" t="str">
        <f t="shared" si="13"/>
        <v>&lt;td&gt;Tec Voc Invitational 3rd Place&lt;/td&gt; &lt;/tr&gt;</v>
      </c>
    </row>
    <row r="80" spans="1:19" x14ac:dyDescent="0.25">
      <c r="A80" s="5">
        <v>42350</v>
      </c>
      <c r="C80" t="s">
        <v>29</v>
      </c>
      <c r="D80" t="s">
        <v>91</v>
      </c>
      <c r="E80">
        <v>61</v>
      </c>
      <c r="F80" t="s">
        <v>31</v>
      </c>
      <c r="G80" t="s">
        <v>96</v>
      </c>
      <c r="H80">
        <v>68</v>
      </c>
      <c r="J80" t="str">
        <f t="shared" si="7"/>
        <v>H</v>
      </c>
      <c r="K80" t="s">
        <v>196</v>
      </c>
      <c r="L80" t="s">
        <v>184</v>
      </c>
      <c r="N80" t="str">
        <f t="shared" si="8"/>
        <v>&lt;tr&gt; &lt;td&gt;Dec. 12&lt;/td&gt;</v>
      </c>
      <c r="O80" t="str">
        <f t="shared" si="9"/>
        <v>&lt;td&gt;&lt;/td&gt;</v>
      </c>
      <c r="P80" t="str">
        <f t="shared" si="10"/>
        <v>&lt;td class="ShHSsched"&gt;Shaftesbury&lt;/td&gt;</v>
      </c>
      <c r="Q80" t="str">
        <f t="shared" si="11"/>
        <v>&lt;td&gt;61 - 68&lt;/td&gt;</v>
      </c>
      <c r="R80" t="str">
        <f t="shared" si="12"/>
        <v>&lt;td class="TVHSsched"&gt;Tec Voc&lt;/td&gt;</v>
      </c>
      <c r="S80" t="str">
        <f t="shared" si="13"/>
        <v>&lt;td&gt;Tec Voc Invitational Championship&lt;/td&gt; &lt;/tr&gt;</v>
      </c>
    </row>
    <row r="81" spans="1:19" x14ac:dyDescent="0.25">
      <c r="A81" s="5">
        <v>42350</v>
      </c>
      <c r="C81" t="s">
        <v>162</v>
      </c>
      <c r="D81" t="s">
        <v>164</v>
      </c>
      <c r="E81">
        <v>66</v>
      </c>
      <c r="F81" t="s">
        <v>275</v>
      </c>
      <c r="H81">
        <v>35</v>
      </c>
      <c r="J81" t="str">
        <f t="shared" si="7"/>
        <v>V</v>
      </c>
      <c r="K81" t="s">
        <v>274</v>
      </c>
      <c r="L81" t="s">
        <v>178</v>
      </c>
      <c r="N81" t="str">
        <f t="shared" si="8"/>
        <v>&lt;tr&gt; &lt;td&gt;Dec. 12&lt;/td&gt;</v>
      </c>
      <c r="O81" t="str">
        <f t="shared" si="9"/>
        <v>&lt;td&gt;&lt;/td&gt;</v>
      </c>
      <c r="P81" t="str">
        <f t="shared" si="10"/>
        <v>&lt;td class="GVCsched"&gt;Garden Valley&lt;/td&gt;</v>
      </c>
      <c r="Q81" t="str">
        <f t="shared" si="11"/>
        <v>&lt;td&gt;66 - 35&lt;/td&gt;</v>
      </c>
      <c r="R81" t="str">
        <f t="shared" si="12"/>
        <v>&lt;td class="sched"&gt;Shevchenko&lt;/td&gt;</v>
      </c>
      <c r="S81" t="str">
        <f t="shared" si="13"/>
        <v>&lt;td&gt;Saints Early Bird Consolation Semi 2&lt;/td&gt; &lt;/tr&gt;</v>
      </c>
    </row>
    <row r="82" spans="1:19" x14ac:dyDescent="0.25">
      <c r="A82" s="5">
        <v>42350</v>
      </c>
      <c r="C82" t="s">
        <v>253</v>
      </c>
      <c r="E82">
        <v>36</v>
      </c>
      <c r="F82" t="s">
        <v>28</v>
      </c>
      <c r="G82" t="s">
        <v>90</v>
      </c>
      <c r="H82">
        <v>44</v>
      </c>
      <c r="J82" t="str">
        <f t="shared" si="7"/>
        <v>H</v>
      </c>
      <c r="K82" t="s">
        <v>274</v>
      </c>
      <c r="L82" t="s">
        <v>179</v>
      </c>
      <c r="N82" t="str">
        <f t="shared" si="8"/>
        <v>&lt;tr&gt; &lt;td&gt;Dec. 12&lt;/td&gt;</v>
      </c>
      <c r="O82" t="str">
        <f t="shared" si="9"/>
        <v>&lt;td&gt;&lt;/td&gt;</v>
      </c>
      <c r="P82" t="str">
        <f t="shared" si="10"/>
        <v>&lt;td class="sched"&gt;St. James&lt;/td&gt;</v>
      </c>
      <c r="Q82" t="str">
        <f t="shared" si="11"/>
        <v>&lt;td&gt;36 - 44&lt;/td&gt;</v>
      </c>
      <c r="R82" t="str">
        <f t="shared" si="12"/>
        <v>&lt;td class="PCIsched"&gt;Portage&lt;/td&gt;</v>
      </c>
      <c r="S82" t="str">
        <f t="shared" si="13"/>
        <v>&lt;td&gt;Saints Early Bird Semifinal 1&lt;/td&gt; &lt;/tr&gt;</v>
      </c>
    </row>
    <row r="83" spans="1:19" x14ac:dyDescent="0.25">
      <c r="A83" s="5">
        <v>42350</v>
      </c>
      <c r="C83" t="s">
        <v>276</v>
      </c>
      <c r="E83">
        <v>53</v>
      </c>
      <c r="F83" t="s">
        <v>23</v>
      </c>
      <c r="G83" t="s">
        <v>102</v>
      </c>
      <c r="H83">
        <v>34</v>
      </c>
      <c r="J83" t="str">
        <f t="shared" si="7"/>
        <v>V</v>
      </c>
      <c r="K83" t="s">
        <v>274</v>
      </c>
      <c r="L83" t="s">
        <v>180</v>
      </c>
      <c r="N83" t="str">
        <f t="shared" si="8"/>
        <v>&lt;tr&gt; &lt;td&gt;Dec. 12&lt;/td&gt;</v>
      </c>
      <c r="O83" t="str">
        <f t="shared" si="9"/>
        <v>&lt;td&gt;&lt;/td&gt;</v>
      </c>
      <c r="P83" t="str">
        <f t="shared" si="10"/>
        <v>&lt;td class="sched"&gt;Grandview&lt;/td&gt;</v>
      </c>
      <c r="Q83" t="str">
        <f t="shared" si="11"/>
        <v>&lt;td&gt;53 - 34&lt;/td&gt;</v>
      </c>
      <c r="R83" t="str">
        <f t="shared" si="12"/>
        <v>&lt;td class="VMHSsched"&gt;Vincent Massey&lt;/td&gt;</v>
      </c>
      <c r="S83" t="str">
        <f t="shared" si="13"/>
        <v>&lt;td&gt;Saints Early Bird Semifinal 2&lt;/td&gt; &lt;/tr&gt;</v>
      </c>
    </row>
    <row r="84" spans="1:19" x14ac:dyDescent="0.25">
      <c r="A84" s="5">
        <v>42350</v>
      </c>
      <c r="C84" t="s">
        <v>162</v>
      </c>
      <c r="D84" t="s">
        <v>164</v>
      </c>
      <c r="E84">
        <v>55</v>
      </c>
      <c r="F84" t="s">
        <v>293</v>
      </c>
      <c r="H84">
        <v>26</v>
      </c>
      <c r="J84" t="str">
        <f t="shared" si="7"/>
        <v>V</v>
      </c>
      <c r="K84" t="s">
        <v>274</v>
      </c>
      <c r="L84" t="s">
        <v>182</v>
      </c>
      <c r="N84" t="str">
        <f t="shared" si="8"/>
        <v>&lt;tr&gt; &lt;td&gt;Dec. 12&lt;/td&gt;</v>
      </c>
      <c r="O84" t="str">
        <f t="shared" si="9"/>
        <v>&lt;td&gt;&lt;/td&gt;</v>
      </c>
      <c r="P84" t="str">
        <f t="shared" si="10"/>
        <v>&lt;td class="GVCsched"&gt;Garden Valley&lt;/td&gt;</v>
      </c>
      <c r="Q84" t="str">
        <f t="shared" si="11"/>
        <v>&lt;td&gt;55 - 26&lt;/td&gt;</v>
      </c>
      <c r="R84" t="str">
        <f t="shared" si="12"/>
        <v>&lt;td class="sched"&gt;Westpark&lt;/td&gt;</v>
      </c>
      <c r="S84" t="str">
        <f t="shared" si="13"/>
        <v>&lt;td&gt;Saints Early Bird Consolation Final&lt;/td&gt; &lt;/tr&gt;</v>
      </c>
    </row>
    <row r="85" spans="1:19" x14ac:dyDescent="0.25">
      <c r="A85" s="5">
        <v>42350</v>
      </c>
      <c r="C85" t="s">
        <v>23</v>
      </c>
      <c r="D85" t="s">
        <v>102</v>
      </c>
      <c r="E85">
        <v>51</v>
      </c>
      <c r="F85" t="s">
        <v>253</v>
      </c>
      <c r="H85">
        <v>39</v>
      </c>
      <c r="J85" t="str">
        <f t="shared" si="7"/>
        <v>V</v>
      </c>
      <c r="K85" t="s">
        <v>274</v>
      </c>
      <c r="L85" t="s">
        <v>183</v>
      </c>
      <c r="N85" t="str">
        <f t="shared" si="8"/>
        <v>&lt;tr&gt; &lt;td&gt;Dec. 12&lt;/td&gt;</v>
      </c>
      <c r="O85" t="str">
        <f t="shared" si="9"/>
        <v>&lt;td&gt;&lt;/td&gt;</v>
      </c>
      <c r="P85" t="str">
        <f t="shared" si="10"/>
        <v>&lt;td class="VMHSsched"&gt;Vincent Massey&lt;/td&gt;</v>
      </c>
      <c r="Q85" t="str">
        <f t="shared" si="11"/>
        <v>&lt;td&gt;51 - 39&lt;/td&gt;</v>
      </c>
      <c r="R85" t="str">
        <f t="shared" si="12"/>
        <v>&lt;td class="sched"&gt;St. James&lt;/td&gt;</v>
      </c>
      <c r="S85" t="str">
        <f t="shared" si="13"/>
        <v>&lt;td&gt;Saints Early Bird 3rd Place&lt;/td&gt; &lt;/tr&gt;</v>
      </c>
    </row>
    <row r="86" spans="1:19" x14ac:dyDescent="0.25">
      <c r="A86" s="5">
        <v>42350</v>
      </c>
      <c r="C86" t="s">
        <v>276</v>
      </c>
      <c r="E86">
        <v>64</v>
      </c>
      <c r="F86" t="s">
        <v>28</v>
      </c>
      <c r="G86" t="s">
        <v>90</v>
      </c>
      <c r="H86">
        <v>27</v>
      </c>
      <c r="J86" t="str">
        <f t="shared" si="7"/>
        <v>V</v>
      </c>
      <c r="K86" t="s">
        <v>274</v>
      </c>
      <c r="L86" t="s">
        <v>184</v>
      </c>
      <c r="N86" t="str">
        <f t="shared" si="8"/>
        <v>&lt;tr&gt; &lt;td&gt;Dec. 12&lt;/td&gt;</v>
      </c>
      <c r="O86" t="str">
        <f t="shared" si="9"/>
        <v>&lt;td&gt;&lt;/td&gt;</v>
      </c>
      <c r="P86" t="str">
        <f t="shared" si="10"/>
        <v>&lt;td class="sched"&gt;Grandview&lt;/td&gt;</v>
      </c>
      <c r="Q86" t="str">
        <f t="shared" si="11"/>
        <v>&lt;td&gt;64 - 27&lt;/td&gt;</v>
      </c>
      <c r="R86" t="str">
        <f t="shared" si="12"/>
        <v>&lt;td class="PCIsched"&gt;Portage&lt;/td&gt;</v>
      </c>
      <c r="S86" t="str">
        <f t="shared" si="13"/>
        <v>&lt;td&gt;Saints Early Bird Championship&lt;/td&gt; &lt;/tr&gt;</v>
      </c>
    </row>
    <row r="87" spans="1:19" x14ac:dyDescent="0.25">
      <c r="A87" s="5">
        <v>42350</v>
      </c>
      <c r="C87" t="s">
        <v>25</v>
      </c>
      <c r="D87" t="s">
        <v>84</v>
      </c>
      <c r="E87">
        <v>24</v>
      </c>
      <c r="F87" t="s">
        <v>294</v>
      </c>
      <c r="H87">
        <v>28</v>
      </c>
      <c r="J87" t="str">
        <f t="shared" si="7"/>
        <v>H</v>
      </c>
      <c r="K87" t="s">
        <v>278</v>
      </c>
      <c r="L87" t="s">
        <v>179</v>
      </c>
      <c r="N87" t="str">
        <f t="shared" si="8"/>
        <v>&lt;tr&gt; &lt;td&gt;Dec. 12&lt;/td&gt;</v>
      </c>
      <c r="O87" t="str">
        <f t="shared" si="9"/>
        <v>&lt;td&gt;&lt;/td&gt;</v>
      </c>
      <c r="P87" t="str">
        <f t="shared" si="10"/>
        <v>&lt;td class="EHSsched"&gt;Elmwood&lt;/td&gt;</v>
      </c>
      <c r="Q87" t="str">
        <f t="shared" si="11"/>
        <v>&lt;td&gt;24 - 28&lt;/td&gt;</v>
      </c>
      <c r="R87" t="str">
        <f t="shared" si="12"/>
        <v>&lt;td class="sched"&gt;Hapnot&lt;/td&gt;</v>
      </c>
      <c r="S87" t="str">
        <f t="shared" si="13"/>
        <v>&lt;td&gt;Bill McDonald Memorial Semifinal 1&lt;/td&gt; &lt;/tr&gt;</v>
      </c>
    </row>
    <row r="88" spans="1:19" x14ac:dyDescent="0.25">
      <c r="A88" s="5">
        <v>42350</v>
      </c>
      <c r="C88" t="s">
        <v>295</v>
      </c>
      <c r="E88" t="s">
        <v>254</v>
      </c>
      <c r="F88" t="s">
        <v>25</v>
      </c>
      <c r="G88" t="s">
        <v>84</v>
      </c>
      <c r="H88" t="s">
        <v>156</v>
      </c>
      <c r="J88" t="str">
        <f t="shared" si="7"/>
        <v>H</v>
      </c>
      <c r="K88" t="s">
        <v>278</v>
      </c>
      <c r="L88" t="s">
        <v>183</v>
      </c>
      <c r="N88" t="str">
        <f t="shared" si="8"/>
        <v>&lt;tr&gt; &lt;td&gt;Dec. 12&lt;/td&gt;</v>
      </c>
      <c r="O88" t="str">
        <f t="shared" si="9"/>
        <v>&lt;td&gt;&lt;/td&gt;</v>
      </c>
      <c r="P88" t="str">
        <f t="shared" si="10"/>
        <v>&lt;td class="sched"&gt;Carpenter&lt;/td&gt;</v>
      </c>
      <c r="Q88" t="str">
        <f t="shared" si="11"/>
        <v>&lt;td&gt;L - W&lt;/td&gt;</v>
      </c>
      <c r="R88" t="str">
        <f t="shared" si="12"/>
        <v>&lt;td class="EHSsched"&gt;Elmwood&lt;/td&gt;</v>
      </c>
      <c r="S88" t="str">
        <f t="shared" si="13"/>
        <v>&lt;td&gt;Bill McDonald Memorial 3rd Place&lt;/td&gt; &lt;/tr&gt;</v>
      </c>
    </row>
    <row r="89" spans="1:19" x14ac:dyDescent="0.25">
      <c r="A89" s="5">
        <v>42352</v>
      </c>
      <c r="B89" s="6">
        <v>0.6875</v>
      </c>
      <c r="C89" t="s">
        <v>14</v>
      </c>
      <c r="D89" t="s">
        <v>94</v>
      </c>
      <c r="E89">
        <v>61</v>
      </c>
      <c r="F89" t="s">
        <v>6</v>
      </c>
      <c r="G89" t="s">
        <v>70</v>
      </c>
      <c r="H89">
        <v>39</v>
      </c>
      <c r="J89" t="str">
        <f t="shared" si="7"/>
        <v>V</v>
      </c>
      <c r="K89" t="s">
        <v>258</v>
      </c>
      <c r="L89" t="s">
        <v>228</v>
      </c>
      <c r="M89" t="s">
        <v>229</v>
      </c>
      <c r="N89" t="str">
        <f t="shared" si="8"/>
        <v>&lt;tr&gt; &lt;td&gt;Dec. 14&lt;/td&gt;</v>
      </c>
      <c r="O89" t="str">
        <f t="shared" si="9"/>
        <v>&lt;td&gt;4:30 PM&lt;/td&gt;</v>
      </c>
      <c r="P89" t="str">
        <f t="shared" si="10"/>
        <v>&lt;td class="SHCsched"&gt;Sturgeon Heights&lt;/td&gt;</v>
      </c>
      <c r="Q89" t="str">
        <f t="shared" si="11"/>
        <v>&lt;td&gt;61 - 39&lt;/td&gt;</v>
      </c>
      <c r="R89" t="str">
        <f t="shared" si="12"/>
        <v>&lt;td class="JTCsched"&gt;John Taylor&lt;/td&gt;</v>
      </c>
      <c r="S89" t="str">
        <f t="shared" si="13"/>
        <v>&lt;td&gt;WWAC/WAC Tier 1 Regular Season&lt;/td&gt; &lt;/tr&gt;</v>
      </c>
    </row>
    <row r="90" spans="1:19" x14ac:dyDescent="0.25">
      <c r="A90" s="5">
        <v>42352</v>
      </c>
      <c r="B90" s="6">
        <v>0.75</v>
      </c>
      <c r="C90" t="s">
        <v>17</v>
      </c>
      <c r="D90" t="s">
        <v>50</v>
      </c>
      <c r="E90">
        <v>40</v>
      </c>
      <c r="F90" t="s">
        <v>20</v>
      </c>
      <c r="G90" t="s">
        <v>58</v>
      </c>
      <c r="H90">
        <v>37</v>
      </c>
      <c r="J90" t="str">
        <f t="shared" si="7"/>
        <v>V</v>
      </c>
      <c r="K90" t="s">
        <v>233</v>
      </c>
      <c r="L90" t="s">
        <v>228</v>
      </c>
      <c r="M90" t="s">
        <v>229</v>
      </c>
      <c r="N90" t="str">
        <f t="shared" si="8"/>
        <v>&lt;tr&gt; &lt;td&gt;Dec. 14&lt;/td&gt;</v>
      </c>
      <c r="O90" t="str">
        <f t="shared" si="9"/>
        <v>&lt;td&gt;6:00 PM&lt;/td&gt;</v>
      </c>
      <c r="P90" t="str">
        <f t="shared" si="10"/>
        <v>&lt;td class="MMCIsched"&gt;Murdoch MacKay&lt;/td&gt;</v>
      </c>
      <c r="Q90" t="str">
        <f t="shared" si="11"/>
        <v>&lt;td&gt;40 - 37&lt;/td&gt;</v>
      </c>
      <c r="R90" t="str">
        <f t="shared" si="12"/>
        <v>&lt;td class="WKCsched"&gt;West Kildonan&lt;/td&gt;</v>
      </c>
      <c r="S90" t="str">
        <f t="shared" si="13"/>
        <v>&lt;td&gt;KPAC Tier 2 Regular Season&lt;/td&gt; &lt;/tr&gt;</v>
      </c>
    </row>
    <row r="91" spans="1:19" x14ac:dyDescent="0.25">
      <c r="A91" s="5">
        <v>42352</v>
      </c>
      <c r="B91" s="6">
        <v>0.75</v>
      </c>
      <c r="C91" t="s">
        <v>104</v>
      </c>
      <c r="D91" t="s">
        <v>105</v>
      </c>
      <c r="E91">
        <v>61</v>
      </c>
      <c r="F91" t="s">
        <v>19</v>
      </c>
      <c r="G91" t="s">
        <v>56</v>
      </c>
      <c r="H91">
        <v>52</v>
      </c>
      <c r="J91" t="str">
        <f t="shared" si="7"/>
        <v>V</v>
      </c>
      <c r="K91" t="s">
        <v>233</v>
      </c>
      <c r="L91" t="s">
        <v>228</v>
      </c>
      <c r="M91" t="s">
        <v>229</v>
      </c>
      <c r="N91" t="str">
        <f t="shared" si="8"/>
        <v>&lt;tr&gt; &lt;td&gt;Dec. 14&lt;/td&gt;</v>
      </c>
      <c r="O91" t="str">
        <f t="shared" si="9"/>
        <v>&lt;td&gt;6:00 PM&lt;/td&gt;</v>
      </c>
      <c r="P91" t="str">
        <f t="shared" si="10"/>
        <v>&lt;td class="SCIsched"&gt;Springfield&lt;/td&gt;</v>
      </c>
      <c r="Q91" t="str">
        <f t="shared" si="11"/>
        <v>&lt;td&gt;61 - 52&lt;/td&gt;</v>
      </c>
      <c r="R91" t="str">
        <f t="shared" si="12"/>
        <v>&lt;td class="TCIsched"&gt;Transcona&lt;/td&gt;</v>
      </c>
      <c r="S91" t="str">
        <f t="shared" si="13"/>
        <v>&lt;td&gt;KPAC Tier 2 Regular Season&lt;/td&gt; &lt;/tr&gt;</v>
      </c>
    </row>
    <row r="92" spans="1:19" x14ac:dyDescent="0.25">
      <c r="A92" s="5">
        <v>42352</v>
      </c>
      <c r="B92" s="6">
        <v>0.75</v>
      </c>
      <c r="C92" t="s">
        <v>2</v>
      </c>
      <c r="D92" t="s">
        <v>43</v>
      </c>
      <c r="E92">
        <v>38</v>
      </c>
      <c r="F92" t="s">
        <v>11</v>
      </c>
      <c r="G92" t="s">
        <v>48</v>
      </c>
      <c r="H92">
        <v>65</v>
      </c>
      <c r="J92" t="str">
        <f t="shared" si="7"/>
        <v>H</v>
      </c>
      <c r="K92" t="s">
        <v>234</v>
      </c>
      <c r="L92" t="s">
        <v>228</v>
      </c>
      <c r="M92" t="s">
        <v>229</v>
      </c>
      <c r="N92" t="str">
        <f t="shared" si="8"/>
        <v>&lt;tr&gt; &lt;td&gt;Dec. 14&lt;/td&gt;</v>
      </c>
      <c r="O92" t="str">
        <f t="shared" si="9"/>
        <v>&lt;td&gt;6:00 PM&lt;/td&gt;</v>
      </c>
      <c r="P92" t="str">
        <f t="shared" si="10"/>
        <v>&lt;td class="KECsched"&gt;Kildonan-East&lt;/td&gt;</v>
      </c>
      <c r="Q92" t="str">
        <f t="shared" si="11"/>
        <v>&lt;td&gt;38 - 65&lt;/td&gt;</v>
      </c>
      <c r="R92" t="str">
        <f t="shared" si="12"/>
        <v>&lt;td class="MMCsched"&gt;Miles Macdonell&lt;/td&gt;</v>
      </c>
      <c r="S92" t="str">
        <f t="shared" si="13"/>
        <v>&lt;td&gt;KPAC Tier 1 Regular Season&lt;/td&gt; &lt;/tr&gt;</v>
      </c>
    </row>
    <row r="93" spans="1:19" x14ac:dyDescent="0.25">
      <c r="A93" s="5">
        <v>42352</v>
      </c>
      <c r="B93" s="6">
        <v>0.75</v>
      </c>
      <c r="C93" t="s">
        <v>4</v>
      </c>
      <c r="D93" t="s">
        <v>41</v>
      </c>
      <c r="E93">
        <v>74</v>
      </c>
      <c r="F93" t="s">
        <v>12</v>
      </c>
      <c r="G93" t="s">
        <v>54</v>
      </c>
      <c r="H93">
        <v>56</v>
      </c>
      <c r="J93" t="str">
        <f t="shared" si="7"/>
        <v>V</v>
      </c>
      <c r="K93" t="s">
        <v>234</v>
      </c>
      <c r="L93" t="s">
        <v>228</v>
      </c>
      <c r="M93" t="s">
        <v>229</v>
      </c>
      <c r="N93" t="str">
        <f t="shared" si="8"/>
        <v>&lt;tr&gt; &lt;td&gt;Dec. 14&lt;/td&gt;</v>
      </c>
      <c r="O93" t="str">
        <f t="shared" si="9"/>
        <v>&lt;td&gt;6:00 PM&lt;/td&gt;</v>
      </c>
      <c r="P93" t="str">
        <f t="shared" si="10"/>
        <v>&lt;td class="GCCsched"&gt;Garden City&lt;/td&gt;</v>
      </c>
      <c r="Q93" t="str">
        <f t="shared" si="11"/>
        <v>&lt;td&gt;74 - 56&lt;/td&gt;</v>
      </c>
      <c r="R93" t="str">
        <f t="shared" si="12"/>
        <v>&lt;td class="LSsched"&gt;Selkirk&lt;/td&gt;</v>
      </c>
      <c r="S93" t="str">
        <f t="shared" si="13"/>
        <v>&lt;td&gt;KPAC Tier 1 Regular Season&lt;/td&gt; &lt;/tr&gt;</v>
      </c>
    </row>
    <row r="94" spans="1:19" x14ac:dyDescent="0.25">
      <c r="A94" s="5">
        <v>42352</v>
      </c>
      <c r="C94" t="s">
        <v>18</v>
      </c>
      <c r="D94" t="s">
        <v>52</v>
      </c>
      <c r="E94">
        <v>46</v>
      </c>
      <c r="F94" t="s">
        <v>24</v>
      </c>
      <c r="G94" t="s">
        <v>82</v>
      </c>
      <c r="H94">
        <v>66</v>
      </c>
      <c r="J94" t="str">
        <f t="shared" si="7"/>
        <v>H</v>
      </c>
      <c r="K94" t="s">
        <v>296</v>
      </c>
      <c r="L94" t="s">
        <v>173</v>
      </c>
      <c r="N94" t="str">
        <f t="shared" si="8"/>
        <v>&lt;tr&gt; &lt;td&gt;Dec. 14&lt;/td&gt;</v>
      </c>
      <c r="O94" t="str">
        <f t="shared" si="9"/>
        <v>&lt;td&gt;&lt;/td&gt;</v>
      </c>
      <c r="P94" t="str">
        <f t="shared" si="10"/>
        <v>&lt;td class="RECsched"&gt;River East&lt;/td&gt;</v>
      </c>
      <c r="Q94" t="str">
        <f t="shared" si="11"/>
        <v>&lt;td&gt;46 - 66&lt;/td&gt;</v>
      </c>
      <c r="R94" t="str">
        <f t="shared" si="12"/>
        <v>&lt;td class="DMCIsched"&gt;Daniel McIntyre&lt;/td&gt;</v>
      </c>
      <c r="S94" t="str">
        <f t="shared" si="13"/>
        <v>&lt;td&gt;DMIT Quarterfinal 1&lt;/td&gt; &lt;/tr&gt;</v>
      </c>
    </row>
    <row r="95" spans="1:19" x14ac:dyDescent="0.25">
      <c r="A95" s="5">
        <v>42352</v>
      </c>
      <c r="C95" t="s">
        <v>16</v>
      </c>
      <c r="D95" t="s">
        <v>45</v>
      </c>
      <c r="E95">
        <v>63</v>
      </c>
      <c r="F95" t="s">
        <v>237</v>
      </c>
      <c r="H95">
        <v>64</v>
      </c>
      <c r="J95" t="str">
        <f t="shared" si="7"/>
        <v>H</v>
      </c>
      <c r="K95" t="s">
        <v>296</v>
      </c>
      <c r="L95" t="s">
        <v>174</v>
      </c>
      <c r="N95" t="str">
        <f t="shared" si="8"/>
        <v>&lt;tr&gt; &lt;td&gt;Dec. 14&lt;/td&gt;</v>
      </c>
      <c r="O95" t="str">
        <f t="shared" si="9"/>
        <v>&lt;td&gt;&lt;/td&gt;</v>
      </c>
      <c r="P95" t="str">
        <f t="shared" si="10"/>
        <v>&lt;td class="MCsched"&gt;Maples&lt;/td&gt;</v>
      </c>
      <c r="Q95" t="str">
        <f t="shared" si="11"/>
        <v>&lt;td&gt;63 - 64&lt;/td&gt;</v>
      </c>
      <c r="R95" t="str">
        <f t="shared" si="12"/>
        <v>&lt;td class="sched"&gt;Westgate&lt;/td&gt;</v>
      </c>
      <c r="S95" t="str">
        <f t="shared" si="13"/>
        <v>&lt;td&gt;DMIT Quarterfinal 2&lt;/td&gt; &lt;/tr&gt;</v>
      </c>
    </row>
    <row r="96" spans="1:19" x14ac:dyDescent="0.25">
      <c r="A96" s="5">
        <v>42352</v>
      </c>
      <c r="C96" t="s">
        <v>31</v>
      </c>
      <c r="D96" t="s">
        <v>96</v>
      </c>
      <c r="E96">
        <v>51</v>
      </c>
      <c r="F96" t="s">
        <v>111</v>
      </c>
      <c r="G96" t="s">
        <v>112</v>
      </c>
      <c r="H96">
        <v>53</v>
      </c>
      <c r="J96" t="str">
        <f t="shared" si="7"/>
        <v>H</v>
      </c>
      <c r="K96" t="s">
        <v>296</v>
      </c>
      <c r="L96" t="s">
        <v>175</v>
      </c>
      <c r="N96" t="str">
        <f t="shared" si="8"/>
        <v>&lt;tr&gt; &lt;td&gt;Dec. 14&lt;/td&gt;</v>
      </c>
      <c r="O96" t="str">
        <f t="shared" si="9"/>
        <v>&lt;td&gt;&lt;/td&gt;</v>
      </c>
      <c r="P96" t="str">
        <f t="shared" si="10"/>
        <v>&lt;td class="TVHSsched"&gt;Tec Voc&lt;/td&gt;</v>
      </c>
      <c r="Q96" t="str">
        <f t="shared" si="11"/>
        <v>&lt;td&gt;51 - 53&lt;/td&gt;</v>
      </c>
      <c r="R96" t="str">
        <f t="shared" si="12"/>
        <v>&lt;td class="SMAsched"&gt;St. Mary's&lt;/td&gt;</v>
      </c>
      <c r="S96" t="str">
        <f t="shared" si="13"/>
        <v>&lt;td&gt;DMIT Quarterfinal 3&lt;/td&gt; &lt;/tr&gt;</v>
      </c>
    </row>
    <row r="97" spans="1:19" x14ac:dyDescent="0.25">
      <c r="A97" s="5">
        <v>42352</v>
      </c>
      <c r="C97" t="s">
        <v>7</v>
      </c>
      <c r="D97" t="s">
        <v>7</v>
      </c>
      <c r="E97">
        <v>32</v>
      </c>
      <c r="F97" t="s">
        <v>6</v>
      </c>
      <c r="G97" t="s">
        <v>70</v>
      </c>
      <c r="H97">
        <v>58</v>
      </c>
      <c r="J97" t="str">
        <f t="shared" si="7"/>
        <v>H</v>
      </c>
      <c r="K97" t="s">
        <v>296</v>
      </c>
      <c r="L97" t="s">
        <v>176</v>
      </c>
      <c r="N97" t="str">
        <f t="shared" si="8"/>
        <v>&lt;tr&gt; &lt;td&gt;Dec. 14&lt;/td&gt;</v>
      </c>
      <c r="O97" t="str">
        <f t="shared" si="9"/>
        <v>&lt;td&gt;&lt;/td&gt;</v>
      </c>
      <c r="P97" t="str">
        <f t="shared" si="10"/>
        <v>&lt;td class="MBCIsched"&gt;MBCI&lt;/td&gt;</v>
      </c>
      <c r="Q97" t="str">
        <f t="shared" si="11"/>
        <v>&lt;td&gt;32 - 58&lt;/td&gt;</v>
      </c>
      <c r="R97" t="str">
        <f t="shared" si="12"/>
        <v>&lt;td class="JTCsched"&gt;John Taylor&lt;/td&gt;</v>
      </c>
      <c r="S97" t="str">
        <f t="shared" si="13"/>
        <v>&lt;td&gt;DMIT Quarterfinal 4&lt;/td&gt; &lt;/tr&gt;</v>
      </c>
    </row>
    <row r="98" spans="1:19" x14ac:dyDescent="0.25">
      <c r="A98" s="5">
        <v>42353</v>
      </c>
      <c r="B98" s="6">
        <v>0.75</v>
      </c>
      <c r="C98" t="s">
        <v>32</v>
      </c>
      <c r="D98" t="s">
        <v>100</v>
      </c>
      <c r="E98">
        <v>78</v>
      </c>
      <c r="F98" t="s">
        <v>23</v>
      </c>
      <c r="G98" t="s">
        <v>102</v>
      </c>
      <c r="H98">
        <v>46</v>
      </c>
      <c r="J98" t="str">
        <f t="shared" si="7"/>
        <v>V</v>
      </c>
      <c r="K98" t="s">
        <v>40</v>
      </c>
      <c r="L98" t="s">
        <v>228</v>
      </c>
      <c r="M98" t="s">
        <v>229</v>
      </c>
      <c r="N98" t="str">
        <f t="shared" si="8"/>
        <v>&lt;tr&gt; &lt;td&gt;Dec. 15&lt;/td&gt;</v>
      </c>
      <c r="O98" t="str">
        <f t="shared" si="9"/>
        <v>&lt;td&gt;6:00 PM&lt;/td&gt;</v>
      </c>
      <c r="P98" t="str">
        <f t="shared" si="10"/>
        <v>&lt;td class="CPRSsched"&gt;Crocus Plains&lt;/td&gt;</v>
      </c>
      <c r="Q98" t="str">
        <f t="shared" si="11"/>
        <v>&lt;td&gt;78 - 46&lt;/td&gt;</v>
      </c>
      <c r="R98" t="str">
        <f t="shared" si="12"/>
        <v>&lt;td class="VMHSsched"&gt;Vincent Massey&lt;/td&gt;</v>
      </c>
      <c r="S98" t="str">
        <f t="shared" si="13"/>
        <v>&lt;td&gt;Zone 15 Regular Season&lt;/td&gt; &lt;/tr&gt;</v>
      </c>
    </row>
    <row r="99" spans="1:19" x14ac:dyDescent="0.25">
      <c r="A99" s="5">
        <v>42353</v>
      </c>
      <c r="C99" t="s">
        <v>16</v>
      </c>
      <c r="D99" t="s">
        <v>45</v>
      </c>
      <c r="E99">
        <v>52</v>
      </c>
      <c r="F99" t="s">
        <v>18</v>
      </c>
      <c r="G99" t="s">
        <v>52</v>
      </c>
      <c r="H99">
        <v>43</v>
      </c>
      <c r="J99" t="str">
        <f t="shared" si="7"/>
        <v>V</v>
      </c>
      <c r="K99" t="s">
        <v>296</v>
      </c>
      <c r="L99" t="s">
        <v>177</v>
      </c>
      <c r="N99" t="str">
        <f t="shared" si="8"/>
        <v>&lt;tr&gt; &lt;td&gt;Dec. 15&lt;/td&gt;</v>
      </c>
      <c r="O99" t="str">
        <f t="shared" si="9"/>
        <v>&lt;td&gt;&lt;/td&gt;</v>
      </c>
      <c r="P99" t="str">
        <f t="shared" si="10"/>
        <v>&lt;td class="MCsched"&gt;Maples&lt;/td&gt;</v>
      </c>
      <c r="Q99" t="str">
        <f t="shared" si="11"/>
        <v>&lt;td&gt;52 - 43&lt;/td&gt;</v>
      </c>
      <c r="R99" t="str">
        <f t="shared" si="12"/>
        <v>&lt;td class="RECsched"&gt;River East&lt;/td&gt;</v>
      </c>
      <c r="S99" t="str">
        <f t="shared" si="13"/>
        <v>&lt;td&gt;DMIT Consolation Semi 1&lt;/td&gt; &lt;/tr&gt;</v>
      </c>
    </row>
    <row r="100" spans="1:19" x14ac:dyDescent="0.25">
      <c r="A100" s="5">
        <v>42353</v>
      </c>
      <c r="C100" t="s">
        <v>237</v>
      </c>
      <c r="E100">
        <v>50</v>
      </c>
      <c r="F100" t="s">
        <v>24</v>
      </c>
      <c r="G100" t="s">
        <v>82</v>
      </c>
      <c r="H100">
        <v>79</v>
      </c>
      <c r="J100" t="str">
        <f t="shared" si="7"/>
        <v>H</v>
      </c>
      <c r="K100" t="s">
        <v>296</v>
      </c>
      <c r="L100" t="s">
        <v>179</v>
      </c>
      <c r="N100" t="str">
        <f t="shared" si="8"/>
        <v>&lt;tr&gt; &lt;td&gt;Dec. 15&lt;/td&gt;</v>
      </c>
      <c r="O100" t="str">
        <f t="shared" si="9"/>
        <v>&lt;td&gt;&lt;/td&gt;</v>
      </c>
      <c r="P100" t="str">
        <f t="shared" si="10"/>
        <v>&lt;td class="sched"&gt;Westgate&lt;/td&gt;</v>
      </c>
      <c r="Q100" t="str">
        <f t="shared" si="11"/>
        <v>&lt;td&gt;50 - 79&lt;/td&gt;</v>
      </c>
      <c r="R100" t="str">
        <f t="shared" si="12"/>
        <v>&lt;td class="DMCIsched"&gt;Daniel McIntyre&lt;/td&gt;</v>
      </c>
      <c r="S100" t="str">
        <f t="shared" si="13"/>
        <v>&lt;td&gt;DMIT Semifinal 1&lt;/td&gt; &lt;/tr&gt;</v>
      </c>
    </row>
    <row r="101" spans="1:19" x14ac:dyDescent="0.25">
      <c r="A101" s="5">
        <v>42354</v>
      </c>
      <c r="B101" s="6">
        <v>0.6875</v>
      </c>
      <c r="C101" t="s">
        <v>13</v>
      </c>
      <c r="D101" t="s">
        <v>98</v>
      </c>
      <c r="E101">
        <v>57</v>
      </c>
      <c r="F101" t="s">
        <v>6</v>
      </c>
      <c r="G101" t="s">
        <v>70</v>
      </c>
      <c r="H101">
        <v>40</v>
      </c>
      <c r="J101" t="str">
        <f t="shared" si="7"/>
        <v>V</v>
      </c>
      <c r="K101" t="s">
        <v>258</v>
      </c>
      <c r="L101" t="s">
        <v>228</v>
      </c>
      <c r="M101" t="s">
        <v>229</v>
      </c>
      <c r="N101" t="str">
        <f t="shared" si="8"/>
        <v>&lt;tr&gt; &lt;td&gt;Dec. 16&lt;/td&gt;</v>
      </c>
      <c r="O101" t="str">
        <f t="shared" si="9"/>
        <v>&lt;td&gt;4:30 PM&lt;/td&gt;</v>
      </c>
      <c r="P101" t="str">
        <f t="shared" si="10"/>
        <v>&lt;td class="WWCsched"&gt;Westwood&lt;/td&gt;</v>
      </c>
      <c r="Q101" t="str">
        <f t="shared" si="11"/>
        <v>&lt;td&gt;57 - 40&lt;/td&gt;</v>
      </c>
      <c r="R101" t="str">
        <f t="shared" si="12"/>
        <v>&lt;td class="JTCsched"&gt;John Taylor&lt;/td&gt;</v>
      </c>
      <c r="S101" t="str">
        <f t="shared" si="13"/>
        <v>&lt;td&gt;WWAC/WAC Tier 1 Regular Season&lt;/td&gt; &lt;/tr&gt;</v>
      </c>
    </row>
    <row r="102" spans="1:19" x14ac:dyDescent="0.25">
      <c r="A102" s="5">
        <v>42354</v>
      </c>
      <c r="B102" s="6">
        <v>0.6875</v>
      </c>
      <c r="C102" t="s">
        <v>14</v>
      </c>
      <c r="D102" t="s">
        <v>94</v>
      </c>
      <c r="E102">
        <v>46</v>
      </c>
      <c r="F102" t="s">
        <v>9</v>
      </c>
      <c r="G102" t="s">
        <v>76</v>
      </c>
      <c r="H102">
        <v>64</v>
      </c>
      <c r="J102" t="str">
        <f t="shared" si="7"/>
        <v>H</v>
      </c>
      <c r="K102" t="s">
        <v>258</v>
      </c>
      <c r="L102" t="s">
        <v>228</v>
      </c>
      <c r="M102" t="s">
        <v>229</v>
      </c>
      <c r="N102" t="str">
        <f t="shared" si="8"/>
        <v>&lt;tr&gt; &lt;td&gt;Dec. 16&lt;/td&gt;</v>
      </c>
      <c r="O102" t="str">
        <f t="shared" si="9"/>
        <v>&lt;td&gt;4:30 PM&lt;/td&gt;</v>
      </c>
      <c r="P102" t="str">
        <f t="shared" si="10"/>
        <v>&lt;td class="SHCsched"&gt;Sturgeon Heights&lt;/td&gt;</v>
      </c>
      <c r="Q102" t="str">
        <f t="shared" si="11"/>
        <v>&lt;td&gt;46 - 64&lt;/td&gt;</v>
      </c>
      <c r="R102" t="str">
        <f t="shared" si="12"/>
        <v>&lt;td class="SiHSsched"&gt;Sisler&lt;/td&gt;</v>
      </c>
      <c r="S102" t="str">
        <f t="shared" si="13"/>
        <v>&lt;td&gt;WWAC/WAC Tier 1 Regular Season&lt;/td&gt; &lt;/tr&gt;</v>
      </c>
    </row>
    <row r="103" spans="1:19" x14ac:dyDescent="0.25">
      <c r="A103" s="5">
        <v>42354</v>
      </c>
      <c r="B103" s="6">
        <v>0.75</v>
      </c>
      <c r="C103" t="s">
        <v>4</v>
      </c>
      <c r="D103" t="s">
        <v>41</v>
      </c>
      <c r="E103">
        <v>68</v>
      </c>
      <c r="F103" t="s">
        <v>2</v>
      </c>
      <c r="G103" t="s">
        <v>43</v>
      </c>
      <c r="H103">
        <v>38</v>
      </c>
      <c r="J103" t="str">
        <f t="shared" si="7"/>
        <v>V</v>
      </c>
      <c r="K103" t="s">
        <v>234</v>
      </c>
      <c r="L103" t="s">
        <v>228</v>
      </c>
      <c r="M103" t="s">
        <v>229</v>
      </c>
      <c r="N103" t="str">
        <f t="shared" si="8"/>
        <v>&lt;tr&gt; &lt;td&gt;Dec. 16&lt;/td&gt;</v>
      </c>
      <c r="O103" t="str">
        <f t="shared" si="9"/>
        <v>&lt;td&gt;6:00 PM&lt;/td&gt;</v>
      </c>
      <c r="P103" t="str">
        <f t="shared" si="10"/>
        <v>&lt;td class="GCCsched"&gt;Garden City&lt;/td&gt;</v>
      </c>
      <c r="Q103" t="str">
        <f t="shared" si="11"/>
        <v>&lt;td&gt;68 - 38&lt;/td&gt;</v>
      </c>
      <c r="R103" t="str">
        <f t="shared" si="12"/>
        <v>&lt;td class="KECsched"&gt;Kildonan-East&lt;/td&gt;</v>
      </c>
      <c r="S103" t="str">
        <f t="shared" si="13"/>
        <v>&lt;td&gt;KPAC Tier 1 Regular Season&lt;/td&gt; &lt;/tr&gt;</v>
      </c>
    </row>
    <row r="104" spans="1:19" x14ac:dyDescent="0.25">
      <c r="A104" s="5">
        <v>42354</v>
      </c>
      <c r="C104" t="s">
        <v>7</v>
      </c>
      <c r="D104" t="s">
        <v>7</v>
      </c>
      <c r="E104">
        <v>34</v>
      </c>
      <c r="F104" t="s">
        <v>31</v>
      </c>
      <c r="G104" t="s">
        <v>96</v>
      </c>
      <c r="H104">
        <v>94</v>
      </c>
      <c r="J104" t="str">
        <f t="shared" si="7"/>
        <v>H</v>
      </c>
      <c r="K104" t="s">
        <v>296</v>
      </c>
      <c r="L104" t="s">
        <v>178</v>
      </c>
      <c r="N104" t="str">
        <f t="shared" si="8"/>
        <v>&lt;tr&gt; &lt;td&gt;Dec. 16&lt;/td&gt;</v>
      </c>
      <c r="O104" t="str">
        <f t="shared" si="9"/>
        <v>&lt;td&gt;&lt;/td&gt;</v>
      </c>
      <c r="P104" t="str">
        <f t="shared" si="10"/>
        <v>&lt;td class="MBCIsched"&gt;MBCI&lt;/td&gt;</v>
      </c>
      <c r="Q104" t="str">
        <f t="shared" si="11"/>
        <v>&lt;td&gt;34 - 94&lt;/td&gt;</v>
      </c>
      <c r="R104" t="str">
        <f t="shared" si="12"/>
        <v>&lt;td class="TVHSsched"&gt;Tec Voc&lt;/td&gt;</v>
      </c>
      <c r="S104" t="str">
        <f t="shared" si="13"/>
        <v>&lt;td&gt;DMIT Consolation Semi 2&lt;/td&gt; &lt;/tr&gt;</v>
      </c>
    </row>
    <row r="105" spans="1:19" x14ac:dyDescent="0.25">
      <c r="A105" s="5">
        <v>42354</v>
      </c>
      <c r="C105" t="s">
        <v>6</v>
      </c>
      <c r="D105" t="s">
        <v>70</v>
      </c>
      <c r="E105">
        <v>47</v>
      </c>
      <c r="F105" t="s">
        <v>111</v>
      </c>
      <c r="G105" t="s">
        <v>112</v>
      </c>
      <c r="H105">
        <v>57</v>
      </c>
      <c r="J105" t="str">
        <f t="shared" si="7"/>
        <v>H</v>
      </c>
      <c r="K105" t="s">
        <v>296</v>
      </c>
      <c r="L105" t="s">
        <v>180</v>
      </c>
      <c r="N105" t="str">
        <f t="shared" si="8"/>
        <v>&lt;tr&gt; &lt;td&gt;Dec. 16&lt;/td&gt;</v>
      </c>
      <c r="O105" t="str">
        <f t="shared" si="9"/>
        <v>&lt;td&gt;&lt;/td&gt;</v>
      </c>
      <c r="P105" t="str">
        <f t="shared" si="10"/>
        <v>&lt;td class="JTCsched"&gt;John Taylor&lt;/td&gt;</v>
      </c>
      <c r="Q105" t="str">
        <f t="shared" si="11"/>
        <v>&lt;td&gt;47 - 57&lt;/td&gt;</v>
      </c>
      <c r="R105" t="str">
        <f t="shared" si="12"/>
        <v>&lt;td class="SMAsched"&gt;St. Mary's&lt;/td&gt;</v>
      </c>
      <c r="S105" t="str">
        <f t="shared" si="13"/>
        <v>&lt;td&gt;DMIT Semifinal 2&lt;/td&gt; &lt;/tr&gt;</v>
      </c>
    </row>
    <row r="106" spans="1:19" x14ac:dyDescent="0.25">
      <c r="A106" s="5">
        <v>42355</v>
      </c>
      <c r="C106" t="s">
        <v>7</v>
      </c>
      <c r="D106" t="s">
        <v>7</v>
      </c>
      <c r="E106">
        <v>46</v>
      </c>
      <c r="F106" t="s">
        <v>18</v>
      </c>
      <c r="G106" t="s">
        <v>52</v>
      </c>
      <c r="H106">
        <v>85</v>
      </c>
      <c r="J106" t="str">
        <f t="shared" si="7"/>
        <v>H</v>
      </c>
      <c r="K106" t="s">
        <v>296</v>
      </c>
      <c r="L106" t="s">
        <v>181</v>
      </c>
      <c r="N106" t="str">
        <f t="shared" si="8"/>
        <v>&lt;tr&gt; &lt;td&gt;Dec. 17&lt;/td&gt;</v>
      </c>
      <c r="O106" t="str">
        <f t="shared" si="9"/>
        <v>&lt;td&gt;&lt;/td&gt;</v>
      </c>
      <c r="P106" t="str">
        <f t="shared" si="10"/>
        <v>&lt;td class="MBCIsched"&gt;MBCI&lt;/td&gt;</v>
      </c>
      <c r="Q106" t="str">
        <f t="shared" si="11"/>
        <v>&lt;td&gt;46 - 85&lt;/td&gt;</v>
      </c>
      <c r="R106" t="str">
        <f t="shared" si="12"/>
        <v>&lt;td class="RECsched"&gt;River East&lt;/td&gt;</v>
      </c>
      <c r="S106" t="str">
        <f t="shared" si="13"/>
        <v>&lt;td&gt;DMIT 7th Place&lt;/td&gt; &lt;/tr&gt;</v>
      </c>
    </row>
    <row r="107" spans="1:19" x14ac:dyDescent="0.25">
      <c r="A107" s="5">
        <v>42355</v>
      </c>
      <c r="C107" t="s">
        <v>31</v>
      </c>
      <c r="D107" t="s">
        <v>96</v>
      </c>
      <c r="E107">
        <v>79</v>
      </c>
      <c r="F107" t="s">
        <v>16</v>
      </c>
      <c r="G107" t="s">
        <v>45</v>
      </c>
      <c r="H107">
        <v>52</v>
      </c>
      <c r="J107" t="str">
        <f t="shared" si="7"/>
        <v>V</v>
      </c>
      <c r="K107" t="s">
        <v>296</v>
      </c>
      <c r="L107" t="s">
        <v>182</v>
      </c>
      <c r="N107" t="str">
        <f t="shared" si="8"/>
        <v>&lt;tr&gt; &lt;td&gt;Dec. 17&lt;/td&gt;</v>
      </c>
      <c r="O107" t="str">
        <f t="shared" si="9"/>
        <v>&lt;td&gt;&lt;/td&gt;</v>
      </c>
      <c r="P107" t="str">
        <f t="shared" si="10"/>
        <v>&lt;td class="TVHSsched"&gt;Tec Voc&lt;/td&gt;</v>
      </c>
      <c r="Q107" t="str">
        <f t="shared" si="11"/>
        <v>&lt;td&gt;79 - 52&lt;/td&gt;</v>
      </c>
      <c r="R107" t="str">
        <f t="shared" si="12"/>
        <v>&lt;td class="MCsched"&gt;Maples&lt;/td&gt;</v>
      </c>
      <c r="S107" t="str">
        <f t="shared" si="13"/>
        <v>&lt;td&gt;DMIT Consolation Final&lt;/td&gt; &lt;/tr&gt;</v>
      </c>
    </row>
    <row r="108" spans="1:19" x14ac:dyDescent="0.25">
      <c r="A108" s="5">
        <v>42356</v>
      </c>
      <c r="C108" t="s">
        <v>6</v>
      </c>
      <c r="D108" t="s">
        <v>70</v>
      </c>
      <c r="E108">
        <v>50</v>
      </c>
      <c r="F108" t="s">
        <v>237</v>
      </c>
      <c r="H108">
        <v>45</v>
      </c>
      <c r="J108" t="str">
        <f t="shared" si="7"/>
        <v>V</v>
      </c>
      <c r="K108" t="s">
        <v>296</v>
      </c>
      <c r="L108" t="s">
        <v>183</v>
      </c>
      <c r="N108" t="str">
        <f t="shared" si="8"/>
        <v>&lt;tr&gt; &lt;td&gt;Dec. 18&lt;/td&gt;</v>
      </c>
      <c r="O108" t="str">
        <f t="shared" si="9"/>
        <v>&lt;td&gt;&lt;/td&gt;</v>
      </c>
      <c r="P108" t="str">
        <f t="shared" si="10"/>
        <v>&lt;td class="JTCsched"&gt;John Taylor&lt;/td&gt;</v>
      </c>
      <c r="Q108" t="str">
        <f t="shared" si="11"/>
        <v>&lt;td&gt;50 - 45&lt;/td&gt;</v>
      </c>
      <c r="R108" t="str">
        <f t="shared" si="12"/>
        <v>&lt;td class="sched"&gt;Westgate&lt;/td&gt;</v>
      </c>
      <c r="S108" t="str">
        <f t="shared" si="13"/>
        <v>&lt;td&gt;DMIT 3rd Place&lt;/td&gt; &lt;/tr&gt;</v>
      </c>
    </row>
    <row r="109" spans="1:19" x14ac:dyDescent="0.25">
      <c r="A109" s="5">
        <v>42356</v>
      </c>
      <c r="C109" t="s">
        <v>111</v>
      </c>
      <c r="D109" t="s">
        <v>112</v>
      </c>
      <c r="E109">
        <v>65</v>
      </c>
      <c r="F109" t="s">
        <v>24</v>
      </c>
      <c r="G109" t="s">
        <v>82</v>
      </c>
      <c r="H109">
        <v>50</v>
      </c>
      <c r="J109" t="str">
        <f t="shared" si="7"/>
        <v>V</v>
      </c>
      <c r="K109" t="s">
        <v>296</v>
      </c>
      <c r="L109" t="s">
        <v>184</v>
      </c>
      <c r="N109" t="str">
        <f t="shared" si="8"/>
        <v>&lt;tr&gt; &lt;td&gt;Dec. 18&lt;/td&gt;</v>
      </c>
      <c r="O109" t="str">
        <f t="shared" si="9"/>
        <v>&lt;td&gt;&lt;/td&gt;</v>
      </c>
      <c r="P109" t="str">
        <f t="shared" si="10"/>
        <v>&lt;td class="SMAsched"&gt;St. Mary's&lt;/td&gt;</v>
      </c>
      <c r="Q109" t="str">
        <f t="shared" si="11"/>
        <v>&lt;td&gt;65 - 50&lt;/td&gt;</v>
      </c>
      <c r="R109" t="str">
        <f t="shared" si="12"/>
        <v>&lt;td class="DMCIsched"&gt;Daniel McIntyre&lt;/td&gt;</v>
      </c>
      <c r="S109" t="str">
        <f t="shared" si="13"/>
        <v>&lt;td&gt;DMIT Championship&lt;/td&gt; &lt;/tr&gt;</v>
      </c>
    </row>
    <row r="110" spans="1:19" x14ac:dyDescent="0.25">
      <c r="A110" s="5">
        <v>42373</v>
      </c>
      <c r="B110" s="6">
        <v>0.6875</v>
      </c>
      <c r="C110" t="s">
        <v>25</v>
      </c>
      <c r="D110" t="s">
        <v>84</v>
      </c>
      <c r="E110">
        <v>33</v>
      </c>
      <c r="F110" t="s">
        <v>29</v>
      </c>
      <c r="G110" t="s">
        <v>91</v>
      </c>
      <c r="H110">
        <v>68</v>
      </c>
      <c r="J110" t="str">
        <f t="shared" si="7"/>
        <v>H</v>
      </c>
      <c r="K110" t="s">
        <v>257</v>
      </c>
      <c r="L110" t="s">
        <v>228</v>
      </c>
      <c r="M110" t="s">
        <v>229</v>
      </c>
      <c r="N110" t="str">
        <f t="shared" si="8"/>
        <v>&lt;tr&gt; &lt;td&gt;Jan. 4&lt;/td&gt;</v>
      </c>
      <c r="O110" t="str">
        <f t="shared" si="9"/>
        <v>&lt;td&gt;4:30 PM&lt;/td&gt;</v>
      </c>
      <c r="P110" t="str">
        <f t="shared" si="10"/>
        <v>&lt;td class="EHSsched"&gt;Elmwood&lt;/td&gt;</v>
      </c>
      <c r="Q110" t="str">
        <f t="shared" si="11"/>
        <v>&lt;td&gt;33 - 68&lt;/td&gt;</v>
      </c>
      <c r="R110" t="str">
        <f t="shared" si="12"/>
        <v>&lt;td class="ShHSsched"&gt;Shaftesbury&lt;/td&gt;</v>
      </c>
      <c r="S110" t="str">
        <f t="shared" si="13"/>
        <v>&lt;td&gt;WWAC/WAC Tier 2 Regular Season&lt;/td&gt; &lt;/tr&gt;</v>
      </c>
    </row>
    <row r="111" spans="1:19" x14ac:dyDescent="0.25">
      <c r="A111" s="5">
        <v>42373</v>
      </c>
      <c r="B111" s="6">
        <v>0.6875</v>
      </c>
      <c r="C111" t="s">
        <v>26</v>
      </c>
      <c r="D111" t="s">
        <v>86</v>
      </c>
      <c r="E111">
        <v>46</v>
      </c>
      <c r="F111" t="s">
        <v>31</v>
      </c>
      <c r="G111" t="s">
        <v>96</v>
      </c>
      <c r="H111">
        <v>70</v>
      </c>
      <c r="J111" t="str">
        <f t="shared" si="7"/>
        <v>H</v>
      </c>
      <c r="K111" t="s">
        <v>257</v>
      </c>
      <c r="L111" t="s">
        <v>228</v>
      </c>
      <c r="M111" t="s">
        <v>229</v>
      </c>
      <c r="N111" t="str">
        <f t="shared" si="8"/>
        <v>&lt;tr&gt; &lt;td&gt;Jan. 4&lt;/td&gt;</v>
      </c>
      <c r="O111" t="str">
        <f t="shared" si="9"/>
        <v>&lt;td&gt;4:30 PM&lt;/td&gt;</v>
      </c>
      <c r="P111" t="str">
        <f t="shared" si="10"/>
        <v>&lt;td class="GBHSsched"&gt;Gordon Bell&lt;/td&gt;</v>
      </c>
      <c r="Q111" t="str">
        <f t="shared" si="11"/>
        <v>&lt;td&gt;46 - 70&lt;/td&gt;</v>
      </c>
      <c r="R111" t="str">
        <f t="shared" si="12"/>
        <v>&lt;td class="TVHSsched"&gt;Tec Voc&lt;/td&gt;</v>
      </c>
      <c r="S111" t="str">
        <f t="shared" si="13"/>
        <v>&lt;td&gt;WWAC/WAC Tier 2 Regular Season&lt;/td&gt; &lt;/tr&gt;</v>
      </c>
    </row>
    <row r="112" spans="1:19" x14ac:dyDescent="0.25">
      <c r="A112" s="5">
        <v>42373</v>
      </c>
      <c r="B112" s="6">
        <v>0.6875</v>
      </c>
      <c r="C112" t="s">
        <v>10</v>
      </c>
      <c r="D112" t="s">
        <v>72</v>
      </c>
      <c r="E112">
        <v>51</v>
      </c>
      <c r="F112" t="s">
        <v>171</v>
      </c>
      <c r="H112">
        <v>35</v>
      </c>
      <c r="J112" t="str">
        <f t="shared" si="7"/>
        <v>V</v>
      </c>
      <c r="K112" t="s">
        <v>257</v>
      </c>
      <c r="L112" t="s">
        <v>228</v>
      </c>
      <c r="M112" t="s">
        <v>229</v>
      </c>
      <c r="N112" t="str">
        <f t="shared" si="8"/>
        <v>&lt;tr&gt; &lt;td&gt;Jan. 4&lt;/td&gt;</v>
      </c>
      <c r="O112" t="str">
        <f t="shared" si="9"/>
        <v>&lt;td&gt;4:30 PM&lt;/td&gt;</v>
      </c>
      <c r="P112" t="str">
        <f t="shared" si="10"/>
        <v>&lt;td class="KHSsched"&gt;Kelvin&lt;/td&gt;</v>
      </c>
      <c r="Q112" t="str">
        <f t="shared" si="11"/>
        <v>&lt;td&gt;51 - 35&lt;/td&gt;</v>
      </c>
      <c r="R112" t="str">
        <f t="shared" si="12"/>
        <v>&lt;td class="sched"&gt;Churchill&lt;/td&gt;</v>
      </c>
      <c r="S112" t="str">
        <f t="shared" si="13"/>
        <v>&lt;td&gt;WWAC/WAC Tier 2 Regular Season&lt;/td&gt; &lt;/tr&gt;</v>
      </c>
    </row>
    <row r="113" spans="1:19" x14ac:dyDescent="0.25">
      <c r="A113" s="5">
        <v>42373</v>
      </c>
      <c r="B113" s="6">
        <v>0.6875</v>
      </c>
      <c r="C113" t="s">
        <v>218</v>
      </c>
      <c r="E113">
        <v>62</v>
      </c>
      <c r="F113" t="s">
        <v>27</v>
      </c>
      <c r="G113" t="s">
        <v>88</v>
      </c>
      <c r="H113">
        <v>69</v>
      </c>
      <c r="J113" t="str">
        <f t="shared" si="7"/>
        <v>H</v>
      </c>
      <c r="K113" t="s">
        <v>257</v>
      </c>
      <c r="L113" t="s">
        <v>228</v>
      </c>
      <c r="M113" t="s">
        <v>229</v>
      </c>
      <c r="N113" t="str">
        <f t="shared" si="8"/>
        <v>&lt;tr&gt; &lt;td&gt;Jan. 4&lt;/td&gt;</v>
      </c>
      <c r="O113" t="str">
        <f t="shared" si="9"/>
        <v>&lt;td&gt;4:30 PM&lt;/td&gt;</v>
      </c>
      <c r="P113" t="str">
        <f t="shared" si="10"/>
        <v>&lt;td class="sched"&gt;Stonewall&lt;/td&gt;</v>
      </c>
      <c r="Q113" t="str">
        <f t="shared" si="11"/>
        <v>&lt;td&gt;62 - 69&lt;/td&gt;</v>
      </c>
      <c r="R113" t="str">
        <f t="shared" si="12"/>
        <v>&lt;td class="GPHSsched"&gt;Grant Park&lt;/td&gt;</v>
      </c>
      <c r="S113" t="str">
        <f t="shared" si="13"/>
        <v>&lt;td&gt;WWAC/WAC Tier 2 Regular Season&lt;/td&gt; &lt;/tr&gt;</v>
      </c>
    </row>
    <row r="114" spans="1:19" x14ac:dyDescent="0.25">
      <c r="A114" s="5">
        <v>42373</v>
      </c>
      <c r="B114" s="6">
        <v>0.6875</v>
      </c>
      <c r="C114" t="s">
        <v>6</v>
      </c>
      <c r="D114" t="s">
        <v>70</v>
      </c>
      <c r="E114">
        <v>20</v>
      </c>
      <c r="F114" t="s">
        <v>9</v>
      </c>
      <c r="G114" t="s">
        <v>76</v>
      </c>
      <c r="H114">
        <v>82</v>
      </c>
      <c r="J114" t="str">
        <f t="shared" si="7"/>
        <v>H</v>
      </c>
      <c r="K114" t="s">
        <v>258</v>
      </c>
      <c r="L114" t="s">
        <v>228</v>
      </c>
      <c r="M114" t="s">
        <v>229</v>
      </c>
      <c r="N114" t="str">
        <f t="shared" si="8"/>
        <v>&lt;tr&gt; &lt;td&gt;Jan. 4&lt;/td&gt;</v>
      </c>
      <c r="O114" t="str">
        <f t="shared" si="9"/>
        <v>&lt;td&gt;4:30 PM&lt;/td&gt;</v>
      </c>
      <c r="P114" t="str">
        <f t="shared" si="10"/>
        <v>&lt;td class="JTCsched"&gt;John Taylor&lt;/td&gt;</v>
      </c>
      <c r="Q114" t="str">
        <f t="shared" si="11"/>
        <v>&lt;td&gt;20 - 82&lt;/td&gt;</v>
      </c>
      <c r="R114" t="str">
        <f t="shared" si="12"/>
        <v>&lt;td class="SiHSsched"&gt;Sisler&lt;/td&gt;</v>
      </c>
      <c r="S114" t="str">
        <f t="shared" si="13"/>
        <v>&lt;td&gt;WWAC/WAC Tier 1 Regular Season&lt;/td&gt; &lt;/tr&gt;</v>
      </c>
    </row>
    <row r="115" spans="1:19" x14ac:dyDescent="0.25">
      <c r="A115" s="5">
        <v>42373</v>
      </c>
      <c r="B115" s="6">
        <v>0.6875</v>
      </c>
      <c r="C115" t="s">
        <v>111</v>
      </c>
      <c r="D115" t="s">
        <v>112</v>
      </c>
      <c r="E115">
        <v>31</v>
      </c>
      <c r="F115" t="s">
        <v>23</v>
      </c>
      <c r="G115" t="s">
        <v>80</v>
      </c>
      <c r="H115">
        <v>53</v>
      </c>
      <c r="J115" t="str">
        <f t="shared" si="7"/>
        <v>H</v>
      </c>
      <c r="K115" t="s">
        <v>258</v>
      </c>
      <c r="L115" t="s">
        <v>228</v>
      </c>
      <c r="M115" t="s">
        <v>229</v>
      </c>
      <c r="N115" t="str">
        <f t="shared" si="8"/>
        <v>&lt;tr&gt; &lt;td&gt;Jan. 4&lt;/td&gt;</v>
      </c>
      <c r="O115" t="str">
        <f t="shared" si="9"/>
        <v>&lt;td&gt;4:30 PM&lt;/td&gt;</v>
      </c>
      <c r="P115" t="str">
        <f t="shared" si="10"/>
        <v>&lt;td class="SMAsched"&gt;St. Mary's&lt;/td&gt;</v>
      </c>
      <c r="Q115" t="str">
        <f t="shared" si="11"/>
        <v>&lt;td&gt;31 - 53&lt;/td&gt;</v>
      </c>
      <c r="R115" t="str">
        <f t="shared" si="12"/>
        <v>&lt;td class="VMCsched"&gt;Vincent Massey&lt;/td&gt;</v>
      </c>
      <c r="S115" t="str">
        <f t="shared" si="13"/>
        <v>&lt;td&gt;WWAC/WAC Tier 1 Regular Season&lt;/td&gt; &lt;/tr&gt;</v>
      </c>
    </row>
    <row r="116" spans="1:19" x14ac:dyDescent="0.25">
      <c r="A116" s="5">
        <v>42373</v>
      </c>
      <c r="B116" s="6">
        <v>0.6875</v>
      </c>
      <c r="C116" t="s">
        <v>13</v>
      </c>
      <c r="D116" t="s">
        <v>98</v>
      </c>
      <c r="E116">
        <v>62</v>
      </c>
      <c r="F116" t="s">
        <v>24</v>
      </c>
      <c r="G116" t="s">
        <v>82</v>
      </c>
      <c r="H116">
        <v>22</v>
      </c>
      <c r="J116" t="str">
        <f t="shared" si="7"/>
        <v>V</v>
      </c>
      <c r="K116" t="s">
        <v>258</v>
      </c>
      <c r="L116" t="s">
        <v>228</v>
      </c>
      <c r="M116" t="s">
        <v>229</v>
      </c>
      <c r="N116" t="str">
        <f t="shared" si="8"/>
        <v>&lt;tr&gt; &lt;td&gt;Jan. 4&lt;/td&gt;</v>
      </c>
      <c r="O116" t="str">
        <f t="shared" si="9"/>
        <v>&lt;td&gt;4:30 PM&lt;/td&gt;</v>
      </c>
      <c r="P116" t="str">
        <f t="shared" si="10"/>
        <v>&lt;td class="WWCsched"&gt;Westwood&lt;/td&gt;</v>
      </c>
      <c r="Q116" t="str">
        <f t="shared" si="11"/>
        <v>&lt;td&gt;62 - 22&lt;/td&gt;</v>
      </c>
      <c r="R116" t="str">
        <f t="shared" si="12"/>
        <v>&lt;td class="DMCIsched"&gt;Daniel McIntyre&lt;/td&gt;</v>
      </c>
      <c r="S116" t="str">
        <f t="shared" si="13"/>
        <v>&lt;td&gt;WWAC/WAC Tier 1 Regular Season&lt;/td&gt; &lt;/tr&gt;</v>
      </c>
    </row>
    <row r="117" spans="1:19" x14ac:dyDescent="0.25">
      <c r="A117" s="5">
        <v>42373</v>
      </c>
      <c r="B117" s="6">
        <v>0.6875</v>
      </c>
      <c r="C117" t="s">
        <v>1</v>
      </c>
      <c r="D117" t="s">
        <v>74</v>
      </c>
      <c r="E117">
        <v>78</v>
      </c>
      <c r="F117" t="s">
        <v>15</v>
      </c>
      <c r="G117" t="s">
        <v>68</v>
      </c>
      <c r="H117">
        <v>41</v>
      </c>
      <c r="J117" t="str">
        <f t="shared" si="7"/>
        <v>V</v>
      </c>
      <c r="K117" t="s">
        <v>258</v>
      </c>
      <c r="L117" t="s">
        <v>228</v>
      </c>
      <c r="M117" t="s">
        <v>229</v>
      </c>
      <c r="N117" t="str">
        <f t="shared" si="8"/>
        <v>&lt;tr&gt; &lt;td&gt;Jan. 4&lt;/td&gt;</v>
      </c>
      <c r="O117" t="str">
        <f t="shared" si="9"/>
        <v>&lt;td&gt;4:30 PM&lt;/td&gt;</v>
      </c>
      <c r="P117" t="str">
        <f t="shared" si="10"/>
        <v>&lt;td class="OPHSsched"&gt;Oak Park&lt;/td&gt;</v>
      </c>
      <c r="Q117" t="str">
        <f t="shared" si="11"/>
        <v>&lt;td&gt;78 - 41&lt;/td&gt;</v>
      </c>
      <c r="R117" t="str">
        <f t="shared" si="12"/>
        <v>&lt;td class="FRCsched"&gt;Fort Richmond&lt;/td&gt;</v>
      </c>
      <c r="S117" t="str">
        <f t="shared" si="13"/>
        <v>&lt;td&gt;WWAC/WAC Tier 1 Regular Season&lt;/td&gt; &lt;/tr&gt;</v>
      </c>
    </row>
    <row r="118" spans="1:19" x14ac:dyDescent="0.25">
      <c r="A118" s="5">
        <v>42373</v>
      </c>
      <c r="B118" s="6">
        <v>0.70833333333333337</v>
      </c>
      <c r="C118" t="s">
        <v>28</v>
      </c>
      <c r="D118" t="s">
        <v>90</v>
      </c>
      <c r="E118">
        <v>53</v>
      </c>
      <c r="F118" t="s">
        <v>253</v>
      </c>
      <c r="H118">
        <v>37</v>
      </c>
      <c r="J118" t="str">
        <f t="shared" si="7"/>
        <v>V</v>
      </c>
      <c r="K118" t="s">
        <v>257</v>
      </c>
      <c r="L118" t="s">
        <v>228</v>
      </c>
      <c r="M118" t="s">
        <v>229</v>
      </c>
      <c r="N118" t="str">
        <f t="shared" si="8"/>
        <v>&lt;tr&gt; &lt;td&gt;Jan. 4&lt;/td&gt;</v>
      </c>
      <c r="O118" t="str">
        <f t="shared" si="9"/>
        <v>&lt;td&gt;5:00 PM&lt;/td&gt;</v>
      </c>
      <c r="P118" t="str">
        <f t="shared" si="10"/>
        <v>&lt;td class="PCIsched"&gt;Portage&lt;/td&gt;</v>
      </c>
      <c r="Q118" t="str">
        <f t="shared" si="11"/>
        <v>&lt;td&gt;53 - 37&lt;/td&gt;</v>
      </c>
      <c r="R118" t="str">
        <f t="shared" si="12"/>
        <v>&lt;td class="sched"&gt;St. James&lt;/td&gt;</v>
      </c>
      <c r="S118" t="str">
        <f t="shared" si="13"/>
        <v>&lt;td&gt;WWAC/WAC Tier 2 Regular Season&lt;/td&gt; &lt;/tr&gt;</v>
      </c>
    </row>
    <row r="119" spans="1:19" x14ac:dyDescent="0.25">
      <c r="A119" s="5">
        <v>42373</v>
      </c>
      <c r="B119" s="6">
        <v>0.75</v>
      </c>
      <c r="C119" t="s">
        <v>104</v>
      </c>
      <c r="D119" t="s">
        <v>105</v>
      </c>
      <c r="E119">
        <v>23</v>
      </c>
      <c r="F119" t="s">
        <v>7</v>
      </c>
      <c r="G119" t="s">
        <v>7</v>
      </c>
      <c r="H119">
        <v>57</v>
      </c>
      <c r="J119" t="str">
        <f t="shared" si="7"/>
        <v>H</v>
      </c>
      <c r="K119" t="s">
        <v>233</v>
      </c>
      <c r="L119" t="s">
        <v>228</v>
      </c>
      <c r="M119" t="s">
        <v>229</v>
      </c>
      <c r="N119" t="str">
        <f t="shared" si="8"/>
        <v>&lt;tr&gt; &lt;td&gt;Jan. 4&lt;/td&gt;</v>
      </c>
      <c r="O119" t="str">
        <f t="shared" si="9"/>
        <v>&lt;td&gt;6:00 PM&lt;/td&gt;</v>
      </c>
      <c r="P119" t="str">
        <f t="shared" si="10"/>
        <v>&lt;td class="SCIsched"&gt;Springfield&lt;/td&gt;</v>
      </c>
      <c r="Q119" t="str">
        <f t="shared" si="11"/>
        <v>&lt;td&gt;23 - 57&lt;/td&gt;</v>
      </c>
      <c r="R119" t="str">
        <f t="shared" si="12"/>
        <v>&lt;td class="MBCIsched"&gt;MBCI&lt;/td&gt;</v>
      </c>
      <c r="S119" t="str">
        <f t="shared" si="13"/>
        <v>&lt;td&gt;KPAC Tier 2 Regular Season&lt;/td&gt; &lt;/tr&gt;</v>
      </c>
    </row>
    <row r="120" spans="1:19" x14ac:dyDescent="0.25">
      <c r="A120" s="5">
        <v>42373</v>
      </c>
      <c r="B120" s="6">
        <v>0.75</v>
      </c>
      <c r="C120" t="s">
        <v>20</v>
      </c>
      <c r="D120" t="s">
        <v>58</v>
      </c>
      <c r="E120">
        <v>39</v>
      </c>
      <c r="F120" t="s">
        <v>18</v>
      </c>
      <c r="G120" t="s">
        <v>52</v>
      </c>
      <c r="H120">
        <v>73</v>
      </c>
      <c r="J120" t="str">
        <f t="shared" si="7"/>
        <v>H</v>
      </c>
      <c r="K120" t="s">
        <v>233</v>
      </c>
      <c r="L120" t="s">
        <v>228</v>
      </c>
      <c r="M120" t="s">
        <v>229</v>
      </c>
      <c r="N120" t="str">
        <f t="shared" si="8"/>
        <v>&lt;tr&gt; &lt;td&gt;Jan. 4&lt;/td&gt;</v>
      </c>
      <c r="O120" t="str">
        <f t="shared" si="9"/>
        <v>&lt;td&gt;6:00 PM&lt;/td&gt;</v>
      </c>
      <c r="P120" t="str">
        <f t="shared" si="10"/>
        <v>&lt;td class="WKCsched"&gt;West Kildonan&lt;/td&gt;</v>
      </c>
      <c r="Q120" t="str">
        <f t="shared" si="11"/>
        <v>&lt;td&gt;39 - 73&lt;/td&gt;</v>
      </c>
      <c r="R120" t="str">
        <f t="shared" si="12"/>
        <v>&lt;td class="RECsched"&gt;River East&lt;/td&gt;</v>
      </c>
      <c r="S120" t="str">
        <f t="shared" si="13"/>
        <v>&lt;td&gt;KPAC Tier 2 Regular Season&lt;/td&gt; &lt;/tr&gt;</v>
      </c>
    </row>
    <row r="121" spans="1:19" x14ac:dyDescent="0.25">
      <c r="A121" s="5">
        <v>42373</v>
      </c>
      <c r="B121" s="6">
        <v>0.75</v>
      </c>
      <c r="C121" t="s">
        <v>16</v>
      </c>
      <c r="D121" t="s">
        <v>45</v>
      </c>
      <c r="E121">
        <v>71</v>
      </c>
      <c r="F121" t="s">
        <v>17</v>
      </c>
      <c r="G121" t="s">
        <v>50</v>
      </c>
      <c r="H121">
        <v>19</v>
      </c>
      <c r="J121" t="str">
        <f t="shared" si="7"/>
        <v>V</v>
      </c>
      <c r="K121" t="s">
        <v>233</v>
      </c>
      <c r="L121" t="s">
        <v>228</v>
      </c>
      <c r="M121" t="s">
        <v>229</v>
      </c>
      <c r="N121" t="str">
        <f t="shared" si="8"/>
        <v>&lt;tr&gt; &lt;td&gt;Jan. 4&lt;/td&gt;</v>
      </c>
      <c r="O121" t="str">
        <f t="shared" si="9"/>
        <v>&lt;td&gt;6:00 PM&lt;/td&gt;</v>
      </c>
      <c r="P121" t="str">
        <f t="shared" si="10"/>
        <v>&lt;td class="MCsched"&gt;Maples&lt;/td&gt;</v>
      </c>
      <c r="Q121" t="str">
        <f t="shared" si="11"/>
        <v>&lt;td&gt;71 - 19&lt;/td&gt;</v>
      </c>
      <c r="R121" t="str">
        <f t="shared" si="12"/>
        <v>&lt;td class="MMCIsched"&gt;Murdoch MacKay&lt;/td&gt;</v>
      </c>
      <c r="S121" t="str">
        <f t="shared" si="13"/>
        <v>&lt;td&gt;KPAC Tier 2 Regular Season&lt;/td&gt; &lt;/tr&gt;</v>
      </c>
    </row>
    <row r="122" spans="1:19" x14ac:dyDescent="0.25">
      <c r="A122" s="5">
        <v>42373</v>
      </c>
      <c r="B122" s="6">
        <v>0.75</v>
      </c>
      <c r="C122" t="s">
        <v>237</v>
      </c>
      <c r="E122">
        <v>36</v>
      </c>
      <c r="F122" t="s">
        <v>21</v>
      </c>
      <c r="G122" t="s">
        <v>64</v>
      </c>
      <c r="H122">
        <v>37</v>
      </c>
      <c r="J122" t="str">
        <f t="shared" si="7"/>
        <v>H</v>
      </c>
      <c r="K122" t="s">
        <v>763</v>
      </c>
      <c r="L122" t="s">
        <v>228</v>
      </c>
      <c r="M122" t="s">
        <v>229</v>
      </c>
      <c r="N122" t="str">
        <f t="shared" si="8"/>
        <v>&lt;tr&gt; &lt;td&gt;Jan. 4&lt;/td&gt;</v>
      </c>
      <c r="O122" t="str">
        <f t="shared" si="9"/>
        <v>&lt;td&gt;6:00 PM&lt;/td&gt;</v>
      </c>
      <c r="P122" t="str">
        <f t="shared" si="10"/>
        <v>&lt;td class="sched"&gt;Westgate&lt;/td&gt;</v>
      </c>
      <c r="Q122" t="str">
        <f t="shared" si="11"/>
        <v>&lt;td&gt;36 - 37&lt;/td&gt;</v>
      </c>
      <c r="R122" t="str">
        <f t="shared" si="12"/>
        <v>&lt;td class="JHBsched"&gt;J.H. Bruns&lt;/td&gt;</v>
      </c>
      <c r="S122" t="str">
        <f t="shared" si="13"/>
        <v>&lt;td&gt;SCAC Regular Season&lt;/td&gt; &lt;/tr&gt;</v>
      </c>
    </row>
    <row r="123" spans="1:19" x14ac:dyDescent="0.25">
      <c r="A123" s="5">
        <v>42373</v>
      </c>
      <c r="B123" s="6">
        <v>0.75</v>
      </c>
      <c r="C123" t="s">
        <v>108</v>
      </c>
      <c r="D123" t="s">
        <v>109</v>
      </c>
      <c r="E123">
        <v>20</v>
      </c>
      <c r="F123" t="s">
        <v>5</v>
      </c>
      <c r="G123" t="s">
        <v>62</v>
      </c>
      <c r="H123">
        <v>83</v>
      </c>
      <c r="J123" t="str">
        <f t="shared" si="7"/>
        <v>H</v>
      </c>
      <c r="K123" t="s">
        <v>763</v>
      </c>
      <c r="L123" t="s">
        <v>228</v>
      </c>
      <c r="M123" t="s">
        <v>229</v>
      </c>
      <c r="N123" t="str">
        <f t="shared" si="8"/>
        <v>&lt;tr&gt; &lt;td&gt;Jan. 4&lt;/td&gt;</v>
      </c>
      <c r="O123" t="str">
        <f t="shared" si="9"/>
        <v>&lt;td&gt;6:00 PM&lt;/td&gt;</v>
      </c>
      <c r="P123" t="str">
        <f t="shared" si="10"/>
        <v>&lt;td class="CJSsched"&gt;Jeanne-Sauv&amp;eacute;&lt;/td&gt;</v>
      </c>
      <c r="Q123" t="str">
        <f t="shared" si="11"/>
        <v>&lt;td&gt;20 - 83&lt;/td&gt;</v>
      </c>
      <c r="R123" t="str">
        <f t="shared" si="12"/>
        <v>&lt;td class="GCIsched"&gt;Glenlawn&lt;/td&gt;</v>
      </c>
      <c r="S123" t="str">
        <f t="shared" si="13"/>
        <v>&lt;td&gt;SCAC Regular Season&lt;/td&gt; &lt;/tr&gt;</v>
      </c>
    </row>
    <row r="124" spans="1:19" x14ac:dyDescent="0.25">
      <c r="A124" s="5">
        <v>42373</v>
      </c>
      <c r="B124" s="6">
        <v>0.75</v>
      </c>
      <c r="C124" t="s">
        <v>8</v>
      </c>
      <c r="D124" t="s">
        <v>60</v>
      </c>
      <c r="E124">
        <v>55</v>
      </c>
      <c r="F124" t="s">
        <v>22</v>
      </c>
      <c r="G124" t="s">
        <v>66</v>
      </c>
      <c r="H124">
        <v>24</v>
      </c>
      <c r="J124" t="str">
        <f t="shared" si="7"/>
        <v>V</v>
      </c>
      <c r="K124" t="s">
        <v>763</v>
      </c>
      <c r="L124" t="s">
        <v>228</v>
      </c>
      <c r="M124" t="s">
        <v>229</v>
      </c>
      <c r="N124" t="str">
        <f t="shared" si="8"/>
        <v>&lt;tr&gt; &lt;td&gt;Jan. 4&lt;/td&gt;</v>
      </c>
      <c r="O124" t="str">
        <f t="shared" si="9"/>
        <v>&lt;td&gt;6:00 PM&lt;/td&gt;</v>
      </c>
      <c r="P124" t="str">
        <f t="shared" si="10"/>
        <v>&lt;td class="DCIsched"&gt;Dakota&lt;/td&gt;</v>
      </c>
      <c r="Q124" t="str">
        <f t="shared" si="11"/>
        <v>&lt;td&gt;55 - 24&lt;/td&gt;</v>
      </c>
      <c r="R124" t="str">
        <f t="shared" si="12"/>
        <v>&lt;td class="SRSSsched"&gt;Steinbach&lt;/td&gt;</v>
      </c>
      <c r="S124" t="str">
        <f t="shared" si="13"/>
        <v>&lt;td&gt;SCAC Regular Season&lt;/td&gt; &lt;/tr&gt;</v>
      </c>
    </row>
    <row r="125" spans="1:19" x14ac:dyDescent="0.25">
      <c r="A125" s="5">
        <v>42374</v>
      </c>
      <c r="C125" t="s">
        <v>19</v>
      </c>
      <c r="D125" t="s">
        <v>56</v>
      </c>
      <c r="E125">
        <v>19</v>
      </c>
      <c r="F125" t="s">
        <v>237</v>
      </c>
      <c r="H125">
        <v>65</v>
      </c>
      <c r="J125" t="str">
        <f t="shared" si="7"/>
        <v>H</v>
      </c>
      <c r="K125" t="s">
        <v>272</v>
      </c>
      <c r="L125" t="s">
        <v>174</v>
      </c>
      <c r="N125" t="str">
        <f t="shared" si="8"/>
        <v>&lt;tr&gt; &lt;td&gt;Jan. 5&lt;/td&gt;</v>
      </c>
      <c r="O125" t="str">
        <f t="shared" si="9"/>
        <v>&lt;td&gt;&lt;/td&gt;</v>
      </c>
      <c r="P125" t="str">
        <f t="shared" si="10"/>
        <v>&lt;td class="TCIsched"&gt;Transcona&lt;/td&gt;</v>
      </c>
      <c r="Q125" t="str">
        <f t="shared" si="11"/>
        <v>&lt;td&gt;19 - 65&lt;/td&gt;</v>
      </c>
      <c r="R125" t="str">
        <f t="shared" si="12"/>
        <v>&lt;td class="sched"&gt;Westgate&lt;/td&gt;</v>
      </c>
      <c r="S125" t="str">
        <f t="shared" si="13"/>
        <v>&lt;td&gt;Lorette Quarterfinal 2&lt;/td&gt; &lt;/tr&gt;</v>
      </c>
    </row>
    <row r="126" spans="1:19" x14ac:dyDescent="0.25">
      <c r="A126" s="5">
        <v>42375</v>
      </c>
      <c r="B126" s="6">
        <v>0.6875</v>
      </c>
      <c r="C126" t="s">
        <v>23</v>
      </c>
      <c r="D126" t="s">
        <v>80</v>
      </c>
      <c r="E126">
        <v>76</v>
      </c>
      <c r="F126" t="s">
        <v>15</v>
      </c>
      <c r="G126" t="s">
        <v>68</v>
      </c>
      <c r="H126">
        <v>25</v>
      </c>
      <c r="J126" t="str">
        <f t="shared" si="7"/>
        <v>V</v>
      </c>
      <c r="K126" t="s">
        <v>258</v>
      </c>
      <c r="L126" t="s">
        <v>228</v>
      </c>
      <c r="M126" t="s">
        <v>229</v>
      </c>
      <c r="N126" t="str">
        <f t="shared" si="8"/>
        <v>&lt;tr&gt; &lt;td&gt;Jan. 6&lt;/td&gt;</v>
      </c>
      <c r="O126" t="str">
        <f t="shared" si="9"/>
        <v>&lt;td&gt;4:30 PM&lt;/td&gt;</v>
      </c>
      <c r="P126" t="str">
        <f t="shared" si="10"/>
        <v>&lt;td class="VMCsched"&gt;Vincent Massey&lt;/td&gt;</v>
      </c>
      <c r="Q126" t="str">
        <f t="shared" si="11"/>
        <v>&lt;td&gt;76 - 25&lt;/td&gt;</v>
      </c>
      <c r="R126" t="str">
        <f t="shared" si="12"/>
        <v>&lt;td class="FRCsched"&gt;Fort Richmond&lt;/td&gt;</v>
      </c>
      <c r="S126" t="str">
        <f t="shared" si="13"/>
        <v>&lt;td&gt;WWAC/WAC Tier 1 Regular Season&lt;/td&gt; &lt;/tr&gt;</v>
      </c>
    </row>
    <row r="127" spans="1:19" x14ac:dyDescent="0.25">
      <c r="A127" s="5">
        <v>42375</v>
      </c>
      <c r="B127" s="6">
        <v>0.75</v>
      </c>
      <c r="C127" t="s">
        <v>17</v>
      </c>
      <c r="D127" t="s">
        <v>50</v>
      </c>
      <c r="E127">
        <v>21</v>
      </c>
      <c r="F127" t="s">
        <v>18</v>
      </c>
      <c r="G127" t="s">
        <v>52</v>
      </c>
      <c r="H127">
        <v>73</v>
      </c>
      <c r="J127" t="str">
        <f t="shared" si="7"/>
        <v>H</v>
      </c>
      <c r="K127" t="s">
        <v>233</v>
      </c>
      <c r="L127" t="s">
        <v>228</v>
      </c>
      <c r="M127" t="s">
        <v>229</v>
      </c>
      <c r="N127" t="str">
        <f t="shared" si="8"/>
        <v>&lt;tr&gt; &lt;td&gt;Jan. 6&lt;/td&gt;</v>
      </c>
      <c r="O127" t="str">
        <f t="shared" si="9"/>
        <v>&lt;td&gt;6:00 PM&lt;/td&gt;</v>
      </c>
      <c r="P127" t="str">
        <f t="shared" si="10"/>
        <v>&lt;td class="MMCIsched"&gt;Murdoch MacKay&lt;/td&gt;</v>
      </c>
      <c r="Q127" t="str">
        <f t="shared" si="11"/>
        <v>&lt;td&gt;21 - 73&lt;/td&gt;</v>
      </c>
      <c r="R127" t="str">
        <f t="shared" si="12"/>
        <v>&lt;td class="RECsched"&gt;River East&lt;/td&gt;</v>
      </c>
      <c r="S127" t="str">
        <f t="shared" si="13"/>
        <v>&lt;td&gt;KPAC Tier 2 Regular Season&lt;/td&gt; &lt;/tr&gt;</v>
      </c>
    </row>
    <row r="128" spans="1:19" x14ac:dyDescent="0.25">
      <c r="A128" s="5">
        <v>42375</v>
      </c>
      <c r="B128" s="6">
        <v>0.75</v>
      </c>
      <c r="C128" t="s">
        <v>19</v>
      </c>
      <c r="D128" t="s">
        <v>56</v>
      </c>
      <c r="E128">
        <v>33</v>
      </c>
      <c r="F128" t="s">
        <v>20</v>
      </c>
      <c r="G128" t="s">
        <v>58</v>
      </c>
      <c r="H128">
        <v>59</v>
      </c>
      <c r="J128" t="str">
        <f t="shared" si="7"/>
        <v>H</v>
      </c>
      <c r="K128" t="s">
        <v>233</v>
      </c>
      <c r="L128" t="s">
        <v>228</v>
      </c>
      <c r="M128" t="s">
        <v>229</v>
      </c>
      <c r="N128" t="str">
        <f t="shared" si="8"/>
        <v>&lt;tr&gt; &lt;td&gt;Jan. 6&lt;/td&gt;</v>
      </c>
      <c r="O128" t="str">
        <f t="shared" si="9"/>
        <v>&lt;td&gt;6:00 PM&lt;/td&gt;</v>
      </c>
      <c r="P128" t="str">
        <f t="shared" si="10"/>
        <v>&lt;td class="TCIsched"&gt;Transcona&lt;/td&gt;</v>
      </c>
      <c r="Q128" t="str">
        <f t="shared" si="11"/>
        <v>&lt;td&gt;33 - 59&lt;/td&gt;</v>
      </c>
      <c r="R128" t="str">
        <f t="shared" si="12"/>
        <v>&lt;td class="WKCsched"&gt;West Kildonan&lt;/td&gt;</v>
      </c>
      <c r="S128" t="str">
        <f t="shared" si="13"/>
        <v>&lt;td&gt;KPAC Tier 2 Regular Season&lt;/td&gt; &lt;/tr&gt;</v>
      </c>
    </row>
    <row r="129" spans="1:19" x14ac:dyDescent="0.25">
      <c r="A129" s="5">
        <v>42375</v>
      </c>
      <c r="B129" s="6">
        <v>0.75</v>
      </c>
      <c r="C129" t="s">
        <v>104</v>
      </c>
      <c r="D129" t="s">
        <v>105</v>
      </c>
      <c r="E129">
        <v>25</v>
      </c>
      <c r="F129" t="s">
        <v>16</v>
      </c>
      <c r="G129" t="s">
        <v>45</v>
      </c>
      <c r="H129">
        <v>56</v>
      </c>
      <c r="J129" t="str">
        <f t="shared" si="7"/>
        <v>H</v>
      </c>
      <c r="K129" t="s">
        <v>233</v>
      </c>
      <c r="L129" t="s">
        <v>228</v>
      </c>
      <c r="M129" t="s">
        <v>229</v>
      </c>
      <c r="N129" t="str">
        <f t="shared" si="8"/>
        <v>&lt;tr&gt; &lt;td&gt;Jan. 6&lt;/td&gt;</v>
      </c>
      <c r="O129" t="str">
        <f t="shared" si="9"/>
        <v>&lt;td&gt;6:00 PM&lt;/td&gt;</v>
      </c>
      <c r="P129" t="str">
        <f t="shared" si="10"/>
        <v>&lt;td class="SCIsched"&gt;Springfield&lt;/td&gt;</v>
      </c>
      <c r="Q129" t="str">
        <f t="shared" si="11"/>
        <v>&lt;td&gt;25 - 56&lt;/td&gt;</v>
      </c>
      <c r="R129" t="str">
        <f t="shared" si="12"/>
        <v>&lt;td class="MCsched"&gt;Maples&lt;/td&gt;</v>
      </c>
      <c r="S129" t="str">
        <f t="shared" si="13"/>
        <v>&lt;td&gt;KPAC Tier 2 Regular Season&lt;/td&gt; &lt;/tr&gt;</v>
      </c>
    </row>
    <row r="130" spans="1:19" x14ac:dyDescent="0.25">
      <c r="A130" s="5">
        <v>42375</v>
      </c>
      <c r="B130" s="6">
        <v>0.75</v>
      </c>
      <c r="C130" t="s">
        <v>12</v>
      </c>
      <c r="D130" t="s">
        <v>54</v>
      </c>
      <c r="E130">
        <v>55</v>
      </c>
      <c r="F130" t="s">
        <v>2</v>
      </c>
      <c r="G130" t="s">
        <v>43</v>
      </c>
      <c r="H130">
        <v>66</v>
      </c>
      <c r="J130" t="str">
        <f t="shared" ref="J130:J193" si="14">IF(H130&gt;E130,"H",IF(E130&gt;H130,"V",""))</f>
        <v>H</v>
      </c>
      <c r="K130" t="s">
        <v>234</v>
      </c>
      <c r="L130" t="s">
        <v>228</v>
      </c>
      <c r="M130" t="s">
        <v>229</v>
      </c>
      <c r="N130" t="str">
        <f t="shared" ref="N130:N193" si="15">"&lt;tr&gt; &lt;td&gt;"&amp;TEXT(A130,"MMM. D")&amp;"&lt;/td&gt;"</f>
        <v>&lt;tr&gt; &lt;td&gt;Jan. 6&lt;/td&gt;</v>
      </c>
      <c r="O130" t="str">
        <f t="shared" ref="O130:O193" si="16">"&lt;td&gt;"&amp;IF(B130&gt;0,TEXT(B130,"H:MM AM/PM"),"")&amp;"&lt;/td&gt;"</f>
        <v>&lt;td&gt;6:00 PM&lt;/td&gt;</v>
      </c>
      <c r="P130" t="str">
        <f t="shared" ref="P130:P193" si="17">"&lt;td class="""&amp;D130&amp;"sched""&gt;"&amp;C130&amp;"&lt;/td&gt;"</f>
        <v>&lt;td class="LSsched"&gt;Selkirk&lt;/td&gt;</v>
      </c>
      <c r="Q130" t="str">
        <f t="shared" ref="Q130:Q193" si="18">"&lt;td&gt;"&amp;E130&amp;" - "&amp;H130&amp;IF(I130&gt;0," "&amp;I130,"")&amp;"&lt;/td&gt;"</f>
        <v>&lt;td&gt;55 - 66&lt;/td&gt;</v>
      </c>
      <c r="R130" t="str">
        <f t="shared" ref="R130:R193" si="19">"&lt;td class="""&amp;G130&amp;"sched""&gt;"&amp;F130&amp;"&lt;/td&gt;"</f>
        <v>&lt;td class="KECsched"&gt;Kildonan-East&lt;/td&gt;</v>
      </c>
      <c r="S130" t="str">
        <f t="shared" ref="S130:S193" si="20">"&lt;td&gt;"&amp;K130&amp;" "&amp;L130&amp;"&lt;/td&gt; &lt;/tr&gt;"</f>
        <v>&lt;td&gt;KPAC Tier 1 Regular Season&lt;/td&gt; &lt;/tr&gt;</v>
      </c>
    </row>
    <row r="131" spans="1:19" x14ac:dyDescent="0.25">
      <c r="A131" s="5">
        <v>42375</v>
      </c>
      <c r="B131" s="6">
        <v>0.75</v>
      </c>
      <c r="C131" t="s">
        <v>237</v>
      </c>
      <c r="E131">
        <v>50</v>
      </c>
      <c r="F131" t="s">
        <v>8</v>
      </c>
      <c r="G131" t="s">
        <v>60</v>
      </c>
      <c r="H131">
        <v>56</v>
      </c>
      <c r="J131" t="str">
        <f t="shared" si="14"/>
        <v>H</v>
      </c>
      <c r="K131" t="s">
        <v>763</v>
      </c>
      <c r="L131" t="s">
        <v>228</v>
      </c>
      <c r="M131" t="s">
        <v>229</v>
      </c>
      <c r="N131" t="str">
        <f t="shared" si="15"/>
        <v>&lt;tr&gt; &lt;td&gt;Jan. 6&lt;/td&gt;</v>
      </c>
      <c r="O131" t="str">
        <f t="shared" si="16"/>
        <v>&lt;td&gt;6:00 PM&lt;/td&gt;</v>
      </c>
      <c r="P131" t="str">
        <f t="shared" si="17"/>
        <v>&lt;td class="sched"&gt;Westgate&lt;/td&gt;</v>
      </c>
      <c r="Q131" t="str">
        <f t="shared" si="18"/>
        <v>&lt;td&gt;50 - 56&lt;/td&gt;</v>
      </c>
      <c r="R131" t="str">
        <f t="shared" si="19"/>
        <v>&lt;td class="DCIsched"&gt;Dakota&lt;/td&gt;</v>
      </c>
      <c r="S131" t="str">
        <f t="shared" si="20"/>
        <v>&lt;td&gt;SCAC Regular Season&lt;/td&gt; &lt;/tr&gt;</v>
      </c>
    </row>
    <row r="132" spans="1:19" x14ac:dyDescent="0.25">
      <c r="A132" s="5">
        <v>42375</v>
      </c>
      <c r="B132" s="6">
        <v>0.75</v>
      </c>
      <c r="C132" t="s">
        <v>21</v>
      </c>
      <c r="D132" t="s">
        <v>64</v>
      </c>
      <c r="E132">
        <v>36</v>
      </c>
      <c r="F132" t="s">
        <v>108</v>
      </c>
      <c r="G132" t="s">
        <v>109</v>
      </c>
      <c r="H132">
        <v>18</v>
      </c>
      <c r="J132" t="str">
        <f t="shared" si="14"/>
        <v>V</v>
      </c>
      <c r="K132" t="s">
        <v>763</v>
      </c>
      <c r="L132" t="s">
        <v>228</v>
      </c>
      <c r="M132" t="s">
        <v>229</v>
      </c>
      <c r="N132" t="str">
        <f t="shared" si="15"/>
        <v>&lt;tr&gt; &lt;td&gt;Jan. 6&lt;/td&gt;</v>
      </c>
      <c r="O132" t="str">
        <f t="shared" si="16"/>
        <v>&lt;td&gt;6:00 PM&lt;/td&gt;</v>
      </c>
      <c r="P132" t="str">
        <f t="shared" si="17"/>
        <v>&lt;td class="JHBsched"&gt;J.H. Bruns&lt;/td&gt;</v>
      </c>
      <c r="Q132" t="str">
        <f t="shared" si="18"/>
        <v>&lt;td&gt;36 - 18&lt;/td&gt;</v>
      </c>
      <c r="R132" t="str">
        <f t="shared" si="19"/>
        <v>&lt;td class="CJSsched"&gt;Jeanne-Sauv&amp;eacute;&lt;/td&gt;</v>
      </c>
      <c r="S132" t="str">
        <f t="shared" si="20"/>
        <v>&lt;td&gt;SCAC Regular Season&lt;/td&gt; &lt;/tr&gt;</v>
      </c>
    </row>
    <row r="133" spans="1:19" x14ac:dyDescent="0.25">
      <c r="A133" s="5">
        <v>42375</v>
      </c>
      <c r="B133" s="6">
        <v>0.76041666666666663</v>
      </c>
      <c r="C133" t="s">
        <v>218</v>
      </c>
      <c r="E133">
        <v>55</v>
      </c>
      <c r="F133" t="s">
        <v>30</v>
      </c>
      <c r="G133" t="s">
        <v>92</v>
      </c>
      <c r="H133">
        <v>18</v>
      </c>
      <c r="J133" t="str">
        <f t="shared" si="14"/>
        <v>V</v>
      </c>
      <c r="K133" t="s">
        <v>257</v>
      </c>
      <c r="L133" t="s">
        <v>228</v>
      </c>
      <c r="M133" t="s">
        <v>229</v>
      </c>
      <c r="N133" t="str">
        <f t="shared" si="15"/>
        <v>&lt;tr&gt; &lt;td&gt;Jan. 6&lt;/td&gt;</v>
      </c>
      <c r="O133" t="str">
        <f t="shared" si="16"/>
        <v>&lt;td&gt;6:15 PM&lt;/td&gt;</v>
      </c>
      <c r="P133" t="str">
        <f t="shared" si="17"/>
        <v>&lt;td class="sched"&gt;Stonewall&lt;/td&gt;</v>
      </c>
      <c r="Q133" t="str">
        <f t="shared" si="18"/>
        <v>&lt;td&gt;55 - 18&lt;/td&gt;</v>
      </c>
      <c r="R133" t="str">
        <f t="shared" si="19"/>
        <v>&lt;td class="SJHSsched"&gt;St. John's&lt;/td&gt;</v>
      </c>
      <c r="S133" t="str">
        <f t="shared" si="20"/>
        <v>&lt;td&gt;WWAC/WAC Tier 2 Regular Season&lt;/td&gt; &lt;/tr&gt;</v>
      </c>
    </row>
    <row r="134" spans="1:19" x14ac:dyDescent="0.25">
      <c r="A134" s="5">
        <v>42375</v>
      </c>
      <c r="B134" s="6">
        <v>0.76041666666666663</v>
      </c>
      <c r="C134" t="s">
        <v>31</v>
      </c>
      <c r="D134" t="s">
        <v>96</v>
      </c>
      <c r="E134">
        <v>69</v>
      </c>
      <c r="F134" t="s">
        <v>171</v>
      </c>
      <c r="H134">
        <v>41</v>
      </c>
      <c r="J134" t="str">
        <f t="shared" si="14"/>
        <v>V</v>
      </c>
      <c r="K134" t="s">
        <v>257</v>
      </c>
      <c r="L134" t="s">
        <v>228</v>
      </c>
      <c r="M134" t="s">
        <v>229</v>
      </c>
      <c r="N134" t="str">
        <f t="shared" si="15"/>
        <v>&lt;tr&gt; &lt;td&gt;Jan. 6&lt;/td&gt;</v>
      </c>
      <c r="O134" t="str">
        <f t="shared" si="16"/>
        <v>&lt;td&gt;6:15 PM&lt;/td&gt;</v>
      </c>
      <c r="P134" t="str">
        <f t="shared" si="17"/>
        <v>&lt;td class="TVHSsched"&gt;Tec Voc&lt;/td&gt;</v>
      </c>
      <c r="Q134" t="str">
        <f t="shared" si="18"/>
        <v>&lt;td&gt;69 - 41&lt;/td&gt;</v>
      </c>
      <c r="R134" t="str">
        <f t="shared" si="19"/>
        <v>&lt;td class="sched"&gt;Churchill&lt;/td&gt;</v>
      </c>
      <c r="S134" t="str">
        <f t="shared" si="20"/>
        <v>&lt;td&gt;WWAC/WAC Tier 2 Regular Season&lt;/td&gt; &lt;/tr&gt;</v>
      </c>
    </row>
    <row r="135" spans="1:19" x14ac:dyDescent="0.25">
      <c r="A135" s="5">
        <v>42375</v>
      </c>
      <c r="B135" s="6">
        <v>0.76041666666666663</v>
      </c>
      <c r="C135" t="s">
        <v>253</v>
      </c>
      <c r="E135">
        <v>23</v>
      </c>
      <c r="F135" t="s">
        <v>29</v>
      </c>
      <c r="G135" t="s">
        <v>91</v>
      </c>
      <c r="H135">
        <v>45</v>
      </c>
      <c r="J135" t="str">
        <f t="shared" si="14"/>
        <v>H</v>
      </c>
      <c r="K135" t="s">
        <v>257</v>
      </c>
      <c r="L135" t="s">
        <v>228</v>
      </c>
      <c r="M135" t="s">
        <v>229</v>
      </c>
      <c r="N135" t="str">
        <f t="shared" si="15"/>
        <v>&lt;tr&gt; &lt;td&gt;Jan. 6&lt;/td&gt;</v>
      </c>
      <c r="O135" t="str">
        <f t="shared" si="16"/>
        <v>&lt;td&gt;6:15 PM&lt;/td&gt;</v>
      </c>
      <c r="P135" t="str">
        <f t="shared" si="17"/>
        <v>&lt;td class="sched"&gt;St. James&lt;/td&gt;</v>
      </c>
      <c r="Q135" t="str">
        <f t="shared" si="18"/>
        <v>&lt;td&gt;23 - 45&lt;/td&gt;</v>
      </c>
      <c r="R135" t="str">
        <f t="shared" si="19"/>
        <v>&lt;td class="ShHSsched"&gt;Shaftesbury&lt;/td&gt;</v>
      </c>
      <c r="S135" t="str">
        <f t="shared" si="20"/>
        <v>&lt;td&gt;WWAC/WAC Tier 2 Regular Season&lt;/td&gt; &lt;/tr&gt;</v>
      </c>
    </row>
    <row r="136" spans="1:19" x14ac:dyDescent="0.25">
      <c r="A136" s="5">
        <v>42375</v>
      </c>
      <c r="B136" s="6">
        <v>0.76041666666666663</v>
      </c>
      <c r="C136" t="s">
        <v>26</v>
      </c>
      <c r="D136" t="s">
        <v>86</v>
      </c>
      <c r="E136">
        <v>61</v>
      </c>
      <c r="F136" t="s">
        <v>27</v>
      </c>
      <c r="G136" t="s">
        <v>88</v>
      </c>
      <c r="H136">
        <v>75</v>
      </c>
      <c r="J136" t="str">
        <f t="shared" si="14"/>
        <v>H</v>
      </c>
      <c r="K136" t="s">
        <v>257</v>
      </c>
      <c r="L136" t="s">
        <v>228</v>
      </c>
      <c r="M136" t="s">
        <v>229</v>
      </c>
      <c r="N136" t="str">
        <f t="shared" si="15"/>
        <v>&lt;tr&gt; &lt;td&gt;Jan. 6&lt;/td&gt;</v>
      </c>
      <c r="O136" t="str">
        <f t="shared" si="16"/>
        <v>&lt;td&gt;6:15 PM&lt;/td&gt;</v>
      </c>
      <c r="P136" t="str">
        <f t="shared" si="17"/>
        <v>&lt;td class="GBHSsched"&gt;Gordon Bell&lt;/td&gt;</v>
      </c>
      <c r="Q136" t="str">
        <f t="shared" si="18"/>
        <v>&lt;td&gt;61 - 75&lt;/td&gt;</v>
      </c>
      <c r="R136" t="str">
        <f t="shared" si="19"/>
        <v>&lt;td class="GPHSsched"&gt;Grant Park&lt;/td&gt;</v>
      </c>
      <c r="S136" t="str">
        <f t="shared" si="20"/>
        <v>&lt;td&gt;WWAC/WAC Tier 2 Regular Season&lt;/td&gt; &lt;/tr&gt;</v>
      </c>
    </row>
    <row r="137" spans="1:19" x14ac:dyDescent="0.25">
      <c r="A137" s="5">
        <v>42375</v>
      </c>
      <c r="B137" s="6">
        <v>0.76041666666666663</v>
      </c>
      <c r="C137" t="s">
        <v>24</v>
      </c>
      <c r="D137" t="s">
        <v>82</v>
      </c>
      <c r="E137">
        <v>67</v>
      </c>
      <c r="F137" t="s">
        <v>14</v>
      </c>
      <c r="G137" t="s">
        <v>94</v>
      </c>
      <c r="H137">
        <v>52</v>
      </c>
      <c r="J137" t="str">
        <f t="shared" si="14"/>
        <v>V</v>
      </c>
      <c r="K137" t="s">
        <v>258</v>
      </c>
      <c r="L137" t="s">
        <v>228</v>
      </c>
      <c r="M137" t="s">
        <v>229</v>
      </c>
      <c r="N137" t="str">
        <f t="shared" si="15"/>
        <v>&lt;tr&gt; &lt;td&gt;Jan. 6&lt;/td&gt;</v>
      </c>
      <c r="O137" t="str">
        <f t="shared" si="16"/>
        <v>&lt;td&gt;6:15 PM&lt;/td&gt;</v>
      </c>
      <c r="P137" t="str">
        <f t="shared" si="17"/>
        <v>&lt;td class="DMCIsched"&gt;Daniel McIntyre&lt;/td&gt;</v>
      </c>
      <c r="Q137" t="str">
        <f t="shared" si="18"/>
        <v>&lt;td&gt;67 - 52&lt;/td&gt;</v>
      </c>
      <c r="R137" t="str">
        <f t="shared" si="19"/>
        <v>&lt;td class="SHCsched"&gt;Sturgeon Heights&lt;/td&gt;</v>
      </c>
      <c r="S137" t="str">
        <f t="shared" si="20"/>
        <v>&lt;td&gt;WWAC/WAC Tier 1 Regular Season&lt;/td&gt; &lt;/tr&gt;</v>
      </c>
    </row>
    <row r="138" spans="1:19" x14ac:dyDescent="0.25">
      <c r="A138" s="5">
        <v>42375</v>
      </c>
      <c r="B138" s="6">
        <v>0.76041666666666663</v>
      </c>
      <c r="C138" t="s">
        <v>111</v>
      </c>
      <c r="D138" t="s">
        <v>112</v>
      </c>
      <c r="E138">
        <v>29</v>
      </c>
      <c r="F138" t="s">
        <v>1</v>
      </c>
      <c r="G138" t="s">
        <v>74</v>
      </c>
      <c r="H138">
        <v>65</v>
      </c>
      <c r="J138" t="str">
        <f t="shared" si="14"/>
        <v>H</v>
      </c>
      <c r="K138" t="s">
        <v>258</v>
      </c>
      <c r="L138" t="s">
        <v>228</v>
      </c>
      <c r="M138" t="s">
        <v>229</v>
      </c>
      <c r="N138" t="str">
        <f t="shared" si="15"/>
        <v>&lt;tr&gt; &lt;td&gt;Jan. 6&lt;/td&gt;</v>
      </c>
      <c r="O138" t="str">
        <f t="shared" si="16"/>
        <v>&lt;td&gt;6:15 PM&lt;/td&gt;</v>
      </c>
      <c r="P138" t="str">
        <f t="shared" si="17"/>
        <v>&lt;td class="SMAsched"&gt;St. Mary's&lt;/td&gt;</v>
      </c>
      <c r="Q138" t="str">
        <f t="shared" si="18"/>
        <v>&lt;td&gt;29 - 65&lt;/td&gt;</v>
      </c>
      <c r="R138" t="str">
        <f t="shared" si="19"/>
        <v>&lt;td class="OPHSsched"&gt;Oak Park&lt;/td&gt;</v>
      </c>
      <c r="S138" t="str">
        <f t="shared" si="20"/>
        <v>&lt;td&gt;WWAC/WAC Tier 1 Regular Season&lt;/td&gt; &lt;/tr&gt;</v>
      </c>
    </row>
    <row r="139" spans="1:19" x14ac:dyDescent="0.25">
      <c r="A139" s="5">
        <v>42375</v>
      </c>
      <c r="B139" s="6">
        <v>0.76041666666666663</v>
      </c>
      <c r="C139" t="s">
        <v>9</v>
      </c>
      <c r="D139" t="s">
        <v>76</v>
      </c>
      <c r="E139">
        <v>86</v>
      </c>
      <c r="F139" t="s">
        <v>13</v>
      </c>
      <c r="G139" t="s">
        <v>98</v>
      </c>
      <c r="H139">
        <v>51</v>
      </c>
      <c r="J139" t="str">
        <f t="shared" si="14"/>
        <v>V</v>
      </c>
      <c r="K139" t="s">
        <v>258</v>
      </c>
      <c r="L139" t="s">
        <v>228</v>
      </c>
      <c r="M139" t="s">
        <v>229</v>
      </c>
      <c r="N139" t="str">
        <f t="shared" si="15"/>
        <v>&lt;tr&gt; &lt;td&gt;Jan. 6&lt;/td&gt;</v>
      </c>
      <c r="O139" t="str">
        <f t="shared" si="16"/>
        <v>&lt;td&gt;6:15 PM&lt;/td&gt;</v>
      </c>
      <c r="P139" t="str">
        <f t="shared" si="17"/>
        <v>&lt;td class="SiHSsched"&gt;Sisler&lt;/td&gt;</v>
      </c>
      <c r="Q139" t="str">
        <f t="shared" si="18"/>
        <v>&lt;td&gt;86 - 51&lt;/td&gt;</v>
      </c>
      <c r="R139" t="str">
        <f t="shared" si="19"/>
        <v>&lt;td class="WWCsched"&gt;Westwood&lt;/td&gt;</v>
      </c>
      <c r="S139" t="str">
        <f t="shared" si="20"/>
        <v>&lt;td&gt;WWAC/WAC Tier 1 Regular Season&lt;/td&gt; &lt;/tr&gt;</v>
      </c>
    </row>
    <row r="140" spans="1:19" x14ac:dyDescent="0.25">
      <c r="A140" s="5">
        <v>42375</v>
      </c>
      <c r="B140" s="6">
        <v>0.77083333333333337</v>
      </c>
      <c r="C140" t="s">
        <v>10</v>
      </c>
      <c r="D140" t="s">
        <v>72</v>
      </c>
      <c r="E140">
        <v>54</v>
      </c>
      <c r="F140" t="s">
        <v>28</v>
      </c>
      <c r="G140" t="s">
        <v>90</v>
      </c>
      <c r="H140">
        <v>60</v>
      </c>
      <c r="J140" t="str">
        <f t="shared" si="14"/>
        <v>H</v>
      </c>
      <c r="K140" t="s">
        <v>257</v>
      </c>
      <c r="L140" t="s">
        <v>228</v>
      </c>
      <c r="M140" t="s">
        <v>229</v>
      </c>
      <c r="N140" t="str">
        <f t="shared" si="15"/>
        <v>&lt;tr&gt; &lt;td&gt;Jan. 6&lt;/td&gt;</v>
      </c>
      <c r="O140" t="str">
        <f t="shared" si="16"/>
        <v>&lt;td&gt;6:30 PM&lt;/td&gt;</v>
      </c>
      <c r="P140" t="str">
        <f t="shared" si="17"/>
        <v>&lt;td class="KHSsched"&gt;Kelvin&lt;/td&gt;</v>
      </c>
      <c r="Q140" t="str">
        <f t="shared" si="18"/>
        <v>&lt;td&gt;54 - 60&lt;/td&gt;</v>
      </c>
      <c r="R140" t="str">
        <f t="shared" si="19"/>
        <v>&lt;td class="PCIsched"&gt;Portage&lt;/td&gt;</v>
      </c>
      <c r="S140" t="str">
        <f t="shared" si="20"/>
        <v>&lt;td&gt;WWAC/WAC Tier 2 Regular Season&lt;/td&gt; &lt;/tr&gt;</v>
      </c>
    </row>
    <row r="141" spans="1:19" x14ac:dyDescent="0.25">
      <c r="A141" s="5">
        <v>42375</v>
      </c>
      <c r="B141" s="6">
        <v>0.77083333333333337</v>
      </c>
      <c r="C141" t="s">
        <v>22</v>
      </c>
      <c r="D141" t="s">
        <v>66</v>
      </c>
      <c r="E141">
        <v>18</v>
      </c>
      <c r="F141" t="s">
        <v>5</v>
      </c>
      <c r="G141" t="s">
        <v>62</v>
      </c>
      <c r="H141">
        <v>75</v>
      </c>
      <c r="J141" t="str">
        <f t="shared" si="14"/>
        <v>H</v>
      </c>
      <c r="K141" t="s">
        <v>763</v>
      </c>
      <c r="L141" t="s">
        <v>228</v>
      </c>
      <c r="M141" t="s">
        <v>229</v>
      </c>
      <c r="N141" t="str">
        <f t="shared" si="15"/>
        <v>&lt;tr&gt; &lt;td&gt;Jan. 6&lt;/td&gt;</v>
      </c>
      <c r="O141" t="str">
        <f t="shared" si="16"/>
        <v>&lt;td&gt;6:30 PM&lt;/td&gt;</v>
      </c>
      <c r="P141" t="str">
        <f t="shared" si="17"/>
        <v>&lt;td class="SRSSsched"&gt;Steinbach&lt;/td&gt;</v>
      </c>
      <c r="Q141" t="str">
        <f t="shared" si="18"/>
        <v>&lt;td&gt;18 - 75&lt;/td&gt;</v>
      </c>
      <c r="R141" t="str">
        <f t="shared" si="19"/>
        <v>&lt;td class="GCIsched"&gt;Glenlawn&lt;/td&gt;</v>
      </c>
      <c r="S141" t="str">
        <f t="shared" si="20"/>
        <v>&lt;td&gt;SCAC Regular Season&lt;/td&gt; &lt;/tr&gt;</v>
      </c>
    </row>
    <row r="142" spans="1:19" x14ac:dyDescent="0.25">
      <c r="A142" s="5">
        <v>42376</v>
      </c>
      <c r="B142" s="6">
        <v>0.58333333333333337</v>
      </c>
      <c r="C142" t="s">
        <v>8</v>
      </c>
      <c r="D142" t="s">
        <v>60</v>
      </c>
      <c r="E142">
        <v>18</v>
      </c>
      <c r="F142" t="s">
        <v>13</v>
      </c>
      <c r="G142" t="s">
        <v>98</v>
      </c>
      <c r="H142">
        <v>57</v>
      </c>
      <c r="J142" t="str">
        <f t="shared" si="14"/>
        <v>H</v>
      </c>
      <c r="K142" t="s">
        <v>551</v>
      </c>
      <c r="L142" t="s">
        <v>173</v>
      </c>
      <c r="N142" t="str">
        <f t="shared" si="15"/>
        <v>&lt;tr&gt; &lt;td&gt;Jan. 7&lt;/td&gt;</v>
      </c>
      <c r="O142" t="str">
        <f t="shared" si="16"/>
        <v>&lt;td&gt;2:00 PM&lt;/td&gt;</v>
      </c>
      <c r="P142" t="str">
        <f t="shared" si="17"/>
        <v>&lt;td class="DCIsched"&gt;Dakota&lt;/td&gt;</v>
      </c>
      <c r="Q142" t="str">
        <f t="shared" si="18"/>
        <v>&lt;td&gt;18 - 57&lt;/td&gt;</v>
      </c>
      <c r="R142" t="str">
        <f t="shared" si="19"/>
        <v>&lt;td class="WWCsched"&gt;Westwood&lt;/td&gt;</v>
      </c>
      <c r="S142" t="str">
        <f t="shared" si="20"/>
        <v>&lt;td&gt;Piper Classic Quarterfinal 1&lt;/td&gt; &lt;/tr&gt;</v>
      </c>
    </row>
    <row r="143" spans="1:19" x14ac:dyDescent="0.25">
      <c r="A143" s="5">
        <v>42376</v>
      </c>
      <c r="B143" s="6">
        <v>0.65625</v>
      </c>
      <c r="C143" t="s">
        <v>24</v>
      </c>
      <c r="D143" t="s">
        <v>82</v>
      </c>
      <c r="E143">
        <v>65</v>
      </c>
      <c r="F143" t="s">
        <v>18</v>
      </c>
      <c r="G143" t="s">
        <v>52</v>
      </c>
      <c r="H143">
        <v>43</v>
      </c>
      <c r="J143" t="str">
        <f t="shared" si="14"/>
        <v>V</v>
      </c>
      <c r="K143" t="s">
        <v>551</v>
      </c>
      <c r="L143" t="s">
        <v>174</v>
      </c>
      <c r="N143" t="str">
        <f t="shared" si="15"/>
        <v>&lt;tr&gt; &lt;td&gt;Jan. 7&lt;/td&gt;</v>
      </c>
      <c r="O143" t="str">
        <f t="shared" si="16"/>
        <v>&lt;td&gt;3:45 PM&lt;/td&gt;</v>
      </c>
      <c r="P143" t="str">
        <f t="shared" si="17"/>
        <v>&lt;td class="DMCIsched"&gt;Daniel McIntyre&lt;/td&gt;</v>
      </c>
      <c r="Q143" t="str">
        <f t="shared" si="18"/>
        <v>&lt;td&gt;65 - 43&lt;/td&gt;</v>
      </c>
      <c r="R143" t="str">
        <f t="shared" si="19"/>
        <v>&lt;td class="RECsched"&gt;River East&lt;/td&gt;</v>
      </c>
      <c r="S143" t="str">
        <f t="shared" si="20"/>
        <v>&lt;td&gt;Piper Classic Quarterfinal 2&lt;/td&gt; &lt;/tr&gt;</v>
      </c>
    </row>
    <row r="144" spans="1:19" x14ac:dyDescent="0.25">
      <c r="A144" s="5">
        <v>42376</v>
      </c>
      <c r="B144" s="6">
        <v>0.72916666666666663</v>
      </c>
      <c r="C144" t="s">
        <v>32</v>
      </c>
      <c r="D144" t="s">
        <v>100</v>
      </c>
      <c r="E144">
        <v>41</v>
      </c>
      <c r="F144" t="s">
        <v>1</v>
      </c>
      <c r="G144" t="s">
        <v>74</v>
      </c>
      <c r="H144">
        <v>84</v>
      </c>
      <c r="J144" t="str">
        <f t="shared" si="14"/>
        <v>H</v>
      </c>
      <c r="K144" t="s">
        <v>551</v>
      </c>
      <c r="L144" t="s">
        <v>175</v>
      </c>
      <c r="N144" t="str">
        <f t="shared" si="15"/>
        <v>&lt;tr&gt; &lt;td&gt;Jan. 7&lt;/td&gt;</v>
      </c>
      <c r="O144" t="str">
        <f t="shared" si="16"/>
        <v>&lt;td&gt;5:30 PM&lt;/td&gt;</v>
      </c>
      <c r="P144" t="str">
        <f t="shared" si="17"/>
        <v>&lt;td class="CPRSsched"&gt;Crocus Plains&lt;/td&gt;</v>
      </c>
      <c r="Q144" t="str">
        <f t="shared" si="18"/>
        <v>&lt;td&gt;41 - 84&lt;/td&gt;</v>
      </c>
      <c r="R144" t="str">
        <f t="shared" si="19"/>
        <v>&lt;td class="OPHSsched"&gt;Oak Park&lt;/td&gt;</v>
      </c>
      <c r="S144" t="str">
        <f t="shared" si="20"/>
        <v>&lt;td&gt;Piper Classic Quarterfinal 3&lt;/td&gt; &lt;/tr&gt;</v>
      </c>
    </row>
    <row r="145" spans="1:19" x14ac:dyDescent="0.25">
      <c r="A145" s="5">
        <v>42376</v>
      </c>
      <c r="B145" s="6">
        <v>0.75</v>
      </c>
      <c r="C145" t="s">
        <v>162</v>
      </c>
      <c r="D145" t="s">
        <v>164</v>
      </c>
      <c r="E145">
        <v>46</v>
      </c>
      <c r="F145" t="s">
        <v>760</v>
      </c>
      <c r="H145">
        <v>35</v>
      </c>
      <c r="J145" t="str">
        <f t="shared" si="14"/>
        <v>V</v>
      </c>
      <c r="K145" t="s">
        <v>163</v>
      </c>
      <c r="L145" t="s">
        <v>228</v>
      </c>
      <c r="M145" t="s">
        <v>229</v>
      </c>
      <c r="N145" t="str">
        <f t="shared" si="15"/>
        <v>&lt;tr&gt; &lt;td&gt;Jan. 7&lt;/td&gt;</v>
      </c>
      <c r="O145" t="str">
        <f t="shared" si="16"/>
        <v>&lt;td&gt;6:00 PM&lt;/td&gt;</v>
      </c>
      <c r="P145" t="str">
        <f t="shared" si="17"/>
        <v>&lt;td class="GVCsched"&gt;Garden Valley&lt;/td&gt;</v>
      </c>
      <c r="Q145" t="str">
        <f t="shared" si="18"/>
        <v>&lt;td&gt;46 - 35&lt;/td&gt;</v>
      </c>
      <c r="R145" t="str">
        <f t="shared" si="19"/>
        <v>&lt;td class="sched"&gt;Morden&lt;/td&gt;</v>
      </c>
      <c r="S145" t="str">
        <f t="shared" si="20"/>
        <v>&lt;td&gt;Zone 4 Regular Season&lt;/td&gt; &lt;/tr&gt;</v>
      </c>
    </row>
    <row r="146" spans="1:19" x14ac:dyDescent="0.25">
      <c r="A146" s="5">
        <v>42376</v>
      </c>
      <c r="B146" s="6">
        <v>0.83333333333333337</v>
      </c>
      <c r="C146" t="s">
        <v>12</v>
      </c>
      <c r="D146" t="s">
        <v>54</v>
      </c>
      <c r="E146">
        <v>48</v>
      </c>
      <c r="F146" t="s">
        <v>6</v>
      </c>
      <c r="G146" t="s">
        <v>70</v>
      </c>
      <c r="H146">
        <v>43</v>
      </c>
      <c r="J146" t="str">
        <f t="shared" si="14"/>
        <v>V</v>
      </c>
      <c r="K146" t="s">
        <v>551</v>
      </c>
      <c r="L146" t="s">
        <v>176</v>
      </c>
      <c r="N146" t="str">
        <f t="shared" si="15"/>
        <v>&lt;tr&gt; &lt;td&gt;Jan. 7&lt;/td&gt;</v>
      </c>
      <c r="O146" t="str">
        <f t="shared" si="16"/>
        <v>&lt;td&gt;8:00 PM&lt;/td&gt;</v>
      </c>
      <c r="P146" t="str">
        <f t="shared" si="17"/>
        <v>&lt;td class="LSsched"&gt;Selkirk&lt;/td&gt;</v>
      </c>
      <c r="Q146" t="str">
        <f t="shared" si="18"/>
        <v>&lt;td&gt;48 - 43&lt;/td&gt;</v>
      </c>
      <c r="R146" t="str">
        <f t="shared" si="19"/>
        <v>&lt;td class="JTCsched"&gt;John Taylor&lt;/td&gt;</v>
      </c>
      <c r="S146" t="str">
        <f t="shared" si="20"/>
        <v>&lt;td&gt;Piper Classic Quarterfinal 4&lt;/td&gt; &lt;/tr&gt;</v>
      </c>
    </row>
    <row r="147" spans="1:19" x14ac:dyDescent="0.25">
      <c r="A147" s="5">
        <v>42376</v>
      </c>
      <c r="C147" t="s">
        <v>11</v>
      </c>
      <c r="D147" t="s">
        <v>48</v>
      </c>
      <c r="E147">
        <v>55</v>
      </c>
      <c r="F147" t="s">
        <v>9</v>
      </c>
      <c r="G147" t="s">
        <v>76</v>
      </c>
      <c r="H147">
        <v>71</v>
      </c>
      <c r="J147" t="str">
        <f t="shared" si="14"/>
        <v>H</v>
      </c>
      <c r="K147" t="s">
        <v>561</v>
      </c>
      <c r="L147" t="s">
        <v>211</v>
      </c>
      <c r="N147" t="str">
        <f t="shared" si="15"/>
        <v>&lt;tr&gt; &lt;td&gt;Jan. 7&lt;/td&gt;</v>
      </c>
      <c r="O147" t="str">
        <f t="shared" si="16"/>
        <v>&lt;td&gt;&lt;/td&gt;</v>
      </c>
      <c r="P147" t="str">
        <f t="shared" si="17"/>
        <v>&lt;td class="MMCsched"&gt;Miles Macdonell&lt;/td&gt;</v>
      </c>
      <c r="Q147" t="str">
        <f t="shared" si="18"/>
        <v>&lt;td&gt;55 - 71&lt;/td&gt;</v>
      </c>
      <c r="R147" t="str">
        <f t="shared" si="19"/>
        <v>&lt;td class="SiHSsched"&gt;Sisler&lt;/td&gt;</v>
      </c>
      <c r="S147" t="str">
        <f t="shared" si="20"/>
        <v>&lt;td&gt;Sisler Classic Pool A&lt;/td&gt; &lt;/tr&gt;</v>
      </c>
    </row>
    <row r="148" spans="1:19" x14ac:dyDescent="0.25">
      <c r="A148" s="5">
        <v>42376</v>
      </c>
      <c r="C148" t="s">
        <v>5</v>
      </c>
      <c r="D148" t="s">
        <v>62</v>
      </c>
      <c r="E148">
        <v>58</v>
      </c>
      <c r="F148" t="s">
        <v>9</v>
      </c>
      <c r="G148" t="s">
        <v>76</v>
      </c>
      <c r="H148">
        <v>71</v>
      </c>
      <c r="J148" t="str">
        <f t="shared" si="14"/>
        <v>H</v>
      </c>
      <c r="K148" t="s">
        <v>561</v>
      </c>
      <c r="L148" t="s">
        <v>211</v>
      </c>
      <c r="N148" t="str">
        <f t="shared" si="15"/>
        <v>&lt;tr&gt; &lt;td&gt;Jan. 7&lt;/td&gt;</v>
      </c>
      <c r="O148" t="str">
        <f t="shared" si="16"/>
        <v>&lt;td&gt;&lt;/td&gt;</v>
      </c>
      <c r="P148" t="str">
        <f t="shared" si="17"/>
        <v>&lt;td class="GCIsched"&gt;Glenlawn&lt;/td&gt;</v>
      </c>
      <c r="Q148" t="str">
        <f t="shared" si="18"/>
        <v>&lt;td&gt;58 - 71&lt;/td&gt;</v>
      </c>
      <c r="R148" t="str">
        <f t="shared" si="19"/>
        <v>&lt;td class="SiHSsched"&gt;Sisler&lt;/td&gt;</v>
      </c>
      <c r="S148" t="str">
        <f t="shared" si="20"/>
        <v>&lt;td&gt;Sisler Classic Pool A&lt;/td&gt; &lt;/tr&gt;</v>
      </c>
    </row>
    <row r="149" spans="1:19" x14ac:dyDescent="0.25">
      <c r="A149" s="5">
        <v>42376</v>
      </c>
      <c r="C149" t="s">
        <v>108</v>
      </c>
      <c r="D149" t="s">
        <v>109</v>
      </c>
      <c r="E149">
        <v>15</v>
      </c>
      <c r="F149" t="s">
        <v>23</v>
      </c>
      <c r="G149" t="s">
        <v>80</v>
      </c>
      <c r="H149">
        <v>79</v>
      </c>
      <c r="J149" t="str">
        <f t="shared" si="14"/>
        <v>H</v>
      </c>
      <c r="K149" t="s">
        <v>561</v>
      </c>
      <c r="L149" t="s">
        <v>212</v>
      </c>
      <c r="N149" t="str">
        <f t="shared" si="15"/>
        <v>&lt;tr&gt; &lt;td&gt;Jan. 7&lt;/td&gt;</v>
      </c>
      <c r="O149" t="str">
        <f t="shared" si="16"/>
        <v>&lt;td&gt;&lt;/td&gt;</v>
      </c>
      <c r="P149" t="str">
        <f t="shared" si="17"/>
        <v>&lt;td class="CJSsched"&gt;Jeanne-Sauv&amp;eacute;&lt;/td&gt;</v>
      </c>
      <c r="Q149" t="str">
        <f t="shared" si="18"/>
        <v>&lt;td&gt;15 - 79&lt;/td&gt;</v>
      </c>
      <c r="R149" t="str">
        <f t="shared" si="19"/>
        <v>&lt;td class="VMCsched"&gt;Vincent Massey&lt;/td&gt;</v>
      </c>
      <c r="S149" t="str">
        <f t="shared" si="20"/>
        <v>&lt;td&gt;Sisler Classic Pool B&lt;/td&gt; &lt;/tr&gt;</v>
      </c>
    </row>
    <row r="150" spans="1:19" x14ac:dyDescent="0.25">
      <c r="A150" s="5">
        <v>42377</v>
      </c>
      <c r="B150" s="6">
        <v>0.52083333333333337</v>
      </c>
      <c r="C150" t="s">
        <v>12</v>
      </c>
      <c r="D150" t="s">
        <v>54</v>
      </c>
      <c r="E150">
        <v>37</v>
      </c>
      <c r="F150" t="s">
        <v>1</v>
      </c>
      <c r="G150" t="s">
        <v>74</v>
      </c>
      <c r="H150">
        <v>95</v>
      </c>
      <c r="J150" t="str">
        <f t="shared" si="14"/>
        <v>H</v>
      </c>
      <c r="K150" t="s">
        <v>551</v>
      </c>
      <c r="L150" t="s">
        <v>180</v>
      </c>
      <c r="N150" t="str">
        <f t="shared" si="15"/>
        <v>&lt;tr&gt; &lt;td&gt;Jan. 8&lt;/td&gt;</v>
      </c>
      <c r="O150" t="str">
        <f t="shared" si="16"/>
        <v>&lt;td&gt;12:30 PM&lt;/td&gt;</v>
      </c>
      <c r="P150" t="str">
        <f t="shared" si="17"/>
        <v>&lt;td class="LSsched"&gt;Selkirk&lt;/td&gt;</v>
      </c>
      <c r="Q150" t="str">
        <f t="shared" si="18"/>
        <v>&lt;td&gt;37 - 95&lt;/td&gt;</v>
      </c>
      <c r="R150" t="str">
        <f t="shared" si="19"/>
        <v>&lt;td class="OPHSsched"&gt;Oak Park&lt;/td&gt;</v>
      </c>
      <c r="S150" t="str">
        <f t="shared" si="20"/>
        <v>&lt;td&gt;Piper Classic Semifinal 2&lt;/td&gt; &lt;/tr&gt;</v>
      </c>
    </row>
    <row r="151" spans="1:19" x14ac:dyDescent="0.25">
      <c r="A151" s="5">
        <v>42377</v>
      </c>
      <c r="B151" s="6">
        <v>0.59375</v>
      </c>
      <c r="C151" t="s">
        <v>32</v>
      </c>
      <c r="D151" t="s">
        <v>100</v>
      </c>
      <c r="E151">
        <v>59</v>
      </c>
      <c r="F151" t="s">
        <v>6</v>
      </c>
      <c r="G151" t="s">
        <v>70</v>
      </c>
      <c r="H151">
        <v>50</v>
      </c>
      <c r="J151" t="str">
        <f t="shared" si="14"/>
        <v>V</v>
      </c>
      <c r="K151" t="s">
        <v>551</v>
      </c>
      <c r="L151" t="s">
        <v>178</v>
      </c>
      <c r="N151" t="str">
        <f t="shared" si="15"/>
        <v>&lt;tr&gt; &lt;td&gt;Jan. 8&lt;/td&gt;</v>
      </c>
      <c r="O151" t="str">
        <f t="shared" si="16"/>
        <v>&lt;td&gt;2:15 PM&lt;/td&gt;</v>
      </c>
      <c r="P151" t="str">
        <f t="shared" si="17"/>
        <v>&lt;td class="CPRSsched"&gt;Crocus Plains&lt;/td&gt;</v>
      </c>
      <c r="Q151" t="str">
        <f t="shared" si="18"/>
        <v>&lt;td&gt;59 - 50&lt;/td&gt;</v>
      </c>
      <c r="R151" t="str">
        <f t="shared" si="19"/>
        <v>&lt;td class="JTCsched"&gt;John Taylor&lt;/td&gt;</v>
      </c>
      <c r="S151" t="str">
        <f t="shared" si="20"/>
        <v>&lt;td&gt;Piper Classic Consolation Semi 2&lt;/td&gt; &lt;/tr&gt;</v>
      </c>
    </row>
    <row r="152" spans="1:19" x14ac:dyDescent="0.25">
      <c r="A152" s="5">
        <v>42377</v>
      </c>
      <c r="B152" s="6">
        <v>0.66666666666666663</v>
      </c>
      <c r="C152" t="s">
        <v>24</v>
      </c>
      <c r="D152" t="s">
        <v>82</v>
      </c>
      <c r="E152">
        <v>27</v>
      </c>
      <c r="F152" t="s">
        <v>13</v>
      </c>
      <c r="G152" t="s">
        <v>98</v>
      </c>
      <c r="H152">
        <v>61</v>
      </c>
      <c r="J152" t="str">
        <f t="shared" si="14"/>
        <v>H</v>
      </c>
      <c r="K152" t="s">
        <v>551</v>
      </c>
      <c r="L152" t="s">
        <v>179</v>
      </c>
      <c r="N152" t="str">
        <f t="shared" si="15"/>
        <v>&lt;tr&gt; &lt;td&gt;Jan. 8&lt;/td&gt;</v>
      </c>
      <c r="O152" t="str">
        <f t="shared" si="16"/>
        <v>&lt;td&gt;4:00 PM&lt;/td&gt;</v>
      </c>
      <c r="P152" t="str">
        <f t="shared" si="17"/>
        <v>&lt;td class="DMCIsched"&gt;Daniel McIntyre&lt;/td&gt;</v>
      </c>
      <c r="Q152" t="str">
        <f t="shared" si="18"/>
        <v>&lt;td&gt;27 - 61&lt;/td&gt;</v>
      </c>
      <c r="R152" t="str">
        <f t="shared" si="19"/>
        <v>&lt;td class="WWCsched"&gt;Westwood&lt;/td&gt;</v>
      </c>
      <c r="S152" t="str">
        <f t="shared" si="20"/>
        <v>&lt;td&gt;Piper Classic Semifinal 1&lt;/td&gt; &lt;/tr&gt;</v>
      </c>
    </row>
    <row r="153" spans="1:19" x14ac:dyDescent="0.25">
      <c r="A153" s="5">
        <v>42377</v>
      </c>
      <c r="B153" s="6">
        <v>0.73958333333333337</v>
      </c>
      <c r="C153" t="s">
        <v>18</v>
      </c>
      <c r="D153" t="s">
        <v>52</v>
      </c>
      <c r="E153">
        <v>36</v>
      </c>
      <c r="F153" t="s">
        <v>8</v>
      </c>
      <c r="G153" t="s">
        <v>60</v>
      </c>
      <c r="H153">
        <v>62</v>
      </c>
      <c r="J153" t="str">
        <f t="shared" si="14"/>
        <v>H</v>
      </c>
      <c r="K153" t="s">
        <v>551</v>
      </c>
      <c r="L153" t="s">
        <v>177</v>
      </c>
      <c r="N153" t="str">
        <f t="shared" si="15"/>
        <v>&lt;tr&gt; &lt;td&gt;Jan. 8&lt;/td&gt;</v>
      </c>
      <c r="O153" t="str">
        <f t="shared" si="16"/>
        <v>&lt;td&gt;5:45 PM&lt;/td&gt;</v>
      </c>
      <c r="P153" t="str">
        <f t="shared" si="17"/>
        <v>&lt;td class="RECsched"&gt;River East&lt;/td&gt;</v>
      </c>
      <c r="Q153" t="str">
        <f t="shared" si="18"/>
        <v>&lt;td&gt;36 - 62&lt;/td&gt;</v>
      </c>
      <c r="R153" t="str">
        <f t="shared" si="19"/>
        <v>&lt;td class="DCIsched"&gt;Dakota&lt;/td&gt;</v>
      </c>
      <c r="S153" t="str">
        <f t="shared" si="20"/>
        <v>&lt;td&gt;Piper Classic Consolation Semi 1&lt;/td&gt; &lt;/tr&gt;</v>
      </c>
    </row>
    <row r="154" spans="1:19" x14ac:dyDescent="0.25">
      <c r="A154" s="5">
        <v>42377</v>
      </c>
      <c r="C154" t="s">
        <v>19</v>
      </c>
      <c r="D154" t="s">
        <v>56</v>
      </c>
      <c r="E154">
        <v>24</v>
      </c>
      <c r="F154" t="s">
        <v>171</v>
      </c>
      <c r="H154">
        <v>68</v>
      </c>
      <c r="J154" t="str">
        <f t="shared" si="14"/>
        <v>H</v>
      </c>
      <c r="K154" t="s">
        <v>272</v>
      </c>
      <c r="L154" t="s">
        <v>177</v>
      </c>
      <c r="N154" t="str">
        <f t="shared" si="15"/>
        <v>&lt;tr&gt; &lt;td&gt;Jan. 8&lt;/td&gt;</v>
      </c>
      <c r="O154" t="str">
        <f t="shared" si="16"/>
        <v>&lt;td&gt;&lt;/td&gt;</v>
      </c>
      <c r="P154" t="str">
        <f t="shared" si="17"/>
        <v>&lt;td class="TCIsched"&gt;Transcona&lt;/td&gt;</v>
      </c>
      <c r="Q154" t="str">
        <f t="shared" si="18"/>
        <v>&lt;td&gt;24 - 68&lt;/td&gt;</v>
      </c>
      <c r="R154" t="str">
        <f t="shared" si="19"/>
        <v>&lt;td class="sched"&gt;Churchill&lt;/td&gt;</v>
      </c>
      <c r="S154" t="str">
        <f t="shared" si="20"/>
        <v>&lt;td&gt;Lorette Consolation Semi 1&lt;/td&gt; &lt;/tr&gt;</v>
      </c>
    </row>
    <row r="155" spans="1:19" x14ac:dyDescent="0.25">
      <c r="A155" s="5">
        <v>42377</v>
      </c>
      <c r="C155" t="s">
        <v>555</v>
      </c>
      <c r="E155">
        <v>23</v>
      </c>
      <c r="F155" t="s">
        <v>25</v>
      </c>
      <c r="G155" t="s">
        <v>84</v>
      </c>
      <c r="H155">
        <v>35</v>
      </c>
      <c r="J155" t="str">
        <f t="shared" si="14"/>
        <v>H</v>
      </c>
      <c r="K155" t="s">
        <v>207</v>
      </c>
      <c r="L155" t="s">
        <v>174</v>
      </c>
      <c r="N155" t="str">
        <f t="shared" si="15"/>
        <v>&lt;tr&gt; &lt;td&gt;Jan. 8&lt;/td&gt;</v>
      </c>
      <c r="O155" t="str">
        <f t="shared" si="16"/>
        <v>&lt;td&gt;&lt;/td&gt;</v>
      </c>
      <c r="P155" t="str">
        <f t="shared" si="17"/>
        <v>&lt;td class="sched"&gt;W.C. Miller&lt;/td&gt;</v>
      </c>
      <c r="Q155" t="str">
        <f t="shared" si="18"/>
        <v>&lt;td&gt;23 - 35&lt;/td&gt;</v>
      </c>
      <c r="R155" t="str">
        <f t="shared" si="19"/>
        <v>&lt;td class="EHSsched"&gt;Elmwood&lt;/td&gt;</v>
      </c>
      <c r="S155" t="str">
        <f t="shared" si="20"/>
        <v>&lt;td&gt;Centurion Classic Quarterfinal 2&lt;/td&gt; &lt;/tr&gt;</v>
      </c>
    </row>
    <row r="156" spans="1:19" x14ac:dyDescent="0.25">
      <c r="A156" s="5">
        <v>42377</v>
      </c>
      <c r="C156" t="s">
        <v>5</v>
      </c>
      <c r="D156" t="s">
        <v>62</v>
      </c>
      <c r="E156">
        <v>43</v>
      </c>
      <c r="F156" t="s">
        <v>11</v>
      </c>
      <c r="G156" t="s">
        <v>48</v>
      </c>
      <c r="H156">
        <v>57</v>
      </c>
      <c r="J156" t="str">
        <f t="shared" si="14"/>
        <v>H</v>
      </c>
      <c r="K156" t="s">
        <v>561</v>
      </c>
      <c r="L156" t="s">
        <v>211</v>
      </c>
      <c r="N156" t="str">
        <f t="shared" si="15"/>
        <v>&lt;tr&gt; &lt;td&gt;Jan. 8&lt;/td&gt;</v>
      </c>
      <c r="O156" t="str">
        <f t="shared" si="16"/>
        <v>&lt;td&gt;&lt;/td&gt;</v>
      </c>
      <c r="P156" t="str">
        <f t="shared" si="17"/>
        <v>&lt;td class="GCIsched"&gt;Glenlawn&lt;/td&gt;</v>
      </c>
      <c r="Q156" t="str">
        <f t="shared" si="18"/>
        <v>&lt;td&gt;43 - 57&lt;/td&gt;</v>
      </c>
      <c r="R156" t="str">
        <f t="shared" si="19"/>
        <v>&lt;td class="MMCsched"&gt;Miles Macdonell&lt;/td&gt;</v>
      </c>
      <c r="S156" t="str">
        <f t="shared" si="20"/>
        <v>&lt;td&gt;Sisler Classic Pool A&lt;/td&gt; &lt;/tr&gt;</v>
      </c>
    </row>
    <row r="157" spans="1:19" x14ac:dyDescent="0.25">
      <c r="A157" s="5">
        <v>42377</v>
      </c>
      <c r="C157" t="s">
        <v>23</v>
      </c>
      <c r="D157" t="s">
        <v>80</v>
      </c>
      <c r="E157">
        <v>61</v>
      </c>
      <c r="F157" t="s">
        <v>4</v>
      </c>
      <c r="G157" t="s">
        <v>41</v>
      </c>
      <c r="H157">
        <v>45</v>
      </c>
      <c r="J157" t="str">
        <f t="shared" si="14"/>
        <v>V</v>
      </c>
      <c r="K157" t="s">
        <v>561</v>
      </c>
      <c r="L157" t="s">
        <v>212</v>
      </c>
      <c r="N157" t="str">
        <f t="shared" si="15"/>
        <v>&lt;tr&gt; &lt;td&gt;Jan. 8&lt;/td&gt;</v>
      </c>
      <c r="O157" t="str">
        <f t="shared" si="16"/>
        <v>&lt;td&gt;&lt;/td&gt;</v>
      </c>
      <c r="P157" t="str">
        <f t="shared" si="17"/>
        <v>&lt;td class="VMCsched"&gt;Vincent Massey&lt;/td&gt;</v>
      </c>
      <c r="Q157" t="str">
        <f t="shared" si="18"/>
        <v>&lt;td&gt;61 - 45&lt;/td&gt;</v>
      </c>
      <c r="R157" t="str">
        <f t="shared" si="19"/>
        <v>&lt;td class="GCCsched"&gt;Garden City&lt;/td&gt;</v>
      </c>
      <c r="S157" t="str">
        <f t="shared" si="20"/>
        <v>&lt;td&gt;Sisler Classic Pool B&lt;/td&gt; &lt;/tr&gt;</v>
      </c>
    </row>
    <row r="158" spans="1:19" x14ac:dyDescent="0.25">
      <c r="A158" s="5">
        <v>42377</v>
      </c>
      <c r="C158" t="s">
        <v>4</v>
      </c>
      <c r="D158" t="s">
        <v>41</v>
      </c>
      <c r="E158">
        <v>72</v>
      </c>
      <c r="F158" t="s">
        <v>108</v>
      </c>
      <c r="G158" t="s">
        <v>109</v>
      </c>
      <c r="H158">
        <v>30</v>
      </c>
      <c r="J158" t="str">
        <f t="shared" si="14"/>
        <v>V</v>
      </c>
      <c r="K158" t="s">
        <v>561</v>
      </c>
      <c r="L158" t="s">
        <v>212</v>
      </c>
      <c r="N158" t="str">
        <f t="shared" si="15"/>
        <v>&lt;tr&gt; &lt;td&gt;Jan. 8&lt;/td&gt;</v>
      </c>
      <c r="O158" t="str">
        <f t="shared" si="16"/>
        <v>&lt;td&gt;&lt;/td&gt;</v>
      </c>
      <c r="P158" t="str">
        <f t="shared" si="17"/>
        <v>&lt;td class="GCCsched"&gt;Garden City&lt;/td&gt;</v>
      </c>
      <c r="Q158" t="str">
        <f t="shared" si="18"/>
        <v>&lt;td&gt;72 - 30&lt;/td&gt;</v>
      </c>
      <c r="R158" t="str">
        <f t="shared" si="19"/>
        <v>&lt;td class="CJSsched"&gt;Jeanne-Sauv&amp;eacute;&lt;/td&gt;</v>
      </c>
      <c r="S158" t="str">
        <f t="shared" si="20"/>
        <v>&lt;td&gt;Sisler Classic Pool B&lt;/td&gt; &lt;/tr&gt;</v>
      </c>
    </row>
    <row r="159" spans="1:19" x14ac:dyDescent="0.25">
      <c r="A159" s="5">
        <v>42378</v>
      </c>
      <c r="B159" s="6">
        <v>0.41666666666666669</v>
      </c>
      <c r="C159" t="s">
        <v>18</v>
      </c>
      <c r="D159" t="s">
        <v>52</v>
      </c>
      <c r="E159">
        <v>32</v>
      </c>
      <c r="F159" t="s">
        <v>6</v>
      </c>
      <c r="G159" t="s">
        <v>70</v>
      </c>
      <c r="H159">
        <v>55</v>
      </c>
      <c r="J159" t="str">
        <f t="shared" si="14"/>
        <v>H</v>
      </c>
      <c r="K159" t="s">
        <v>551</v>
      </c>
      <c r="L159" t="s">
        <v>181</v>
      </c>
      <c r="N159" t="str">
        <f t="shared" si="15"/>
        <v>&lt;tr&gt; &lt;td&gt;Jan. 9&lt;/td&gt;</v>
      </c>
      <c r="O159" t="str">
        <f t="shared" si="16"/>
        <v>&lt;td&gt;10:00 AM&lt;/td&gt;</v>
      </c>
      <c r="P159" t="str">
        <f t="shared" si="17"/>
        <v>&lt;td class="RECsched"&gt;River East&lt;/td&gt;</v>
      </c>
      <c r="Q159" t="str">
        <f t="shared" si="18"/>
        <v>&lt;td&gt;32 - 55&lt;/td&gt;</v>
      </c>
      <c r="R159" t="str">
        <f t="shared" si="19"/>
        <v>&lt;td class="JTCsched"&gt;John Taylor&lt;/td&gt;</v>
      </c>
      <c r="S159" t="str">
        <f t="shared" si="20"/>
        <v>&lt;td&gt;Piper Classic 7th Place&lt;/td&gt; &lt;/tr&gt;</v>
      </c>
    </row>
    <row r="160" spans="1:19" x14ac:dyDescent="0.25">
      <c r="A160" s="5">
        <v>42378</v>
      </c>
      <c r="B160" s="6">
        <v>0.41666666666666669</v>
      </c>
      <c r="C160" t="s">
        <v>32</v>
      </c>
      <c r="D160" t="s">
        <v>100</v>
      </c>
      <c r="E160">
        <v>65</v>
      </c>
      <c r="F160" t="s">
        <v>8</v>
      </c>
      <c r="G160" t="s">
        <v>60</v>
      </c>
      <c r="H160">
        <v>77</v>
      </c>
      <c r="I160" t="s">
        <v>155</v>
      </c>
      <c r="J160" t="str">
        <f t="shared" si="14"/>
        <v>H</v>
      </c>
      <c r="K160" t="s">
        <v>551</v>
      </c>
      <c r="L160" t="s">
        <v>182</v>
      </c>
      <c r="N160" t="str">
        <f t="shared" si="15"/>
        <v>&lt;tr&gt; &lt;td&gt;Jan. 9&lt;/td&gt;</v>
      </c>
      <c r="O160" t="str">
        <f t="shared" si="16"/>
        <v>&lt;td&gt;10:00 AM&lt;/td&gt;</v>
      </c>
      <c r="P160" t="str">
        <f t="shared" si="17"/>
        <v>&lt;td class="CPRSsched"&gt;Crocus Plains&lt;/td&gt;</v>
      </c>
      <c r="Q160" t="str">
        <f t="shared" si="18"/>
        <v>&lt;td&gt;65 - 77 OT&lt;/td&gt;</v>
      </c>
      <c r="R160" t="str">
        <f t="shared" si="19"/>
        <v>&lt;td class="DCIsched"&gt;Dakota&lt;/td&gt;</v>
      </c>
      <c r="S160" t="str">
        <f t="shared" si="20"/>
        <v>&lt;td&gt;Piper Classic Consolation Final&lt;/td&gt; &lt;/tr&gt;</v>
      </c>
    </row>
    <row r="161" spans="1:19" x14ac:dyDescent="0.25">
      <c r="A161" s="5">
        <v>42378</v>
      </c>
      <c r="B161" s="6">
        <v>0.58333333333333337</v>
      </c>
      <c r="C161" t="s">
        <v>12</v>
      </c>
      <c r="D161" t="s">
        <v>54</v>
      </c>
      <c r="E161">
        <v>59</v>
      </c>
      <c r="F161" t="s">
        <v>24</v>
      </c>
      <c r="G161" t="s">
        <v>82</v>
      </c>
      <c r="H161">
        <v>75</v>
      </c>
      <c r="J161" t="str">
        <f t="shared" si="14"/>
        <v>H</v>
      </c>
      <c r="K161" t="s">
        <v>551</v>
      </c>
      <c r="L161" t="s">
        <v>183</v>
      </c>
      <c r="N161" t="str">
        <f t="shared" si="15"/>
        <v>&lt;tr&gt; &lt;td&gt;Jan. 9&lt;/td&gt;</v>
      </c>
      <c r="O161" t="str">
        <f t="shared" si="16"/>
        <v>&lt;td&gt;2:00 PM&lt;/td&gt;</v>
      </c>
      <c r="P161" t="str">
        <f t="shared" si="17"/>
        <v>&lt;td class="LSsched"&gt;Selkirk&lt;/td&gt;</v>
      </c>
      <c r="Q161" t="str">
        <f t="shared" si="18"/>
        <v>&lt;td&gt;59 - 75&lt;/td&gt;</v>
      </c>
      <c r="R161" t="str">
        <f t="shared" si="19"/>
        <v>&lt;td class="DMCIsched"&gt;Daniel McIntyre&lt;/td&gt;</v>
      </c>
      <c r="S161" t="str">
        <f t="shared" si="20"/>
        <v>&lt;td&gt;Piper Classic 3rd Place&lt;/td&gt; &lt;/tr&gt;</v>
      </c>
    </row>
    <row r="162" spans="1:19" x14ac:dyDescent="0.25">
      <c r="A162" s="5">
        <v>42378</v>
      </c>
      <c r="B162" s="6">
        <v>0.75</v>
      </c>
      <c r="C162" t="s">
        <v>1</v>
      </c>
      <c r="D162" t="s">
        <v>74</v>
      </c>
      <c r="E162">
        <v>68</v>
      </c>
      <c r="F162" t="s">
        <v>13</v>
      </c>
      <c r="G162" t="s">
        <v>98</v>
      </c>
      <c r="H162">
        <v>62</v>
      </c>
      <c r="J162" t="str">
        <f t="shared" si="14"/>
        <v>V</v>
      </c>
      <c r="K162" t="s">
        <v>551</v>
      </c>
      <c r="L162" t="s">
        <v>184</v>
      </c>
      <c r="N162" t="str">
        <f t="shared" si="15"/>
        <v>&lt;tr&gt; &lt;td&gt;Jan. 9&lt;/td&gt;</v>
      </c>
      <c r="O162" t="str">
        <f t="shared" si="16"/>
        <v>&lt;td&gt;6:00 PM&lt;/td&gt;</v>
      </c>
      <c r="P162" t="str">
        <f t="shared" si="17"/>
        <v>&lt;td class="OPHSsched"&gt;Oak Park&lt;/td&gt;</v>
      </c>
      <c r="Q162" t="str">
        <f t="shared" si="18"/>
        <v>&lt;td&gt;68 - 62&lt;/td&gt;</v>
      </c>
      <c r="R162" t="str">
        <f t="shared" si="19"/>
        <v>&lt;td class="WWCsched"&gt;Westwood&lt;/td&gt;</v>
      </c>
      <c r="S162" t="str">
        <f t="shared" si="20"/>
        <v>&lt;td&gt;Piper Classic Championship&lt;/td&gt; &lt;/tr&gt;</v>
      </c>
    </row>
    <row r="163" spans="1:19" x14ac:dyDescent="0.25">
      <c r="A163" s="5">
        <v>42378</v>
      </c>
      <c r="C163" t="s">
        <v>166</v>
      </c>
      <c r="E163">
        <v>60</v>
      </c>
      <c r="F163" t="s">
        <v>19</v>
      </c>
      <c r="G163" t="s">
        <v>56</v>
      </c>
      <c r="H163">
        <v>34</v>
      </c>
      <c r="J163" t="str">
        <f t="shared" si="14"/>
        <v>V</v>
      </c>
      <c r="K163" t="s">
        <v>272</v>
      </c>
      <c r="L163" t="s">
        <v>181</v>
      </c>
      <c r="N163" t="str">
        <f t="shared" si="15"/>
        <v>&lt;tr&gt; &lt;td&gt;Jan. 9&lt;/td&gt;</v>
      </c>
      <c r="O163" t="str">
        <f t="shared" si="16"/>
        <v>&lt;td&gt;&lt;/td&gt;</v>
      </c>
      <c r="P163" t="str">
        <f t="shared" si="17"/>
        <v>&lt;td class="sched"&gt;Sanford&lt;/td&gt;</v>
      </c>
      <c r="Q163" t="str">
        <f t="shared" si="18"/>
        <v>&lt;td&gt;60 - 34&lt;/td&gt;</v>
      </c>
      <c r="R163" t="str">
        <f t="shared" si="19"/>
        <v>&lt;td class="TCIsched"&gt;Transcona&lt;/td&gt;</v>
      </c>
      <c r="S163" t="str">
        <f t="shared" si="20"/>
        <v>&lt;td&gt;Lorette 7th Place&lt;/td&gt; &lt;/tr&gt;</v>
      </c>
    </row>
    <row r="164" spans="1:19" x14ac:dyDescent="0.25">
      <c r="A164" s="5">
        <v>42378</v>
      </c>
      <c r="C164" t="s">
        <v>25</v>
      </c>
      <c r="D164" t="s">
        <v>84</v>
      </c>
      <c r="E164">
        <v>37</v>
      </c>
      <c r="F164" t="s">
        <v>170</v>
      </c>
      <c r="H164">
        <v>7</v>
      </c>
      <c r="J164" t="str">
        <f t="shared" si="14"/>
        <v>V</v>
      </c>
      <c r="K164" t="s">
        <v>207</v>
      </c>
      <c r="L164" t="s">
        <v>179</v>
      </c>
      <c r="N164" t="str">
        <f t="shared" si="15"/>
        <v>&lt;tr&gt; &lt;td&gt;Jan. 9&lt;/td&gt;</v>
      </c>
      <c r="O164" t="str">
        <f t="shared" si="16"/>
        <v>&lt;td&gt;&lt;/td&gt;</v>
      </c>
      <c r="P164" t="str">
        <f t="shared" si="17"/>
        <v>&lt;td class="EHSsched"&gt;Elmwood&lt;/td&gt;</v>
      </c>
      <c r="Q164" t="str">
        <f t="shared" si="18"/>
        <v>&lt;td&gt;37 - 7&lt;/td&gt;</v>
      </c>
      <c r="R164" t="str">
        <f t="shared" si="19"/>
        <v>&lt;td class="sched"&gt;St. Boniface&lt;/td&gt;</v>
      </c>
      <c r="S164" t="str">
        <f t="shared" si="20"/>
        <v>&lt;td&gt;Centurion Classic Semifinal 1&lt;/td&gt; &lt;/tr&gt;</v>
      </c>
    </row>
    <row r="165" spans="1:19" x14ac:dyDescent="0.25">
      <c r="A165" s="5">
        <v>42378</v>
      </c>
      <c r="C165" t="s">
        <v>280</v>
      </c>
      <c r="E165">
        <v>43</v>
      </c>
      <c r="F165" t="s">
        <v>25</v>
      </c>
      <c r="G165" t="s">
        <v>84</v>
      </c>
      <c r="H165">
        <v>32</v>
      </c>
      <c r="J165" t="str">
        <f t="shared" si="14"/>
        <v>V</v>
      </c>
      <c r="K165" t="s">
        <v>207</v>
      </c>
      <c r="L165" t="s">
        <v>184</v>
      </c>
      <c r="N165" t="str">
        <f t="shared" si="15"/>
        <v>&lt;tr&gt; &lt;td&gt;Jan. 9&lt;/td&gt;</v>
      </c>
      <c r="O165" t="str">
        <f t="shared" si="16"/>
        <v>&lt;td&gt;&lt;/td&gt;</v>
      </c>
      <c r="P165" t="str">
        <f t="shared" si="17"/>
        <v>&lt;td class="sched"&gt;Faith&lt;/td&gt;</v>
      </c>
      <c r="Q165" t="str">
        <f t="shared" si="18"/>
        <v>&lt;td&gt;43 - 32&lt;/td&gt;</v>
      </c>
      <c r="R165" t="str">
        <f t="shared" si="19"/>
        <v>&lt;td class="EHSsched"&gt;Elmwood&lt;/td&gt;</v>
      </c>
      <c r="S165" t="str">
        <f t="shared" si="20"/>
        <v>&lt;td&gt;Centurion Classic Championship&lt;/td&gt; &lt;/tr&gt;</v>
      </c>
    </row>
    <row r="166" spans="1:19" x14ac:dyDescent="0.25">
      <c r="A166" s="5">
        <v>42378</v>
      </c>
      <c r="C166" t="s">
        <v>108</v>
      </c>
      <c r="D166" t="s">
        <v>109</v>
      </c>
      <c r="E166">
        <v>22</v>
      </c>
      <c r="F166" t="s">
        <v>5</v>
      </c>
      <c r="G166" t="s">
        <v>41</v>
      </c>
      <c r="H166">
        <v>77</v>
      </c>
      <c r="J166" t="str">
        <f t="shared" si="14"/>
        <v>H</v>
      </c>
      <c r="K166" t="s">
        <v>561</v>
      </c>
      <c r="L166" t="s">
        <v>224</v>
      </c>
      <c r="N166" t="str">
        <f t="shared" si="15"/>
        <v>&lt;tr&gt; &lt;td&gt;Jan. 9&lt;/td&gt;</v>
      </c>
      <c r="O166" t="str">
        <f t="shared" si="16"/>
        <v>&lt;td&gt;&lt;/td&gt;</v>
      </c>
      <c r="P166" t="str">
        <f t="shared" si="17"/>
        <v>&lt;td class="CJSsched"&gt;Jeanne-Sauv&amp;eacute;&lt;/td&gt;</v>
      </c>
      <c r="Q166" t="str">
        <f t="shared" si="18"/>
        <v>&lt;td&gt;22 - 77&lt;/td&gt;</v>
      </c>
      <c r="R166" t="str">
        <f t="shared" si="19"/>
        <v>&lt;td class="GCCsched"&gt;Glenlawn&lt;/td&gt;</v>
      </c>
      <c r="S166" t="str">
        <f t="shared" si="20"/>
        <v>&lt;td&gt;Sisler Classic 5th Place&lt;/td&gt; &lt;/tr&gt;</v>
      </c>
    </row>
    <row r="167" spans="1:19" x14ac:dyDescent="0.25">
      <c r="A167" s="5">
        <v>42378</v>
      </c>
      <c r="C167" t="s">
        <v>4</v>
      </c>
      <c r="D167" t="s">
        <v>41</v>
      </c>
      <c r="E167">
        <v>69</v>
      </c>
      <c r="F167" t="s">
        <v>11</v>
      </c>
      <c r="G167" t="s">
        <v>48</v>
      </c>
      <c r="H167">
        <v>49</v>
      </c>
      <c r="J167" t="str">
        <f t="shared" si="14"/>
        <v>V</v>
      </c>
      <c r="K167" t="s">
        <v>561</v>
      </c>
      <c r="L167" t="s">
        <v>183</v>
      </c>
      <c r="N167" t="str">
        <f t="shared" si="15"/>
        <v>&lt;tr&gt; &lt;td&gt;Jan. 9&lt;/td&gt;</v>
      </c>
      <c r="O167" t="str">
        <f t="shared" si="16"/>
        <v>&lt;td&gt;&lt;/td&gt;</v>
      </c>
      <c r="P167" t="str">
        <f t="shared" si="17"/>
        <v>&lt;td class="GCCsched"&gt;Garden City&lt;/td&gt;</v>
      </c>
      <c r="Q167" t="str">
        <f t="shared" si="18"/>
        <v>&lt;td&gt;69 - 49&lt;/td&gt;</v>
      </c>
      <c r="R167" t="str">
        <f t="shared" si="19"/>
        <v>&lt;td class="MMCsched"&gt;Miles Macdonell&lt;/td&gt;</v>
      </c>
      <c r="S167" t="str">
        <f t="shared" si="20"/>
        <v>&lt;td&gt;Sisler Classic 3rd Place&lt;/td&gt; &lt;/tr&gt;</v>
      </c>
    </row>
    <row r="168" spans="1:19" x14ac:dyDescent="0.25">
      <c r="A168" s="5">
        <v>42378</v>
      </c>
      <c r="C168" t="s">
        <v>23</v>
      </c>
      <c r="D168" t="s">
        <v>80</v>
      </c>
      <c r="E168">
        <v>37</v>
      </c>
      <c r="F168" t="s">
        <v>9</v>
      </c>
      <c r="G168" t="s">
        <v>76</v>
      </c>
      <c r="H168">
        <v>78</v>
      </c>
      <c r="J168" t="str">
        <f t="shared" si="14"/>
        <v>H</v>
      </c>
      <c r="K168" t="s">
        <v>561</v>
      </c>
      <c r="L168" t="s">
        <v>184</v>
      </c>
      <c r="N168" t="str">
        <f t="shared" si="15"/>
        <v>&lt;tr&gt; &lt;td&gt;Jan. 9&lt;/td&gt;</v>
      </c>
      <c r="O168" t="str">
        <f t="shared" si="16"/>
        <v>&lt;td&gt;&lt;/td&gt;</v>
      </c>
      <c r="P168" t="str">
        <f t="shared" si="17"/>
        <v>&lt;td class="VMCsched"&gt;Vincent Massey&lt;/td&gt;</v>
      </c>
      <c r="Q168" t="str">
        <f t="shared" si="18"/>
        <v>&lt;td&gt;37 - 78&lt;/td&gt;</v>
      </c>
      <c r="R168" t="str">
        <f t="shared" si="19"/>
        <v>&lt;td class="SiHSsched"&gt;Sisler&lt;/td&gt;</v>
      </c>
      <c r="S168" t="str">
        <f t="shared" si="20"/>
        <v>&lt;td&gt;Sisler Classic Championship&lt;/td&gt; &lt;/tr&gt;</v>
      </c>
    </row>
    <row r="169" spans="1:19" x14ac:dyDescent="0.25">
      <c r="A169" s="5">
        <v>42380</v>
      </c>
      <c r="B169" s="6">
        <v>0.6875</v>
      </c>
      <c r="C169" t="s">
        <v>29</v>
      </c>
      <c r="D169" t="s">
        <v>91</v>
      </c>
      <c r="E169">
        <v>60</v>
      </c>
      <c r="F169" t="s">
        <v>171</v>
      </c>
      <c r="H169">
        <v>32</v>
      </c>
      <c r="J169" t="str">
        <f t="shared" si="14"/>
        <v>V</v>
      </c>
      <c r="K169" t="s">
        <v>257</v>
      </c>
      <c r="L169" t="s">
        <v>228</v>
      </c>
      <c r="M169" t="s">
        <v>229</v>
      </c>
      <c r="N169" t="str">
        <f t="shared" si="15"/>
        <v>&lt;tr&gt; &lt;td&gt;Jan. 11&lt;/td&gt;</v>
      </c>
      <c r="O169" t="str">
        <f t="shared" si="16"/>
        <v>&lt;td&gt;4:30 PM&lt;/td&gt;</v>
      </c>
      <c r="P169" t="str">
        <f t="shared" si="17"/>
        <v>&lt;td class="ShHSsched"&gt;Shaftesbury&lt;/td&gt;</v>
      </c>
      <c r="Q169" t="str">
        <f t="shared" si="18"/>
        <v>&lt;td&gt;60 - 32&lt;/td&gt;</v>
      </c>
      <c r="R169" t="str">
        <f t="shared" si="19"/>
        <v>&lt;td class="sched"&gt;Churchill&lt;/td&gt;</v>
      </c>
      <c r="S169" t="str">
        <f t="shared" si="20"/>
        <v>&lt;td&gt;WWAC/WAC Tier 2 Regular Season&lt;/td&gt; &lt;/tr&gt;</v>
      </c>
    </row>
    <row r="170" spans="1:19" x14ac:dyDescent="0.25">
      <c r="A170" s="5">
        <v>42380</v>
      </c>
      <c r="B170" s="6">
        <v>0.6875</v>
      </c>
      <c r="C170" t="s">
        <v>26</v>
      </c>
      <c r="D170" t="s">
        <v>86</v>
      </c>
      <c r="E170">
        <v>59</v>
      </c>
      <c r="F170" t="s">
        <v>218</v>
      </c>
      <c r="H170">
        <v>49</v>
      </c>
      <c r="J170" t="str">
        <f t="shared" si="14"/>
        <v>V</v>
      </c>
      <c r="K170" t="s">
        <v>257</v>
      </c>
      <c r="L170" t="s">
        <v>228</v>
      </c>
      <c r="M170" t="s">
        <v>229</v>
      </c>
      <c r="N170" t="str">
        <f t="shared" si="15"/>
        <v>&lt;tr&gt; &lt;td&gt;Jan. 11&lt;/td&gt;</v>
      </c>
      <c r="O170" t="str">
        <f t="shared" si="16"/>
        <v>&lt;td&gt;4:30 PM&lt;/td&gt;</v>
      </c>
      <c r="P170" t="str">
        <f t="shared" si="17"/>
        <v>&lt;td class="GBHSsched"&gt;Gordon Bell&lt;/td&gt;</v>
      </c>
      <c r="Q170" t="str">
        <f t="shared" si="18"/>
        <v>&lt;td&gt;59 - 49&lt;/td&gt;</v>
      </c>
      <c r="R170" t="str">
        <f t="shared" si="19"/>
        <v>&lt;td class="sched"&gt;Stonewall&lt;/td&gt;</v>
      </c>
      <c r="S170" t="str">
        <f t="shared" si="20"/>
        <v>&lt;td&gt;WWAC/WAC Tier 2 Regular Season&lt;/td&gt; &lt;/tr&gt;</v>
      </c>
    </row>
    <row r="171" spans="1:19" x14ac:dyDescent="0.25">
      <c r="A171" s="5">
        <v>42380</v>
      </c>
      <c r="B171" s="6">
        <v>0.6875</v>
      </c>
      <c r="C171" t="s">
        <v>27</v>
      </c>
      <c r="D171" t="s">
        <v>88</v>
      </c>
      <c r="E171">
        <v>32</v>
      </c>
      <c r="F171" t="s">
        <v>25</v>
      </c>
      <c r="G171" t="s">
        <v>84</v>
      </c>
      <c r="H171">
        <v>30</v>
      </c>
      <c r="J171" t="str">
        <f t="shared" si="14"/>
        <v>V</v>
      </c>
      <c r="K171" t="s">
        <v>257</v>
      </c>
      <c r="L171" t="s">
        <v>228</v>
      </c>
      <c r="M171" t="s">
        <v>229</v>
      </c>
      <c r="N171" t="str">
        <f t="shared" si="15"/>
        <v>&lt;tr&gt; &lt;td&gt;Jan. 11&lt;/td&gt;</v>
      </c>
      <c r="O171" t="str">
        <f t="shared" si="16"/>
        <v>&lt;td&gt;4:30 PM&lt;/td&gt;</v>
      </c>
      <c r="P171" t="str">
        <f t="shared" si="17"/>
        <v>&lt;td class="GPHSsched"&gt;Grant Park&lt;/td&gt;</v>
      </c>
      <c r="Q171" t="str">
        <f t="shared" si="18"/>
        <v>&lt;td&gt;32 - 30&lt;/td&gt;</v>
      </c>
      <c r="R171" t="str">
        <f t="shared" si="19"/>
        <v>&lt;td class="EHSsched"&gt;Elmwood&lt;/td&gt;</v>
      </c>
      <c r="S171" t="str">
        <f t="shared" si="20"/>
        <v>&lt;td&gt;WWAC/WAC Tier 2 Regular Season&lt;/td&gt; &lt;/tr&gt;</v>
      </c>
    </row>
    <row r="172" spans="1:19" x14ac:dyDescent="0.25">
      <c r="A172" s="5">
        <v>42380</v>
      </c>
      <c r="B172" s="6">
        <v>0.6875</v>
      </c>
      <c r="C172" t="s">
        <v>13</v>
      </c>
      <c r="D172" t="s">
        <v>98</v>
      </c>
      <c r="E172">
        <v>70</v>
      </c>
      <c r="F172" t="s">
        <v>111</v>
      </c>
      <c r="G172" t="s">
        <v>112</v>
      </c>
      <c r="H172">
        <v>38</v>
      </c>
      <c r="J172" t="str">
        <f t="shared" si="14"/>
        <v>V</v>
      </c>
      <c r="K172" t="s">
        <v>258</v>
      </c>
      <c r="L172" t="s">
        <v>228</v>
      </c>
      <c r="M172" t="s">
        <v>229</v>
      </c>
      <c r="N172" t="str">
        <f t="shared" si="15"/>
        <v>&lt;tr&gt; &lt;td&gt;Jan. 11&lt;/td&gt;</v>
      </c>
      <c r="O172" t="str">
        <f t="shared" si="16"/>
        <v>&lt;td&gt;4:30 PM&lt;/td&gt;</v>
      </c>
      <c r="P172" t="str">
        <f t="shared" si="17"/>
        <v>&lt;td class="WWCsched"&gt;Westwood&lt;/td&gt;</v>
      </c>
      <c r="Q172" t="str">
        <f t="shared" si="18"/>
        <v>&lt;td&gt;70 - 38&lt;/td&gt;</v>
      </c>
      <c r="R172" t="str">
        <f t="shared" si="19"/>
        <v>&lt;td class="SMAsched"&gt;St. Mary's&lt;/td&gt;</v>
      </c>
      <c r="S172" t="str">
        <f t="shared" si="20"/>
        <v>&lt;td&gt;WWAC/WAC Tier 1 Regular Season&lt;/td&gt; &lt;/tr&gt;</v>
      </c>
    </row>
    <row r="173" spans="1:19" x14ac:dyDescent="0.25">
      <c r="A173" s="5">
        <v>42380</v>
      </c>
      <c r="B173" s="6">
        <v>0.6875</v>
      </c>
      <c r="C173" t="s">
        <v>24</v>
      </c>
      <c r="D173" t="s">
        <v>82</v>
      </c>
      <c r="E173">
        <v>66</v>
      </c>
      <c r="F173" t="s">
        <v>15</v>
      </c>
      <c r="G173" t="s">
        <v>68</v>
      </c>
      <c r="H173">
        <v>48</v>
      </c>
      <c r="J173" t="str">
        <f t="shared" si="14"/>
        <v>V</v>
      </c>
      <c r="K173" t="s">
        <v>258</v>
      </c>
      <c r="L173" t="s">
        <v>228</v>
      </c>
      <c r="M173" t="s">
        <v>229</v>
      </c>
      <c r="N173" t="str">
        <f t="shared" si="15"/>
        <v>&lt;tr&gt; &lt;td&gt;Jan. 11&lt;/td&gt;</v>
      </c>
      <c r="O173" t="str">
        <f t="shared" si="16"/>
        <v>&lt;td&gt;4:30 PM&lt;/td&gt;</v>
      </c>
      <c r="P173" t="str">
        <f t="shared" si="17"/>
        <v>&lt;td class="DMCIsched"&gt;Daniel McIntyre&lt;/td&gt;</v>
      </c>
      <c r="Q173" t="str">
        <f t="shared" si="18"/>
        <v>&lt;td&gt;66 - 48&lt;/td&gt;</v>
      </c>
      <c r="R173" t="str">
        <f t="shared" si="19"/>
        <v>&lt;td class="FRCsched"&gt;Fort Richmond&lt;/td&gt;</v>
      </c>
      <c r="S173" t="str">
        <f t="shared" si="20"/>
        <v>&lt;td&gt;WWAC/WAC Tier 1 Regular Season&lt;/td&gt; &lt;/tr&gt;</v>
      </c>
    </row>
    <row r="174" spans="1:19" x14ac:dyDescent="0.25">
      <c r="A174" s="5">
        <v>42380</v>
      </c>
      <c r="B174" s="6">
        <v>0.6875</v>
      </c>
      <c r="C174" t="s">
        <v>6</v>
      </c>
      <c r="D174" t="s">
        <v>70</v>
      </c>
      <c r="E174">
        <v>37</v>
      </c>
      <c r="F174" t="s">
        <v>1</v>
      </c>
      <c r="G174" t="s">
        <v>74</v>
      </c>
      <c r="H174">
        <v>72</v>
      </c>
      <c r="J174" t="str">
        <f t="shared" si="14"/>
        <v>H</v>
      </c>
      <c r="K174" t="s">
        <v>258</v>
      </c>
      <c r="L174" t="s">
        <v>228</v>
      </c>
      <c r="M174" t="s">
        <v>229</v>
      </c>
      <c r="N174" t="str">
        <f t="shared" si="15"/>
        <v>&lt;tr&gt; &lt;td&gt;Jan. 11&lt;/td&gt;</v>
      </c>
      <c r="O174" t="str">
        <f t="shared" si="16"/>
        <v>&lt;td&gt;4:30 PM&lt;/td&gt;</v>
      </c>
      <c r="P174" t="str">
        <f t="shared" si="17"/>
        <v>&lt;td class="JTCsched"&gt;John Taylor&lt;/td&gt;</v>
      </c>
      <c r="Q174" t="str">
        <f t="shared" si="18"/>
        <v>&lt;td&gt;37 - 72&lt;/td&gt;</v>
      </c>
      <c r="R174" t="str">
        <f t="shared" si="19"/>
        <v>&lt;td class="OPHSsched"&gt;Oak Park&lt;/td&gt;</v>
      </c>
      <c r="S174" t="str">
        <f t="shared" si="20"/>
        <v>&lt;td&gt;WWAC/WAC Tier 1 Regular Season&lt;/td&gt; &lt;/tr&gt;</v>
      </c>
    </row>
    <row r="175" spans="1:19" x14ac:dyDescent="0.25">
      <c r="A175" s="5">
        <v>42380</v>
      </c>
      <c r="B175" s="6">
        <v>0.6875</v>
      </c>
      <c r="C175" t="s">
        <v>23</v>
      </c>
      <c r="D175" t="s">
        <v>80</v>
      </c>
      <c r="E175">
        <v>59</v>
      </c>
      <c r="F175" t="s">
        <v>14</v>
      </c>
      <c r="G175" t="s">
        <v>94</v>
      </c>
      <c r="H175">
        <v>31</v>
      </c>
      <c r="J175" t="str">
        <f t="shared" si="14"/>
        <v>V</v>
      </c>
      <c r="K175" t="s">
        <v>258</v>
      </c>
      <c r="L175" t="s">
        <v>228</v>
      </c>
      <c r="M175" t="s">
        <v>229</v>
      </c>
      <c r="N175" t="str">
        <f t="shared" si="15"/>
        <v>&lt;tr&gt; &lt;td&gt;Jan. 11&lt;/td&gt;</v>
      </c>
      <c r="O175" t="str">
        <f t="shared" si="16"/>
        <v>&lt;td&gt;4:30 PM&lt;/td&gt;</v>
      </c>
      <c r="P175" t="str">
        <f t="shared" si="17"/>
        <v>&lt;td class="VMCsched"&gt;Vincent Massey&lt;/td&gt;</v>
      </c>
      <c r="Q175" t="str">
        <f t="shared" si="18"/>
        <v>&lt;td&gt;59 - 31&lt;/td&gt;</v>
      </c>
      <c r="R175" t="str">
        <f t="shared" si="19"/>
        <v>&lt;td class="SHCsched"&gt;Sturgeon Heights&lt;/td&gt;</v>
      </c>
      <c r="S175" t="str">
        <f t="shared" si="20"/>
        <v>&lt;td&gt;WWAC/WAC Tier 1 Regular Season&lt;/td&gt; &lt;/tr&gt;</v>
      </c>
    </row>
    <row r="176" spans="1:19" x14ac:dyDescent="0.25">
      <c r="A176" s="5">
        <v>42380</v>
      </c>
      <c r="B176" s="6">
        <v>0.70833333333333337</v>
      </c>
      <c r="C176" t="s">
        <v>30</v>
      </c>
      <c r="D176" t="s">
        <v>92</v>
      </c>
      <c r="E176">
        <v>11</v>
      </c>
      <c r="F176" t="s">
        <v>28</v>
      </c>
      <c r="G176" t="s">
        <v>90</v>
      </c>
      <c r="H176">
        <v>65</v>
      </c>
      <c r="J176" t="str">
        <f t="shared" si="14"/>
        <v>H</v>
      </c>
      <c r="K176" t="s">
        <v>257</v>
      </c>
      <c r="L176" t="s">
        <v>228</v>
      </c>
      <c r="M176" t="s">
        <v>229</v>
      </c>
      <c r="N176" t="str">
        <f t="shared" si="15"/>
        <v>&lt;tr&gt; &lt;td&gt;Jan. 11&lt;/td&gt;</v>
      </c>
      <c r="O176" t="str">
        <f t="shared" si="16"/>
        <v>&lt;td&gt;5:00 PM&lt;/td&gt;</v>
      </c>
      <c r="P176" t="str">
        <f t="shared" si="17"/>
        <v>&lt;td class="SJHSsched"&gt;St. John's&lt;/td&gt;</v>
      </c>
      <c r="Q176" t="str">
        <f t="shared" si="18"/>
        <v>&lt;td&gt;11 - 65&lt;/td&gt;</v>
      </c>
      <c r="R176" t="str">
        <f t="shared" si="19"/>
        <v>&lt;td class="PCIsched"&gt;Portage&lt;/td&gt;</v>
      </c>
      <c r="S176" t="str">
        <f t="shared" si="20"/>
        <v>&lt;td&gt;WWAC/WAC Tier 2 Regular Season&lt;/td&gt; &lt;/tr&gt;</v>
      </c>
    </row>
    <row r="177" spans="1:19" x14ac:dyDescent="0.25">
      <c r="A177" s="5">
        <v>42380</v>
      </c>
      <c r="B177" s="6">
        <v>0.75</v>
      </c>
      <c r="C177" t="s">
        <v>19</v>
      </c>
      <c r="D177" t="s">
        <v>56</v>
      </c>
      <c r="E177">
        <v>31</v>
      </c>
      <c r="F177" t="s">
        <v>16</v>
      </c>
      <c r="G177" t="s">
        <v>45</v>
      </c>
      <c r="H177">
        <v>79</v>
      </c>
      <c r="J177" t="str">
        <f t="shared" si="14"/>
        <v>H</v>
      </c>
      <c r="K177" t="s">
        <v>233</v>
      </c>
      <c r="L177" t="s">
        <v>228</v>
      </c>
      <c r="M177" t="s">
        <v>229</v>
      </c>
      <c r="N177" t="str">
        <f t="shared" si="15"/>
        <v>&lt;tr&gt; &lt;td&gt;Jan. 11&lt;/td&gt;</v>
      </c>
      <c r="O177" t="str">
        <f t="shared" si="16"/>
        <v>&lt;td&gt;6:00 PM&lt;/td&gt;</v>
      </c>
      <c r="P177" t="str">
        <f t="shared" si="17"/>
        <v>&lt;td class="TCIsched"&gt;Transcona&lt;/td&gt;</v>
      </c>
      <c r="Q177" t="str">
        <f t="shared" si="18"/>
        <v>&lt;td&gt;31 - 79&lt;/td&gt;</v>
      </c>
      <c r="R177" t="str">
        <f t="shared" si="19"/>
        <v>&lt;td class="MCsched"&gt;Maples&lt;/td&gt;</v>
      </c>
      <c r="S177" t="str">
        <f t="shared" si="20"/>
        <v>&lt;td&gt;KPAC Tier 2 Regular Season&lt;/td&gt; &lt;/tr&gt;</v>
      </c>
    </row>
    <row r="178" spans="1:19" x14ac:dyDescent="0.25">
      <c r="A178" s="5">
        <v>42380</v>
      </c>
      <c r="B178" s="6">
        <v>0.75</v>
      </c>
      <c r="C178" t="s">
        <v>17</v>
      </c>
      <c r="D178" t="s">
        <v>50</v>
      </c>
      <c r="E178">
        <v>24</v>
      </c>
      <c r="F178" t="s">
        <v>7</v>
      </c>
      <c r="G178" t="s">
        <v>7</v>
      </c>
      <c r="H178">
        <v>58</v>
      </c>
      <c r="J178" t="str">
        <f t="shared" si="14"/>
        <v>H</v>
      </c>
      <c r="K178" t="s">
        <v>233</v>
      </c>
      <c r="L178" t="s">
        <v>228</v>
      </c>
      <c r="M178" t="s">
        <v>229</v>
      </c>
      <c r="N178" t="str">
        <f t="shared" si="15"/>
        <v>&lt;tr&gt; &lt;td&gt;Jan. 11&lt;/td&gt;</v>
      </c>
      <c r="O178" t="str">
        <f t="shared" si="16"/>
        <v>&lt;td&gt;6:00 PM&lt;/td&gt;</v>
      </c>
      <c r="P178" t="str">
        <f t="shared" si="17"/>
        <v>&lt;td class="MMCIsched"&gt;Murdoch MacKay&lt;/td&gt;</v>
      </c>
      <c r="Q178" t="str">
        <f t="shared" si="18"/>
        <v>&lt;td&gt;24 - 58&lt;/td&gt;</v>
      </c>
      <c r="R178" t="str">
        <f t="shared" si="19"/>
        <v>&lt;td class="MBCIsched"&gt;MBCI&lt;/td&gt;</v>
      </c>
      <c r="S178" t="str">
        <f t="shared" si="20"/>
        <v>&lt;td&gt;KPAC Tier 2 Regular Season&lt;/td&gt; &lt;/tr&gt;</v>
      </c>
    </row>
    <row r="179" spans="1:19" x14ac:dyDescent="0.25">
      <c r="A179" s="5">
        <v>42380</v>
      </c>
      <c r="B179" s="6">
        <v>0.75</v>
      </c>
      <c r="C179" t="s">
        <v>18</v>
      </c>
      <c r="D179" t="s">
        <v>52</v>
      </c>
      <c r="E179">
        <v>62</v>
      </c>
      <c r="F179" t="s">
        <v>104</v>
      </c>
      <c r="G179" t="s">
        <v>105</v>
      </c>
      <c r="H179">
        <v>25</v>
      </c>
      <c r="J179" t="str">
        <f t="shared" si="14"/>
        <v>V</v>
      </c>
      <c r="K179" t="s">
        <v>233</v>
      </c>
      <c r="L179" t="s">
        <v>228</v>
      </c>
      <c r="M179" t="s">
        <v>229</v>
      </c>
      <c r="N179" t="str">
        <f t="shared" si="15"/>
        <v>&lt;tr&gt; &lt;td&gt;Jan. 11&lt;/td&gt;</v>
      </c>
      <c r="O179" t="str">
        <f t="shared" si="16"/>
        <v>&lt;td&gt;6:00 PM&lt;/td&gt;</v>
      </c>
      <c r="P179" t="str">
        <f t="shared" si="17"/>
        <v>&lt;td class="RECsched"&gt;River East&lt;/td&gt;</v>
      </c>
      <c r="Q179" t="str">
        <f t="shared" si="18"/>
        <v>&lt;td&gt;62 - 25&lt;/td&gt;</v>
      </c>
      <c r="R179" t="str">
        <f t="shared" si="19"/>
        <v>&lt;td class="SCIsched"&gt;Springfield&lt;/td&gt;</v>
      </c>
      <c r="S179" t="str">
        <f t="shared" si="20"/>
        <v>&lt;td&gt;KPAC Tier 2 Regular Season&lt;/td&gt; &lt;/tr&gt;</v>
      </c>
    </row>
    <row r="180" spans="1:19" x14ac:dyDescent="0.25">
      <c r="A180" s="5">
        <v>42380</v>
      </c>
      <c r="B180" s="6">
        <v>0.75</v>
      </c>
      <c r="C180" t="s">
        <v>4</v>
      </c>
      <c r="D180" t="s">
        <v>41</v>
      </c>
      <c r="E180">
        <v>73</v>
      </c>
      <c r="F180" t="s">
        <v>11</v>
      </c>
      <c r="G180" t="s">
        <v>48</v>
      </c>
      <c r="H180">
        <v>51</v>
      </c>
      <c r="J180" t="str">
        <f t="shared" si="14"/>
        <v>V</v>
      </c>
      <c r="K180" t="s">
        <v>234</v>
      </c>
      <c r="L180" t="s">
        <v>228</v>
      </c>
      <c r="M180" t="s">
        <v>229</v>
      </c>
      <c r="N180" t="str">
        <f t="shared" si="15"/>
        <v>&lt;tr&gt; &lt;td&gt;Jan. 11&lt;/td&gt;</v>
      </c>
      <c r="O180" t="str">
        <f t="shared" si="16"/>
        <v>&lt;td&gt;6:00 PM&lt;/td&gt;</v>
      </c>
      <c r="P180" t="str">
        <f t="shared" si="17"/>
        <v>&lt;td class="GCCsched"&gt;Garden City&lt;/td&gt;</v>
      </c>
      <c r="Q180" t="str">
        <f t="shared" si="18"/>
        <v>&lt;td&gt;73 - 51&lt;/td&gt;</v>
      </c>
      <c r="R180" t="str">
        <f t="shared" si="19"/>
        <v>&lt;td class="MMCsched"&gt;Miles Macdonell&lt;/td&gt;</v>
      </c>
      <c r="S180" t="str">
        <f t="shared" si="20"/>
        <v>&lt;td&gt;KPAC Tier 1 Regular Season&lt;/td&gt; &lt;/tr&gt;</v>
      </c>
    </row>
    <row r="181" spans="1:19" x14ac:dyDescent="0.25">
      <c r="A181" s="5">
        <v>42380</v>
      </c>
      <c r="B181" s="6">
        <v>0.75</v>
      </c>
      <c r="C181" t="s">
        <v>108</v>
      </c>
      <c r="D181" t="s">
        <v>109</v>
      </c>
      <c r="E181">
        <v>44</v>
      </c>
      <c r="F181" t="s">
        <v>237</v>
      </c>
      <c r="H181">
        <v>64</v>
      </c>
      <c r="J181" t="str">
        <f t="shared" si="14"/>
        <v>H</v>
      </c>
      <c r="K181" t="s">
        <v>763</v>
      </c>
      <c r="L181" t="s">
        <v>228</v>
      </c>
      <c r="M181" t="s">
        <v>229</v>
      </c>
      <c r="N181" t="str">
        <f t="shared" si="15"/>
        <v>&lt;tr&gt; &lt;td&gt;Jan. 11&lt;/td&gt;</v>
      </c>
      <c r="O181" t="str">
        <f t="shared" si="16"/>
        <v>&lt;td&gt;6:00 PM&lt;/td&gt;</v>
      </c>
      <c r="P181" t="str">
        <f t="shared" si="17"/>
        <v>&lt;td class="CJSsched"&gt;Jeanne-Sauv&amp;eacute;&lt;/td&gt;</v>
      </c>
      <c r="Q181" t="str">
        <f t="shared" si="18"/>
        <v>&lt;td&gt;44 - 64&lt;/td&gt;</v>
      </c>
      <c r="R181" t="str">
        <f t="shared" si="19"/>
        <v>&lt;td class="sched"&gt;Westgate&lt;/td&gt;</v>
      </c>
      <c r="S181" t="str">
        <f t="shared" si="20"/>
        <v>&lt;td&gt;SCAC Regular Season&lt;/td&gt; &lt;/tr&gt;</v>
      </c>
    </row>
    <row r="182" spans="1:19" x14ac:dyDescent="0.25">
      <c r="A182" s="5">
        <v>42380</v>
      </c>
      <c r="B182" s="6">
        <v>0.75</v>
      </c>
      <c r="C182" t="s">
        <v>5</v>
      </c>
      <c r="D182" t="s">
        <v>62</v>
      </c>
      <c r="E182">
        <v>59</v>
      </c>
      <c r="F182" t="s">
        <v>8</v>
      </c>
      <c r="G182" t="s">
        <v>60</v>
      </c>
      <c r="H182">
        <v>41</v>
      </c>
      <c r="J182" t="str">
        <f t="shared" si="14"/>
        <v>V</v>
      </c>
      <c r="K182" t="s">
        <v>763</v>
      </c>
      <c r="L182" t="s">
        <v>228</v>
      </c>
      <c r="M182" t="s">
        <v>229</v>
      </c>
      <c r="N182" t="str">
        <f t="shared" si="15"/>
        <v>&lt;tr&gt; &lt;td&gt;Jan. 11&lt;/td&gt;</v>
      </c>
      <c r="O182" t="str">
        <f t="shared" si="16"/>
        <v>&lt;td&gt;6:00 PM&lt;/td&gt;</v>
      </c>
      <c r="P182" t="str">
        <f t="shared" si="17"/>
        <v>&lt;td class="GCIsched"&gt;Glenlawn&lt;/td&gt;</v>
      </c>
      <c r="Q182" t="str">
        <f t="shared" si="18"/>
        <v>&lt;td&gt;59 - 41&lt;/td&gt;</v>
      </c>
      <c r="R182" t="str">
        <f t="shared" si="19"/>
        <v>&lt;td class="DCIsched"&gt;Dakota&lt;/td&gt;</v>
      </c>
      <c r="S182" t="str">
        <f t="shared" si="20"/>
        <v>&lt;td&gt;SCAC Regular Season&lt;/td&gt; &lt;/tr&gt;</v>
      </c>
    </row>
    <row r="183" spans="1:19" x14ac:dyDescent="0.25">
      <c r="A183" s="5">
        <v>42380</v>
      </c>
      <c r="B183" s="6">
        <v>0.75</v>
      </c>
      <c r="C183" t="s">
        <v>21</v>
      </c>
      <c r="D183" t="s">
        <v>64</v>
      </c>
      <c r="E183">
        <v>39</v>
      </c>
      <c r="F183" t="s">
        <v>22</v>
      </c>
      <c r="G183" t="s">
        <v>66</v>
      </c>
      <c r="H183">
        <v>23</v>
      </c>
      <c r="J183" t="str">
        <f t="shared" si="14"/>
        <v>V</v>
      </c>
      <c r="K183" t="s">
        <v>763</v>
      </c>
      <c r="L183" t="s">
        <v>228</v>
      </c>
      <c r="M183" t="s">
        <v>229</v>
      </c>
      <c r="N183" t="str">
        <f t="shared" si="15"/>
        <v>&lt;tr&gt; &lt;td&gt;Jan. 11&lt;/td&gt;</v>
      </c>
      <c r="O183" t="str">
        <f t="shared" si="16"/>
        <v>&lt;td&gt;6:00 PM&lt;/td&gt;</v>
      </c>
      <c r="P183" t="str">
        <f t="shared" si="17"/>
        <v>&lt;td class="JHBsched"&gt;J.H. Bruns&lt;/td&gt;</v>
      </c>
      <c r="Q183" t="str">
        <f t="shared" si="18"/>
        <v>&lt;td&gt;39 - 23&lt;/td&gt;</v>
      </c>
      <c r="R183" t="str">
        <f t="shared" si="19"/>
        <v>&lt;td class="SRSSsched"&gt;Steinbach&lt;/td&gt;</v>
      </c>
      <c r="S183" t="str">
        <f t="shared" si="20"/>
        <v>&lt;td&gt;SCAC Regular Season&lt;/td&gt; &lt;/tr&gt;</v>
      </c>
    </row>
    <row r="184" spans="1:19" x14ac:dyDescent="0.25">
      <c r="A184" s="5">
        <v>42381</v>
      </c>
      <c r="B184" s="6">
        <v>0.8125</v>
      </c>
      <c r="C184" t="s">
        <v>17</v>
      </c>
      <c r="D184" t="s">
        <v>50</v>
      </c>
      <c r="E184">
        <v>22</v>
      </c>
      <c r="F184" t="s">
        <v>104</v>
      </c>
      <c r="G184" t="s">
        <v>105</v>
      </c>
      <c r="H184">
        <v>27</v>
      </c>
      <c r="J184" t="str">
        <f t="shared" si="14"/>
        <v>H</v>
      </c>
      <c r="K184" t="s">
        <v>233</v>
      </c>
      <c r="L184" t="s">
        <v>228</v>
      </c>
      <c r="M184" t="s">
        <v>229</v>
      </c>
      <c r="N184" t="str">
        <f t="shared" si="15"/>
        <v>&lt;tr&gt; &lt;td&gt;Jan. 12&lt;/td&gt;</v>
      </c>
      <c r="O184" t="str">
        <f t="shared" si="16"/>
        <v>&lt;td&gt;7:30 PM&lt;/td&gt;</v>
      </c>
      <c r="P184" t="str">
        <f t="shared" si="17"/>
        <v>&lt;td class="MMCIsched"&gt;Murdoch MacKay&lt;/td&gt;</v>
      </c>
      <c r="Q184" t="str">
        <f t="shared" si="18"/>
        <v>&lt;td&gt;22 - 27&lt;/td&gt;</v>
      </c>
      <c r="R184" t="str">
        <f t="shared" si="19"/>
        <v>&lt;td class="SCIsched"&gt;Springfield&lt;/td&gt;</v>
      </c>
      <c r="S184" t="str">
        <f t="shared" si="20"/>
        <v>&lt;td&gt;KPAC Tier 2 Regular Season&lt;/td&gt; &lt;/tr&gt;</v>
      </c>
    </row>
    <row r="185" spans="1:19" x14ac:dyDescent="0.25">
      <c r="A185" s="5">
        <v>42382</v>
      </c>
      <c r="B185" s="6">
        <v>0.6875</v>
      </c>
      <c r="C185" t="s">
        <v>29</v>
      </c>
      <c r="D185" t="s">
        <v>91</v>
      </c>
      <c r="E185">
        <v>67</v>
      </c>
      <c r="F185" t="s">
        <v>10</v>
      </c>
      <c r="G185" t="s">
        <v>72</v>
      </c>
      <c r="H185">
        <v>30</v>
      </c>
      <c r="J185" t="str">
        <f t="shared" si="14"/>
        <v>V</v>
      </c>
      <c r="K185" t="s">
        <v>257</v>
      </c>
      <c r="L185" t="s">
        <v>228</v>
      </c>
      <c r="M185" t="s">
        <v>229</v>
      </c>
      <c r="N185" t="str">
        <f t="shared" si="15"/>
        <v>&lt;tr&gt; &lt;td&gt;Jan. 13&lt;/td&gt;</v>
      </c>
      <c r="O185" t="str">
        <f t="shared" si="16"/>
        <v>&lt;td&gt;4:30 PM&lt;/td&gt;</v>
      </c>
      <c r="P185" t="str">
        <f t="shared" si="17"/>
        <v>&lt;td class="ShHSsched"&gt;Shaftesbury&lt;/td&gt;</v>
      </c>
      <c r="Q185" t="str">
        <f t="shared" si="18"/>
        <v>&lt;td&gt;67 - 30&lt;/td&gt;</v>
      </c>
      <c r="R185" t="str">
        <f t="shared" si="19"/>
        <v>&lt;td class="KHSsched"&gt;Kelvin&lt;/td&gt;</v>
      </c>
      <c r="S185" t="str">
        <f t="shared" si="20"/>
        <v>&lt;td&gt;WWAC/WAC Tier 2 Regular Season&lt;/td&gt; &lt;/tr&gt;</v>
      </c>
    </row>
    <row r="186" spans="1:19" x14ac:dyDescent="0.25">
      <c r="A186" s="5">
        <v>42382</v>
      </c>
      <c r="B186" s="6">
        <v>0.75</v>
      </c>
      <c r="C186" t="s">
        <v>16</v>
      </c>
      <c r="D186" t="s">
        <v>45</v>
      </c>
      <c r="E186">
        <v>64</v>
      </c>
      <c r="F186" t="s">
        <v>104</v>
      </c>
      <c r="G186" t="s">
        <v>105</v>
      </c>
      <c r="H186">
        <v>19</v>
      </c>
      <c r="J186" t="str">
        <f t="shared" si="14"/>
        <v>V</v>
      </c>
      <c r="K186" t="s">
        <v>233</v>
      </c>
      <c r="L186" t="s">
        <v>228</v>
      </c>
      <c r="M186" t="s">
        <v>229</v>
      </c>
      <c r="N186" t="str">
        <f t="shared" si="15"/>
        <v>&lt;tr&gt; &lt;td&gt;Jan. 13&lt;/td&gt;</v>
      </c>
      <c r="O186" t="str">
        <f t="shared" si="16"/>
        <v>&lt;td&gt;6:00 PM&lt;/td&gt;</v>
      </c>
      <c r="P186" t="str">
        <f t="shared" si="17"/>
        <v>&lt;td class="MCsched"&gt;Maples&lt;/td&gt;</v>
      </c>
      <c r="Q186" t="str">
        <f t="shared" si="18"/>
        <v>&lt;td&gt;64 - 19&lt;/td&gt;</v>
      </c>
      <c r="R186" t="str">
        <f t="shared" si="19"/>
        <v>&lt;td class="SCIsched"&gt;Springfield&lt;/td&gt;</v>
      </c>
      <c r="S186" t="str">
        <f t="shared" si="20"/>
        <v>&lt;td&gt;KPAC Tier 2 Regular Season&lt;/td&gt; &lt;/tr&gt;</v>
      </c>
    </row>
    <row r="187" spans="1:19" x14ac:dyDescent="0.25">
      <c r="A187" s="5">
        <v>42382</v>
      </c>
      <c r="B187" s="6">
        <v>0.76041666666666663</v>
      </c>
      <c r="C187" t="s">
        <v>30</v>
      </c>
      <c r="D187" t="s">
        <v>92</v>
      </c>
      <c r="E187">
        <v>38</v>
      </c>
      <c r="F187" t="s">
        <v>171</v>
      </c>
      <c r="H187">
        <v>66</v>
      </c>
      <c r="J187" t="str">
        <f t="shared" si="14"/>
        <v>H</v>
      </c>
      <c r="K187" t="s">
        <v>257</v>
      </c>
      <c r="L187" t="s">
        <v>228</v>
      </c>
      <c r="M187" t="s">
        <v>229</v>
      </c>
      <c r="N187" t="str">
        <f t="shared" si="15"/>
        <v>&lt;tr&gt; &lt;td&gt;Jan. 13&lt;/td&gt;</v>
      </c>
      <c r="O187" t="str">
        <f t="shared" si="16"/>
        <v>&lt;td&gt;6:15 PM&lt;/td&gt;</v>
      </c>
      <c r="P187" t="str">
        <f t="shared" si="17"/>
        <v>&lt;td class="SJHSsched"&gt;St. John's&lt;/td&gt;</v>
      </c>
      <c r="Q187" t="str">
        <f t="shared" si="18"/>
        <v>&lt;td&gt;38 - 66&lt;/td&gt;</v>
      </c>
      <c r="R187" t="str">
        <f t="shared" si="19"/>
        <v>&lt;td class="sched"&gt;Churchill&lt;/td&gt;</v>
      </c>
      <c r="S187" t="str">
        <f t="shared" si="20"/>
        <v>&lt;td&gt;WWAC/WAC Tier 2 Regular Season&lt;/td&gt; &lt;/tr&gt;</v>
      </c>
    </row>
    <row r="188" spans="1:19" x14ac:dyDescent="0.25">
      <c r="A188" s="5">
        <v>42382</v>
      </c>
      <c r="B188" s="6">
        <v>0.76041666666666663</v>
      </c>
      <c r="C188" t="s">
        <v>25</v>
      </c>
      <c r="D188" t="s">
        <v>84</v>
      </c>
      <c r="E188">
        <v>34</v>
      </c>
      <c r="F188" t="s">
        <v>218</v>
      </c>
      <c r="H188">
        <v>36</v>
      </c>
      <c r="J188" t="str">
        <f t="shared" si="14"/>
        <v>H</v>
      </c>
      <c r="K188" t="s">
        <v>257</v>
      </c>
      <c r="L188" t="s">
        <v>228</v>
      </c>
      <c r="M188" t="s">
        <v>229</v>
      </c>
      <c r="N188" t="str">
        <f t="shared" si="15"/>
        <v>&lt;tr&gt; &lt;td&gt;Jan. 13&lt;/td&gt;</v>
      </c>
      <c r="O188" t="str">
        <f t="shared" si="16"/>
        <v>&lt;td&gt;6:15 PM&lt;/td&gt;</v>
      </c>
      <c r="P188" t="str">
        <f t="shared" si="17"/>
        <v>&lt;td class="EHSsched"&gt;Elmwood&lt;/td&gt;</v>
      </c>
      <c r="Q188" t="str">
        <f t="shared" si="18"/>
        <v>&lt;td&gt;34 - 36&lt;/td&gt;</v>
      </c>
      <c r="R188" t="str">
        <f t="shared" si="19"/>
        <v>&lt;td class="sched"&gt;Stonewall&lt;/td&gt;</v>
      </c>
      <c r="S188" t="str">
        <f t="shared" si="20"/>
        <v>&lt;td&gt;WWAC/WAC Tier 2 Regular Season&lt;/td&gt; &lt;/tr&gt;</v>
      </c>
    </row>
    <row r="189" spans="1:19" x14ac:dyDescent="0.25">
      <c r="A189" s="5">
        <v>42382</v>
      </c>
      <c r="B189" s="6">
        <v>0.76041666666666663</v>
      </c>
      <c r="C189" t="s">
        <v>24</v>
      </c>
      <c r="D189" t="s">
        <v>82</v>
      </c>
      <c r="E189">
        <v>66</v>
      </c>
      <c r="F189" t="s">
        <v>6</v>
      </c>
      <c r="G189" t="s">
        <v>70</v>
      </c>
      <c r="H189">
        <v>48</v>
      </c>
      <c r="J189" t="str">
        <f t="shared" si="14"/>
        <v>V</v>
      </c>
      <c r="K189" t="s">
        <v>258</v>
      </c>
      <c r="L189" t="s">
        <v>228</v>
      </c>
      <c r="M189" t="s">
        <v>229</v>
      </c>
      <c r="N189" t="str">
        <f t="shared" si="15"/>
        <v>&lt;tr&gt; &lt;td&gt;Jan. 13&lt;/td&gt;</v>
      </c>
      <c r="O189" t="str">
        <f t="shared" si="16"/>
        <v>&lt;td&gt;6:15 PM&lt;/td&gt;</v>
      </c>
      <c r="P189" t="str">
        <f t="shared" si="17"/>
        <v>&lt;td class="DMCIsched"&gt;Daniel McIntyre&lt;/td&gt;</v>
      </c>
      <c r="Q189" t="str">
        <f t="shared" si="18"/>
        <v>&lt;td&gt;66 - 48&lt;/td&gt;</v>
      </c>
      <c r="R189" t="str">
        <f t="shared" si="19"/>
        <v>&lt;td class="JTCsched"&gt;John Taylor&lt;/td&gt;</v>
      </c>
      <c r="S189" t="str">
        <f t="shared" si="20"/>
        <v>&lt;td&gt;WWAC/WAC Tier 1 Regular Season&lt;/td&gt; &lt;/tr&gt;</v>
      </c>
    </row>
    <row r="190" spans="1:19" x14ac:dyDescent="0.25">
      <c r="A190" s="5">
        <v>42382</v>
      </c>
      <c r="B190" s="6">
        <v>0.76041666666666663</v>
      </c>
      <c r="C190" t="s">
        <v>14</v>
      </c>
      <c r="D190" t="s">
        <v>94</v>
      </c>
      <c r="E190">
        <v>49</v>
      </c>
      <c r="F190" t="s">
        <v>13</v>
      </c>
      <c r="G190" t="s">
        <v>98</v>
      </c>
      <c r="H190">
        <v>71</v>
      </c>
      <c r="J190" t="str">
        <f t="shared" si="14"/>
        <v>H</v>
      </c>
      <c r="K190" t="s">
        <v>258</v>
      </c>
      <c r="L190" t="s">
        <v>228</v>
      </c>
      <c r="M190" t="s">
        <v>229</v>
      </c>
      <c r="N190" t="str">
        <f t="shared" si="15"/>
        <v>&lt;tr&gt; &lt;td&gt;Jan. 13&lt;/td&gt;</v>
      </c>
      <c r="O190" t="str">
        <f t="shared" si="16"/>
        <v>&lt;td&gt;6:15 PM&lt;/td&gt;</v>
      </c>
      <c r="P190" t="str">
        <f t="shared" si="17"/>
        <v>&lt;td class="SHCsched"&gt;Sturgeon Heights&lt;/td&gt;</v>
      </c>
      <c r="Q190" t="str">
        <f t="shared" si="18"/>
        <v>&lt;td&gt;49 - 71&lt;/td&gt;</v>
      </c>
      <c r="R190" t="str">
        <f t="shared" si="19"/>
        <v>&lt;td class="WWCsched"&gt;Westwood&lt;/td&gt;</v>
      </c>
      <c r="S190" t="str">
        <f t="shared" si="20"/>
        <v>&lt;td&gt;WWAC/WAC Tier 1 Regular Season&lt;/td&gt; &lt;/tr&gt;</v>
      </c>
    </row>
    <row r="191" spans="1:19" x14ac:dyDescent="0.25">
      <c r="A191" s="5">
        <v>42382</v>
      </c>
      <c r="B191" s="6">
        <v>0.77083333333333337</v>
      </c>
      <c r="C191" t="s">
        <v>28</v>
      </c>
      <c r="D191" t="s">
        <v>90</v>
      </c>
      <c r="E191">
        <v>54</v>
      </c>
      <c r="F191" t="s">
        <v>26</v>
      </c>
      <c r="G191" t="s">
        <v>86</v>
      </c>
      <c r="H191">
        <v>61</v>
      </c>
      <c r="J191" t="str">
        <f t="shared" si="14"/>
        <v>H</v>
      </c>
      <c r="K191" t="s">
        <v>257</v>
      </c>
      <c r="L191" t="s">
        <v>228</v>
      </c>
      <c r="M191" t="s">
        <v>229</v>
      </c>
      <c r="N191" t="str">
        <f t="shared" si="15"/>
        <v>&lt;tr&gt; &lt;td&gt;Jan. 13&lt;/td&gt;</v>
      </c>
      <c r="O191" t="str">
        <f t="shared" si="16"/>
        <v>&lt;td&gt;6:30 PM&lt;/td&gt;</v>
      </c>
      <c r="P191" t="str">
        <f t="shared" si="17"/>
        <v>&lt;td class="PCIsched"&gt;Portage&lt;/td&gt;</v>
      </c>
      <c r="Q191" t="str">
        <f t="shared" si="18"/>
        <v>&lt;td&gt;54 - 61&lt;/td&gt;</v>
      </c>
      <c r="R191" t="str">
        <f t="shared" si="19"/>
        <v>&lt;td class="GBHSsched"&gt;Gordon Bell&lt;/td&gt;</v>
      </c>
      <c r="S191" t="str">
        <f t="shared" si="20"/>
        <v>&lt;td&gt;WWAC/WAC Tier 2 Regular Season&lt;/td&gt; &lt;/tr&gt;</v>
      </c>
    </row>
    <row r="192" spans="1:19" x14ac:dyDescent="0.25">
      <c r="A192" s="5">
        <v>42382</v>
      </c>
      <c r="B192" s="6">
        <v>0.8125</v>
      </c>
      <c r="C192" t="s">
        <v>20</v>
      </c>
      <c r="D192" t="s">
        <v>58</v>
      </c>
      <c r="E192">
        <v>30</v>
      </c>
      <c r="F192" t="s">
        <v>19</v>
      </c>
      <c r="G192" t="s">
        <v>56</v>
      </c>
      <c r="H192">
        <v>37</v>
      </c>
      <c r="J192" t="str">
        <f t="shared" si="14"/>
        <v>H</v>
      </c>
      <c r="K192" t="s">
        <v>233</v>
      </c>
      <c r="L192" t="s">
        <v>228</v>
      </c>
      <c r="M192" t="s">
        <v>229</v>
      </c>
      <c r="N192" t="str">
        <f t="shared" si="15"/>
        <v>&lt;tr&gt; &lt;td&gt;Jan. 13&lt;/td&gt;</v>
      </c>
      <c r="O192" t="str">
        <f t="shared" si="16"/>
        <v>&lt;td&gt;7:30 PM&lt;/td&gt;</v>
      </c>
      <c r="P192" t="str">
        <f t="shared" si="17"/>
        <v>&lt;td class="WKCsched"&gt;West Kildonan&lt;/td&gt;</v>
      </c>
      <c r="Q192" t="str">
        <f t="shared" si="18"/>
        <v>&lt;td&gt;30 - 37&lt;/td&gt;</v>
      </c>
      <c r="R192" t="str">
        <f t="shared" si="19"/>
        <v>&lt;td class="TCIsched"&gt;Transcona&lt;/td&gt;</v>
      </c>
      <c r="S192" t="str">
        <f t="shared" si="20"/>
        <v>&lt;td&gt;KPAC Tier 2 Regular Season&lt;/td&gt; &lt;/tr&gt;</v>
      </c>
    </row>
    <row r="193" spans="1:19" x14ac:dyDescent="0.25">
      <c r="A193" s="5">
        <v>42382</v>
      </c>
      <c r="B193" s="6">
        <v>0.8125</v>
      </c>
      <c r="C193" t="s">
        <v>2</v>
      </c>
      <c r="D193" t="s">
        <v>43</v>
      </c>
      <c r="E193">
        <v>56</v>
      </c>
      <c r="F193" t="s">
        <v>12</v>
      </c>
      <c r="G193" t="s">
        <v>54</v>
      </c>
      <c r="H193">
        <v>55</v>
      </c>
      <c r="J193" t="str">
        <f t="shared" si="14"/>
        <v>V</v>
      </c>
      <c r="K193" t="s">
        <v>234</v>
      </c>
      <c r="L193" t="s">
        <v>228</v>
      </c>
      <c r="M193" t="s">
        <v>229</v>
      </c>
      <c r="N193" t="str">
        <f t="shared" si="15"/>
        <v>&lt;tr&gt; &lt;td&gt;Jan. 13&lt;/td&gt;</v>
      </c>
      <c r="O193" t="str">
        <f t="shared" si="16"/>
        <v>&lt;td&gt;7:30 PM&lt;/td&gt;</v>
      </c>
      <c r="P193" t="str">
        <f t="shared" si="17"/>
        <v>&lt;td class="KECsched"&gt;Kildonan-East&lt;/td&gt;</v>
      </c>
      <c r="Q193" t="str">
        <f t="shared" si="18"/>
        <v>&lt;td&gt;56 - 55&lt;/td&gt;</v>
      </c>
      <c r="R193" t="str">
        <f t="shared" si="19"/>
        <v>&lt;td class="LSsched"&gt;Selkirk&lt;/td&gt;</v>
      </c>
      <c r="S193" t="str">
        <f t="shared" si="20"/>
        <v>&lt;td&gt;KPAC Tier 1 Regular Season&lt;/td&gt; &lt;/tr&gt;</v>
      </c>
    </row>
    <row r="194" spans="1:19" x14ac:dyDescent="0.25">
      <c r="A194" s="5">
        <v>42383</v>
      </c>
      <c r="B194" s="6">
        <v>0.35416666666666669</v>
      </c>
      <c r="C194" t="s">
        <v>15</v>
      </c>
      <c r="D194" t="s">
        <v>68</v>
      </c>
      <c r="E194">
        <v>25</v>
      </c>
      <c r="F194" t="s">
        <v>782</v>
      </c>
      <c r="H194">
        <v>41</v>
      </c>
      <c r="J194" t="str">
        <f t="shared" ref="J194:J262" si="21">IF(H194&gt;E194,"H",IF(E194&gt;H194,"V",""))</f>
        <v>H</v>
      </c>
      <c r="K194" t="s">
        <v>824</v>
      </c>
      <c r="L194" t="s">
        <v>173</v>
      </c>
      <c r="N194" t="str">
        <f t="shared" ref="N194:N257" si="22">"&lt;tr&gt; &lt;td&gt;"&amp;TEXT(A194,"MMM. D")&amp;"&lt;/td&gt;"</f>
        <v>&lt;tr&gt; &lt;td&gt;Jan. 14&lt;/td&gt;</v>
      </c>
      <c r="O194" t="str">
        <f t="shared" ref="O194:O257" si="23">"&lt;td&gt;"&amp;IF(B194&gt;0,TEXT(B194,"H:MM AM/PM"),"")&amp;"&lt;/td&gt;"</f>
        <v>&lt;td&gt;8:30 AM&lt;/td&gt;</v>
      </c>
      <c r="P194" t="str">
        <f t="shared" ref="P194:P257" si="24">"&lt;td class="""&amp;D194&amp;"sched""&gt;"&amp;C194&amp;"&lt;/td&gt;"</f>
        <v>&lt;td class="FRCsched"&gt;Fort Richmond&lt;/td&gt;</v>
      </c>
      <c r="Q194" t="str">
        <f t="shared" ref="Q194:Q257" si="25">"&lt;td&gt;"&amp;E194&amp;" - "&amp;H194&amp;IF(I194&gt;0," "&amp;I194,"")&amp;"&lt;/td&gt;"</f>
        <v>&lt;td&gt;25 - 41&lt;/td&gt;</v>
      </c>
      <c r="R194" t="str">
        <f t="shared" ref="R194:R257" si="26">"&lt;td class="""&amp;G194&amp;"sched""&gt;"&amp;F194&amp;"&lt;/td&gt;"</f>
        <v>&lt;td class="sched"&gt;Evan Hardy&lt;/td&gt;</v>
      </c>
      <c r="S194" t="str">
        <f t="shared" ref="S194:S257" si="27">"&lt;td&gt;"&amp;K194&amp;" "&amp;L194&amp;"&lt;/td&gt; &lt;/tr&gt;"</f>
        <v>&lt;td&gt;Guardian Invitational Tournament Quarterfinal 1&lt;/td&gt; &lt;/tr&gt;</v>
      </c>
    </row>
    <row r="195" spans="1:19" x14ac:dyDescent="0.25">
      <c r="A195" s="5">
        <v>42383</v>
      </c>
      <c r="B195" s="6">
        <v>0.58333333333333337</v>
      </c>
      <c r="C195" t="s">
        <v>253</v>
      </c>
      <c r="E195">
        <v>25</v>
      </c>
      <c r="F195" t="s">
        <v>14</v>
      </c>
      <c r="G195" t="s">
        <v>94</v>
      </c>
      <c r="H195">
        <v>64</v>
      </c>
      <c r="J195" t="str">
        <f t="shared" si="21"/>
        <v>H</v>
      </c>
      <c r="K195" t="s">
        <v>14</v>
      </c>
      <c r="L195" t="s">
        <v>173</v>
      </c>
      <c r="N195" t="str">
        <f t="shared" si="22"/>
        <v>&lt;tr&gt; &lt;td&gt;Jan. 14&lt;/td&gt;</v>
      </c>
      <c r="O195" t="str">
        <f t="shared" si="23"/>
        <v>&lt;td&gt;2:00 PM&lt;/td&gt;</v>
      </c>
      <c r="P195" t="str">
        <f t="shared" si="24"/>
        <v>&lt;td class="sched"&gt;St. James&lt;/td&gt;</v>
      </c>
      <c r="Q195" t="str">
        <f t="shared" si="25"/>
        <v>&lt;td&gt;25 - 64&lt;/td&gt;</v>
      </c>
      <c r="R195" t="str">
        <f t="shared" si="26"/>
        <v>&lt;td class="SHCsched"&gt;Sturgeon Heights&lt;/td&gt;</v>
      </c>
      <c r="S195" t="str">
        <f t="shared" si="27"/>
        <v>&lt;td&gt;Sturgeon Heights Quarterfinal 1&lt;/td&gt; &lt;/tr&gt;</v>
      </c>
    </row>
    <row r="196" spans="1:19" x14ac:dyDescent="0.25">
      <c r="A196" s="5">
        <v>42383</v>
      </c>
      <c r="B196" s="6">
        <v>0.66666666666666663</v>
      </c>
      <c r="C196" t="s">
        <v>16</v>
      </c>
      <c r="D196" t="s">
        <v>45</v>
      </c>
      <c r="E196">
        <v>66</v>
      </c>
      <c r="F196" t="s">
        <v>21</v>
      </c>
      <c r="G196" t="s">
        <v>64</v>
      </c>
      <c r="H196">
        <v>43</v>
      </c>
      <c r="J196" t="str">
        <f t="shared" si="21"/>
        <v>V</v>
      </c>
      <c r="K196" t="s">
        <v>14</v>
      </c>
      <c r="L196" t="s">
        <v>174</v>
      </c>
      <c r="N196" t="str">
        <f t="shared" si="22"/>
        <v>&lt;tr&gt; &lt;td&gt;Jan. 14&lt;/td&gt;</v>
      </c>
      <c r="O196" t="str">
        <f t="shared" si="23"/>
        <v>&lt;td&gt;4:00 PM&lt;/td&gt;</v>
      </c>
      <c r="P196" t="str">
        <f t="shared" si="24"/>
        <v>&lt;td class="MCsched"&gt;Maples&lt;/td&gt;</v>
      </c>
      <c r="Q196" t="str">
        <f t="shared" si="25"/>
        <v>&lt;td&gt;66 - 43&lt;/td&gt;</v>
      </c>
      <c r="R196" t="str">
        <f t="shared" si="26"/>
        <v>&lt;td class="JHBsched"&gt;J.H. Bruns&lt;/td&gt;</v>
      </c>
      <c r="S196" t="str">
        <f t="shared" si="27"/>
        <v>&lt;td&gt;Sturgeon Heights Quarterfinal 2&lt;/td&gt; &lt;/tr&gt;</v>
      </c>
    </row>
    <row r="197" spans="1:19" x14ac:dyDescent="0.25">
      <c r="A197" s="5">
        <v>42383</v>
      </c>
      <c r="B197" s="6">
        <v>0.6875</v>
      </c>
      <c r="C197" t="s">
        <v>4</v>
      </c>
      <c r="D197" t="s">
        <v>41</v>
      </c>
      <c r="E197">
        <v>87</v>
      </c>
      <c r="F197" t="s">
        <v>108</v>
      </c>
      <c r="G197" t="s">
        <v>109</v>
      </c>
      <c r="H197">
        <v>28</v>
      </c>
      <c r="J197" t="str">
        <f t="shared" si="21"/>
        <v>V</v>
      </c>
      <c r="K197" t="s">
        <v>199</v>
      </c>
      <c r="L197" t="s">
        <v>173</v>
      </c>
      <c r="N197" t="str">
        <f t="shared" si="22"/>
        <v>&lt;tr&gt; &lt;td&gt;Jan. 14&lt;/td&gt;</v>
      </c>
      <c r="O197" t="str">
        <f t="shared" si="23"/>
        <v>&lt;td&gt;4:30 PM&lt;/td&gt;</v>
      </c>
      <c r="P197" t="str">
        <f t="shared" si="24"/>
        <v>&lt;td class="GCCsched"&gt;Garden City&lt;/td&gt;</v>
      </c>
      <c r="Q197" t="str">
        <f t="shared" si="25"/>
        <v>&lt;td&gt;87 - 28&lt;/td&gt;</v>
      </c>
      <c r="R197" t="str">
        <f t="shared" si="26"/>
        <v>&lt;td class="CJSsched"&gt;Jeanne-Sauv&amp;eacute;&lt;/td&gt;</v>
      </c>
      <c r="S197" t="str">
        <f t="shared" si="27"/>
        <v>&lt;td&gt;St. Vital Invitational Quarterfinal 1&lt;/td&gt; &lt;/tr&gt;</v>
      </c>
    </row>
    <row r="198" spans="1:19" x14ac:dyDescent="0.25">
      <c r="A198" s="5">
        <v>42383</v>
      </c>
      <c r="B198" s="6">
        <v>0.6875</v>
      </c>
      <c r="C198" t="s">
        <v>1</v>
      </c>
      <c r="D198" t="s">
        <v>74</v>
      </c>
      <c r="E198">
        <v>58</v>
      </c>
      <c r="F198" t="s">
        <v>8</v>
      </c>
      <c r="G198" t="s">
        <v>60</v>
      </c>
      <c r="H198">
        <v>35</v>
      </c>
      <c r="J198" t="str">
        <f t="shared" si="21"/>
        <v>V</v>
      </c>
      <c r="K198" t="s">
        <v>199</v>
      </c>
      <c r="L198" t="s">
        <v>175</v>
      </c>
      <c r="N198" t="str">
        <f t="shared" si="22"/>
        <v>&lt;tr&gt; &lt;td&gt;Jan. 14&lt;/td&gt;</v>
      </c>
      <c r="O198" t="str">
        <f t="shared" si="23"/>
        <v>&lt;td&gt;4:30 PM&lt;/td&gt;</v>
      </c>
      <c r="P198" t="str">
        <f t="shared" si="24"/>
        <v>&lt;td class="OPHSsched"&gt;Oak Park&lt;/td&gt;</v>
      </c>
      <c r="Q198" t="str">
        <f t="shared" si="25"/>
        <v>&lt;td&gt;58 - 35&lt;/td&gt;</v>
      </c>
      <c r="R198" t="str">
        <f t="shared" si="26"/>
        <v>&lt;td class="DCIsched"&gt;Dakota&lt;/td&gt;</v>
      </c>
      <c r="S198" t="str">
        <f t="shared" si="27"/>
        <v>&lt;td&gt;St. Vital Invitational Quarterfinal 3&lt;/td&gt; &lt;/tr&gt;</v>
      </c>
    </row>
    <row r="199" spans="1:19" x14ac:dyDescent="0.25">
      <c r="A199" s="5">
        <v>42383</v>
      </c>
      <c r="B199" s="6">
        <v>0.75</v>
      </c>
      <c r="C199" t="s">
        <v>104</v>
      </c>
      <c r="D199" t="s">
        <v>105</v>
      </c>
      <c r="E199">
        <v>26</v>
      </c>
      <c r="F199" t="s">
        <v>27</v>
      </c>
      <c r="G199" t="s">
        <v>88</v>
      </c>
      <c r="H199">
        <v>74</v>
      </c>
      <c r="J199" t="str">
        <f t="shared" si="21"/>
        <v>H</v>
      </c>
      <c r="K199" t="s">
        <v>14</v>
      </c>
      <c r="L199" t="s">
        <v>175</v>
      </c>
      <c r="N199" t="str">
        <f t="shared" si="22"/>
        <v>&lt;tr&gt; &lt;td&gt;Jan. 14&lt;/td&gt;</v>
      </c>
      <c r="O199" t="str">
        <f t="shared" si="23"/>
        <v>&lt;td&gt;6:00 PM&lt;/td&gt;</v>
      </c>
      <c r="P199" t="str">
        <f t="shared" si="24"/>
        <v>&lt;td class="SCIsched"&gt;Springfield&lt;/td&gt;</v>
      </c>
      <c r="Q199" t="str">
        <f t="shared" si="25"/>
        <v>&lt;td&gt;26 - 74&lt;/td&gt;</v>
      </c>
      <c r="R199" t="str">
        <f t="shared" si="26"/>
        <v>&lt;td class="GPHSsched"&gt;Grant Park&lt;/td&gt;</v>
      </c>
      <c r="S199" t="str">
        <f t="shared" si="27"/>
        <v>&lt;td&gt;Sturgeon Heights Quarterfinal 3&lt;/td&gt; &lt;/tr&gt;</v>
      </c>
    </row>
    <row r="200" spans="1:19" x14ac:dyDescent="0.25">
      <c r="A200" s="5">
        <v>42383</v>
      </c>
      <c r="B200" s="6">
        <v>0.75</v>
      </c>
      <c r="C200" t="s">
        <v>166</v>
      </c>
      <c r="E200">
        <v>45</v>
      </c>
      <c r="F200" t="s">
        <v>162</v>
      </c>
      <c r="G200" t="s">
        <v>164</v>
      </c>
      <c r="H200">
        <v>65</v>
      </c>
      <c r="J200" t="str">
        <f t="shared" si="21"/>
        <v>H</v>
      </c>
      <c r="K200" t="s">
        <v>163</v>
      </c>
      <c r="L200" t="s">
        <v>228</v>
      </c>
      <c r="M200" t="s">
        <v>229</v>
      </c>
      <c r="N200" t="str">
        <f t="shared" si="22"/>
        <v>&lt;tr&gt; &lt;td&gt;Jan. 14&lt;/td&gt;</v>
      </c>
      <c r="O200" t="str">
        <f t="shared" si="23"/>
        <v>&lt;td&gt;6:00 PM&lt;/td&gt;</v>
      </c>
      <c r="P200" t="str">
        <f t="shared" si="24"/>
        <v>&lt;td class="sched"&gt;Sanford&lt;/td&gt;</v>
      </c>
      <c r="Q200" t="str">
        <f t="shared" si="25"/>
        <v>&lt;td&gt;45 - 65&lt;/td&gt;</v>
      </c>
      <c r="R200" t="str">
        <f t="shared" si="26"/>
        <v>&lt;td class="GVCsched"&gt;Garden Valley&lt;/td&gt;</v>
      </c>
      <c r="S200" t="str">
        <f t="shared" si="27"/>
        <v>&lt;td&gt;Zone 4 Regular Season&lt;/td&gt; &lt;/tr&gt;</v>
      </c>
    </row>
    <row r="201" spans="1:19" x14ac:dyDescent="0.25">
      <c r="A201" s="5">
        <v>42383</v>
      </c>
      <c r="B201" s="6">
        <v>0.76041666666666663</v>
      </c>
      <c r="C201" t="s">
        <v>23</v>
      </c>
      <c r="D201" t="s">
        <v>80</v>
      </c>
      <c r="E201">
        <v>65</v>
      </c>
      <c r="F201" t="s">
        <v>5</v>
      </c>
      <c r="G201" t="s">
        <v>62</v>
      </c>
      <c r="H201">
        <v>39</v>
      </c>
      <c r="J201" t="str">
        <f t="shared" si="21"/>
        <v>V</v>
      </c>
      <c r="K201" t="s">
        <v>199</v>
      </c>
      <c r="L201" t="s">
        <v>174</v>
      </c>
      <c r="N201" t="str">
        <f t="shared" si="22"/>
        <v>&lt;tr&gt; &lt;td&gt;Jan. 14&lt;/td&gt;</v>
      </c>
      <c r="O201" t="str">
        <f t="shared" si="23"/>
        <v>&lt;td&gt;6:15 PM&lt;/td&gt;</v>
      </c>
      <c r="P201" t="str">
        <f t="shared" si="24"/>
        <v>&lt;td class="VMCsched"&gt;Vincent Massey&lt;/td&gt;</v>
      </c>
      <c r="Q201" t="str">
        <f t="shared" si="25"/>
        <v>&lt;td&gt;65 - 39&lt;/td&gt;</v>
      </c>
      <c r="R201" t="str">
        <f t="shared" si="26"/>
        <v>&lt;td class="GCIsched"&gt;Glenlawn&lt;/td&gt;</v>
      </c>
      <c r="S201" t="str">
        <f t="shared" si="27"/>
        <v>&lt;td&gt;St. Vital Invitational Quarterfinal 2&lt;/td&gt; &lt;/tr&gt;</v>
      </c>
    </row>
    <row r="202" spans="1:19" x14ac:dyDescent="0.25">
      <c r="A202" s="5">
        <v>42383</v>
      </c>
      <c r="B202" s="6">
        <v>0.83333333333333337</v>
      </c>
      <c r="C202" t="s">
        <v>29</v>
      </c>
      <c r="D202" t="s">
        <v>91</v>
      </c>
      <c r="E202">
        <v>65</v>
      </c>
      <c r="F202" t="s">
        <v>22</v>
      </c>
      <c r="G202" t="s">
        <v>66</v>
      </c>
      <c r="H202">
        <v>45</v>
      </c>
      <c r="J202" t="str">
        <f t="shared" si="21"/>
        <v>V</v>
      </c>
      <c r="K202" t="s">
        <v>14</v>
      </c>
      <c r="L202" t="s">
        <v>176</v>
      </c>
      <c r="N202" t="str">
        <f t="shared" si="22"/>
        <v>&lt;tr&gt; &lt;td&gt;Jan. 14&lt;/td&gt;</v>
      </c>
      <c r="O202" t="str">
        <f t="shared" si="23"/>
        <v>&lt;td&gt;8:00 PM&lt;/td&gt;</v>
      </c>
      <c r="P202" t="str">
        <f t="shared" si="24"/>
        <v>&lt;td class="ShHSsched"&gt;Shaftesbury&lt;/td&gt;</v>
      </c>
      <c r="Q202" t="str">
        <f t="shared" si="25"/>
        <v>&lt;td&gt;65 - 45&lt;/td&gt;</v>
      </c>
      <c r="R202" t="str">
        <f t="shared" si="26"/>
        <v>&lt;td class="SRSSsched"&gt;Steinbach&lt;/td&gt;</v>
      </c>
      <c r="S202" t="str">
        <f t="shared" si="27"/>
        <v>&lt;td&gt;Sturgeon Heights Quarterfinal 4&lt;/td&gt; &lt;/tr&gt;</v>
      </c>
    </row>
    <row r="203" spans="1:19" x14ac:dyDescent="0.25">
      <c r="A203" s="5">
        <v>42383</v>
      </c>
      <c r="B203" s="6">
        <v>0.83333333333333337</v>
      </c>
      <c r="C203" t="s">
        <v>11</v>
      </c>
      <c r="D203" t="s">
        <v>48</v>
      </c>
      <c r="E203">
        <v>61</v>
      </c>
      <c r="F203" t="s">
        <v>722</v>
      </c>
      <c r="H203">
        <v>69</v>
      </c>
      <c r="J203" t="str">
        <f t="shared" si="21"/>
        <v>H</v>
      </c>
      <c r="K203" t="s">
        <v>199</v>
      </c>
      <c r="L203" t="s">
        <v>176</v>
      </c>
      <c r="N203" t="str">
        <f t="shared" si="22"/>
        <v>&lt;tr&gt; &lt;td&gt;Jan. 14&lt;/td&gt;</v>
      </c>
      <c r="O203" t="str">
        <f t="shared" si="23"/>
        <v>&lt;td&gt;8:00 PM&lt;/td&gt;</v>
      </c>
      <c r="P203" t="str">
        <f t="shared" si="24"/>
        <v>&lt;td class="MMCsched"&gt;Miles Macdonell&lt;/td&gt;</v>
      </c>
      <c r="Q203" t="str">
        <f t="shared" si="25"/>
        <v>&lt;td&gt;61 - 69&lt;/td&gt;</v>
      </c>
      <c r="R203" t="str">
        <f t="shared" si="26"/>
        <v>&lt;td class="sched"&gt;AMC of Notre Dame&lt;/td&gt;</v>
      </c>
      <c r="S203" t="str">
        <f t="shared" si="27"/>
        <v>&lt;td&gt;St. Vital Invitational Quarterfinal 4&lt;/td&gt; &lt;/tr&gt;</v>
      </c>
    </row>
    <row r="204" spans="1:19" x14ac:dyDescent="0.25">
      <c r="A204" s="5">
        <v>42384</v>
      </c>
      <c r="B204" s="6">
        <v>0.375</v>
      </c>
      <c r="C204" t="s">
        <v>826</v>
      </c>
      <c r="E204">
        <v>38</v>
      </c>
      <c r="F204" t="s">
        <v>15</v>
      </c>
      <c r="G204" t="s">
        <v>68</v>
      </c>
      <c r="H204">
        <v>21</v>
      </c>
      <c r="J204" t="str">
        <f t="shared" si="21"/>
        <v>V</v>
      </c>
      <c r="K204" t="s">
        <v>824</v>
      </c>
      <c r="L204" t="s">
        <v>177</v>
      </c>
      <c r="N204" t="str">
        <f t="shared" si="22"/>
        <v>&lt;tr&gt; &lt;td&gt;Jan. 15&lt;/td&gt;</v>
      </c>
      <c r="O204" t="str">
        <f t="shared" si="23"/>
        <v>&lt;td&gt;9:00 AM&lt;/td&gt;</v>
      </c>
      <c r="P204" t="str">
        <f t="shared" si="24"/>
        <v>&lt;td class="sched"&gt;(SK) St. Mary's&lt;/td&gt;</v>
      </c>
      <c r="Q204" t="str">
        <f t="shared" si="25"/>
        <v>&lt;td&gt;38 - 21&lt;/td&gt;</v>
      </c>
      <c r="R204" t="str">
        <f t="shared" si="26"/>
        <v>&lt;td class="FRCsched"&gt;Fort Richmond&lt;/td&gt;</v>
      </c>
      <c r="S204" t="str">
        <f t="shared" si="27"/>
        <v>&lt;td&gt;Guardian Invitational Tournament Consolation Semi 1&lt;/td&gt; &lt;/tr&gt;</v>
      </c>
    </row>
    <row r="205" spans="1:19" x14ac:dyDescent="0.25">
      <c r="A205" s="5">
        <v>42384</v>
      </c>
      <c r="B205" s="6">
        <v>0.64583333333333337</v>
      </c>
      <c r="C205" t="s">
        <v>108</v>
      </c>
      <c r="D205" t="s">
        <v>109</v>
      </c>
      <c r="E205">
        <v>31</v>
      </c>
      <c r="F205" t="s">
        <v>5</v>
      </c>
      <c r="G205" t="s">
        <v>62</v>
      </c>
      <c r="H205">
        <v>88</v>
      </c>
      <c r="J205" t="str">
        <f t="shared" si="21"/>
        <v>H</v>
      </c>
      <c r="K205" t="s">
        <v>199</v>
      </c>
      <c r="L205" t="s">
        <v>177</v>
      </c>
      <c r="N205" t="str">
        <f t="shared" si="22"/>
        <v>&lt;tr&gt; &lt;td&gt;Jan. 15&lt;/td&gt;</v>
      </c>
      <c r="O205" t="str">
        <f t="shared" si="23"/>
        <v>&lt;td&gt;3:30 PM&lt;/td&gt;</v>
      </c>
      <c r="P205" t="str">
        <f t="shared" si="24"/>
        <v>&lt;td class="CJSsched"&gt;Jeanne-Sauv&amp;eacute;&lt;/td&gt;</v>
      </c>
      <c r="Q205" t="str">
        <f t="shared" si="25"/>
        <v>&lt;td&gt;31 - 88&lt;/td&gt;</v>
      </c>
      <c r="R205" t="str">
        <f t="shared" si="26"/>
        <v>&lt;td class="GCIsched"&gt;Glenlawn&lt;/td&gt;</v>
      </c>
      <c r="S205" t="str">
        <f t="shared" si="27"/>
        <v>&lt;td&gt;St. Vital Invitational Consolation Semi 1&lt;/td&gt; &lt;/tr&gt;</v>
      </c>
    </row>
    <row r="206" spans="1:19" x14ac:dyDescent="0.25">
      <c r="A206" s="5">
        <v>42384</v>
      </c>
      <c r="B206" s="6">
        <v>0.66666666666666663</v>
      </c>
      <c r="C206" t="s">
        <v>16</v>
      </c>
      <c r="D206" t="s">
        <v>45</v>
      </c>
      <c r="E206">
        <v>48</v>
      </c>
      <c r="F206" t="s">
        <v>14</v>
      </c>
      <c r="G206" t="s">
        <v>94</v>
      </c>
      <c r="H206">
        <v>58</v>
      </c>
      <c r="J206" t="str">
        <f t="shared" si="21"/>
        <v>H</v>
      </c>
      <c r="K206" t="s">
        <v>14</v>
      </c>
      <c r="L206" t="s">
        <v>179</v>
      </c>
      <c r="N206" t="str">
        <f t="shared" si="22"/>
        <v>&lt;tr&gt; &lt;td&gt;Jan. 15&lt;/td&gt;</v>
      </c>
      <c r="O206" t="str">
        <f t="shared" si="23"/>
        <v>&lt;td&gt;4:00 PM&lt;/td&gt;</v>
      </c>
      <c r="P206" t="str">
        <f t="shared" si="24"/>
        <v>&lt;td class="MCsched"&gt;Maples&lt;/td&gt;</v>
      </c>
      <c r="Q206" t="str">
        <f t="shared" si="25"/>
        <v>&lt;td&gt;48 - 58&lt;/td&gt;</v>
      </c>
      <c r="R206" t="str">
        <f t="shared" si="26"/>
        <v>&lt;td class="SHCsched"&gt;Sturgeon Heights&lt;/td&gt;</v>
      </c>
      <c r="S206" t="str">
        <f t="shared" si="27"/>
        <v>&lt;td&gt;Sturgeon Heights Semifinal 1&lt;/td&gt; &lt;/tr&gt;</v>
      </c>
    </row>
    <row r="207" spans="1:19" x14ac:dyDescent="0.25">
      <c r="A207" s="5">
        <v>42384</v>
      </c>
      <c r="B207" s="6">
        <v>0.71875</v>
      </c>
      <c r="C207" t="s">
        <v>11</v>
      </c>
      <c r="D207" t="s">
        <v>48</v>
      </c>
      <c r="E207">
        <v>87</v>
      </c>
      <c r="F207" t="s">
        <v>8</v>
      </c>
      <c r="G207" t="s">
        <v>60</v>
      </c>
      <c r="H207">
        <v>47</v>
      </c>
      <c r="J207" t="str">
        <f t="shared" si="21"/>
        <v>V</v>
      </c>
      <c r="K207" t="s">
        <v>199</v>
      </c>
      <c r="L207" t="s">
        <v>178</v>
      </c>
      <c r="N207" t="str">
        <f t="shared" si="22"/>
        <v>&lt;tr&gt; &lt;td&gt;Jan. 15&lt;/td&gt;</v>
      </c>
      <c r="O207" t="str">
        <f t="shared" si="23"/>
        <v>&lt;td&gt;5:15 PM&lt;/td&gt;</v>
      </c>
      <c r="P207" t="str">
        <f t="shared" si="24"/>
        <v>&lt;td class="MMCsched"&gt;Miles Macdonell&lt;/td&gt;</v>
      </c>
      <c r="Q207" t="str">
        <f t="shared" si="25"/>
        <v>&lt;td&gt;87 - 47&lt;/td&gt;</v>
      </c>
      <c r="R207" t="str">
        <f t="shared" si="26"/>
        <v>&lt;td class="DCIsched"&gt;Dakota&lt;/td&gt;</v>
      </c>
      <c r="S207" t="str">
        <f t="shared" si="27"/>
        <v>&lt;td&gt;St. Vital Invitational Consolation Semi 2&lt;/td&gt; &lt;/tr&gt;</v>
      </c>
    </row>
    <row r="208" spans="1:19" x14ac:dyDescent="0.25">
      <c r="A208" s="5">
        <v>42384</v>
      </c>
      <c r="B208" s="6">
        <v>0.75</v>
      </c>
      <c r="C208" t="s">
        <v>21</v>
      </c>
      <c r="D208" t="s">
        <v>64</v>
      </c>
      <c r="E208">
        <v>45</v>
      </c>
      <c r="F208" t="s">
        <v>253</v>
      </c>
      <c r="H208">
        <v>32</v>
      </c>
      <c r="J208" t="str">
        <f t="shared" si="21"/>
        <v>V</v>
      </c>
      <c r="K208" t="s">
        <v>14</v>
      </c>
      <c r="L208" t="s">
        <v>177</v>
      </c>
      <c r="N208" t="str">
        <f t="shared" si="22"/>
        <v>&lt;tr&gt; &lt;td&gt;Jan. 15&lt;/td&gt;</v>
      </c>
      <c r="O208" t="str">
        <f t="shared" si="23"/>
        <v>&lt;td&gt;6:00 PM&lt;/td&gt;</v>
      </c>
      <c r="P208" t="str">
        <f t="shared" si="24"/>
        <v>&lt;td class="JHBsched"&gt;J.H. Bruns&lt;/td&gt;</v>
      </c>
      <c r="Q208" t="str">
        <f t="shared" si="25"/>
        <v>&lt;td&gt;45 - 32&lt;/td&gt;</v>
      </c>
      <c r="R208" t="str">
        <f t="shared" si="26"/>
        <v>&lt;td class="sched"&gt;St. James&lt;/td&gt;</v>
      </c>
      <c r="S208" t="str">
        <f t="shared" si="27"/>
        <v>&lt;td&gt;Sturgeon Heights Consolation Semi 1&lt;/td&gt; &lt;/tr&gt;</v>
      </c>
    </row>
    <row r="209" spans="1:19" x14ac:dyDescent="0.25">
      <c r="A209" s="5">
        <v>42384</v>
      </c>
      <c r="B209" s="6">
        <v>0.79166666666666663</v>
      </c>
      <c r="C209" t="s">
        <v>23</v>
      </c>
      <c r="D209" t="s">
        <v>80</v>
      </c>
      <c r="E209">
        <v>77</v>
      </c>
      <c r="F209" t="s">
        <v>4</v>
      </c>
      <c r="G209" t="s">
        <v>41</v>
      </c>
      <c r="H209">
        <v>73</v>
      </c>
      <c r="J209" t="str">
        <f t="shared" si="21"/>
        <v>V</v>
      </c>
      <c r="K209" t="s">
        <v>199</v>
      </c>
      <c r="L209" t="s">
        <v>179</v>
      </c>
      <c r="N209" t="str">
        <f t="shared" si="22"/>
        <v>&lt;tr&gt; &lt;td&gt;Jan. 15&lt;/td&gt;</v>
      </c>
      <c r="O209" t="str">
        <f t="shared" si="23"/>
        <v>&lt;td&gt;7:00 PM&lt;/td&gt;</v>
      </c>
      <c r="P209" t="str">
        <f t="shared" si="24"/>
        <v>&lt;td class="VMCsched"&gt;Vincent Massey&lt;/td&gt;</v>
      </c>
      <c r="Q209" t="str">
        <f t="shared" si="25"/>
        <v>&lt;td&gt;77 - 73&lt;/td&gt;</v>
      </c>
      <c r="R209" t="str">
        <f t="shared" si="26"/>
        <v>&lt;td class="GCCsched"&gt;Garden City&lt;/td&gt;</v>
      </c>
      <c r="S209" t="str">
        <f t="shared" si="27"/>
        <v>&lt;td&gt;St. Vital Invitational Semifinal 1&lt;/td&gt; &lt;/tr&gt;</v>
      </c>
    </row>
    <row r="210" spans="1:19" x14ac:dyDescent="0.25">
      <c r="A210" s="5">
        <v>42384</v>
      </c>
      <c r="B210" s="6">
        <v>0.83333333333333337</v>
      </c>
      <c r="C210" t="s">
        <v>22</v>
      </c>
      <c r="D210" t="s">
        <v>66</v>
      </c>
      <c r="E210">
        <v>44</v>
      </c>
      <c r="F210" t="s">
        <v>104</v>
      </c>
      <c r="G210" t="s">
        <v>105</v>
      </c>
      <c r="H210">
        <v>12</v>
      </c>
      <c r="J210" t="str">
        <f t="shared" si="21"/>
        <v>V</v>
      </c>
      <c r="K210" t="s">
        <v>14</v>
      </c>
      <c r="L210" t="s">
        <v>178</v>
      </c>
      <c r="N210" t="str">
        <f t="shared" si="22"/>
        <v>&lt;tr&gt; &lt;td&gt;Jan. 15&lt;/td&gt;</v>
      </c>
      <c r="O210" t="str">
        <f t="shared" si="23"/>
        <v>&lt;td&gt;8:00 PM&lt;/td&gt;</v>
      </c>
      <c r="P210" t="str">
        <f t="shared" si="24"/>
        <v>&lt;td class="SRSSsched"&gt;Steinbach&lt;/td&gt;</v>
      </c>
      <c r="Q210" t="str">
        <f t="shared" si="25"/>
        <v>&lt;td&gt;44 - 12&lt;/td&gt;</v>
      </c>
      <c r="R210" t="str">
        <f t="shared" si="26"/>
        <v>&lt;td class="SCIsched"&gt;Springfield&lt;/td&gt;</v>
      </c>
      <c r="S210" t="str">
        <f t="shared" si="27"/>
        <v>&lt;td&gt;Sturgeon Heights Consolation Semi 2&lt;/td&gt; &lt;/tr&gt;</v>
      </c>
    </row>
    <row r="211" spans="1:19" x14ac:dyDescent="0.25">
      <c r="A211" s="5">
        <v>42384</v>
      </c>
      <c r="B211" s="6">
        <v>0.86458333333333337</v>
      </c>
      <c r="C211" t="s">
        <v>722</v>
      </c>
      <c r="E211">
        <v>60</v>
      </c>
      <c r="F211" t="s">
        <v>1</v>
      </c>
      <c r="G211" t="s">
        <v>74</v>
      </c>
      <c r="H211">
        <v>82</v>
      </c>
      <c r="J211" t="str">
        <f t="shared" si="21"/>
        <v>H</v>
      </c>
      <c r="K211" t="s">
        <v>199</v>
      </c>
      <c r="L211" t="s">
        <v>180</v>
      </c>
      <c r="N211" t="str">
        <f t="shared" si="22"/>
        <v>&lt;tr&gt; &lt;td&gt;Jan. 15&lt;/td&gt;</v>
      </c>
      <c r="O211" t="str">
        <f t="shared" si="23"/>
        <v>&lt;td&gt;8:45 PM&lt;/td&gt;</v>
      </c>
      <c r="P211" t="str">
        <f t="shared" si="24"/>
        <v>&lt;td class="sched"&gt;AMC of Notre Dame&lt;/td&gt;</v>
      </c>
      <c r="Q211" t="str">
        <f t="shared" si="25"/>
        <v>&lt;td&gt;60 - 82&lt;/td&gt;</v>
      </c>
      <c r="R211" t="str">
        <f t="shared" si="26"/>
        <v>&lt;td class="OPHSsched"&gt;Oak Park&lt;/td&gt;</v>
      </c>
      <c r="S211" t="str">
        <f t="shared" si="27"/>
        <v>&lt;td&gt;St. Vital Invitational Semifinal 2&lt;/td&gt; &lt;/tr&gt;</v>
      </c>
    </row>
    <row r="212" spans="1:19" x14ac:dyDescent="0.25">
      <c r="A212" s="5">
        <v>42384</v>
      </c>
      <c r="C212" t="s">
        <v>291</v>
      </c>
      <c r="E212">
        <v>34</v>
      </c>
      <c r="F212" t="s">
        <v>162</v>
      </c>
      <c r="G212" t="s">
        <v>164</v>
      </c>
      <c r="H212">
        <v>73</v>
      </c>
      <c r="J212" t="str">
        <f t="shared" si="21"/>
        <v>H</v>
      </c>
      <c r="K212" t="s">
        <v>569</v>
      </c>
      <c r="L212" t="s">
        <v>211</v>
      </c>
      <c r="N212" t="str">
        <f t="shared" si="22"/>
        <v>&lt;tr&gt; &lt;td&gt;Jan. 15&lt;/td&gt;</v>
      </c>
      <c r="O212" t="str">
        <f t="shared" si="23"/>
        <v>&lt;td&gt;&lt;/td&gt;</v>
      </c>
      <c r="P212" t="str">
        <f t="shared" si="24"/>
        <v>&lt;td class="sched"&gt;Treherne&lt;/td&gt;</v>
      </c>
      <c r="Q212" t="str">
        <f t="shared" si="25"/>
        <v>&lt;td&gt;34 - 73&lt;/td&gt;</v>
      </c>
      <c r="R212" t="str">
        <f t="shared" si="26"/>
        <v>&lt;td class="GVCsched"&gt;Garden Valley&lt;/td&gt;</v>
      </c>
      <c r="S212" t="str">
        <f t="shared" si="27"/>
        <v>&lt;td&gt;Zodiacs Invitational Pool A&lt;/td&gt; &lt;/tr&gt;</v>
      </c>
    </row>
    <row r="213" spans="1:19" x14ac:dyDescent="0.25">
      <c r="A213" s="5">
        <v>42384</v>
      </c>
      <c r="C213" t="s">
        <v>208</v>
      </c>
      <c r="E213">
        <v>53</v>
      </c>
      <c r="F213" t="s">
        <v>162</v>
      </c>
      <c r="G213" t="s">
        <v>164</v>
      </c>
      <c r="H213">
        <v>46</v>
      </c>
      <c r="J213" t="str">
        <f t="shared" si="21"/>
        <v>V</v>
      </c>
      <c r="K213" t="s">
        <v>569</v>
      </c>
      <c r="L213" t="s">
        <v>211</v>
      </c>
      <c r="N213" t="str">
        <f t="shared" si="22"/>
        <v>&lt;tr&gt; &lt;td&gt;Jan. 15&lt;/td&gt;</v>
      </c>
      <c r="O213" t="str">
        <f t="shared" si="23"/>
        <v>&lt;td&gt;&lt;/td&gt;</v>
      </c>
      <c r="P213" t="str">
        <f t="shared" si="24"/>
        <v>&lt;td class="sched"&gt;Linden Christian&lt;/td&gt;</v>
      </c>
      <c r="Q213" t="str">
        <f t="shared" si="25"/>
        <v>&lt;td&gt;53 - 46&lt;/td&gt;</v>
      </c>
      <c r="R213" t="str">
        <f t="shared" si="26"/>
        <v>&lt;td class="GVCsched"&gt;Garden Valley&lt;/td&gt;</v>
      </c>
      <c r="S213" t="str">
        <f t="shared" si="27"/>
        <v>&lt;td&gt;Zodiacs Invitational Pool A&lt;/td&gt; &lt;/tr&gt;</v>
      </c>
    </row>
    <row r="214" spans="1:19" x14ac:dyDescent="0.25">
      <c r="A214" s="5">
        <v>42384</v>
      </c>
      <c r="C214" t="s">
        <v>28</v>
      </c>
      <c r="D214" t="s">
        <v>90</v>
      </c>
      <c r="E214">
        <v>47</v>
      </c>
      <c r="F214" t="s">
        <v>23</v>
      </c>
      <c r="G214" t="s">
        <v>102</v>
      </c>
      <c r="H214">
        <v>26</v>
      </c>
      <c r="J214" t="str">
        <f t="shared" si="21"/>
        <v>V</v>
      </c>
      <c r="K214" t="s">
        <v>569</v>
      </c>
      <c r="L214" t="s">
        <v>212</v>
      </c>
      <c r="N214" t="str">
        <f t="shared" si="22"/>
        <v>&lt;tr&gt; &lt;td&gt;Jan. 15&lt;/td&gt;</v>
      </c>
      <c r="O214" t="str">
        <f t="shared" si="23"/>
        <v>&lt;td&gt;&lt;/td&gt;</v>
      </c>
      <c r="P214" t="str">
        <f t="shared" si="24"/>
        <v>&lt;td class="PCIsched"&gt;Portage&lt;/td&gt;</v>
      </c>
      <c r="Q214" t="str">
        <f t="shared" si="25"/>
        <v>&lt;td&gt;47 - 26&lt;/td&gt;</v>
      </c>
      <c r="R214" t="str">
        <f t="shared" si="26"/>
        <v>&lt;td class="VMHSsched"&gt;Vincent Massey&lt;/td&gt;</v>
      </c>
      <c r="S214" t="str">
        <f t="shared" si="27"/>
        <v>&lt;td&gt;Zodiacs Invitational Pool B&lt;/td&gt; &lt;/tr&gt;</v>
      </c>
    </row>
    <row r="215" spans="1:19" x14ac:dyDescent="0.25">
      <c r="A215" s="5">
        <v>42384</v>
      </c>
      <c r="C215" t="s">
        <v>570</v>
      </c>
      <c r="E215">
        <v>39</v>
      </c>
      <c r="F215" t="s">
        <v>28</v>
      </c>
      <c r="G215" t="s">
        <v>90</v>
      </c>
      <c r="H215">
        <v>69</v>
      </c>
      <c r="J215" t="str">
        <f t="shared" si="21"/>
        <v>H</v>
      </c>
      <c r="K215" t="s">
        <v>569</v>
      </c>
      <c r="L215" t="s">
        <v>212</v>
      </c>
      <c r="N215" t="str">
        <f t="shared" si="22"/>
        <v>&lt;tr&gt; &lt;td&gt;Jan. 15&lt;/td&gt;</v>
      </c>
      <c r="O215" t="str">
        <f t="shared" si="23"/>
        <v>&lt;td&gt;&lt;/td&gt;</v>
      </c>
      <c r="P215" t="str">
        <f t="shared" si="24"/>
        <v>&lt;td class="sched"&gt;Garden Valley JV&lt;/td&gt;</v>
      </c>
      <c r="Q215" t="str">
        <f t="shared" si="25"/>
        <v>&lt;td&gt;39 - 69&lt;/td&gt;</v>
      </c>
      <c r="R215" t="str">
        <f t="shared" si="26"/>
        <v>&lt;td class="PCIsched"&gt;Portage&lt;/td&gt;</v>
      </c>
      <c r="S215" t="str">
        <f t="shared" si="27"/>
        <v>&lt;td&gt;Zodiacs Invitational Pool B&lt;/td&gt; &lt;/tr&gt;</v>
      </c>
    </row>
    <row r="216" spans="1:19" x14ac:dyDescent="0.25">
      <c r="A216" s="5">
        <v>42384</v>
      </c>
      <c r="C216" t="s">
        <v>25</v>
      </c>
      <c r="D216" t="s">
        <v>84</v>
      </c>
      <c r="E216">
        <v>18</v>
      </c>
      <c r="F216" t="s">
        <v>2</v>
      </c>
      <c r="G216" t="s">
        <v>43</v>
      </c>
      <c r="H216">
        <v>62</v>
      </c>
      <c r="J216" t="str">
        <f t="shared" si="21"/>
        <v>H</v>
      </c>
      <c r="K216" t="s">
        <v>571</v>
      </c>
      <c r="L216" t="s">
        <v>173</v>
      </c>
      <c r="N216" t="str">
        <f t="shared" si="22"/>
        <v>&lt;tr&gt; &lt;td&gt;Jan. 15&lt;/td&gt;</v>
      </c>
      <c r="O216" t="str">
        <f t="shared" si="23"/>
        <v>&lt;td&gt;&lt;/td&gt;</v>
      </c>
      <c r="P216" t="str">
        <f t="shared" si="24"/>
        <v>&lt;td class="EHSsched"&gt;Elmwood&lt;/td&gt;</v>
      </c>
      <c r="Q216" t="str">
        <f t="shared" si="25"/>
        <v>&lt;td&gt;18 - 62&lt;/td&gt;</v>
      </c>
      <c r="R216" t="str">
        <f t="shared" si="26"/>
        <v>&lt;td class="KECsched"&gt;Kildonan-East&lt;/td&gt;</v>
      </c>
      <c r="S216" t="str">
        <f t="shared" si="27"/>
        <v>&lt;td&gt;Reiver Invitational Quarterfinal 1&lt;/td&gt; &lt;/tr&gt;</v>
      </c>
    </row>
    <row r="217" spans="1:19" x14ac:dyDescent="0.25">
      <c r="A217" s="5">
        <v>42384</v>
      </c>
      <c r="C217" t="s">
        <v>218</v>
      </c>
      <c r="E217">
        <v>42</v>
      </c>
      <c r="F217" t="s">
        <v>10</v>
      </c>
      <c r="G217" t="s">
        <v>72</v>
      </c>
      <c r="H217">
        <v>46</v>
      </c>
      <c r="J217" t="str">
        <f t="shared" si="21"/>
        <v>H</v>
      </c>
      <c r="K217" t="s">
        <v>571</v>
      </c>
      <c r="L217" t="s">
        <v>174</v>
      </c>
      <c r="N217" t="str">
        <f t="shared" si="22"/>
        <v>&lt;tr&gt; &lt;td&gt;Jan. 15&lt;/td&gt;</v>
      </c>
      <c r="O217" t="str">
        <f t="shared" si="23"/>
        <v>&lt;td&gt;&lt;/td&gt;</v>
      </c>
      <c r="P217" t="str">
        <f t="shared" si="24"/>
        <v>&lt;td class="sched"&gt;Stonewall&lt;/td&gt;</v>
      </c>
      <c r="Q217" t="str">
        <f t="shared" si="25"/>
        <v>&lt;td&gt;42 - 46&lt;/td&gt;</v>
      </c>
      <c r="R217" t="str">
        <f t="shared" si="26"/>
        <v>&lt;td class="KHSsched"&gt;Kelvin&lt;/td&gt;</v>
      </c>
      <c r="S217" t="str">
        <f t="shared" si="27"/>
        <v>&lt;td&gt;Reiver Invitational Quarterfinal 2&lt;/td&gt; &lt;/tr&gt;</v>
      </c>
    </row>
    <row r="218" spans="1:19" x14ac:dyDescent="0.25">
      <c r="A218" s="5">
        <v>42384</v>
      </c>
      <c r="C218" t="s">
        <v>30</v>
      </c>
      <c r="D218" t="s">
        <v>92</v>
      </c>
      <c r="E218">
        <v>39</v>
      </c>
      <c r="F218" t="s">
        <v>240</v>
      </c>
      <c r="H218">
        <v>38</v>
      </c>
      <c r="J218" t="str">
        <f t="shared" si="21"/>
        <v>V</v>
      </c>
      <c r="K218" t="s">
        <v>724</v>
      </c>
      <c r="L218" t="s">
        <v>173</v>
      </c>
      <c r="N218" t="str">
        <f t="shared" si="22"/>
        <v>&lt;tr&gt; &lt;td&gt;Jan. 15&lt;/td&gt;</v>
      </c>
      <c r="O218" t="str">
        <f t="shared" si="23"/>
        <v>&lt;td&gt;&lt;/td&gt;</v>
      </c>
      <c r="P218" t="str">
        <f t="shared" si="24"/>
        <v>&lt;td class="SJHSsched"&gt;St. John's&lt;/td&gt;</v>
      </c>
      <c r="Q218" t="str">
        <f t="shared" si="25"/>
        <v>&lt;td&gt;39 - 38&lt;/td&gt;</v>
      </c>
      <c r="R218" t="str">
        <f t="shared" si="26"/>
        <v>&lt;td class="sched"&gt;Nelson McIntyre&lt;/td&gt;</v>
      </c>
      <c r="S218" t="str">
        <f t="shared" si="27"/>
        <v>&lt;td&gt;Lady Mac Attack Quarterfinal 1&lt;/td&gt; &lt;/tr&gt;</v>
      </c>
    </row>
    <row r="219" spans="1:19" x14ac:dyDescent="0.25">
      <c r="A219" s="5">
        <v>42385</v>
      </c>
      <c r="B219" s="6">
        <v>0.375</v>
      </c>
      <c r="C219" t="s">
        <v>29</v>
      </c>
      <c r="D219" t="s">
        <v>91</v>
      </c>
      <c r="E219">
        <v>69</v>
      </c>
      <c r="F219" t="s">
        <v>27</v>
      </c>
      <c r="G219" t="s">
        <v>88</v>
      </c>
      <c r="H219">
        <v>41</v>
      </c>
      <c r="J219" t="str">
        <f t="shared" si="21"/>
        <v>V</v>
      </c>
      <c r="K219" t="s">
        <v>14</v>
      </c>
      <c r="L219" t="s">
        <v>180</v>
      </c>
      <c r="N219" t="str">
        <f t="shared" si="22"/>
        <v>&lt;tr&gt; &lt;td&gt;Jan. 16&lt;/td&gt;</v>
      </c>
      <c r="O219" t="str">
        <f t="shared" si="23"/>
        <v>&lt;td&gt;9:00 AM&lt;/td&gt;</v>
      </c>
      <c r="P219" t="str">
        <f t="shared" si="24"/>
        <v>&lt;td class="ShHSsched"&gt;Shaftesbury&lt;/td&gt;</v>
      </c>
      <c r="Q219" t="str">
        <f t="shared" si="25"/>
        <v>&lt;td&gt;69 - 41&lt;/td&gt;</v>
      </c>
      <c r="R219" t="str">
        <f t="shared" si="26"/>
        <v>&lt;td class="GPHSsched"&gt;Grant Park&lt;/td&gt;</v>
      </c>
      <c r="S219" t="str">
        <f t="shared" si="27"/>
        <v>&lt;td&gt;Sturgeon Heights Semifinal 2&lt;/td&gt; &lt;/tr&gt;</v>
      </c>
    </row>
    <row r="220" spans="1:19" x14ac:dyDescent="0.25">
      <c r="A220" s="5">
        <v>42385</v>
      </c>
      <c r="B220" s="6">
        <v>0.375</v>
      </c>
      <c r="C220" t="s">
        <v>564</v>
      </c>
      <c r="E220">
        <v>44</v>
      </c>
      <c r="F220" t="s">
        <v>15</v>
      </c>
      <c r="G220" t="s">
        <v>68</v>
      </c>
      <c r="H220">
        <v>34</v>
      </c>
      <c r="J220" t="str">
        <f t="shared" si="21"/>
        <v>V</v>
      </c>
      <c r="K220" t="s">
        <v>824</v>
      </c>
      <c r="L220" t="s">
        <v>181</v>
      </c>
      <c r="N220" t="str">
        <f t="shared" si="22"/>
        <v>&lt;tr&gt; &lt;td&gt;Jan. 16&lt;/td&gt;</v>
      </c>
      <c r="O220" t="str">
        <f t="shared" si="23"/>
        <v>&lt;td&gt;9:00 AM&lt;/td&gt;</v>
      </c>
      <c r="P220" t="str">
        <f t="shared" si="24"/>
        <v>&lt;td class="sched"&gt;LeBoldus&lt;/td&gt;</v>
      </c>
      <c r="Q220" t="str">
        <f t="shared" si="25"/>
        <v>&lt;td&gt;44 - 34&lt;/td&gt;</v>
      </c>
      <c r="R220" t="str">
        <f t="shared" si="26"/>
        <v>&lt;td class="FRCsched"&gt;Fort Richmond&lt;/td&gt;</v>
      </c>
      <c r="S220" t="str">
        <f t="shared" si="27"/>
        <v>&lt;td&gt;Guardian Invitational Tournament 7th Place&lt;/td&gt; &lt;/tr&gt;</v>
      </c>
    </row>
    <row r="221" spans="1:19" x14ac:dyDescent="0.25">
      <c r="A221" s="5">
        <v>42385</v>
      </c>
      <c r="B221" s="6">
        <v>0.41666666666666669</v>
      </c>
      <c r="C221" t="s">
        <v>8</v>
      </c>
      <c r="D221" t="s">
        <v>60</v>
      </c>
      <c r="E221">
        <v>53</v>
      </c>
      <c r="F221" t="s">
        <v>108</v>
      </c>
      <c r="G221" t="s">
        <v>109</v>
      </c>
      <c r="H221">
        <v>25</v>
      </c>
      <c r="J221" t="str">
        <f t="shared" si="21"/>
        <v>V</v>
      </c>
      <c r="K221" t="s">
        <v>199</v>
      </c>
      <c r="L221" t="s">
        <v>181</v>
      </c>
      <c r="N221" t="str">
        <f t="shared" si="22"/>
        <v>&lt;tr&gt; &lt;td&gt;Jan. 16&lt;/td&gt;</v>
      </c>
      <c r="O221" t="str">
        <f t="shared" si="23"/>
        <v>&lt;td&gt;10:00 AM&lt;/td&gt;</v>
      </c>
      <c r="P221" t="str">
        <f t="shared" si="24"/>
        <v>&lt;td class="DCIsched"&gt;Dakota&lt;/td&gt;</v>
      </c>
      <c r="Q221" t="str">
        <f t="shared" si="25"/>
        <v>&lt;td&gt;53 - 25&lt;/td&gt;</v>
      </c>
      <c r="R221" t="str">
        <f t="shared" si="26"/>
        <v>&lt;td class="CJSsched"&gt;Jeanne-Sauv&amp;eacute;&lt;/td&gt;</v>
      </c>
      <c r="S221" t="str">
        <f t="shared" si="27"/>
        <v>&lt;td&gt;St. Vital Invitational 7th Place&lt;/td&gt; &lt;/tr&gt;</v>
      </c>
    </row>
    <row r="222" spans="1:19" x14ac:dyDescent="0.25">
      <c r="A222" s="5">
        <v>42385</v>
      </c>
      <c r="B222" s="6">
        <v>0.45833333333333331</v>
      </c>
      <c r="C222" t="s">
        <v>104</v>
      </c>
      <c r="D222" t="s">
        <v>105</v>
      </c>
      <c r="E222">
        <v>39</v>
      </c>
      <c r="F222" t="s">
        <v>253</v>
      </c>
      <c r="H222">
        <v>49</v>
      </c>
      <c r="J222" t="str">
        <f t="shared" si="21"/>
        <v>H</v>
      </c>
      <c r="K222" t="s">
        <v>14</v>
      </c>
      <c r="L222" t="s">
        <v>181</v>
      </c>
      <c r="N222" t="str">
        <f t="shared" si="22"/>
        <v>&lt;tr&gt; &lt;td&gt;Jan. 16&lt;/td&gt;</v>
      </c>
      <c r="O222" t="str">
        <f t="shared" si="23"/>
        <v>&lt;td&gt;11:00 AM&lt;/td&gt;</v>
      </c>
      <c r="P222" t="str">
        <f t="shared" si="24"/>
        <v>&lt;td class="SCIsched"&gt;Springfield&lt;/td&gt;</v>
      </c>
      <c r="Q222" t="str">
        <f t="shared" si="25"/>
        <v>&lt;td&gt;39 - 49&lt;/td&gt;</v>
      </c>
      <c r="R222" t="str">
        <f t="shared" si="26"/>
        <v>&lt;td class="sched"&gt;St. James&lt;/td&gt;</v>
      </c>
      <c r="S222" t="str">
        <f t="shared" si="27"/>
        <v>&lt;td&gt;Sturgeon Heights 7th Place&lt;/td&gt; &lt;/tr&gt;</v>
      </c>
    </row>
    <row r="223" spans="1:19" x14ac:dyDescent="0.25">
      <c r="A223" s="5">
        <v>42385</v>
      </c>
      <c r="B223" s="6">
        <v>0.48958333333333331</v>
      </c>
      <c r="C223" t="s">
        <v>11</v>
      </c>
      <c r="D223" t="s">
        <v>48</v>
      </c>
      <c r="E223">
        <v>51</v>
      </c>
      <c r="F223" t="s">
        <v>5</v>
      </c>
      <c r="G223" t="s">
        <v>62</v>
      </c>
      <c r="H223">
        <v>53</v>
      </c>
      <c r="J223" t="str">
        <f t="shared" si="21"/>
        <v>H</v>
      </c>
      <c r="K223" t="s">
        <v>199</v>
      </c>
      <c r="L223" t="s">
        <v>182</v>
      </c>
      <c r="N223" t="str">
        <f t="shared" si="22"/>
        <v>&lt;tr&gt; &lt;td&gt;Jan. 16&lt;/td&gt;</v>
      </c>
      <c r="O223" t="str">
        <f t="shared" si="23"/>
        <v>&lt;td&gt;11:45 AM&lt;/td&gt;</v>
      </c>
      <c r="P223" t="str">
        <f t="shared" si="24"/>
        <v>&lt;td class="MMCsched"&gt;Miles Macdonell&lt;/td&gt;</v>
      </c>
      <c r="Q223" t="str">
        <f t="shared" si="25"/>
        <v>&lt;td&gt;51 - 53&lt;/td&gt;</v>
      </c>
      <c r="R223" t="str">
        <f t="shared" si="26"/>
        <v>&lt;td class="GCIsched"&gt;Glenlawn&lt;/td&gt;</v>
      </c>
      <c r="S223" t="str">
        <f t="shared" si="27"/>
        <v>&lt;td&gt;St. Vital Invitational Consolation Final&lt;/td&gt; &lt;/tr&gt;</v>
      </c>
    </row>
    <row r="224" spans="1:19" x14ac:dyDescent="0.25">
      <c r="A224" s="5">
        <v>42385</v>
      </c>
      <c r="B224" s="6">
        <v>0.54166666666666663</v>
      </c>
      <c r="C224" t="s">
        <v>22</v>
      </c>
      <c r="D224" t="s">
        <v>66</v>
      </c>
      <c r="E224">
        <v>32</v>
      </c>
      <c r="F224" t="s">
        <v>21</v>
      </c>
      <c r="G224" t="s">
        <v>64</v>
      </c>
      <c r="H224">
        <v>37</v>
      </c>
      <c r="J224" t="str">
        <f t="shared" si="21"/>
        <v>H</v>
      </c>
      <c r="K224" t="s">
        <v>14</v>
      </c>
      <c r="L224" t="s">
        <v>182</v>
      </c>
      <c r="N224" t="str">
        <f t="shared" si="22"/>
        <v>&lt;tr&gt; &lt;td&gt;Jan. 16&lt;/td&gt;</v>
      </c>
      <c r="O224" t="str">
        <f t="shared" si="23"/>
        <v>&lt;td&gt;1:00 PM&lt;/td&gt;</v>
      </c>
      <c r="P224" t="str">
        <f t="shared" si="24"/>
        <v>&lt;td class="SRSSsched"&gt;Steinbach&lt;/td&gt;</v>
      </c>
      <c r="Q224" t="str">
        <f t="shared" si="25"/>
        <v>&lt;td&gt;32 - 37&lt;/td&gt;</v>
      </c>
      <c r="R224" t="str">
        <f t="shared" si="26"/>
        <v>&lt;td class="JHBsched"&gt;J.H. Bruns&lt;/td&gt;</v>
      </c>
      <c r="S224" t="str">
        <f t="shared" si="27"/>
        <v>&lt;td&gt;Sturgeon Heights Consolation Final&lt;/td&gt; &lt;/tr&gt;</v>
      </c>
    </row>
    <row r="225" spans="1:19" x14ac:dyDescent="0.25">
      <c r="A225" s="5">
        <v>42385</v>
      </c>
      <c r="B225" s="6">
        <v>0.5625</v>
      </c>
      <c r="C225" t="s">
        <v>722</v>
      </c>
      <c r="E225">
        <v>42</v>
      </c>
      <c r="F225" t="s">
        <v>4</v>
      </c>
      <c r="G225" t="s">
        <v>41</v>
      </c>
      <c r="H225">
        <v>64</v>
      </c>
      <c r="J225" t="str">
        <f t="shared" si="21"/>
        <v>H</v>
      </c>
      <c r="K225" t="s">
        <v>199</v>
      </c>
      <c r="L225" t="s">
        <v>183</v>
      </c>
      <c r="N225" t="str">
        <f t="shared" si="22"/>
        <v>&lt;tr&gt; &lt;td&gt;Jan. 16&lt;/td&gt;</v>
      </c>
      <c r="O225" t="str">
        <f t="shared" si="23"/>
        <v>&lt;td&gt;1:30 PM&lt;/td&gt;</v>
      </c>
      <c r="P225" t="str">
        <f t="shared" si="24"/>
        <v>&lt;td class="sched"&gt;AMC of Notre Dame&lt;/td&gt;</v>
      </c>
      <c r="Q225" t="str">
        <f t="shared" si="25"/>
        <v>&lt;td&gt;42 - 64&lt;/td&gt;</v>
      </c>
      <c r="R225" t="str">
        <f t="shared" si="26"/>
        <v>&lt;td class="GCCsched"&gt;Garden City&lt;/td&gt;</v>
      </c>
      <c r="S225" t="str">
        <f t="shared" si="27"/>
        <v>&lt;td&gt;St. Vital Invitational 3rd Place&lt;/td&gt; &lt;/tr&gt;</v>
      </c>
    </row>
    <row r="226" spans="1:19" x14ac:dyDescent="0.25">
      <c r="A226" s="5">
        <v>42385</v>
      </c>
      <c r="B226" s="6">
        <v>0.625</v>
      </c>
      <c r="C226" t="s">
        <v>27</v>
      </c>
      <c r="D226" t="s">
        <v>88</v>
      </c>
      <c r="E226">
        <v>47</v>
      </c>
      <c r="F226" t="s">
        <v>16</v>
      </c>
      <c r="G226" t="s">
        <v>45</v>
      </c>
      <c r="H226">
        <v>84</v>
      </c>
      <c r="J226" t="str">
        <f t="shared" si="21"/>
        <v>H</v>
      </c>
      <c r="K226" t="s">
        <v>14</v>
      </c>
      <c r="L226" t="s">
        <v>183</v>
      </c>
      <c r="N226" t="str">
        <f t="shared" si="22"/>
        <v>&lt;tr&gt; &lt;td&gt;Jan. 16&lt;/td&gt;</v>
      </c>
      <c r="O226" t="str">
        <f t="shared" si="23"/>
        <v>&lt;td&gt;3:00 PM&lt;/td&gt;</v>
      </c>
      <c r="P226" t="str">
        <f t="shared" si="24"/>
        <v>&lt;td class="GPHSsched"&gt;Grant Park&lt;/td&gt;</v>
      </c>
      <c r="Q226" t="str">
        <f t="shared" si="25"/>
        <v>&lt;td&gt;47 - 84&lt;/td&gt;</v>
      </c>
      <c r="R226" t="str">
        <f t="shared" si="26"/>
        <v>&lt;td class="MCsched"&gt;Maples&lt;/td&gt;</v>
      </c>
      <c r="S226" t="str">
        <f t="shared" si="27"/>
        <v>&lt;td&gt;Sturgeon Heights 3rd Place&lt;/td&gt; &lt;/tr&gt;</v>
      </c>
    </row>
    <row r="227" spans="1:19" x14ac:dyDescent="0.25">
      <c r="A227" s="5">
        <v>42385</v>
      </c>
      <c r="B227" s="6">
        <v>0.63541666666666663</v>
      </c>
      <c r="C227" t="s">
        <v>1</v>
      </c>
      <c r="D227" t="s">
        <v>74</v>
      </c>
      <c r="E227">
        <v>53</v>
      </c>
      <c r="F227" t="s">
        <v>23</v>
      </c>
      <c r="G227" t="s">
        <v>80</v>
      </c>
      <c r="H227">
        <v>71</v>
      </c>
      <c r="J227" t="str">
        <f t="shared" si="21"/>
        <v>H</v>
      </c>
      <c r="K227" t="s">
        <v>199</v>
      </c>
      <c r="L227" t="s">
        <v>184</v>
      </c>
      <c r="N227" t="str">
        <f t="shared" si="22"/>
        <v>&lt;tr&gt; &lt;td&gt;Jan. 16&lt;/td&gt;</v>
      </c>
      <c r="O227" t="str">
        <f t="shared" si="23"/>
        <v>&lt;td&gt;3:15 PM&lt;/td&gt;</v>
      </c>
      <c r="P227" t="str">
        <f t="shared" si="24"/>
        <v>&lt;td class="OPHSsched"&gt;Oak Park&lt;/td&gt;</v>
      </c>
      <c r="Q227" t="str">
        <f t="shared" si="25"/>
        <v>&lt;td&gt;53 - 71&lt;/td&gt;</v>
      </c>
      <c r="R227" t="str">
        <f t="shared" si="26"/>
        <v>&lt;td class="VMCsched"&gt;Vincent Massey&lt;/td&gt;</v>
      </c>
      <c r="S227" t="str">
        <f t="shared" si="27"/>
        <v>&lt;td&gt;St. Vital Invitational Championship&lt;/td&gt; &lt;/tr&gt;</v>
      </c>
    </row>
    <row r="228" spans="1:19" x14ac:dyDescent="0.25">
      <c r="A228" s="5">
        <v>42385</v>
      </c>
      <c r="B228" s="6">
        <v>0.70833333333333337</v>
      </c>
      <c r="C228" t="s">
        <v>29</v>
      </c>
      <c r="D228" t="s">
        <v>91</v>
      </c>
      <c r="E228">
        <v>39</v>
      </c>
      <c r="F228" t="s">
        <v>14</v>
      </c>
      <c r="G228" t="s">
        <v>94</v>
      </c>
      <c r="H228">
        <v>58</v>
      </c>
      <c r="J228" t="str">
        <f t="shared" si="21"/>
        <v>H</v>
      </c>
      <c r="K228" t="s">
        <v>14</v>
      </c>
      <c r="L228" t="s">
        <v>184</v>
      </c>
      <c r="N228" t="str">
        <f t="shared" si="22"/>
        <v>&lt;tr&gt; &lt;td&gt;Jan. 16&lt;/td&gt;</v>
      </c>
      <c r="O228" t="str">
        <f t="shared" si="23"/>
        <v>&lt;td&gt;5:00 PM&lt;/td&gt;</v>
      </c>
      <c r="P228" t="str">
        <f t="shared" si="24"/>
        <v>&lt;td class="ShHSsched"&gt;Shaftesbury&lt;/td&gt;</v>
      </c>
      <c r="Q228" t="str">
        <f t="shared" si="25"/>
        <v>&lt;td&gt;39 - 58&lt;/td&gt;</v>
      </c>
      <c r="R228" t="str">
        <f t="shared" si="26"/>
        <v>&lt;td class="SHCsched"&gt;Sturgeon Heights&lt;/td&gt;</v>
      </c>
      <c r="S228" t="str">
        <f t="shared" si="27"/>
        <v>&lt;td&gt;Sturgeon Heights Championship&lt;/td&gt; &lt;/tr&gt;</v>
      </c>
    </row>
    <row r="229" spans="1:19" x14ac:dyDescent="0.25">
      <c r="A229" s="5">
        <v>42385</v>
      </c>
      <c r="C229" t="s">
        <v>23</v>
      </c>
      <c r="D229" t="s">
        <v>102</v>
      </c>
      <c r="E229">
        <v>52</v>
      </c>
      <c r="F229" t="s">
        <v>570</v>
      </c>
      <c r="H229">
        <v>26</v>
      </c>
      <c r="J229" t="str">
        <f t="shared" si="21"/>
        <v>V</v>
      </c>
      <c r="K229" t="s">
        <v>569</v>
      </c>
      <c r="L229" t="s">
        <v>212</v>
      </c>
      <c r="N229" t="str">
        <f t="shared" si="22"/>
        <v>&lt;tr&gt; &lt;td&gt;Jan. 16&lt;/td&gt;</v>
      </c>
      <c r="O229" t="str">
        <f t="shared" si="23"/>
        <v>&lt;td&gt;&lt;/td&gt;</v>
      </c>
      <c r="P229" t="str">
        <f t="shared" si="24"/>
        <v>&lt;td class="VMHSsched"&gt;Vincent Massey&lt;/td&gt;</v>
      </c>
      <c r="Q229" t="str">
        <f t="shared" si="25"/>
        <v>&lt;td&gt;52 - 26&lt;/td&gt;</v>
      </c>
      <c r="R229" t="str">
        <f t="shared" si="26"/>
        <v>&lt;td class="sched"&gt;Garden Valley JV&lt;/td&gt;</v>
      </c>
      <c r="S229" t="str">
        <f t="shared" si="27"/>
        <v>&lt;td&gt;Zodiacs Invitational Pool B&lt;/td&gt; &lt;/tr&gt;</v>
      </c>
    </row>
    <row r="230" spans="1:19" x14ac:dyDescent="0.25">
      <c r="A230" s="5">
        <v>42385</v>
      </c>
      <c r="C230" t="s">
        <v>23</v>
      </c>
      <c r="D230" t="s">
        <v>102</v>
      </c>
      <c r="E230">
        <v>38</v>
      </c>
      <c r="F230" t="s">
        <v>162</v>
      </c>
      <c r="G230" t="s">
        <v>164</v>
      </c>
      <c r="H230">
        <v>44</v>
      </c>
      <c r="J230" t="str">
        <f t="shared" si="21"/>
        <v>H</v>
      </c>
      <c r="K230" t="s">
        <v>569</v>
      </c>
      <c r="L230" t="s">
        <v>183</v>
      </c>
      <c r="N230" t="str">
        <f t="shared" si="22"/>
        <v>&lt;tr&gt; &lt;td&gt;Jan. 16&lt;/td&gt;</v>
      </c>
      <c r="O230" t="str">
        <f t="shared" si="23"/>
        <v>&lt;td&gt;&lt;/td&gt;</v>
      </c>
      <c r="P230" t="str">
        <f t="shared" si="24"/>
        <v>&lt;td class="VMHSsched"&gt;Vincent Massey&lt;/td&gt;</v>
      </c>
      <c r="Q230" t="str">
        <f t="shared" si="25"/>
        <v>&lt;td&gt;38 - 44&lt;/td&gt;</v>
      </c>
      <c r="R230" t="str">
        <f t="shared" si="26"/>
        <v>&lt;td class="GVCsched"&gt;Garden Valley&lt;/td&gt;</v>
      </c>
      <c r="S230" t="str">
        <f t="shared" si="27"/>
        <v>&lt;td&gt;Zodiacs Invitational 3rd Place&lt;/td&gt; &lt;/tr&gt;</v>
      </c>
    </row>
    <row r="231" spans="1:19" x14ac:dyDescent="0.25">
      <c r="A231" s="5">
        <v>42385</v>
      </c>
      <c r="C231" t="s">
        <v>28</v>
      </c>
      <c r="D231" t="s">
        <v>90</v>
      </c>
      <c r="E231">
        <v>26</v>
      </c>
      <c r="F231" t="s">
        <v>208</v>
      </c>
      <c r="H231">
        <v>54</v>
      </c>
      <c r="J231" t="str">
        <f t="shared" si="21"/>
        <v>H</v>
      </c>
      <c r="K231" t="s">
        <v>569</v>
      </c>
      <c r="L231" t="s">
        <v>184</v>
      </c>
      <c r="N231" t="str">
        <f t="shared" si="22"/>
        <v>&lt;tr&gt; &lt;td&gt;Jan. 16&lt;/td&gt;</v>
      </c>
      <c r="O231" t="str">
        <f t="shared" si="23"/>
        <v>&lt;td&gt;&lt;/td&gt;</v>
      </c>
      <c r="P231" t="str">
        <f t="shared" si="24"/>
        <v>&lt;td class="PCIsched"&gt;Portage&lt;/td&gt;</v>
      </c>
      <c r="Q231" t="str">
        <f t="shared" si="25"/>
        <v>&lt;td&gt;26 - 54&lt;/td&gt;</v>
      </c>
      <c r="R231" t="str">
        <f t="shared" si="26"/>
        <v>&lt;td class="sched"&gt;Linden Christian&lt;/td&gt;</v>
      </c>
      <c r="S231" t="str">
        <f t="shared" si="27"/>
        <v>&lt;td&gt;Zodiacs Invitational Championship&lt;/td&gt; &lt;/tr&gt;</v>
      </c>
    </row>
    <row r="232" spans="1:19" x14ac:dyDescent="0.25">
      <c r="A232" s="5">
        <v>42385</v>
      </c>
      <c r="C232" t="s">
        <v>10</v>
      </c>
      <c r="D232" t="s">
        <v>72</v>
      </c>
      <c r="E232">
        <v>35</v>
      </c>
      <c r="F232" t="s">
        <v>2</v>
      </c>
      <c r="G232" t="s">
        <v>43</v>
      </c>
      <c r="H232">
        <v>60</v>
      </c>
      <c r="J232" t="str">
        <f t="shared" si="21"/>
        <v>H</v>
      </c>
      <c r="K232" t="s">
        <v>571</v>
      </c>
      <c r="L232" t="s">
        <v>179</v>
      </c>
      <c r="N232" t="str">
        <f t="shared" si="22"/>
        <v>&lt;tr&gt; &lt;td&gt;Jan. 16&lt;/td&gt;</v>
      </c>
      <c r="O232" t="str">
        <f t="shared" si="23"/>
        <v>&lt;td&gt;&lt;/td&gt;</v>
      </c>
      <c r="P232" t="str">
        <f t="shared" si="24"/>
        <v>&lt;td class="KHSsched"&gt;Kelvin&lt;/td&gt;</v>
      </c>
      <c r="Q232" t="str">
        <f t="shared" si="25"/>
        <v>&lt;td&gt;35 - 60&lt;/td&gt;</v>
      </c>
      <c r="R232" t="str">
        <f t="shared" si="26"/>
        <v>&lt;td class="KECsched"&gt;Kildonan-East&lt;/td&gt;</v>
      </c>
      <c r="S232" t="str">
        <f t="shared" si="27"/>
        <v>&lt;td&gt;Reiver Invitational Semifinal 1&lt;/td&gt; &lt;/tr&gt;</v>
      </c>
    </row>
    <row r="233" spans="1:19" x14ac:dyDescent="0.25">
      <c r="A233" s="5">
        <v>42385</v>
      </c>
      <c r="C233" t="s">
        <v>303</v>
      </c>
      <c r="E233">
        <v>67</v>
      </c>
      <c r="F233" t="s">
        <v>10</v>
      </c>
      <c r="G233" t="s">
        <v>72</v>
      </c>
      <c r="H233">
        <v>29</v>
      </c>
      <c r="J233" t="str">
        <f t="shared" si="21"/>
        <v>V</v>
      </c>
      <c r="K233" t="s">
        <v>571</v>
      </c>
      <c r="L233" t="s">
        <v>183</v>
      </c>
      <c r="N233" t="str">
        <f t="shared" si="22"/>
        <v>&lt;tr&gt; &lt;td&gt;Jan. 16&lt;/td&gt;</v>
      </c>
      <c r="O233" t="str">
        <f t="shared" si="23"/>
        <v>&lt;td&gt;&lt;/td&gt;</v>
      </c>
      <c r="P233" t="str">
        <f t="shared" si="24"/>
        <v>&lt;td class="sched"&gt;Virden&lt;/td&gt;</v>
      </c>
      <c r="Q233" t="str">
        <f t="shared" si="25"/>
        <v>&lt;td&gt;67 - 29&lt;/td&gt;</v>
      </c>
      <c r="R233" t="str">
        <f t="shared" si="26"/>
        <v>&lt;td class="KHSsched"&gt;Kelvin&lt;/td&gt;</v>
      </c>
      <c r="S233" t="str">
        <f t="shared" si="27"/>
        <v>&lt;td&gt;Reiver Invitational 3rd Place&lt;/td&gt; &lt;/tr&gt;</v>
      </c>
    </row>
    <row r="234" spans="1:19" x14ac:dyDescent="0.25">
      <c r="A234" s="5">
        <v>42385</v>
      </c>
      <c r="C234" t="s">
        <v>157</v>
      </c>
      <c r="E234">
        <v>51</v>
      </c>
      <c r="F234" t="s">
        <v>2</v>
      </c>
      <c r="G234" t="s">
        <v>43</v>
      </c>
      <c r="H234">
        <v>55</v>
      </c>
      <c r="I234" t="s">
        <v>155</v>
      </c>
      <c r="J234" t="str">
        <f t="shared" si="21"/>
        <v>H</v>
      </c>
      <c r="K234" t="s">
        <v>571</v>
      </c>
      <c r="L234" t="s">
        <v>184</v>
      </c>
      <c r="N234" t="str">
        <f t="shared" si="22"/>
        <v>&lt;tr&gt; &lt;td&gt;Jan. 16&lt;/td&gt;</v>
      </c>
      <c r="O234" t="str">
        <f t="shared" si="23"/>
        <v>&lt;td&gt;&lt;/td&gt;</v>
      </c>
      <c r="P234" t="str">
        <f t="shared" si="24"/>
        <v>&lt;td class="sched"&gt;R.D. Parker&lt;/td&gt;</v>
      </c>
      <c r="Q234" t="str">
        <f t="shared" si="25"/>
        <v>&lt;td&gt;51 - 55 OT&lt;/td&gt;</v>
      </c>
      <c r="R234" t="str">
        <f t="shared" si="26"/>
        <v>&lt;td class="KECsched"&gt;Kildonan-East&lt;/td&gt;</v>
      </c>
      <c r="S234" t="str">
        <f t="shared" si="27"/>
        <v>&lt;td&gt;Reiver Invitational Championship&lt;/td&gt; &lt;/tr&gt;</v>
      </c>
    </row>
    <row r="235" spans="1:19" x14ac:dyDescent="0.25">
      <c r="A235" s="5">
        <v>42385</v>
      </c>
      <c r="C235" t="s">
        <v>280</v>
      </c>
      <c r="E235">
        <v>50</v>
      </c>
      <c r="F235" t="s">
        <v>30</v>
      </c>
      <c r="G235" t="s">
        <v>92</v>
      </c>
      <c r="H235">
        <v>32</v>
      </c>
      <c r="J235" t="str">
        <f t="shared" si="21"/>
        <v>V</v>
      </c>
      <c r="K235" t="s">
        <v>724</v>
      </c>
      <c r="L235" t="s">
        <v>179</v>
      </c>
      <c r="N235" t="str">
        <f t="shared" si="22"/>
        <v>&lt;tr&gt; &lt;td&gt;Jan. 16&lt;/td&gt;</v>
      </c>
      <c r="O235" t="str">
        <f t="shared" si="23"/>
        <v>&lt;td&gt;&lt;/td&gt;</v>
      </c>
      <c r="P235" t="str">
        <f t="shared" si="24"/>
        <v>&lt;td class="sched"&gt;Faith&lt;/td&gt;</v>
      </c>
      <c r="Q235" t="str">
        <f t="shared" si="25"/>
        <v>&lt;td&gt;50 - 32&lt;/td&gt;</v>
      </c>
      <c r="R235" t="str">
        <f t="shared" si="26"/>
        <v>&lt;td class="SJHSsched"&gt;St. John's&lt;/td&gt;</v>
      </c>
      <c r="S235" t="str">
        <f t="shared" si="27"/>
        <v>&lt;td&gt;Lady Mac Attack Semifinal 1&lt;/td&gt; &lt;/tr&gt;</v>
      </c>
    </row>
    <row r="236" spans="1:19" x14ac:dyDescent="0.25">
      <c r="A236" s="5">
        <v>42385</v>
      </c>
      <c r="C236" t="s">
        <v>166</v>
      </c>
      <c r="E236">
        <v>62</v>
      </c>
      <c r="F236" t="s">
        <v>30</v>
      </c>
      <c r="G236" t="s">
        <v>92</v>
      </c>
      <c r="H236">
        <v>24</v>
      </c>
      <c r="J236" t="str">
        <f t="shared" si="21"/>
        <v>V</v>
      </c>
      <c r="K236" t="s">
        <v>724</v>
      </c>
      <c r="L236" t="s">
        <v>183</v>
      </c>
      <c r="N236" t="str">
        <f t="shared" si="22"/>
        <v>&lt;tr&gt; &lt;td&gt;Jan. 16&lt;/td&gt;</v>
      </c>
      <c r="O236" t="str">
        <f t="shared" si="23"/>
        <v>&lt;td&gt;&lt;/td&gt;</v>
      </c>
      <c r="P236" t="str">
        <f t="shared" si="24"/>
        <v>&lt;td class="sched"&gt;Sanford&lt;/td&gt;</v>
      </c>
      <c r="Q236" t="str">
        <f t="shared" si="25"/>
        <v>&lt;td&gt;62 - 24&lt;/td&gt;</v>
      </c>
      <c r="R236" t="str">
        <f t="shared" si="26"/>
        <v>&lt;td class="SJHSsched"&gt;St. John's&lt;/td&gt;</v>
      </c>
      <c r="S236" t="str">
        <f t="shared" si="27"/>
        <v>&lt;td&gt;Lady Mac Attack 3rd Place&lt;/td&gt; &lt;/tr&gt;</v>
      </c>
    </row>
    <row r="237" spans="1:19" x14ac:dyDescent="0.25">
      <c r="A237" s="5">
        <v>42387</v>
      </c>
      <c r="B237" s="6">
        <v>0.6875</v>
      </c>
      <c r="C237" t="s">
        <v>253</v>
      </c>
      <c r="E237">
        <v>62</v>
      </c>
      <c r="F237" t="s">
        <v>30</v>
      </c>
      <c r="G237" t="s">
        <v>92</v>
      </c>
      <c r="H237">
        <v>37</v>
      </c>
      <c r="J237" t="str">
        <f t="shared" si="21"/>
        <v>V</v>
      </c>
      <c r="K237" t="s">
        <v>257</v>
      </c>
      <c r="L237" t="s">
        <v>228</v>
      </c>
      <c r="M237" t="s">
        <v>229</v>
      </c>
      <c r="N237" t="str">
        <f t="shared" si="22"/>
        <v>&lt;tr&gt; &lt;td&gt;Jan. 18&lt;/td&gt;</v>
      </c>
      <c r="O237" t="str">
        <f t="shared" si="23"/>
        <v>&lt;td&gt;4:30 PM&lt;/td&gt;</v>
      </c>
      <c r="P237" t="str">
        <f t="shared" si="24"/>
        <v>&lt;td class="sched"&gt;St. James&lt;/td&gt;</v>
      </c>
      <c r="Q237" t="str">
        <f t="shared" si="25"/>
        <v>&lt;td&gt;62 - 37&lt;/td&gt;</v>
      </c>
      <c r="R237" t="str">
        <f t="shared" si="26"/>
        <v>&lt;td class="SJHSsched"&gt;St. John's&lt;/td&gt;</v>
      </c>
      <c r="S237" t="str">
        <f t="shared" si="27"/>
        <v>&lt;td&gt;WWAC/WAC Tier 2 Regular Season&lt;/td&gt; &lt;/tr&gt;</v>
      </c>
    </row>
    <row r="238" spans="1:19" x14ac:dyDescent="0.25">
      <c r="A238" s="5">
        <v>42387</v>
      </c>
      <c r="B238" s="6">
        <v>0.6875</v>
      </c>
      <c r="C238" t="s">
        <v>10</v>
      </c>
      <c r="D238" t="s">
        <v>72</v>
      </c>
      <c r="E238">
        <v>49</v>
      </c>
      <c r="F238" t="s">
        <v>218</v>
      </c>
      <c r="H238">
        <v>43</v>
      </c>
      <c r="J238" t="str">
        <f t="shared" si="21"/>
        <v>V</v>
      </c>
      <c r="K238" t="s">
        <v>257</v>
      </c>
      <c r="L238" t="s">
        <v>228</v>
      </c>
      <c r="M238" t="s">
        <v>229</v>
      </c>
      <c r="N238" t="str">
        <f t="shared" si="22"/>
        <v>&lt;tr&gt; &lt;td&gt;Jan. 18&lt;/td&gt;</v>
      </c>
      <c r="O238" t="str">
        <f t="shared" si="23"/>
        <v>&lt;td&gt;4:30 PM&lt;/td&gt;</v>
      </c>
      <c r="P238" t="str">
        <f t="shared" si="24"/>
        <v>&lt;td class="KHSsched"&gt;Kelvin&lt;/td&gt;</v>
      </c>
      <c r="Q238" t="str">
        <f t="shared" si="25"/>
        <v>&lt;td&gt;49 - 43&lt;/td&gt;</v>
      </c>
      <c r="R238" t="str">
        <f t="shared" si="26"/>
        <v>&lt;td class="sched"&gt;Stonewall&lt;/td&gt;</v>
      </c>
      <c r="S238" t="str">
        <f t="shared" si="27"/>
        <v>&lt;td&gt;WWAC/WAC Tier 2 Regular Season&lt;/td&gt; &lt;/tr&gt;</v>
      </c>
    </row>
    <row r="239" spans="1:19" x14ac:dyDescent="0.25">
      <c r="A239" s="5">
        <v>42387</v>
      </c>
      <c r="B239" s="6">
        <v>0.6875</v>
      </c>
      <c r="C239" t="s">
        <v>31</v>
      </c>
      <c r="D239" t="s">
        <v>96</v>
      </c>
      <c r="E239">
        <v>80</v>
      </c>
      <c r="F239" t="s">
        <v>27</v>
      </c>
      <c r="G239" t="s">
        <v>88</v>
      </c>
      <c r="H239">
        <v>64</v>
      </c>
      <c r="J239" t="str">
        <f t="shared" si="21"/>
        <v>V</v>
      </c>
      <c r="K239" t="s">
        <v>257</v>
      </c>
      <c r="L239" t="s">
        <v>228</v>
      </c>
      <c r="M239" t="s">
        <v>229</v>
      </c>
      <c r="N239" t="str">
        <f t="shared" si="22"/>
        <v>&lt;tr&gt; &lt;td&gt;Jan. 18&lt;/td&gt;</v>
      </c>
      <c r="O239" t="str">
        <f t="shared" si="23"/>
        <v>&lt;td&gt;4:30 PM&lt;/td&gt;</v>
      </c>
      <c r="P239" t="str">
        <f t="shared" si="24"/>
        <v>&lt;td class="TVHSsched"&gt;Tec Voc&lt;/td&gt;</v>
      </c>
      <c r="Q239" t="str">
        <f t="shared" si="25"/>
        <v>&lt;td&gt;80 - 64&lt;/td&gt;</v>
      </c>
      <c r="R239" t="str">
        <f t="shared" si="26"/>
        <v>&lt;td class="GPHSsched"&gt;Grant Park&lt;/td&gt;</v>
      </c>
      <c r="S239" t="str">
        <f t="shared" si="27"/>
        <v>&lt;td&gt;WWAC/WAC Tier 2 Regular Season&lt;/td&gt; &lt;/tr&gt;</v>
      </c>
    </row>
    <row r="240" spans="1:19" x14ac:dyDescent="0.25">
      <c r="A240" s="5">
        <v>42387</v>
      </c>
      <c r="B240" s="6">
        <v>0.6875</v>
      </c>
      <c r="C240" t="s">
        <v>171</v>
      </c>
      <c r="E240">
        <v>43</v>
      </c>
      <c r="F240" t="s">
        <v>25</v>
      </c>
      <c r="G240" t="s">
        <v>84</v>
      </c>
      <c r="H240">
        <v>30</v>
      </c>
      <c r="J240" t="str">
        <f t="shared" si="21"/>
        <v>V</v>
      </c>
      <c r="K240" t="s">
        <v>257</v>
      </c>
      <c r="L240" t="s">
        <v>228</v>
      </c>
      <c r="M240" t="s">
        <v>229</v>
      </c>
      <c r="N240" t="str">
        <f t="shared" si="22"/>
        <v>&lt;tr&gt; &lt;td&gt;Jan. 18&lt;/td&gt;</v>
      </c>
      <c r="O240" t="str">
        <f t="shared" si="23"/>
        <v>&lt;td&gt;4:30 PM&lt;/td&gt;</v>
      </c>
      <c r="P240" t="str">
        <f t="shared" si="24"/>
        <v>&lt;td class="sched"&gt;Churchill&lt;/td&gt;</v>
      </c>
      <c r="Q240" t="str">
        <f t="shared" si="25"/>
        <v>&lt;td&gt;43 - 30&lt;/td&gt;</v>
      </c>
      <c r="R240" t="str">
        <f t="shared" si="26"/>
        <v>&lt;td class="EHSsched"&gt;Elmwood&lt;/td&gt;</v>
      </c>
      <c r="S240" t="str">
        <f t="shared" si="27"/>
        <v>&lt;td&gt;WWAC/WAC Tier 2 Regular Season&lt;/td&gt; &lt;/tr&gt;</v>
      </c>
    </row>
    <row r="241" spans="1:19" x14ac:dyDescent="0.25">
      <c r="A241" s="5">
        <v>42387</v>
      </c>
      <c r="B241" s="6">
        <v>0.6875</v>
      </c>
      <c r="C241" t="s">
        <v>23</v>
      </c>
      <c r="D241" t="s">
        <v>80</v>
      </c>
      <c r="E241">
        <v>84</v>
      </c>
      <c r="F241" t="s">
        <v>6</v>
      </c>
      <c r="G241" t="s">
        <v>70</v>
      </c>
      <c r="H241">
        <v>35</v>
      </c>
      <c r="J241" t="str">
        <f t="shared" si="21"/>
        <v>V</v>
      </c>
      <c r="K241" t="s">
        <v>258</v>
      </c>
      <c r="L241" t="s">
        <v>228</v>
      </c>
      <c r="M241" t="s">
        <v>229</v>
      </c>
      <c r="N241" t="str">
        <f t="shared" si="22"/>
        <v>&lt;tr&gt; &lt;td&gt;Jan. 18&lt;/td&gt;</v>
      </c>
      <c r="O241" t="str">
        <f t="shared" si="23"/>
        <v>&lt;td&gt;4:30 PM&lt;/td&gt;</v>
      </c>
      <c r="P241" t="str">
        <f t="shared" si="24"/>
        <v>&lt;td class="VMCsched"&gt;Vincent Massey&lt;/td&gt;</v>
      </c>
      <c r="Q241" t="str">
        <f t="shared" si="25"/>
        <v>&lt;td&gt;84 - 35&lt;/td&gt;</v>
      </c>
      <c r="R241" t="str">
        <f t="shared" si="26"/>
        <v>&lt;td class="JTCsched"&gt;John Taylor&lt;/td&gt;</v>
      </c>
      <c r="S241" t="str">
        <f t="shared" si="27"/>
        <v>&lt;td&gt;WWAC/WAC Tier 1 Regular Season&lt;/td&gt; &lt;/tr&gt;</v>
      </c>
    </row>
    <row r="242" spans="1:19" x14ac:dyDescent="0.25">
      <c r="A242" s="5">
        <v>42387</v>
      </c>
      <c r="B242" s="6">
        <v>0.6875</v>
      </c>
      <c r="C242" t="s">
        <v>111</v>
      </c>
      <c r="D242" t="s">
        <v>112</v>
      </c>
      <c r="E242">
        <v>23</v>
      </c>
      <c r="F242" t="s">
        <v>9</v>
      </c>
      <c r="G242" t="s">
        <v>76</v>
      </c>
      <c r="H242">
        <v>73</v>
      </c>
      <c r="J242" t="str">
        <f t="shared" si="21"/>
        <v>H</v>
      </c>
      <c r="K242" t="s">
        <v>258</v>
      </c>
      <c r="L242" t="s">
        <v>228</v>
      </c>
      <c r="M242" t="s">
        <v>229</v>
      </c>
      <c r="N242" t="str">
        <f t="shared" si="22"/>
        <v>&lt;tr&gt; &lt;td&gt;Jan. 18&lt;/td&gt;</v>
      </c>
      <c r="O242" t="str">
        <f t="shared" si="23"/>
        <v>&lt;td&gt;4:30 PM&lt;/td&gt;</v>
      </c>
      <c r="P242" t="str">
        <f t="shared" si="24"/>
        <v>&lt;td class="SMAsched"&gt;St. Mary's&lt;/td&gt;</v>
      </c>
      <c r="Q242" t="str">
        <f t="shared" si="25"/>
        <v>&lt;td&gt;23 - 73&lt;/td&gt;</v>
      </c>
      <c r="R242" t="str">
        <f t="shared" si="26"/>
        <v>&lt;td class="SiHSsched"&gt;Sisler&lt;/td&gt;</v>
      </c>
      <c r="S242" t="str">
        <f t="shared" si="27"/>
        <v>&lt;td&gt;WWAC/WAC Tier 1 Regular Season&lt;/td&gt; &lt;/tr&gt;</v>
      </c>
    </row>
    <row r="243" spans="1:19" x14ac:dyDescent="0.25">
      <c r="A243" s="5">
        <v>42387</v>
      </c>
      <c r="B243" s="6">
        <v>0.6875</v>
      </c>
      <c r="C243" t="s">
        <v>15</v>
      </c>
      <c r="D243" t="s">
        <v>68</v>
      </c>
      <c r="E243">
        <v>33</v>
      </c>
      <c r="F243" t="s">
        <v>13</v>
      </c>
      <c r="G243" t="s">
        <v>98</v>
      </c>
      <c r="H243">
        <v>59</v>
      </c>
      <c r="J243" t="str">
        <f t="shared" si="21"/>
        <v>H</v>
      </c>
      <c r="K243" t="s">
        <v>258</v>
      </c>
      <c r="L243" t="s">
        <v>228</v>
      </c>
      <c r="M243" t="s">
        <v>229</v>
      </c>
      <c r="N243" t="str">
        <f t="shared" si="22"/>
        <v>&lt;tr&gt; &lt;td&gt;Jan. 18&lt;/td&gt;</v>
      </c>
      <c r="O243" t="str">
        <f t="shared" si="23"/>
        <v>&lt;td&gt;4:30 PM&lt;/td&gt;</v>
      </c>
      <c r="P243" t="str">
        <f t="shared" si="24"/>
        <v>&lt;td class="FRCsched"&gt;Fort Richmond&lt;/td&gt;</v>
      </c>
      <c r="Q243" t="str">
        <f t="shared" si="25"/>
        <v>&lt;td&gt;33 - 59&lt;/td&gt;</v>
      </c>
      <c r="R243" t="str">
        <f t="shared" si="26"/>
        <v>&lt;td class="WWCsched"&gt;Westwood&lt;/td&gt;</v>
      </c>
      <c r="S243" t="str">
        <f t="shared" si="27"/>
        <v>&lt;td&gt;WWAC/WAC Tier 1 Regular Season&lt;/td&gt; &lt;/tr&gt;</v>
      </c>
    </row>
    <row r="244" spans="1:19" x14ac:dyDescent="0.25">
      <c r="A244" s="5">
        <v>42387</v>
      </c>
      <c r="B244" s="6">
        <v>0.6875</v>
      </c>
      <c r="C244" t="s">
        <v>1</v>
      </c>
      <c r="D244" t="s">
        <v>74</v>
      </c>
      <c r="E244">
        <v>94</v>
      </c>
      <c r="F244" t="s">
        <v>24</v>
      </c>
      <c r="G244" t="s">
        <v>82</v>
      </c>
      <c r="H244">
        <v>55</v>
      </c>
      <c r="J244" t="str">
        <f t="shared" si="21"/>
        <v>V</v>
      </c>
      <c r="K244" t="s">
        <v>258</v>
      </c>
      <c r="L244" t="s">
        <v>228</v>
      </c>
      <c r="M244" t="s">
        <v>229</v>
      </c>
      <c r="N244" t="str">
        <f t="shared" si="22"/>
        <v>&lt;tr&gt; &lt;td&gt;Jan. 18&lt;/td&gt;</v>
      </c>
      <c r="O244" t="str">
        <f t="shared" si="23"/>
        <v>&lt;td&gt;4:30 PM&lt;/td&gt;</v>
      </c>
      <c r="P244" t="str">
        <f t="shared" si="24"/>
        <v>&lt;td class="OPHSsched"&gt;Oak Park&lt;/td&gt;</v>
      </c>
      <c r="Q244" t="str">
        <f t="shared" si="25"/>
        <v>&lt;td&gt;94 - 55&lt;/td&gt;</v>
      </c>
      <c r="R244" t="str">
        <f t="shared" si="26"/>
        <v>&lt;td class="DMCIsched"&gt;Daniel McIntyre&lt;/td&gt;</v>
      </c>
      <c r="S244" t="str">
        <f t="shared" si="27"/>
        <v>&lt;td&gt;WWAC/WAC Tier 1 Regular Season&lt;/td&gt; &lt;/tr&gt;</v>
      </c>
    </row>
    <row r="245" spans="1:19" x14ac:dyDescent="0.25">
      <c r="A245" s="5">
        <v>42387</v>
      </c>
      <c r="B245" s="6">
        <v>0.70833333333333337</v>
      </c>
      <c r="C245" t="s">
        <v>28</v>
      </c>
      <c r="D245" t="s">
        <v>90</v>
      </c>
      <c r="E245">
        <v>54</v>
      </c>
      <c r="F245" t="s">
        <v>29</v>
      </c>
      <c r="G245" t="s">
        <v>91</v>
      </c>
      <c r="H245">
        <v>51</v>
      </c>
      <c r="J245" t="str">
        <f t="shared" si="21"/>
        <v>V</v>
      </c>
      <c r="K245" t="s">
        <v>257</v>
      </c>
      <c r="L245" t="s">
        <v>228</v>
      </c>
      <c r="M245" t="s">
        <v>229</v>
      </c>
      <c r="N245" t="str">
        <f t="shared" si="22"/>
        <v>&lt;tr&gt; &lt;td&gt;Jan. 18&lt;/td&gt;</v>
      </c>
      <c r="O245" t="str">
        <f t="shared" si="23"/>
        <v>&lt;td&gt;5:00 PM&lt;/td&gt;</v>
      </c>
      <c r="P245" t="str">
        <f t="shared" si="24"/>
        <v>&lt;td class="PCIsched"&gt;Portage&lt;/td&gt;</v>
      </c>
      <c r="Q245" t="str">
        <f t="shared" si="25"/>
        <v>&lt;td&gt;54 - 51&lt;/td&gt;</v>
      </c>
      <c r="R245" t="str">
        <f t="shared" si="26"/>
        <v>&lt;td class="ShHSsched"&gt;Shaftesbury&lt;/td&gt;</v>
      </c>
      <c r="S245" t="str">
        <f t="shared" si="27"/>
        <v>&lt;td&gt;WWAC/WAC Tier 2 Regular Season&lt;/td&gt; &lt;/tr&gt;</v>
      </c>
    </row>
    <row r="246" spans="1:19" x14ac:dyDescent="0.25">
      <c r="A246" s="5">
        <v>42387</v>
      </c>
      <c r="B246" s="6">
        <v>0.75</v>
      </c>
      <c r="C246" t="s">
        <v>18</v>
      </c>
      <c r="D246" t="s">
        <v>52</v>
      </c>
      <c r="E246">
        <v>55</v>
      </c>
      <c r="F246" t="s">
        <v>16</v>
      </c>
      <c r="G246" t="s">
        <v>45</v>
      </c>
      <c r="H246">
        <v>75</v>
      </c>
      <c r="J246" t="str">
        <f t="shared" si="21"/>
        <v>H</v>
      </c>
      <c r="K246" t="s">
        <v>233</v>
      </c>
      <c r="L246" t="s">
        <v>228</v>
      </c>
      <c r="M246" t="s">
        <v>229</v>
      </c>
      <c r="N246" t="str">
        <f t="shared" si="22"/>
        <v>&lt;tr&gt; &lt;td&gt;Jan. 18&lt;/td&gt;</v>
      </c>
      <c r="O246" t="str">
        <f t="shared" si="23"/>
        <v>&lt;td&gt;6:00 PM&lt;/td&gt;</v>
      </c>
      <c r="P246" t="str">
        <f t="shared" si="24"/>
        <v>&lt;td class="RECsched"&gt;River East&lt;/td&gt;</v>
      </c>
      <c r="Q246" t="str">
        <f t="shared" si="25"/>
        <v>&lt;td&gt;55 - 75&lt;/td&gt;</v>
      </c>
      <c r="R246" t="str">
        <f t="shared" si="26"/>
        <v>&lt;td class="MCsched"&gt;Maples&lt;/td&gt;</v>
      </c>
      <c r="S246" t="str">
        <f t="shared" si="27"/>
        <v>&lt;td&gt;KPAC Tier 2 Regular Season&lt;/td&gt; &lt;/tr&gt;</v>
      </c>
    </row>
    <row r="247" spans="1:19" x14ac:dyDescent="0.25">
      <c r="A247" s="5">
        <v>42387</v>
      </c>
      <c r="B247" s="6">
        <v>0.75</v>
      </c>
      <c r="C247" t="s">
        <v>7</v>
      </c>
      <c r="D247" t="s">
        <v>7</v>
      </c>
      <c r="E247">
        <v>41</v>
      </c>
      <c r="F247" t="s">
        <v>104</v>
      </c>
      <c r="G247" t="s">
        <v>105</v>
      </c>
      <c r="H247">
        <v>32</v>
      </c>
      <c r="J247" t="str">
        <f t="shared" si="21"/>
        <v>V</v>
      </c>
      <c r="K247" t="s">
        <v>233</v>
      </c>
      <c r="L247" t="s">
        <v>228</v>
      </c>
      <c r="M247" t="s">
        <v>229</v>
      </c>
      <c r="N247" t="str">
        <f t="shared" si="22"/>
        <v>&lt;tr&gt; &lt;td&gt;Jan. 18&lt;/td&gt;</v>
      </c>
      <c r="O247" t="str">
        <f t="shared" si="23"/>
        <v>&lt;td&gt;6:00 PM&lt;/td&gt;</v>
      </c>
      <c r="P247" t="str">
        <f t="shared" si="24"/>
        <v>&lt;td class="MBCIsched"&gt;MBCI&lt;/td&gt;</v>
      </c>
      <c r="Q247" t="str">
        <f t="shared" si="25"/>
        <v>&lt;td&gt;41 - 32&lt;/td&gt;</v>
      </c>
      <c r="R247" t="str">
        <f t="shared" si="26"/>
        <v>&lt;td class="SCIsched"&gt;Springfield&lt;/td&gt;</v>
      </c>
      <c r="S247" t="str">
        <f t="shared" si="27"/>
        <v>&lt;td&gt;KPAC Tier 2 Regular Season&lt;/td&gt; &lt;/tr&gt;</v>
      </c>
    </row>
    <row r="248" spans="1:19" x14ac:dyDescent="0.25">
      <c r="A248" s="5">
        <v>42387</v>
      </c>
      <c r="B248" s="6">
        <v>0.75</v>
      </c>
      <c r="C248" t="s">
        <v>20</v>
      </c>
      <c r="D248" t="s">
        <v>58</v>
      </c>
      <c r="E248">
        <v>32</v>
      </c>
      <c r="F248" t="s">
        <v>17</v>
      </c>
      <c r="G248" t="s">
        <v>50</v>
      </c>
      <c r="H248">
        <v>46</v>
      </c>
      <c r="J248" t="str">
        <f t="shared" si="21"/>
        <v>H</v>
      </c>
      <c r="K248" t="s">
        <v>233</v>
      </c>
      <c r="L248" t="s">
        <v>228</v>
      </c>
      <c r="M248" t="s">
        <v>229</v>
      </c>
      <c r="N248" t="str">
        <f t="shared" si="22"/>
        <v>&lt;tr&gt; &lt;td&gt;Jan. 18&lt;/td&gt;</v>
      </c>
      <c r="O248" t="str">
        <f t="shared" si="23"/>
        <v>&lt;td&gt;6:00 PM&lt;/td&gt;</v>
      </c>
      <c r="P248" t="str">
        <f t="shared" si="24"/>
        <v>&lt;td class="WKCsched"&gt;West Kildonan&lt;/td&gt;</v>
      </c>
      <c r="Q248" t="str">
        <f t="shared" si="25"/>
        <v>&lt;td&gt;32 - 46&lt;/td&gt;</v>
      </c>
      <c r="R248" t="str">
        <f t="shared" si="26"/>
        <v>&lt;td class="MMCIsched"&gt;Murdoch MacKay&lt;/td&gt;</v>
      </c>
      <c r="S248" t="str">
        <f t="shared" si="27"/>
        <v>&lt;td&gt;KPAC Tier 2 Regular Season&lt;/td&gt; &lt;/tr&gt;</v>
      </c>
    </row>
    <row r="249" spans="1:19" x14ac:dyDescent="0.25">
      <c r="A249" s="5">
        <v>42387</v>
      </c>
      <c r="B249" s="6">
        <v>0.75</v>
      </c>
      <c r="C249" t="s">
        <v>12</v>
      </c>
      <c r="D249" t="s">
        <v>54</v>
      </c>
      <c r="E249">
        <v>49</v>
      </c>
      <c r="F249" t="s">
        <v>4</v>
      </c>
      <c r="G249" t="s">
        <v>41</v>
      </c>
      <c r="H249">
        <v>78</v>
      </c>
      <c r="J249" t="str">
        <f t="shared" si="21"/>
        <v>H</v>
      </c>
      <c r="K249" t="s">
        <v>234</v>
      </c>
      <c r="L249" t="s">
        <v>228</v>
      </c>
      <c r="M249" t="s">
        <v>229</v>
      </c>
      <c r="N249" t="str">
        <f t="shared" si="22"/>
        <v>&lt;tr&gt; &lt;td&gt;Jan. 18&lt;/td&gt;</v>
      </c>
      <c r="O249" t="str">
        <f t="shared" si="23"/>
        <v>&lt;td&gt;6:00 PM&lt;/td&gt;</v>
      </c>
      <c r="P249" t="str">
        <f t="shared" si="24"/>
        <v>&lt;td class="LSsched"&gt;Selkirk&lt;/td&gt;</v>
      </c>
      <c r="Q249" t="str">
        <f t="shared" si="25"/>
        <v>&lt;td&gt;49 - 78&lt;/td&gt;</v>
      </c>
      <c r="R249" t="str">
        <f t="shared" si="26"/>
        <v>&lt;td class="GCCsched"&gt;Garden City&lt;/td&gt;</v>
      </c>
      <c r="S249" t="str">
        <f t="shared" si="27"/>
        <v>&lt;td&gt;KPAC Tier 1 Regular Season&lt;/td&gt; &lt;/tr&gt;</v>
      </c>
    </row>
    <row r="250" spans="1:19" x14ac:dyDescent="0.25">
      <c r="A250" s="5">
        <v>42387</v>
      </c>
      <c r="B250" s="6">
        <v>0.75</v>
      </c>
      <c r="C250" t="s">
        <v>237</v>
      </c>
      <c r="E250">
        <v>27</v>
      </c>
      <c r="F250" t="s">
        <v>5</v>
      </c>
      <c r="G250" t="s">
        <v>62</v>
      </c>
      <c r="H250">
        <v>81</v>
      </c>
      <c r="J250" t="str">
        <f t="shared" si="21"/>
        <v>H</v>
      </c>
      <c r="K250" t="s">
        <v>763</v>
      </c>
      <c r="L250" t="s">
        <v>228</v>
      </c>
      <c r="M250" t="s">
        <v>229</v>
      </c>
      <c r="N250" t="str">
        <f t="shared" si="22"/>
        <v>&lt;tr&gt; &lt;td&gt;Jan. 18&lt;/td&gt;</v>
      </c>
      <c r="O250" t="str">
        <f t="shared" si="23"/>
        <v>&lt;td&gt;6:00 PM&lt;/td&gt;</v>
      </c>
      <c r="P250" t="str">
        <f t="shared" si="24"/>
        <v>&lt;td class="sched"&gt;Westgate&lt;/td&gt;</v>
      </c>
      <c r="Q250" t="str">
        <f t="shared" si="25"/>
        <v>&lt;td&gt;27 - 81&lt;/td&gt;</v>
      </c>
      <c r="R250" t="str">
        <f t="shared" si="26"/>
        <v>&lt;td class="GCIsched"&gt;Glenlawn&lt;/td&gt;</v>
      </c>
      <c r="S250" t="str">
        <f t="shared" si="27"/>
        <v>&lt;td&gt;SCAC Regular Season&lt;/td&gt; &lt;/tr&gt;</v>
      </c>
    </row>
    <row r="251" spans="1:19" x14ac:dyDescent="0.25">
      <c r="A251" s="5">
        <v>42387</v>
      </c>
      <c r="B251" s="6">
        <v>0.75</v>
      </c>
      <c r="C251" t="s">
        <v>8</v>
      </c>
      <c r="D251" t="s">
        <v>60</v>
      </c>
      <c r="E251">
        <v>38</v>
      </c>
      <c r="F251" t="s">
        <v>21</v>
      </c>
      <c r="G251" t="s">
        <v>64</v>
      </c>
      <c r="H251">
        <v>26</v>
      </c>
      <c r="J251" t="str">
        <f t="shared" si="21"/>
        <v>V</v>
      </c>
      <c r="K251" t="s">
        <v>763</v>
      </c>
      <c r="L251" t="s">
        <v>228</v>
      </c>
      <c r="M251" t="s">
        <v>229</v>
      </c>
      <c r="N251" t="str">
        <f t="shared" si="22"/>
        <v>&lt;tr&gt; &lt;td&gt;Jan. 18&lt;/td&gt;</v>
      </c>
      <c r="O251" t="str">
        <f t="shared" si="23"/>
        <v>&lt;td&gt;6:00 PM&lt;/td&gt;</v>
      </c>
      <c r="P251" t="str">
        <f t="shared" si="24"/>
        <v>&lt;td class="DCIsched"&gt;Dakota&lt;/td&gt;</v>
      </c>
      <c r="Q251" t="str">
        <f t="shared" si="25"/>
        <v>&lt;td&gt;38 - 26&lt;/td&gt;</v>
      </c>
      <c r="R251" t="str">
        <f t="shared" si="26"/>
        <v>&lt;td class="JHBsched"&gt;J.H. Bruns&lt;/td&gt;</v>
      </c>
      <c r="S251" t="str">
        <f t="shared" si="27"/>
        <v>&lt;td&gt;SCAC Regular Season&lt;/td&gt; &lt;/tr&gt;</v>
      </c>
    </row>
    <row r="252" spans="1:19" x14ac:dyDescent="0.25">
      <c r="A252" s="5">
        <v>42388</v>
      </c>
      <c r="B252" s="6">
        <v>0.75</v>
      </c>
      <c r="C252" t="s">
        <v>23</v>
      </c>
      <c r="D252" t="s">
        <v>102</v>
      </c>
      <c r="E252">
        <v>53</v>
      </c>
      <c r="F252" t="s">
        <v>32</v>
      </c>
      <c r="G252" t="s">
        <v>100</v>
      </c>
      <c r="H252">
        <v>46</v>
      </c>
      <c r="J252" t="str">
        <f t="shared" si="21"/>
        <v>V</v>
      </c>
      <c r="K252" t="s">
        <v>40</v>
      </c>
      <c r="L252" t="s">
        <v>228</v>
      </c>
      <c r="M252" t="s">
        <v>229</v>
      </c>
      <c r="N252" t="str">
        <f t="shared" si="22"/>
        <v>&lt;tr&gt; &lt;td&gt;Jan. 19&lt;/td&gt;</v>
      </c>
      <c r="O252" t="str">
        <f t="shared" si="23"/>
        <v>&lt;td&gt;6:00 PM&lt;/td&gt;</v>
      </c>
      <c r="P252" t="str">
        <f t="shared" si="24"/>
        <v>&lt;td class="VMHSsched"&gt;Vincent Massey&lt;/td&gt;</v>
      </c>
      <c r="Q252" t="str">
        <f t="shared" si="25"/>
        <v>&lt;td&gt;53 - 46&lt;/td&gt;</v>
      </c>
      <c r="R252" t="str">
        <f t="shared" si="26"/>
        <v>&lt;td class="CPRSsched"&gt;Crocus Plains&lt;/td&gt;</v>
      </c>
      <c r="S252" t="str">
        <f t="shared" si="27"/>
        <v>&lt;td&gt;Zone 15 Regular Season&lt;/td&gt; &lt;/tr&gt;</v>
      </c>
    </row>
    <row r="253" spans="1:19" x14ac:dyDescent="0.25">
      <c r="A253" s="5">
        <v>42388</v>
      </c>
      <c r="B253" s="6">
        <v>0.75</v>
      </c>
      <c r="C253" t="s">
        <v>761</v>
      </c>
      <c r="E253">
        <v>11</v>
      </c>
      <c r="F253" t="s">
        <v>162</v>
      </c>
      <c r="G253" t="s">
        <v>164</v>
      </c>
      <c r="H253">
        <v>52</v>
      </c>
      <c r="J253" t="str">
        <f t="shared" si="21"/>
        <v>H</v>
      </c>
      <c r="K253" t="s">
        <v>163</v>
      </c>
      <c r="L253" t="s">
        <v>282</v>
      </c>
      <c r="N253" t="str">
        <f t="shared" si="22"/>
        <v>&lt;tr&gt; &lt;td&gt;Jan. 19&lt;/td&gt;</v>
      </c>
      <c r="O253" t="str">
        <f t="shared" si="23"/>
        <v>&lt;td&gt;6:00 PM&lt;/td&gt;</v>
      </c>
      <c r="P253" t="str">
        <f t="shared" si="24"/>
        <v>&lt;td class="sched"&gt;Rosenort&lt;/td&gt;</v>
      </c>
      <c r="Q253" t="str">
        <f t="shared" si="25"/>
        <v>&lt;td&gt;11 - 52&lt;/td&gt;</v>
      </c>
      <c r="R253" t="str">
        <f t="shared" si="26"/>
        <v>&lt;td class="GVCsched"&gt;Garden Valley&lt;/td&gt;</v>
      </c>
      <c r="S253" t="str">
        <f t="shared" si="27"/>
        <v>&lt;td&gt;Zone 4 Exhibition&lt;/td&gt; &lt;/tr&gt;</v>
      </c>
    </row>
    <row r="254" spans="1:19" x14ac:dyDescent="0.25">
      <c r="A254" s="5">
        <v>42389</v>
      </c>
      <c r="B254" s="6">
        <v>0.6875</v>
      </c>
      <c r="C254" t="s">
        <v>15</v>
      </c>
      <c r="D254" t="s">
        <v>68</v>
      </c>
      <c r="E254">
        <v>26</v>
      </c>
      <c r="F254" t="s">
        <v>9</v>
      </c>
      <c r="G254" t="s">
        <v>76</v>
      </c>
      <c r="H254">
        <v>68</v>
      </c>
      <c r="J254" t="str">
        <f t="shared" si="21"/>
        <v>H</v>
      </c>
      <c r="K254" t="s">
        <v>258</v>
      </c>
      <c r="L254" t="s">
        <v>228</v>
      </c>
      <c r="M254" t="s">
        <v>229</v>
      </c>
      <c r="N254" t="str">
        <f t="shared" si="22"/>
        <v>&lt;tr&gt; &lt;td&gt;Jan. 20&lt;/td&gt;</v>
      </c>
      <c r="O254" t="str">
        <f t="shared" si="23"/>
        <v>&lt;td&gt;4:30 PM&lt;/td&gt;</v>
      </c>
      <c r="P254" t="str">
        <f t="shared" si="24"/>
        <v>&lt;td class="FRCsched"&gt;Fort Richmond&lt;/td&gt;</v>
      </c>
      <c r="Q254" t="str">
        <f t="shared" si="25"/>
        <v>&lt;td&gt;26 - 68&lt;/td&gt;</v>
      </c>
      <c r="R254" t="str">
        <f t="shared" si="26"/>
        <v>&lt;td class="SiHSsched"&gt;Sisler&lt;/td&gt;</v>
      </c>
      <c r="S254" t="str">
        <f t="shared" si="27"/>
        <v>&lt;td&gt;WWAC/WAC Tier 1 Regular Season&lt;/td&gt; &lt;/tr&gt;</v>
      </c>
    </row>
    <row r="255" spans="1:19" x14ac:dyDescent="0.25">
      <c r="A255" s="5">
        <v>42389</v>
      </c>
      <c r="B255" s="6">
        <v>0.6875</v>
      </c>
      <c r="C255" t="s">
        <v>14</v>
      </c>
      <c r="D255" t="s">
        <v>94</v>
      </c>
      <c r="E255">
        <v>40</v>
      </c>
      <c r="F255" t="s">
        <v>111</v>
      </c>
      <c r="G255" t="s">
        <v>112</v>
      </c>
      <c r="H255">
        <v>56</v>
      </c>
      <c r="J255" t="str">
        <f t="shared" si="21"/>
        <v>H</v>
      </c>
      <c r="K255" t="s">
        <v>258</v>
      </c>
      <c r="L255" t="s">
        <v>228</v>
      </c>
      <c r="M255" t="s">
        <v>229</v>
      </c>
      <c r="N255" t="str">
        <f t="shared" si="22"/>
        <v>&lt;tr&gt; &lt;td&gt;Jan. 20&lt;/td&gt;</v>
      </c>
      <c r="O255" t="str">
        <f t="shared" si="23"/>
        <v>&lt;td&gt;4:30 PM&lt;/td&gt;</v>
      </c>
      <c r="P255" t="str">
        <f t="shared" si="24"/>
        <v>&lt;td class="SHCsched"&gt;Sturgeon Heights&lt;/td&gt;</v>
      </c>
      <c r="Q255" t="str">
        <f t="shared" si="25"/>
        <v>&lt;td&gt;40 - 56&lt;/td&gt;</v>
      </c>
      <c r="R255" t="str">
        <f t="shared" si="26"/>
        <v>&lt;td class="SMAsched"&gt;St. Mary's&lt;/td&gt;</v>
      </c>
      <c r="S255" t="str">
        <f t="shared" si="27"/>
        <v>&lt;td&gt;WWAC/WAC Tier 1 Regular Season&lt;/td&gt; &lt;/tr&gt;</v>
      </c>
    </row>
    <row r="256" spans="1:19" x14ac:dyDescent="0.25">
      <c r="A256" s="5">
        <v>42389</v>
      </c>
      <c r="B256" s="6">
        <v>0.75</v>
      </c>
      <c r="C256" t="s">
        <v>16</v>
      </c>
      <c r="D256" t="s">
        <v>45</v>
      </c>
      <c r="E256">
        <v>73</v>
      </c>
      <c r="F256" t="s">
        <v>20</v>
      </c>
      <c r="G256" t="s">
        <v>58</v>
      </c>
      <c r="H256">
        <v>40</v>
      </c>
      <c r="J256" t="str">
        <f t="shared" si="21"/>
        <v>V</v>
      </c>
      <c r="K256" t="s">
        <v>233</v>
      </c>
      <c r="L256" t="s">
        <v>228</v>
      </c>
      <c r="M256" t="s">
        <v>229</v>
      </c>
      <c r="N256" t="str">
        <f t="shared" si="22"/>
        <v>&lt;tr&gt; &lt;td&gt;Jan. 20&lt;/td&gt;</v>
      </c>
      <c r="O256" t="str">
        <f t="shared" si="23"/>
        <v>&lt;td&gt;6:00 PM&lt;/td&gt;</v>
      </c>
      <c r="P256" t="str">
        <f t="shared" si="24"/>
        <v>&lt;td class="MCsched"&gt;Maples&lt;/td&gt;</v>
      </c>
      <c r="Q256" t="str">
        <f t="shared" si="25"/>
        <v>&lt;td&gt;73 - 40&lt;/td&gt;</v>
      </c>
      <c r="R256" t="str">
        <f t="shared" si="26"/>
        <v>&lt;td class="WKCsched"&gt;West Kildonan&lt;/td&gt;</v>
      </c>
      <c r="S256" t="str">
        <f t="shared" si="27"/>
        <v>&lt;td&gt;KPAC Tier 2 Regular Season&lt;/td&gt; &lt;/tr&gt;</v>
      </c>
    </row>
    <row r="257" spans="1:19" x14ac:dyDescent="0.25">
      <c r="A257" s="5">
        <v>42389</v>
      </c>
      <c r="B257" s="6">
        <v>0.75</v>
      </c>
      <c r="C257" t="s">
        <v>8</v>
      </c>
      <c r="D257" t="s">
        <v>60</v>
      </c>
      <c r="E257">
        <v>46</v>
      </c>
      <c r="F257" t="s">
        <v>108</v>
      </c>
      <c r="G257" t="s">
        <v>109</v>
      </c>
      <c r="H257">
        <v>15</v>
      </c>
      <c r="J257" t="str">
        <f t="shared" si="21"/>
        <v>V</v>
      </c>
      <c r="K257" t="s">
        <v>763</v>
      </c>
      <c r="L257" t="s">
        <v>228</v>
      </c>
      <c r="M257" t="s">
        <v>229</v>
      </c>
      <c r="N257" t="str">
        <f t="shared" si="22"/>
        <v>&lt;tr&gt; &lt;td&gt;Jan. 20&lt;/td&gt;</v>
      </c>
      <c r="O257" t="str">
        <f t="shared" si="23"/>
        <v>&lt;td&gt;6:00 PM&lt;/td&gt;</v>
      </c>
      <c r="P257" t="str">
        <f t="shared" si="24"/>
        <v>&lt;td class="DCIsched"&gt;Dakota&lt;/td&gt;</v>
      </c>
      <c r="Q257" t="str">
        <f t="shared" si="25"/>
        <v>&lt;td&gt;46 - 15&lt;/td&gt;</v>
      </c>
      <c r="R257" t="str">
        <f t="shared" si="26"/>
        <v>&lt;td class="CJSsched"&gt;Jeanne-Sauv&amp;eacute;&lt;/td&gt;</v>
      </c>
      <c r="S257" t="str">
        <f t="shared" si="27"/>
        <v>&lt;td&gt;SCAC Regular Season&lt;/td&gt; &lt;/tr&gt;</v>
      </c>
    </row>
    <row r="258" spans="1:19" x14ac:dyDescent="0.25">
      <c r="A258" s="5">
        <v>42389</v>
      </c>
      <c r="B258" s="6">
        <v>0.75</v>
      </c>
      <c r="C258" t="s">
        <v>5</v>
      </c>
      <c r="D258" t="s">
        <v>62</v>
      </c>
      <c r="E258">
        <v>63</v>
      </c>
      <c r="F258" t="s">
        <v>21</v>
      </c>
      <c r="G258" t="s">
        <v>64</v>
      </c>
      <c r="H258">
        <v>24</v>
      </c>
      <c r="J258" t="str">
        <f t="shared" si="21"/>
        <v>V</v>
      </c>
      <c r="K258" t="s">
        <v>763</v>
      </c>
      <c r="L258" t="s">
        <v>228</v>
      </c>
      <c r="M258" t="s">
        <v>229</v>
      </c>
      <c r="N258" t="str">
        <f t="shared" ref="N258:N321" si="28">"&lt;tr&gt; &lt;td&gt;"&amp;TEXT(A258,"MMM. D")&amp;"&lt;/td&gt;"</f>
        <v>&lt;tr&gt; &lt;td&gt;Jan. 20&lt;/td&gt;</v>
      </c>
      <c r="O258" t="str">
        <f t="shared" ref="O258:O321" si="29">"&lt;td&gt;"&amp;IF(B258&gt;0,TEXT(B258,"H:MM AM/PM"),"")&amp;"&lt;/td&gt;"</f>
        <v>&lt;td&gt;6:00 PM&lt;/td&gt;</v>
      </c>
      <c r="P258" t="str">
        <f t="shared" ref="P258:P321" si="30">"&lt;td class="""&amp;D258&amp;"sched""&gt;"&amp;C258&amp;"&lt;/td&gt;"</f>
        <v>&lt;td class="GCIsched"&gt;Glenlawn&lt;/td&gt;</v>
      </c>
      <c r="Q258" t="str">
        <f t="shared" ref="Q258:Q321" si="31">"&lt;td&gt;"&amp;E258&amp;" - "&amp;H258&amp;IF(I258&gt;0," "&amp;I258,"")&amp;"&lt;/td&gt;"</f>
        <v>&lt;td&gt;63 - 24&lt;/td&gt;</v>
      </c>
      <c r="R258" t="str">
        <f t="shared" ref="R258:R321" si="32">"&lt;td class="""&amp;G258&amp;"sched""&gt;"&amp;F258&amp;"&lt;/td&gt;"</f>
        <v>&lt;td class="JHBsched"&gt;J.H. Bruns&lt;/td&gt;</v>
      </c>
      <c r="S258" t="str">
        <f t="shared" ref="S258:S321" si="33">"&lt;td&gt;"&amp;K258&amp;" "&amp;L258&amp;"&lt;/td&gt; &lt;/tr&gt;"</f>
        <v>&lt;td&gt;SCAC Regular Season&lt;/td&gt; &lt;/tr&gt;</v>
      </c>
    </row>
    <row r="259" spans="1:19" x14ac:dyDescent="0.25">
      <c r="A259" s="5">
        <v>42389</v>
      </c>
      <c r="B259" s="6">
        <v>0.76041666666666663</v>
      </c>
      <c r="C259" t="s">
        <v>31</v>
      </c>
      <c r="D259" t="s">
        <v>96</v>
      </c>
      <c r="E259">
        <v>73</v>
      </c>
      <c r="F259" t="s">
        <v>253</v>
      </c>
      <c r="H259">
        <v>37</v>
      </c>
      <c r="J259" t="str">
        <f t="shared" si="21"/>
        <v>V</v>
      </c>
      <c r="K259" t="s">
        <v>257</v>
      </c>
      <c r="L259" t="s">
        <v>228</v>
      </c>
      <c r="M259" t="s">
        <v>229</v>
      </c>
      <c r="N259" t="str">
        <f t="shared" si="28"/>
        <v>&lt;tr&gt; &lt;td&gt;Jan. 20&lt;/td&gt;</v>
      </c>
      <c r="O259" t="str">
        <f t="shared" si="29"/>
        <v>&lt;td&gt;6:15 PM&lt;/td&gt;</v>
      </c>
      <c r="P259" t="str">
        <f t="shared" si="30"/>
        <v>&lt;td class="TVHSsched"&gt;Tec Voc&lt;/td&gt;</v>
      </c>
      <c r="Q259" t="str">
        <f t="shared" si="31"/>
        <v>&lt;td&gt;73 - 37&lt;/td&gt;</v>
      </c>
      <c r="R259" t="str">
        <f t="shared" si="32"/>
        <v>&lt;td class="sched"&gt;St. James&lt;/td&gt;</v>
      </c>
      <c r="S259" t="str">
        <f t="shared" si="33"/>
        <v>&lt;td&gt;WWAC/WAC Tier 2 Regular Season&lt;/td&gt; &lt;/tr&gt;</v>
      </c>
    </row>
    <row r="260" spans="1:19" x14ac:dyDescent="0.25">
      <c r="A260" s="5">
        <v>42389</v>
      </c>
      <c r="B260" s="6">
        <v>0.76041666666666663</v>
      </c>
      <c r="C260" t="s">
        <v>26</v>
      </c>
      <c r="D260" t="s">
        <v>86</v>
      </c>
      <c r="E260">
        <v>48</v>
      </c>
      <c r="F260" t="s">
        <v>29</v>
      </c>
      <c r="G260" t="s">
        <v>91</v>
      </c>
      <c r="H260">
        <v>52</v>
      </c>
      <c r="J260" t="str">
        <f t="shared" si="21"/>
        <v>H</v>
      </c>
      <c r="K260" t="s">
        <v>257</v>
      </c>
      <c r="L260" t="s">
        <v>228</v>
      </c>
      <c r="M260" t="s">
        <v>229</v>
      </c>
      <c r="N260" t="str">
        <f t="shared" si="28"/>
        <v>&lt;tr&gt; &lt;td&gt;Jan. 20&lt;/td&gt;</v>
      </c>
      <c r="O260" t="str">
        <f t="shared" si="29"/>
        <v>&lt;td&gt;6:15 PM&lt;/td&gt;</v>
      </c>
      <c r="P260" t="str">
        <f t="shared" si="30"/>
        <v>&lt;td class="GBHSsched"&gt;Gordon Bell&lt;/td&gt;</v>
      </c>
      <c r="Q260" t="str">
        <f t="shared" si="31"/>
        <v>&lt;td&gt;48 - 52&lt;/td&gt;</v>
      </c>
      <c r="R260" t="str">
        <f t="shared" si="32"/>
        <v>&lt;td class="ShHSsched"&gt;Shaftesbury&lt;/td&gt;</v>
      </c>
      <c r="S260" t="str">
        <f t="shared" si="33"/>
        <v>&lt;td&gt;WWAC/WAC Tier 2 Regular Season&lt;/td&gt; &lt;/tr&gt;</v>
      </c>
    </row>
    <row r="261" spans="1:19" x14ac:dyDescent="0.25">
      <c r="A261" s="5">
        <v>42389</v>
      </c>
      <c r="B261" s="6">
        <v>0.76041666666666663</v>
      </c>
      <c r="C261" t="s">
        <v>30</v>
      </c>
      <c r="D261" t="s">
        <v>92</v>
      </c>
      <c r="E261">
        <v>36</v>
      </c>
      <c r="F261" t="s">
        <v>25</v>
      </c>
      <c r="G261" t="s">
        <v>84</v>
      </c>
      <c r="H261">
        <v>31</v>
      </c>
      <c r="J261" t="str">
        <f t="shared" si="21"/>
        <v>V</v>
      </c>
      <c r="K261" t="s">
        <v>257</v>
      </c>
      <c r="L261" t="s">
        <v>228</v>
      </c>
      <c r="M261" t="s">
        <v>229</v>
      </c>
      <c r="N261" t="str">
        <f t="shared" si="28"/>
        <v>&lt;tr&gt; &lt;td&gt;Jan. 20&lt;/td&gt;</v>
      </c>
      <c r="O261" t="str">
        <f t="shared" si="29"/>
        <v>&lt;td&gt;6:15 PM&lt;/td&gt;</v>
      </c>
      <c r="P261" t="str">
        <f t="shared" si="30"/>
        <v>&lt;td class="SJHSsched"&gt;St. John's&lt;/td&gt;</v>
      </c>
      <c r="Q261" t="str">
        <f t="shared" si="31"/>
        <v>&lt;td&gt;36 - 31&lt;/td&gt;</v>
      </c>
      <c r="R261" t="str">
        <f t="shared" si="32"/>
        <v>&lt;td class="EHSsched"&gt;Elmwood&lt;/td&gt;</v>
      </c>
      <c r="S261" t="str">
        <f t="shared" si="33"/>
        <v>&lt;td&gt;WWAC/WAC Tier 2 Regular Season&lt;/td&gt; &lt;/tr&gt;</v>
      </c>
    </row>
    <row r="262" spans="1:19" x14ac:dyDescent="0.25">
      <c r="A262" s="5">
        <v>42389</v>
      </c>
      <c r="B262" s="6">
        <v>0.76041666666666663</v>
      </c>
      <c r="C262" t="s">
        <v>27</v>
      </c>
      <c r="D262" t="s">
        <v>88</v>
      </c>
      <c r="E262">
        <v>62</v>
      </c>
      <c r="F262" t="s">
        <v>10</v>
      </c>
      <c r="G262" t="s">
        <v>72</v>
      </c>
      <c r="H262">
        <v>47</v>
      </c>
      <c r="J262" t="str">
        <f t="shared" si="21"/>
        <v>V</v>
      </c>
      <c r="K262" t="s">
        <v>257</v>
      </c>
      <c r="L262" t="s">
        <v>228</v>
      </c>
      <c r="M262" t="s">
        <v>229</v>
      </c>
      <c r="N262" t="str">
        <f t="shared" si="28"/>
        <v>&lt;tr&gt; &lt;td&gt;Jan. 20&lt;/td&gt;</v>
      </c>
      <c r="O262" t="str">
        <f t="shared" si="29"/>
        <v>&lt;td&gt;6:15 PM&lt;/td&gt;</v>
      </c>
      <c r="P262" t="str">
        <f t="shared" si="30"/>
        <v>&lt;td class="GPHSsched"&gt;Grant Park&lt;/td&gt;</v>
      </c>
      <c r="Q262" t="str">
        <f t="shared" si="31"/>
        <v>&lt;td&gt;62 - 47&lt;/td&gt;</v>
      </c>
      <c r="R262" t="str">
        <f t="shared" si="32"/>
        <v>&lt;td class="KHSsched"&gt;Kelvin&lt;/td&gt;</v>
      </c>
      <c r="S262" t="str">
        <f t="shared" si="33"/>
        <v>&lt;td&gt;WWAC/WAC Tier 2 Regular Season&lt;/td&gt; &lt;/tr&gt;</v>
      </c>
    </row>
    <row r="263" spans="1:19" x14ac:dyDescent="0.25">
      <c r="A263" s="5">
        <v>42389</v>
      </c>
      <c r="B263" s="6">
        <v>0.76041666666666663</v>
      </c>
      <c r="C263" t="s">
        <v>24</v>
      </c>
      <c r="D263" t="s">
        <v>82</v>
      </c>
      <c r="E263" t="s">
        <v>725</v>
      </c>
      <c r="F263" t="s">
        <v>23</v>
      </c>
      <c r="G263" t="s">
        <v>80</v>
      </c>
      <c r="H263">
        <v>20</v>
      </c>
      <c r="J263" t="s">
        <v>726</v>
      </c>
      <c r="K263" t="s">
        <v>258</v>
      </c>
      <c r="L263" t="s">
        <v>228</v>
      </c>
      <c r="M263" t="s">
        <v>229</v>
      </c>
      <c r="N263" t="str">
        <f t="shared" si="28"/>
        <v>&lt;tr&gt; &lt;td&gt;Jan. 20&lt;/td&gt;</v>
      </c>
      <c r="O263" t="str">
        <f t="shared" si="29"/>
        <v>&lt;td&gt;6:15 PM&lt;/td&gt;</v>
      </c>
      <c r="P263" t="str">
        <f t="shared" si="30"/>
        <v>&lt;td class="DMCIsched"&gt;Daniel McIntyre&lt;/td&gt;</v>
      </c>
      <c r="Q263" t="str">
        <f t="shared" si="31"/>
        <v>&lt;td&gt;0F - 20&lt;/td&gt;</v>
      </c>
      <c r="R263" t="str">
        <f t="shared" si="32"/>
        <v>&lt;td class="VMCsched"&gt;Vincent Massey&lt;/td&gt;</v>
      </c>
      <c r="S263" t="str">
        <f t="shared" si="33"/>
        <v>&lt;td&gt;WWAC/WAC Tier 1 Regular Season&lt;/td&gt; &lt;/tr&gt;</v>
      </c>
    </row>
    <row r="264" spans="1:19" x14ac:dyDescent="0.25">
      <c r="A264" s="5">
        <v>42389</v>
      </c>
      <c r="B264" s="6">
        <v>0.76041666666666663</v>
      </c>
      <c r="C264" t="s">
        <v>1</v>
      </c>
      <c r="D264" t="s">
        <v>74</v>
      </c>
      <c r="E264">
        <v>91</v>
      </c>
      <c r="F264" t="s">
        <v>13</v>
      </c>
      <c r="G264" t="s">
        <v>98</v>
      </c>
      <c r="H264">
        <v>70</v>
      </c>
      <c r="J264" t="str">
        <f t="shared" ref="J264:J303" si="34">IF(H264&gt;E264,"H",IF(E264&gt;H264,"V",""))</f>
        <v>V</v>
      </c>
      <c r="K264" t="s">
        <v>258</v>
      </c>
      <c r="L264" t="s">
        <v>228</v>
      </c>
      <c r="M264" t="s">
        <v>229</v>
      </c>
      <c r="N264" t="str">
        <f t="shared" si="28"/>
        <v>&lt;tr&gt; &lt;td&gt;Jan. 20&lt;/td&gt;</v>
      </c>
      <c r="O264" t="str">
        <f t="shared" si="29"/>
        <v>&lt;td&gt;6:15 PM&lt;/td&gt;</v>
      </c>
      <c r="P264" t="str">
        <f t="shared" si="30"/>
        <v>&lt;td class="OPHSsched"&gt;Oak Park&lt;/td&gt;</v>
      </c>
      <c r="Q264" t="str">
        <f t="shared" si="31"/>
        <v>&lt;td&gt;91 - 70&lt;/td&gt;</v>
      </c>
      <c r="R264" t="str">
        <f t="shared" si="32"/>
        <v>&lt;td class="WWCsched"&gt;Westwood&lt;/td&gt;</v>
      </c>
      <c r="S264" t="str">
        <f t="shared" si="33"/>
        <v>&lt;td&gt;WWAC/WAC Tier 1 Regular Season&lt;/td&gt; &lt;/tr&gt;</v>
      </c>
    </row>
    <row r="265" spans="1:19" x14ac:dyDescent="0.25">
      <c r="A265" s="5">
        <v>42389</v>
      </c>
      <c r="B265" s="6">
        <v>0.77083333333333337</v>
      </c>
      <c r="C265" t="s">
        <v>237</v>
      </c>
      <c r="E265">
        <v>54</v>
      </c>
      <c r="F265" t="s">
        <v>22</v>
      </c>
      <c r="G265" t="s">
        <v>66</v>
      </c>
      <c r="H265">
        <v>27</v>
      </c>
      <c r="J265" t="str">
        <f t="shared" si="34"/>
        <v>V</v>
      </c>
      <c r="K265" t="s">
        <v>763</v>
      </c>
      <c r="L265" t="s">
        <v>228</v>
      </c>
      <c r="M265" t="s">
        <v>229</v>
      </c>
      <c r="N265" t="str">
        <f t="shared" si="28"/>
        <v>&lt;tr&gt; &lt;td&gt;Jan. 20&lt;/td&gt;</v>
      </c>
      <c r="O265" t="str">
        <f t="shared" si="29"/>
        <v>&lt;td&gt;6:30 PM&lt;/td&gt;</v>
      </c>
      <c r="P265" t="str">
        <f t="shared" si="30"/>
        <v>&lt;td class="sched"&gt;Westgate&lt;/td&gt;</v>
      </c>
      <c r="Q265" t="str">
        <f t="shared" si="31"/>
        <v>&lt;td&gt;54 - 27&lt;/td&gt;</v>
      </c>
      <c r="R265" t="str">
        <f t="shared" si="32"/>
        <v>&lt;td class="SRSSsched"&gt;Steinbach&lt;/td&gt;</v>
      </c>
      <c r="S265" t="str">
        <f t="shared" si="33"/>
        <v>&lt;td&gt;SCAC Regular Season&lt;/td&gt; &lt;/tr&gt;</v>
      </c>
    </row>
    <row r="266" spans="1:19" x14ac:dyDescent="0.25">
      <c r="A266" s="5">
        <v>42389</v>
      </c>
      <c r="B266" s="6">
        <v>0.8125</v>
      </c>
      <c r="C266" t="s">
        <v>18</v>
      </c>
      <c r="D266" t="s">
        <v>52</v>
      </c>
      <c r="E266">
        <v>56</v>
      </c>
      <c r="F266" t="s">
        <v>7</v>
      </c>
      <c r="G266" t="s">
        <v>7</v>
      </c>
      <c r="H266">
        <v>35</v>
      </c>
      <c r="J266" t="str">
        <f t="shared" si="34"/>
        <v>V</v>
      </c>
      <c r="K266" t="s">
        <v>233</v>
      </c>
      <c r="L266" t="s">
        <v>228</v>
      </c>
      <c r="M266" t="s">
        <v>229</v>
      </c>
      <c r="N266" t="str">
        <f t="shared" si="28"/>
        <v>&lt;tr&gt; &lt;td&gt;Jan. 20&lt;/td&gt;</v>
      </c>
      <c r="O266" t="str">
        <f t="shared" si="29"/>
        <v>&lt;td&gt;7:30 PM&lt;/td&gt;</v>
      </c>
      <c r="P266" t="str">
        <f t="shared" si="30"/>
        <v>&lt;td class="RECsched"&gt;River East&lt;/td&gt;</v>
      </c>
      <c r="Q266" t="str">
        <f t="shared" si="31"/>
        <v>&lt;td&gt;56 - 35&lt;/td&gt;</v>
      </c>
      <c r="R266" t="str">
        <f t="shared" si="32"/>
        <v>&lt;td class="MBCIsched"&gt;MBCI&lt;/td&gt;</v>
      </c>
      <c r="S266" t="str">
        <f t="shared" si="33"/>
        <v>&lt;td&gt;KPAC Tier 2 Regular Season&lt;/td&gt; &lt;/tr&gt;</v>
      </c>
    </row>
    <row r="267" spans="1:19" x14ac:dyDescent="0.25">
      <c r="A267" s="5">
        <v>42389</v>
      </c>
      <c r="B267" s="6">
        <v>0.8125</v>
      </c>
      <c r="C267" t="s">
        <v>17</v>
      </c>
      <c r="D267" t="s">
        <v>50</v>
      </c>
      <c r="E267">
        <v>51</v>
      </c>
      <c r="F267" t="s">
        <v>19</v>
      </c>
      <c r="G267" t="s">
        <v>56</v>
      </c>
      <c r="H267">
        <v>19</v>
      </c>
      <c r="J267" t="str">
        <f t="shared" si="34"/>
        <v>V</v>
      </c>
      <c r="K267" t="s">
        <v>233</v>
      </c>
      <c r="L267" t="s">
        <v>228</v>
      </c>
      <c r="M267" t="s">
        <v>229</v>
      </c>
      <c r="N267" t="str">
        <f t="shared" si="28"/>
        <v>&lt;tr&gt; &lt;td&gt;Jan. 20&lt;/td&gt;</v>
      </c>
      <c r="O267" t="str">
        <f t="shared" si="29"/>
        <v>&lt;td&gt;7:30 PM&lt;/td&gt;</v>
      </c>
      <c r="P267" t="str">
        <f t="shared" si="30"/>
        <v>&lt;td class="MMCIsched"&gt;Murdoch MacKay&lt;/td&gt;</v>
      </c>
      <c r="Q267" t="str">
        <f t="shared" si="31"/>
        <v>&lt;td&gt;51 - 19&lt;/td&gt;</v>
      </c>
      <c r="R267" t="str">
        <f t="shared" si="32"/>
        <v>&lt;td class="TCIsched"&gt;Transcona&lt;/td&gt;</v>
      </c>
      <c r="S267" t="str">
        <f t="shared" si="33"/>
        <v>&lt;td&gt;KPAC Tier 2 Regular Season&lt;/td&gt; &lt;/tr&gt;</v>
      </c>
    </row>
    <row r="268" spans="1:19" x14ac:dyDescent="0.25">
      <c r="A268" s="5">
        <v>42389</v>
      </c>
      <c r="B268" s="6">
        <v>0.8125</v>
      </c>
      <c r="C268" t="s">
        <v>11</v>
      </c>
      <c r="D268" t="s">
        <v>48</v>
      </c>
      <c r="E268">
        <v>68</v>
      </c>
      <c r="F268" t="s">
        <v>2</v>
      </c>
      <c r="G268" t="s">
        <v>43</v>
      </c>
      <c r="H268">
        <v>38</v>
      </c>
      <c r="J268" t="str">
        <f t="shared" si="34"/>
        <v>V</v>
      </c>
      <c r="K268" t="s">
        <v>234</v>
      </c>
      <c r="L268" t="s">
        <v>228</v>
      </c>
      <c r="M268" t="s">
        <v>229</v>
      </c>
      <c r="N268" t="str">
        <f t="shared" si="28"/>
        <v>&lt;tr&gt; &lt;td&gt;Jan. 20&lt;/td&gt;</v>
      </c>
      <c r="O268" t="str">
        <f t="shared" si="29"/>
        <v>&lt;td&gt;7:30 PM&lt;/td&gt;</v>
      </c>
      <c r="P268" t="str">
        <f t="shared" si="30"/>
        <v>&lt;td class="MMCsched"&gt;Miles Macdonell&lt;/td&gt;</v>
      </c>
      <c r="Q268" t="str">
        <f t="shared" si="31"/>
        <v>&lt;td&gt;68 - 38&lt;/td&gt;</v>
      </c>
      <c r="R268" t="str">
        <f t="shared" si="32"/>
        <v>&lt;td class="KECsched"&gt;Kildonan-East&lt;/td&gt;</v>
      </c>
      <c r="S268" t="str">
        <f t="shared" si="33"/>
        <v>&lt;td&gt;KPAC Tier 1 Regular Season&lt;/td&gt; &lt;/tr&gt;</v>
      </c>
    </row>
    <row r="269" spans="1:19" x14ac:dyDescent="0.25">
      <c r="A269" s="5">
        <v>42390</v>
      </c>
      <c r="B269" s="6">
        <v>0.6875</v>
      </c>
      <c r="C269" t="s">
        <v>24</v>
      </c>
      <c r="D269" t="s">
        <v>82</v>
      </c>
      <c r="E269">
        <v>24</v>
      </c>
      <c r="F269" t="s">
        <v>9</v>
      </c>
      <c r="G269" t="s">
        <v>76</v>
      </c>
      <c r="H269">
        <v>78</v>
      </c>
      <c r="J269" t="str">
        <f t="shared" si="34"/>
        <v>H</v>
      </c>
      <c r="K269" t="s">
        <v>258</v>
      </c>
      <c r="L269" t="s">
        <v>228</v>
      </c>
      <c r="M269" t="s">
        <v>229</v>
      </c>
      <c r="N269" t="str">
        <f t="shared" si="28"/>
        <v>&lt;tr&gt; &lt;td&gt;Jan. 21&lt;/td&gt;</v>
      </c>
      <c r="O269" t="str">
        <f t="shared" si="29"/>
        <v>&lt;td&gt;4:30 PM&lt;/td&gt;</v>
      </c>
      <c r="P269" t="str">
        <f t="shared" si="30"/>
        <v>&lt;td class="DMCIsched"&gt;Daniel McIntyre&lt;/td&gt;</v>
      </c>
      <c r="Q269" t="str">
        <f t="shared" si="31"/>
        <v>&lt;td&gt;24 - 78&lt;/td&gt;</v>
      </c>
      <c r="R269" t="str">
        <f t="shared" si="32"/>
        <v>&lt;td class="SiHSsched"&gt;Sisler&lt;/td&gt;</v>
      </c>
      <c r="S269" t="str">
        <f t="shared" si="33"/>
        <v>&lt;td&gt;WWAC/WAC Tier 1 Regular Season&lt;/td&gt; &lt;/tr&gt;</v>
      </c>
    </row>
    <row r="270" spans="1:19" x14ac:dyDescent="0.25">
      <c r="A270" s="5">
        <v>42390</v>
      </c>
      <c r="B270" s="6">
        <v>0.70833333333333337</v>
      </c>
      <c r="C270" t="s">
        <v>18</v>
      </c>
      <c r="D270" t="s">
        <v>52</v>
      </c>
      <c r="E270">
        <v>40</v>
      </c>
      <c r="F270" t="s">
        <v>12</v>
      </c>
      <c r="G270" t="s">
        <v>54</v>
      </c>
      <c r="H270">
        <v>64</v>
      </c>
      <c r="J270" t="str">
        <f t="shared" si="34"/>
        <v>H</v>
      </c>
      <c r="K270" t="s">
        <v>580</v>
      </c>
      <c r="L270" t="s">
        <v>211</v>
      </c>
      <c r="N270" t="str">
        <f t="shared" si="28"/>
        <v>&lt;tr&gt; &lt;td&gt;Jan. 21&lt;/td&gt;</v>
      </c>
      <c r="O270" t="str">
        <f t="shared" si="29"/>
        <v>&lt;td&gt;5:00 PM&lt;/td&gt;</v>
      </c>
      <c r="P270" t="str">
        <f t="shared" si="30"/>
        <v>&lt;td class="RECsched"&gt;River East&lt;/td&gt;</v>
      </c>
      <c r="Q270" t="str">
        <f t="shared" si="31"/>
        <v>&lt;td&gt;40 - 64&lt;/td&gt;</v>
      </c>
      <c r="R270" t="str">
        <f t="shared" si="32"/>
        <v>&lt;td class="LSsched"&gt;Selkirk&lt;/td&gt;</v>
      </c>
      <c r="S270" t="str">
        <f t="shared" si="33"/>
        <v>&lt;td&gt;Royal Rumble Pool A&lt;/td&gt; &lt;/tr&gt;</v>
      </c>
    </row>
    <row r="271" spans="1:19" x14ac:dyDescent="0.25">
      <c r="A271" s="5">
        <v>42390</v>
      </c>
      <c r="B271" s="6">
        <v>0.77083333333333337</v>
      </c>
      <c r="C271" t="s">
        <v>111</v>
      </c>
      <c r="D271" t="s">
        <v>112</v>
      </c>
      <c r="E271">
        <v>62</v>
      </c>
      <c r="F271" t="s">
        <v>16</v>
      </c>
      <c r="G271" t="s">
        <v>45</v>
      </c>
      <c r="H271">
        <v>42</v>
      </c>
      <c r="J271" t="str">
        <f t="shared" si="34"/>
        <v>V</v>
      </c>
      <c r="K271" t="s">
        <v>580</v>
      </c>
      <c r="L271" t="s">
        <v>212</v>
      </c>
      <c r="N271" t="str">
        <f t="shared" si="28"/>
        <v>&lt;tr&gt; &lt;td&gt;Jan. 21&lt;/td&gt;</v>
      </c>
      <c r="O271" t="str">
        <f t="shared" si="29"/>
        <v>&lt;td&gt;6:30 PM&lt;/td&gt;</v>
      </c>
      <c r="P271" t="str">
        <f t="shared" si="30"/>
        <v>&lt;td class="SMAsched"&gt;St. Mary's&lt;/td&gt;</v>
      </c>
      <c r="Q271" t="str">
        <f t="shared" si="31"/>
        <v>&lt;td&gt;62 - 42&lt;/td&gt;</v>
      </c>
      <c r="R271" t="str">
        <f t="shared" si="32"/>
        <v>&lt;td class="MCsched"&gt;Maples&lt;/td&gt;</v>
      </c>
      <c r="S271" t="str">
        <f t="shared" si="33"/>
        <v>&lt;td&gt;Royal Rumble Pool B&lt;/td&gt; &lt;/tr&gt;</v>
      </c>
    </row>
    <row r="272" spans="1:19" x14ac:dyDescent="0.25">
      <c r="A272" s="5">
        <v>42391</v>
      </c>
      <c r="B272" s="6">
        <v>0.69791666666666663</v>
      </c>
      <c r="C272" t="s">
        <v>220</v>
      </c>
      <c r="E272">
        <v>48</v>
      </c>
      <c r="F272" t="s">
        <v>32</v>
      </c>
      <c r="G272" t="s">
        <v>100</v>
      </c>
      <c r="H272">
        <v>56</v>
      </c>
      <c r="J272" t="str">
        <f t="shared" si="34"/>
        <v>H</v>
      </c>
      <c r="K272" t="s">
        <v>572</v>
      </c>
      <c r="L272" t="s">
        <v>173</v>
      </c>
      <c r="N272" t="str">
        <f t="shared" si="28"/>
        <v>&lt;tr&gt; &lt;td&gt;Jan. 22&lt;/td&gt;</v>
      </c>
      <c r="O272" t="str">
        <f t="shared" si="29"/>
        <v>&lt;td&gt;4:45 PM&lt;/td&gt;</v>
      </c>
      <c r="P272" t="str">
        <f t="shared" si="30"/>
        <v>&lt;td class="sched"&gt;Swan Valley&lt;/td&gt;</v>
      </c>
      <c r="Q272" t="str">
        <f t="shared" si="31"/>
        <v>&lt;td&gt;48 - 56&lt;/td&gt;</v>
      </c>
      <c r="R272" t="str">
        <f t="shared" si="32"/>
        <v>&lt;td class="CPRSsched"&gt;Crocus Plains&lt;/td&gt;</v>
      </c>
      <c r="S272" t="str">
        <f t="shared" si="33"/>
        <v>&lt;td&gt;NIT Quarterfinal 1&lt;/td&gt; &lt;/tr&gt;</v>
      </c>
    </row>
    <row r="273" spans="1:19" x14ac:dyDescent="0.25">
      <c r="A273" s="5">
        <v>42391</v>
      </c>
      <c r="B273" s="6">
        <v>0.69791666666666663</v>
      </c>
      <c r="C273" t="s">
        <v>573</v>
      </c>
      <c r="E273">
        <v>43</v>
      </c>
      <c r="F273" t="s">
        <v>23</v>
      </c>
      <c r="G273" t="s">
        <v>102</v>
      </c>
      <c r="H273">
        <v>51</v>
      </c>
      <c r="J273" t="str">
        <f t="shared" si="34"/>
        <v>H</v>
      </c>
      <c r="K273" t="s">
        <v>572</v>
      </c>
      <c r="L273" t="s">
        <v>175</v>
      </c>
      <c r="N273" t="str">
        <f t="shared" si="28"/>
        <v>&lt;tr&gt; &lt;td&gt;Jan. 22&lt;/td&gt;</v>
      </c>
      <c r="O273" t="str">
        <f t="shared" si="29"/>
        <v>&lt;td&gt;4:45 PM&lt;/td&gt;</v>
      </c>
      <c r="P273" t="str">
        <f t="shared" si="30"/>
        <v>&lt;td class="sched"&gt;Boissevain&lt;/td&gt;</v>
      </c>
      <c r="Q273" t="str">
        <f t="shared" si="31"/>
        <v>&lt;td&gt;43 - 51&lt;/td&gt;</v>
      </c>
      <c r="R273" t="str">
        <f t="shared" si="32"/>
        <v>&lt;td class="VMHSsched"&gt;Vincent Massey&lt;/td&gt;</v>
      </c>
      <c r="S273" t="str">
        <f t="shared" si="33"/>
        <v>&lt;td&gt;NIT Quarterfinal 3&lt;/td&gt; &lt;/tr&gt;</v>
      </c>
    </row>
    <row r="274" spans="1:19" x14ac:dyDescent="0.25">
      <c r="A274" s="5">
        <v>42391</v>
      </c>
      <c r="B274" s="6">
        <v>0.70833333333333337</v>
      </c>
      <c r="C274" t="s">
        <v>14</v>
      </c>
      <c r="D274" t="s">
        <v>94</v>
      </c>
      <c r="E274">
        <v>75</v>
      </c>
      <c r="F274" t="s">
        <v>18</v>
      </c>
      <c r="G274" t="s">
        <v>52</v>
      </c>
      <c r="H274">
        <v>46</v>
      </c>
      <c r="J274" t="str">
        <f t="shared" si="34"/>
        <v>V</v>
      </c>
      <c r="K274" t="s">
        <v>580</v>
      </c>
      <c r="L274" t="s">
        <v>211</v>
      </c>
      <c r="N274" t="str">
        <f t="shared" si="28"/>
        <v>&lt;tr&gt; &lt;td&gt;Jan. 22&lt;/td&gt;</v>
      </c>
      <c r="O274" t="str">
        <f t="shared" si="29"/>
        <v>&lt;td&gt;5:00 PM&lt;/td&gt;</v>
      </c>
      <c r="P274" t="str">
        <f t="shared" si="30"/>
        <v>&lt;td class="SHCsched"&gt;Sturgeon Heights&lt;/td&gt;</v>
      </c>
      <c r="Q274" t="str">
        <f t="shared" si="31"/>
        <v>&lt;td&gt;75 - 46&lt;/td&gt;</v>
      </c>
      <c r="R274" t="str">
        <f t="shared" si="32"/>
        <v>&lt;td class="RECsched"&gt;River East&lt;/td&gt;</v>
      </c>
      <c r="S274" t="str">
        <f t="shared" si="33"/>
        <v>&lt;td&gt;Royal Rumble Pool A&lt;/td&gt; &lt;/tr&gt;</v>
      </c>
    </row>
    <row r="275" spans="1:19" x14ac:dyDescent="0.25">
      <c r="A275" s="5">
        <v>42391</v>
      </c>
      <c r="B275" s="6">
        <v>0.77083333333333337</v>
      </c>
      <c r="C275" t="s">
        <v>16</v>
      </c>
      <c r="D275" t="s">
        <v>45</v>
      </c>
      <c r="E275">
        <v>62</v>
      </c>
      <c r="F275" t="s">
        <v>31</v>
      </c>
      <c r="G275" t="s">
        <v>96</v>
      </c>
      <c r="H275">
        <v>65</v>
      </c>
      <c r="J275" t="str">
        <f t="shared" si="34"/>
        <v>H</v>
      </c>
      <c r="K275" t="s">
        <v>580</v>
      </c>
      <c r="L275" t="s">
        <v>212</v>
      </c>
      <c r="N275" t="str">
        <f t="shared" si="28"/>
        <v>&lt;tr&gt; &lt;td&gt;Jan. 22&lt;/td&gt;</v>
      </c>
      <c r="O275" t="str">
        <f t="shared" si="29"/>
        <v>&lt;td&gt;6:30 PM&lt;/td&gt;</v>
      </c>
      <c r="P275" t="str">
        <f t="shared" si="30"/>
        <v>&lt;td class="MCsched"&gt;Maples&lt;/td&gt;</v>
      </c>
      <c r="Q275" t="str">
        <f t="shared" si="31"/>
        <v>&lt;td&gt;62 - 65&lt;/td&gt;</v>
      </c>
      <c r="R275" t="str">
        <f t="shared" si="32"/>
        <v>&lt;td class="TVHSsched"&gt;Tec Voc&lt;/td&gt;</v>
      </c>
      <c r="S275" t="str">
        <f t="shared" si="33"/>
        <v>&lt;td&gt;Royal Rumble Pool B&lt;/td&gt; &lt;/tr&gt;</v>
      </c>
    </row>
    <row r="276" spans="1:19" x14ac:dyDescent="0.25">
      <c r="A276" s="5">
        <v>42391</v>
      </c>
      <c r="C276" t="s">
        <v>557</v>
      </c>
      <c r="E276">
        <v>47</v>
      </c>
      <c r="F276" t="s">
        <v>104</v>
      </c>
      <c r="G276" t="s">
        <v>105</v>
      </c>
      <c r="H276">
        <v>34</v>
      </c>
      <c r="J276" t="str">
        <f t="shared" si="34"/>
        <v>V</v>
      </c>
      <c r="K276" t="s">
        <v>558</v>
      </c>
      <c r="L276" t="s">
        <v>174</v>
      </c>
      <c r="N276" t="str">
        <f t="shared" si="28"/>
        <v>&lt;tr&gt; &lt;td&gt;Jan. 22&lt;/td&gt;</v>
      </c>
      <c r="O276" t="str">
        <f t="shared" si="29"/>
        <v>&lt;td&gt;&lt;/td&gt;</v>
      </c>
      <c r="P276" t="str">
        <f t="shared" si="30"/>
        <v>&lt;td class="sched"&gt;Roseau Valley&lt;/td&gt;</v>
      </c>
      <c r="Q276" t="str">
        <f t="shared" si="31"/>
        <v>&lt;td&gt;47 - 34&lt;/td&gt;</v>
      </c>
      <c r="R276" t="str">
        <f t="shared" si="32"/>
        <v>&lt;td class="SCIsched"&gt;Springfield&lt;/td&gt;</v>
      </c>
      <c r="S276" t="str">
        <f t="shared" si="33"/>
        <v>&lt;td&gt;Warren Quarterfinal 2&lt;/td&gt; &lt;/tr&gt;</v>
      </c>
    </row>
    <row r="277" spans="1:19" x14ac:dyDescent="0.25">
      <c r="A277" s="5">
        <v>42392</v>
      </c>
      <c r="B277" s="6">
        <v>0.375</v>
      </c>
      <c r="C277" t="s">
        <v>31</v>
      </c>
      <c r="D277" t="s">
        <v>96</v>
      </c>
      <c r="E277">
        <v>56</v>
      </c>
      <c r="F277" t="s">
        <v>111</v>
      </c>
      <c r="G277" t="s">
        <v>112</v>
      </c>
      <c r="H277">
        <v>45</v>
      </c>
      <c r="J277" t="str">
        <f t="shared" si="34"/>
        <v>V</v>
      </c>
      <c r="K277" t="s">
        <v>580</v>
      </c>
      <c r="L277" t="s">
        <v>212</v>
      </c>
      <c r="N277" t="str">
        <f t="shared" si="28"/>
        <v>&lt;tr&gt; &lt;td&gt;Jan. 23&lt;/td&gt;</v>
      </c>
      <c r="O277" t="str">
        <f t="shared" si="29"/>
        <v>&lt;td&gt;9:00 AM&lt;/td&gt;</v>
      </c>
      <c r="P277" t="str">
        <f t="shared" si="30"/>
        <v>&lt;td class="TVHSsched"&gt;Tec Voc&lt;/td&gt;</v>
      </c>
      <c r="Q277" t="str">
        <f t="shared" si="31"/>
        <v>&lt;td&gt;56 - 45&lt;/td&gt;</v>
      </c>
      <c r="R277" t="str">
        <f t="shared" si="32"/>
        <v>&lt;td class="SMAsched"&gt;St. Mary's&lt;/td&gt;</v>
      </c>
      <c r="S277" t="str">
        <f t="shared" si="33"/>
        <v>&lt;td&gt;Royal Rumble Pool B&lt;/td&gt; &lt;/tr&gt;</v>
      </c>
    </row>
    <row r="278" spans="1:19" x14ac:dyDescent="0.25">
      <c r="A278" s="5">
        <v>42392</v>
      </c>
      <c r="B278" s="6">
        <v>0.4375</v>
      </c>
      <c r="C278" t="s">
        <v>14</v>
      </c>
      <c r="D278" t="s">
        <v>94</v>
      </c>
      <c r="E278">
        <v>39</v>
      </c>
      <c r="F278" t="s">
        <v>12</v>
      </c>
      <c r="G278" t="s">
        <v>54</v>
      </c>
      <c r="H278">
        <v>53</v>
      </c>
      <c r="J278" t="str">
        <f t="shared" si="34"/>
        <v>H</v>
      </c>
      <c r="K278" t="s">
        <v>580</v>
      </c>
      <c r="L278" t="s">
        <v>211</v>
      </c>
      <c r="N278" t="str">
        <f t="shared" si="28"/>
        <v>&lt;tr&gt; &lt;td&gt;Jan. 23&lt;/td&gt;</v>
      </c>
      <c r="O278" t="str">
        <f t="shared" si="29"/>
        <v>&lt;td&gt;10:30 AM&lt;/td&gt;</v>
      </c>
      <c r="P278" t="str">
        <f t="shared" si="30"/>
        <v>&lt;td class="SHCsched"&gt;Sturgeon Heights&lt;/td&gt;</v>
      </c>
      <c r="Q278" t="str">
        <f t="shared" si="31"/>
        <v>&lt;td&gt;39 - 53&lt;/td&gt;</v>
      </c>
      <c r="R278" t="str">
        <f t="shared" si="32"/>
        <v>&lt;td class="LSsched"&gt;Selkirk&lt;/td&gt;</v>
      </c>
      <c r="S278" t="str">
        <f t="shared" si="33"/>
        <v>&lt;td&gt;Royal Rumble Pool A&lt;/td&gt; &lt;/tr&gt;</v>
      </c>
    </row>
    <row r="279" spans="1:19" x14ac:dyDescent="0.25">
      <c r="A279" s="5">
        <v>42392</v>
      </c>
      <c r="B279" s="6">
        <v>0.44791666666666669</v>
      </c>
      <c r="C279" t="s">
        <v>764</v>
      </c>
      <c r="E279">
        <v>50</v>
      </c>
      <c r="F279" t="s">
        <v>32</v>
      </c>
      <c r="G279" t="s">
        <v>100</v>
      </c>
      <c r="H279">
        <v>53</v>
      </c>
      <c r="J279" t="str">
        <f t="shared" si="34"/>
        <v>H</v>
      </c>
      <c r="K279" t="s">
        <v>572</v>
      </c>
      <c r="L279" t="s">
        <v>179</v>
      </c>
      <c r="N279" t="str">
        <f t="shared" si="28"/>
        <v>&lt;tr&gt; &lt;td&gt;Jan. 23&lt;/td&gt;</v>
      </c>
      <c r="O279" t="str">
        <f t="shared" si="29"/>
        <v>&lt;td&gt;10:45 AM&lt;/td&gt;</v>
      </c>
      <c r="P279" t="str">
        <f t="shared" si="30"/>
        <v>&lt;td class="sched"&gt;Souris&lt;/td&gt;</v>
      </c>
      <c r="Q279" t="str">
        <f t="shared" si="31"/>
        <v>&lt;td&gt;50 - 53&lt;/td&gt;</v>
      </c>
      <c r="R279" t="str">
        <f t="shared" si="32"/>
        <v>&lt;td class="CPRSsched"&gt;Crocus Plains&lt;/td&gt;</v>
      </c>
      <c r="S279" t="str">
        <f t="shared" si="33"/>
        <v>&lt;td&gt;NIT Semifinal 1&lt;/td&gt; &lt;/tr&gt;</v>
      </c>
    </row>
    <row r="280" spans="1:19" x14ac:dyDescent="0.25">
      <c r="A280" s="5">
        <v>42392</v>
      </c>
      <c r="B280" s="6">
        <v>0.52083333333333337</v>
      </c>
      <c r="C280" t="s">
        <v>303</v>
      </c>
      <c r="E280">
        <v>95</v>
      </c>
      <c r="F280" t="s">
        <v>23</v>
      </c>
      <c r="G280" t="s">
        <v>102</v>
      </c>
      <c r="H280">
        <v>58</v>
      </c>
      <c r="J280" t="str">
        <f t="shared" si="34"/>
        <v>V</v>
      </c>
      <c r="K280" t="s">
        <v>572</v>
      </c>
      <c r="L280" t="s">
        <v>180</v>
      </c>
      <c r="N280" t="str">
        <f t="shared" si="28"/>
        <v>&lt;tr&gt; &lt;td&gt;Jan. 23&lt;/td&gt;</v>
      </c>
      <c r="O280" t="str">
        <f t="shared" si="29"/>
        <v>&lt;td&gt;12:30 PM&lt;/td&gt;</v>
      </c>
      <c r="P280" t="str">
        <f t="shared" si="30"/>
        <v>&lt;td class="sched"&gt;Virden&lt;/td&gt;</v>
      </c>
      <c r="Q280" t="str">
        <f t="shared" si="31"/>
        <v>&lt;td&gt;95 - 58&lt;/td&gt;</v>
      </c>
      <c r="R280" t="str">
        <f t="shared" si="32"/>
        <v>&lt;td class="VMHSsched"&gt;Vincent Massey&lt;/td&gt;</v>
      </c>
      <c r="S280" t="str">
        <f t="shared" si="33"/>
        <v>&lt;td&gt;NIT Semifinal 2&lt;/td&gt; &lt;/tr&gt;</v>
      </c>
    </row>
    <row r="281" spans="1:19" x14ac:dyDescent="0.25">
      <c r="A281" s="5">
        <v>42392</v>
      </c>
      <c r="B281" s="6">
        <v>0.58333333333333337</v>
      </c>
      <c r="C281" t="s">
        <v>16</v>
      </c>
      <c r="D281" t="s">
        <v>45</v>
      </c>
      <c r="E281">
        <v>67</v>
      </c>
      <c r="F281" t="s">
        <v>18</v>
      </c>
      <c r="G281" t="s">
        <v>52</v>
      </c>
      <c r="H281">
        <v>55</v>
      </c>
      <c r="J281" t="str">
        <f t="shared" si="34"/>
        <v>V</v>
      </c>
      <c r="K281" t="s">
        <v>580</v>
      </c>
      <c r="L281" t="s">
        <v>224</v>
      </c>
      <c r="N281" t="str">
        <f t="shared" si="28"/>
        <v>&lt;tr&gt; &lt;td&gt;Jan. 23&lt;/td&gt;</v>
      </c>
      <c r="O281" t="str">
        <f t="shared" si="29"/>
        <v>&lt;td&gt;2:00 PM&lt;/td&gt;</v>
      </c>
      <c r="P281" t="str">
        <f t="shared" si="30"/>
        <v>&lt;td class="MCsched"&gt;Maples&lt;/td&gt;</v>
      </c>
      <c r="Q281" t="str">
        <f t="shared" si="31"/>
        <v>&lt;td&gt;67 - 55&lt;/td&gt;</v>
      </c>
      <c r="R281" t="str">
        <f t="shared" si="32"/>
        <v>&lt;td class="RECsched"&gt;River East&lt;/td&gt;</v>
      </c>
      <c r="S281" t="str">
        <f t="shared" si="33"/>
        <v>&lt;td&gt;Royal Rumble 5th Place&lt;/td&gt; &lt;/tr&gt;</v>
      </c>
    </row>
    <row r="282" spans="1:19" x14ac:dyDescent="0.25">
      <c r="A282" s="5">
        <v>42392</v>
      </c>
      <c r="B282" s="6">
        <v>0.64583333333333337</v>
      </c>
      <c r="C282" t="s">
        <v>111</v>
      </c>
      <c r="D282" t="s">
        <v>112</v>
      </c>
      <c r="E282">
        <v>51</v>
      </c>
      <c r="F282" t="s">
        <v>14</v>
      </c>
      <c r="G282" t="s">
        <v>94</v>
      </c>
      <c r="H282">
        <v>49</v>
      </c>
      <c r="J282" t="str">
        <f t="shared" si="34"/>
        <v>V</v>
      </c>
      <c r="K282" t="s">
        <v>580</v>
      </c>
      <c r="L282" t="s">
        <v>183</v>
      </c>
      <c r="N282" t="str">
        <f t="shared" si="28"/>
        <v>&lt;tr&gt; &lt;td&gt;Jan. 23&lt;/td&gt;</v>
      </c>
      <c r="O282" t="str">
        <f t="shared" si="29"/>
        <v>&lt;td&gt;3:30 PM&lt;/td&gt;</v>
      </c>
      <c r="P282" t="str">
        <f t="shared" si="30"/>
        <v>&lt;td class="SMAsched"&gt;St. Mary's&lt;/td&gt;</v>
      </c>
      <c r="Q282" t="str">
        <f t="shared" si="31"/>
        <v>&lt;td&gt;51 - 49&lt;/td&gt;</v>
      </c>
      <c r="R282" t="str">
        <f t="shared" si="32"/>
        <v>&lt;td class="SHCsched"&gt;Sturgeon Heights&lt;/td&gt;</v>
      </c>
      <c r="S282" t="str">
        <f t="shared" si="33"/>
        <v>&lt;td&gt;Royal Rumble 3rd Place&lt;/td&gt; &lt;/tr&gt;</v>
      </c>
    </row>
    <row r="283" spans="1:19" x14ac:dyDescent="0.25">
      <c r="A283" s="5">
        <v>42392</v>
      </c>
      <c r="B283" s="6">
        <v>0.66666666666666663</v>
      </c>
      <c r="C283" t="s">
        <v>23</v>
      </c>
      <c r="D283" t="s">
        <v>102</v>
      </c>
      <c r="E283">
        <v>49</v>
      </c>
      <c r="F283" t="s">
        <v>764</v>
      </c>
      <c r="H283">
        <v>73</v>
      </c>
      <c r="J283" t="str">
        <f t="shared" si="34"/>
        <v>H</v>
      </c>
      <c r="K283" t="s">
        <v>572</v>
      </c>
      <c r="L283" t="s">
        <v>183</v>
      </c>
      <c r="N283" t="str">
        <f t="shared" si="28"/>
        <v>&lt;tr&gt; &lt;td&gt;Jan. 23&lt;/td&gt;</v>
      </c>
      <c r="O283" t="str">
        <f t="shared" si="29"/>
        <v>&lt;td&gt;4:00 PM&lt;/td&gt;</v>
      </c>
      <c r="P283" t="str">
        <f t="shared" si="30"/>
        <v>&lt;td class="VMHSsched"&gt;Vincent Massey&lt;/td&gt;</v>
      </c>
      <c r="Q283" t="str">
        <f t="shared" si="31"/>
        <v>&lt;td&gt;49 - 73&lt;/td&gt;</v>
      </c>
      <c r="R283" t="str">
        <f t="shared" si="32"/>
        <v>&lt;td class="sched"&gt;Souris&lt;/td&gt;</v>
      </c>
      <c r="S283" t="str">
        <f t="shared" si="33"/>
        <v>&lt;td&gt;NIT 3rd Place&lt;/td&gt; &lt;/tr&gt;</v>
      </c>
    </row>
    <row r="284" spans="1:19" x14ac:dyDescent="0.25">
      <c r="A284" s="5">
        <v>42392</v>
      </c>
      <c r="B284" s="6">
        <v>0.66666666666666663</v>
      </c>
      <c r="C284" t="s">
        <v>303</v>
      </c>
      <c r="E284">
        <v>70</v>
      </c>
      <c r="F284" t="s">
        <v>32</v>
      </c>
      <c r="G284" t="s">
        <v>100</v>
      </c>
      <c r="H284">
        <v>44</v>
      </c>
      <c r="J284" t="str">
        <f t="shared" si="34"/>
        <v>V</v>
      </c>
      <c r="K284" t="s">
        <v>572</v>
      </c>
      <c r="L284" t="s">
        <v>184</v>
      </c>
      <c r="N284" t="str">
        <f t="shared" si="28"/>
        <v>&lt;tr&gt; &lt;td&gt;Jan. 23&lt;/td&gt;</v>
      </c>
      <c r="O284" t="str">
        <f t="shared" si="29"/>
        <v>&lt;td&gt;4:00 PM&lt;/td&gt;</v>
      </c>
      <c r="P284" t="str">
        <f t="shared" si="30"/>
        <v>&lt;td class="sched"&gt;Virden&lt;/td&gt;</v>
      </c>
      <c r="Q284" t="str">
        <f t="shared" si="31"/>
        <v>&lt;td&gt;70 - 44&lt;/td&gt;</v>
      </c>
      <c r="R284" t="str">
        <f t="shared" si="32"/>
        <v>&lt;td class="CPRSsched"&gt;Crocus Plains&lt;/td&gt;</v>
      </c>
      <c r="S284" t="str">
        <f t="shared" si="33"/>
        <v>&lt;td&gt;NIT Championship&lt;/td&gt; &lt;/tr&gt;</v>
      </c>
    </row>
    <row r="285" spans="1:19" x14ac:dyDescent="0.25">
      <c r="A285" s="5">
        <v>42392</v>
      </c>
      <c r="B285" s="6">
        <v>0.70833333333333337</v>
      </c>
      <c r="C285" t="s">
        <v>31</v>
      </c>
      <c r="D285" t="s">
        <v>96</v>
      </c>
      <c r="E285">
        <v>70</v>
      </c>
      <c r="F285" t="s">
        <v>12</v>
      </c>
      <c r="G285" t="s">
        <v>54</v>
      </c>
      <c r="H285">
        <v>52</v>
      </c>
      <c r="J285" t="str">
        <f t="shared" si="34"/>
        <v>V</v>
      </c>
      <c r="K285" t="s">
        <v>580</v>
      </c>
      <c r="L285" t="s">
        <v>184</v>
      </c>
      <c r="N285" t="str">
        <f t="shared" si="28"/>
        <v>&lt;tr&gt; &lt;td&gt;Jan. 23&lt;/td&gt;</v>
      </c>
      <c r="O285" t="str">
        <f t="shared" si="29"/>
        <v>&lt;td&gt;5:00 PM&lt;/td&gt;</v>
      </c>
      <c r="P285" t="str">
        <f t="shared" si="30"/>
        <v>&lt;td class="TVHSsched"&gt;Tec Voc&lt;/td&gt;</v>
      </c>
      <c r="Q285" t="str">
        <f t="shared" si="31"/>
        <v>&lt;td&gt;70 - 52&lt;/td&gt;</v>
      </c>
      <c r="R285" t="str">
        <f t="shared" si="32"/>
        <v>&lt;td class="LSsched"&gt;Selkirk&lt;/td&gt;</v>
      </c>
      <c r="S285" t="str">
        <f t="shared" si="33"/>
        <v>&lt;td&gt;Royal Rumble Championship&lt;/td&gt; &lt;/tr&gt;</v>
      </c>
    </row>
    <row r="286" spans="1:19" x14ac:dyDescent="0.25">
      <c r="A286" s="5">
        <v>42392</v>
      </c>
      <c r="C286" t="s">
        <v>104</v>
      </c>
      <c r="D286" t="s">
        <v>105</v>
      </c>
      <c r="E286">
        <v>47</v>
      </c>
      <c r="F286" t="s">
        <v>765</v>
      </c>
      <c r="H286">
        <v>23</v>
      </c>
      <c r="J286" t="str">
        <f t="shared" si="34"/>
        <v>V</v>
      </c>
      <c r="K286" t="s">
        <v>558</v>
      </c>
      <c r="L286" t="s">
        <v>177</v>
      </c>
      <c r="N286" t="str">
        <f t="shared" si="28"/>
        <v>&lt;tr&gt; &lt;td&gt;Jan. 23&lt;/td&gt;</v>
      </c>
      <c r="O286" t="str">
        <f t="shared" si="29"/>
        <v>&lt;td&gt;&lt;/td&gt;</v>
      </c>
      <c r="P286" t="str">
        <f t="shared" si="30"/>
        <v>&lt;td class="SCIsched"&gt;Springfield&lt;/td&gt;</v>
      </c>
      <c r="Q286" t="str">
        <f t="shared" si="31"/>
        <v>&lt;td&gt;47 - 23&lt;/td&gt;</v>
      </c>
      <c r="R286" t="str">
        <f t="shared" si="32"/>
        <v>&lt;td class="sched"&gt;Niverville&lt;/td&gt;</v>
      </c>
      <c r="S286" t="str">
        <f t="shared" si="33"/>
        <v>&lt;td&gt;Warren Consolation Semi 1&lt;/td&gt; &lt;/tr&gt;</v>
      </c>
    </row>
    <row r="287" spans="1:19" x14ac:dyDescent="0.25">
      <c r="A287" s="5">
        <v>42392</v>
      </c>
      <c r="C287" t="s">
        <v>555</v>
      </c>
      <c r="E287">
        <v>45</v>
      </c>
      <c r="F287" t="s">
        <v>104</v>
      </c>
      <c r="G287" t="s">
        <v>105</v>
      </c>
      <c r="H287">
        <v>28</v>
      </c>
      <c r="J287" t="str">
        <f t="shared" si="34"/>
        <v>V</v>
      </c>
      <c r="K287" t="s">
        <v>558</v>
      </c>
      <c r="L287" t="s">
        <v>182</v>
      </c>
      <c r="N287" t="str">
        <f t="shared" si="28"/>
        <v>&lt;tr&gt; &lt;td&gt;Jan. 23&lt;/td&gt;</v>
      </c>
      <c r="O287" t="str">
        <f t="shared" si="29"/>
        <v>&lt;td&gt;&lt;/td&gt;</v>
      </c>
      <c r="P287" t="str">
        <f t="shared" si="30"/>
        <v>&lt;td class="sched"&gt;W.C. Miller&lt;/td&gt;</v>
      </c>
      <c r="Q287" t="str">
        <f t="shared" si="31"/>
        <v>&lt;td&gt;45 - 28&lt;/td&gt;</v>
      </c>
      <c r="R287" t="str">
        <f t="shared" si="32"/>
        <v>&lt;td class="SCIsched"&gt;Springfield&lt;/td&gt;</v>
      </c>
      <c r="S287" t="str">
        <f t="shared" si="33"/>
        <v>&lt;td&gt;Warren Consolation Final&lt;/td&gt; &lt;/tr&gt;</v>
      </c>
    </row>
    <row r="288" spans="1:19" x14ac:dyDescent="0.25">
      <c r="A288" s="5">
        <v>42394</v>
      </c>
      <c r="B288" s="6">
        <v>0.6875</v>
      </c>
      <c r="C288" t="s">
        <v>25</v>
      </c>
      <c r="D288" t="s">
        <v>84</v>
      </c>
      <c r="E288">
        <v>34</v>
      </c>
      <c r="F288" t="s">
        <v>26</v>
      </c>
      <c r="G288" t="s">
        <v>86</v>
      </c>
      <c r="H288">
        <v>59</v>
      </c>
      <c r="J288" t="str">
        <f t="shared" si="34"/>
        <v>H</v>
      </c>
      <c r="K288" t="s">
        <v>257</v>
      </c>
      <c r="L288" t="s">
        <v>228</v>
      </c>
      <c r="M288" t="s">
        <v>229</v>
      </c>
      <c r="N288" t="str">
        <f t="shared" si="28"/>
        <v>&lt;tr&gt; &lt;td&gt;Jan. 25&lt;/td&gt;</v>
      </c>
      <c r="O288" t="str">
        <f t="shared" si="29"/>
        <v>&lt;td&gt;4:30 PM&lt;/td&gt;</v>
      </c>
      <c r="P288" t="str">
        <f t="shared" si="30"/>
        <v>&lt;td class="EHSsched"&gt;Elmwood&lt;/td&gt;</v>
      </c>
      <c r="Q288" t="str">
        <f t="shared" si="31"/>
        <v>&lt;td&gt;34 - 59&lt;/td&gt;</v>
      </c>
      <c r="R288" t="str">
        <f t="shared" si="32"/>
        <v>&lt;td class="GBHSsched"&gt;Gordon Bell&lt;/td&gt;</v>
      </c>
      <c r="S288" t="str">
        <f t="shared" si="33"/>
        <v>&lt;td&gt;WWAC/WAC Tier 2 Regular Season&lt;/td&gt; &lt;/tr&gt;</v>
      </c>
    </row>
    <row r="289" spans="1:19" x14ac:dyDescent="0.25">
      <c r="A289" s="5">
        <v>42394</v>
      </c>
      <c r="B289" s="6">
        <v>0.6875</v>
      </c>
      <c r="C289" t="s">
        <v>10</v>
      </c>
      <c r="D289" t="s">
        <v>72</v>
      </c>
      <c r="E289">
        <v>58</v>
      </c>
      <c r="F289" t="s">
        <v>31</v>
      </c>
      <c r="G289" t="s">
        <v>96</v>
      </c>
      <c r="H289">
        <v>82</v>
      </c>
      <c r="J289" t="str">
        <f t="shared" si="34"/>
        <v>H</v>
      </c>
      <c r="K289" t="s">
        <v>257</v>
      </c>
      <c r="L289" t="s">
        <v>228</v>
      </c>
      <c r="M289" t="s">
        <v>229</v>
      </c>
      <c r="N289" t="str">
        <f t="shared" si="28"/>
        <v>&lt;tr&gt; &lt;td&gt;Jan. 25&lt;/td&gt;</v>
      </c>
      <c r="O289" t="str">
        <f t="shared" si="29"/>
        <v>&lt;td&gt;4:30 PM&lt;/td&gt;</v>
      </c>
      <c r="P289" t="str">
        <f t="shared" si="30"/>
        <v>&lt;td class="KHSsched"&gt;Kelvin&lt;/td&gt;</v>
      </c>
      <c r="Q289" t="str">
        <f t="shared" si="31"/>
        <v>&lt;td&gt;58 - 82&lt;/td&gt;</v>
      </c>
      <c r="R289" t="str">
        <f t="shared" si="32"/>
        <v>&lt;td class="TVHSsched"&gt;Tec Voc&lt;/td&gt;</v>
      </c>
      <c r="S289" t="str">
        <f t="shared" si="33"/>
        <v>&lt;td&gt;WWAC/WAC Tier 2 Regular Season&lt;/td&gt; &lt;/tr&gt;</v>
      </c>
    </row>
    <row r="290" spans="1:19" x14ac:dyDescent="0.25">
      <c r="A290" s="5">
        <v>42394</v>
      </c>
      <c r="B290" s="6">
        <v>0.6875</v>
      </c>
      <c r="C290" t="s">
        <v>9</v>
      </c>
      <c r="D290" t="s">
        <v>76</v>
      </c>
      <c r="E290">
        <v>75</v>
      </c>
      <c r="F290" t="s">
        <v>1</v>
      </c>
      <c r="G290" t="s">
        <v>74</v>
      </c>
      <c r="H290">
        <v>57</v>
      </c>
      <c r="J290" t="str">
        <f t="shared" si="34"/>
        <v>V</v>
      </c>
      <c r="K290" t="s">
        <v>258</v>
      </c>
      <c r="L290" t="s">
        <v>228</v>
      </c>
      <c r="M290" t="s">
        <v>229</v>
      </c>
      <c r="N290" t="str">
        <f t="shared" si="28"/>
        <v>&lt;tr&gt; &lt;td&gt;Jan. 25&lt;/td&gt;</v>
      </c>
      <c r="O290" t="str">
        <f t="shared" si="29"/>
        <v>&lt;td&gt;4:30 PM&lt;/td&gt;</v>
      </c>
      <c r="P290" t="str">
        <f t="shared" si="30"/>
        <v>&lt;td class="SiHSsched"&gt;Sisler&lt;/td&gt;</v>
      </c>
      <c r="Q290" t="str">
        <f t="shared" si="31"/>
        <v>&lt;td&gt;75 - 57&lt;/td&gt;</v>
      </c>
      <c r="R290" t="str">
        <f t="shared" si="32"/>
        <v>&lt;td class="OPHSsched"&gt;Oak Park&lt;/td&gt;</v>
      </c>
      <c r="S290" t="str">
        <f t="shared" si="33"/>
        <v>&lt;td&gt;WWAC/WAC Tier 1 Regular Season&lt;/td&gt; &lt;/tr&gt;</v>
      </c>
    </row>
    <row r="291" spans="1:19" x14ac:dyDescent="0.25">
      <c r="A291" s="5">
        <v>42394</v>
      </c>
      <c r="B291" s="6">
        <v>0.6875</v>
      </c>
      <c r="C291" t="s">
        <v>15</v>
      </c>
      <c r="D291" t="s">
        <v>68</v>
      </c>
      <c r="E291">
        <v>37</v>
      </c>
      <c r="F291" t="s">
        <v>14</v>
      </c>
      <c r="G291" t="s">
        <v>94</v>
      </c>
      <c r="H291">
        <v>57</v>
      </c>
      <c r="J291" t="str">
        <f t="shared" si="34"/>
        <v>H</v>
      </c>
      <c r="K291" t="s">
        <v>258</v>
      </c>
      <c r="L291" t="s">
        <v>228</v>
      </c>
      <c r="M291" t="s">
        <v>229</v>
      </c>
      <c r="N291" t="str">
        <f t="shared" si="28"/>
        <v>&lt;tr&gt; &lt;td&gt;Jan. 25&lt;/td&gt;</v>
      </c>
      <c r="O291" t="str">
        <f t="shared" si="29"/>
        <v>&lt;td&gt;4:30 PM&lt;/td&gt;</v>
      </c>
      <c r="P291" t="str">
        <f t="shared" si="30"/>
        <v>&lt;td class="FRCsched"&gt;Fort Richmond&lt;/td&gt;</v>
      </c>
      <c r="Q291" t="str">
        <f t="shared" si="31"/>
        <v>&lt;td&gt;37 - 57&lt;/td&gt;</v>
      </c>
      <c r="R291" t="str">
        <f t="shared" si="32"/>
        <v>&lt;td class="SHCsched"&gt;Sturgeon Heights&lt;/td&gt;</v>
      </c>
      <c r="S291" t="str">
        <f t="shared" si="33"/>
        <v>&lt;td&gt;WWAC/WAC Tier 1 Regular Season&lt;/td&gt; &lt;/tr&gt;</v>
      </c>
    </row>
    <row r="292" spans="1:19" x14ac:dyDescent="0.25">
      <c r="A292" s="5">
        <v>42394</v>
      </c>
      <c r="B292" s="6">
        <v>0.6875</v>
      </c>
      <c r="C292" t="s">
        <v>6</v>
      </c>
      <c r="D292" t="s">
        <v>70</v>
      </c>
      <c r="E292">
        <v>46</v>
      </c>
      <c r="F292" t="s">
        <v>111</v>
      </c>
      <c r="G292" t="s">
        <v>112</v>
      </c>
      <c r="H292">
        <v>59</v>
      </c>
      <c r="J292" t="str">
        <f t="shared" si="34"/>
        <v>H</v>
      </c>
      <c r="K292" t="s">
        <v>258</v>
      </c>
      <c r="L292" t="s">
        <v>228</v>
      </c>
      <c r="M292" t="s">
        <v>229</v>
      </c>
      <c r="N292" t="str">
        <f t="shared" si="28"/>
        <v>&lt;tr&gt; &lt;td&gt;Jan. 25&lt;/td&gt;</v>
      </c>
      <c r="O292" t="str">
        <f t="shared" si="29"/>
        <v>&lt;td&gt;4:30 PM&lt;/td&gt;</v>
      </c>
      <c r="P292" t="str">
        <f t="shared" si="30"/>
        <v>&lt;td class="JTCsched"&gt;John Taylor&lt;/td&gt;</v>
      </c>
      <c r="Q292" t="str">
        <f t="shared" si="31"/>
        <v>&lt;td&gt;46 - 59&lt;/td&gt;</v>
      </c>
      <c r="R292" t="str">
        <f t="shared" si="32"/>
        <v>&lt;td class="SMAsched"&gt;St. Mary's&lt;/td&gt;</v>
      </c>
      <c r="S292" t="str">
        <f t="shared" si="33"/>
        <v>&lt;td&gt;WWAC/WAC Tier 1 Regular Season&lt;/td&gt; &lt;/tr&gt;</v>
      </c>
    </row>
    <row r="293" spans="1:19" x14ac:dyDescent="0.25">
      <c r="A293" s="5">
        <v>42394</v>
      </c>
      <c r="B293" s="6">
        <v>0.6875</v>
      </c>
      <c r="C293" t="s">
        <v>13</v>
      </c>
      <c r="D293" t="s">
        <v>98</v>
      </c>
      <c r="E293">
        <v>31</v>
      </c>
      <c r="F293" t="s">
        <v>23</v>
      </c>
      <c r="G293" t="s">
        <v>80</v>
      </c>
      <c r="H293">
        <v>59</v>
      </c>
      <c r="J293" t="str">
        <f t="shared" si="34"/>
        <v>H</v>
      </c>
      <c r="K293" t="s">
        <v>258</v>
      </c>
      <c r="L293" t="s">
        <v>228</v>
      </c>
      <c r="M293" t="s">
        <v>229</v>
      </c>
      <c r="N293" t="str">
        <f t="shared" si="28"/>
        <v>&lt;tr&gt; &lt;td&gt;Jan. 25&lt;/td&gt;</v>
      </c>
      <c r="O293" t="str">
        <f t="shared" si="29"/>
        <v>&lt;td&gt;4:30 PM&lt;/td&gt;</v>
      </c>
      <c r="P293" t="str">
        <f t="shared" si="30"/>
        <v>&lt;td class="WWCsched"&gt;Westwood&lt;/td&gt;</v>
      </c>
      <c r="Q293" t="str">
        <f t="shared" si="31"/>
        <v>&lt;td&gt;31 - 59&lt;/td&gt;</v>
      </c>
      <c r="R293" t="str">
        <f t="shared" si="32"/>
        <v>&lt;td class="VMCsched"&gt;Vincent Massey&lt;/td&gt;</v>
      </c>
      <c r="S293" t="str">
        <f t="shared" si="33"/>
        <v>&lt;td&gt;WWAC/WAC Tier 1 Regular Season&lt;/td&gt; &lt;/tr&gt;</v>
      </c>
    </row>
    <row r="294" spans="1:19" x14ac:dyDescent="0.25">
      <c r="A294" s="5">
        <v>42394</v>
      </c>
      <c r="B294" s="6">
        <v>0.75</v>
      </c>
      <c r="C294" t="s">
        <v>19</v>
      </c>
      <c r="D294" t="s">
        <v>56</v>
      </c>
      <c r="E294">
        <v>41</v>
      </c>
      <c r="F294" t="s">
        <v>17</v>
      </c>
      <c r="G294" t="s">
        <v>50</v>
      </c>
      <c r="H294">
        <v>43</v>
      </c>
      <c r="J294" t="str">
        <f t="shared" si="34"/>
        <v>H</v>
      </c>
      <c r="K294" t="s">
        <v>233</v>
      </c>
      <c r="L294" t="s">
        <v>228</v>
      </c>
      <c r="M294" t="s">
        <v>229</v>
      </c>
      <c r="N294" t="str">
        <f t="shared" si="28"/>
        <v>&lt;tr&gt; &lt;td&gt;Jan. 25&lt;/td&gt;</v>
      </c>
      <c r="O294" t="str">
        <f t="shared" si="29"/>
        <v>&lt;td&gt;6:00 PM&lt;/td&gt;</v>
      </c>
      <c r="P294" t="str">
        <f t="shared" si="30"/>
        <v>&lt;td class="TCIsched"&gt;Transcona&lt;/td&gt;</v>
      </c>
      <c r="Q294" t="str">
        <f t="shared" si="31"/>
        <v>&lt;td&gt;41 - 43&lt;/td&gt;</v>
      </c>
      <c r="R294" t="str">
        <f t="shared" si="32"/>
        <v>&lt;td class="MMCIsched"&gt;Murdoch MacKay&lt;/td&gt;</v>
      </c>
      <c r="S294" t="str">
        <f t="shared" si="33"/>
        <v>&lt;td&gt;KPAC Tier 2 Regular Season&lt;/td&gt; &lt;/tr&gt;</v>
      </c>
    </row>
    <row r="295" spans="1:19" x14ac:dyDescent="0.25">
      <c r="A295" s="5">
        <v>42394</v>
      </c>
      <c r="B295" s="6">
        <v>0.75</v>
      </c>
      <c r="C295" t="s">
        <v>104</v>
      </c>
      <c r="D295" t="s">
        <v>105</v>
      </c>
      <c r="E295">
        <v>26</v>
      </c>
      <c r="F295" t="s">
        <v>18</v>
      </c>
      <c r="G295" t="s">
        <v>52</v>
      </c>
      <c r="H295">
        <v>66</v>
      </c>
      <c r="J295" t="str">
        <f t="shared" si="34"/>
        <v>H</v>
      </c>
      <c r="K295" t="s">
        <v>233</v>
      </c>
      <c r="L295" t="s">
        <v>228</v>
      </c>
      <c r="M295" t="s">
        <v>229</v>
      </c>
      <c r="N295" t="str">
        <f t="shared" si="28"/>
        <v>&lt;tr&gt; &lt;td&gt;Jan. 25&lt;/td&gt;</v>
      </c>
      <c r="O295" t="str">
        <f t="shared" si="29"/>
        <v>&lt;td&gt;6:00 PM&lt;/td&gt;</v>
      </c>
      <c r="P295" t="str">
        <f t="shared" si="30"/>
        <v>&lt;td class="SCIsched"&gt;Springfield&lt;/td&gt;</v>
      </c>
      <c r="Q295" t="str">
        <f t="shared" si="31"/>
        <v>&lt;td&gt;26 - 66&lt;/td&gt;</v>
      </c>
      <c r="R295" t="str">
        <f t="shared" si="32"/>
        <v>&lt;td class="RECsched"&gt;River East&lt;/td&gt;</v>
      </c>
      <c r="S295" t="str">
        <f t="shared" si="33"/>
        <v>&lt;td&gt;KPAC Tier 2 Regular Season&lt;/td&gt; &lt;/tr&gt;</v>
      </c>
    </row>
    <row r="296" spans="1:19" x14ac:dyDescent="0.25">
      <c r="A296" s="5">
        <v>42394</v>
      </c>
      <c r="B296" s="6">
        <v>0.75</v>
      </c>
      <c r="C296" t="s">
        <v>20</v>
      </c>
      <c r="D296" t="s">
        <v>58</v>
      </c>
      <c r="E296">
        <v>33</v>
      </c>
      <c r="F296" t="s">
        <v>7</v>
      </c>
      <c r="G296" t="s">
        <v>7</v>
      </c>
      <c r="H296">
        <v>61</v>
      </c>
      <c r="J296" t="str">
        <f t="shared" si="34"/>
        <v>H</v>
      </c>
      <c r="K296" t="s">
        <v>233</v>
      </c>
      <c r="L296" t="s">
        <v>228</v>
      </c>
      <c r="M296" t="s">
        <v>229</v>
      </c>
      <c r="N296" t="str">
        <f t="shared" si="28"/>
        <v>&lt;tr&gt; &lt;td&gt;Jan. 25&lt;/td&gt;</v>
      </c>
      <c r="O296" t="str">
        <f t="shared" si="29"/>
        <v>&lt;td&gt;6:00 PM&lt;/td&gt;</v>
      </c>
      <c r="P296" t="str">
        <f t="shared" si="30"/>
        <v>&lt;td class="WKCsched"&gt;West Kildonan&lt;/td&gt;</v>
      </c>
      <c r="Q296" t="str">
        <f t="shared" si="31"/>
        <v>&lt;td&gt;33 - 61&lt;/td&gt;</v>
      </c>
      <c r="R296" t="str">
        <f t="shared" si="32"/>
        <v>&lt;td class="MBCIsched"&gt;MBCI&lt;/td&gt;</v>
      </c>
      <c r="S296" t="str">
        <f t="shared" si="33"/>
        <v>&lt;td&gt;KPAC Tier 2 Regular Season&lt;/td&gt; &lt;/tr&gt;</v>
      </c>
    </row>
    <row r="297" spans="1:19" x14ac:dyDescent="0.25">
      <c r="A297" s="5">
        <v>42394</v>
      </c>
      <c r="B297" s="6">
        <v>0.75</v>
      </c>
      <c r="C297" t="s">
        <v>11</v>
      </c>
      <c r="D297" t="s">
        <v>48</v>
      </c>
      <c r="E297">
        <v>62</v>
      </c>
      <c r="F297" t="s">
        <v>12</v>
      </c>
      <c r="G297" t="s">
        <v>54</v>
      </c>
      <c r="H297">
        <v>45</v>
      </c>
      <c r="J297" t="str">
        <f t="shared" si="34"/>
        <v>V</v>
      </c>
      <c r="K297" t="s">
        <v>234</v>
      </c>
      <c r="L297" t="s">
        <v>228</v>
      </c>
      <c r="M297" t="s">
        <v>229</v>
      </c>
      <c r="N297" t="str">
        <f t="shared" si="28"/>
        <v>&lt;tr&gt; &lt;td&gt;Jan. 25&lt;/td&gt;</v>
      </c>
      <c r="O297" t="str">
        <f t="shared" si="29"/>
        <v>&lt;td&gt;6:00 PM&lt;/td&gt;</v>
      </c>
      <c r="P297" t="str">
        <f t="shared" si="30"/>
        <v>&lt;td class="MMCsched"&gt;Miles Macdonell&lt;/td&gt;</v>
      </c>
      <c r="Q297" t="str">
        <f t="shared" si="31"/>
        <v>&lt;td&gt;62 - 45&lt;/td&gt;</v>
      </c>
      <c r="R297" t="str">
        <f t="shared" si="32"/>
        <v>&lt;td class="LSsched"&gt;Selkirk&lt;/td&gt;</v>
      </c>
      <c r="S297" t="str">
        <f t="shared" si="33"/>
        <v>&lt;td&gt;KPAC Tier 1 Regular Season&lt;/td&gt; &lt;/tr&gt;</v>
      </c>
    </row>
    <row r="298" spans="1:19" x14ac:dyDescent="0.25">
      <c r="A298" s="5">
        <v>42394</v>
      </c>
      <c r="B298" s="6">
        <v>0.76041666666666663</v>
      </c>
      <c r="C298" t="s">
        <v>29</v>
      </c>
      <c r="D298" t="s">
        <v>91</v>
      </c>
      <c r="E298">
        <v>44</v>
      </c>
      <c r="F298" t="s">
        <v>218</v>
      </c>
      <c r="H298">
        <v>68</v>
      </c>
      <c r="J298" t="str">
        <f t="shared" si="34"/>
        <v>H</v>
      </c>
      <c r="K298" t="s">
        <v>257</v>
      </c>
      <c r="L298" t="s">
        <v>228</v>
      </c>
      <c r="M298" t="s">
        <v>229</v>
      </c>
      <c r="N298" t="str">
        <f t="shared" si="28"/>
        <v>&lt;tr&gt; &lt;td&gt;Jan. 25&lt;/td&gt;</v>
      </c>
      <c r="O298" t="str">
        <f t="shared" si="29"/>
        <v>&lt;td&gt;6:15 PM&lt;/td&gt;</v>
      </c>
      <c r="P298" t="str">
        <f t="shared" si="30"/>
        <v>&lt;td class="ShHSsched"&gt;Shaftesbury&lt;/td&gt;</v>
      </c>
      <c r="Q298" t="str">
        <f t="shared" si="31"/>
        <v>&lt;td&gt;44 - 68&lt;/td&gt;</v>
      </c>
      <c r="R298" t="str">
        <f t="shared" si="32"/>
        <v>&lt;td class="sched"&gt;Stonewall&lt;/td&gt;</v>
      </c>
      <c r="S298" t="str">
        <f t="shared" si="33"/>
        <v>&lt;td&gt;WWAC/WAC Tier 2 Regular Season&lt;/td&gt; &lt;/tr&gt;</v>
      </c>
    </row>
    <row r="299" spans="1:19" x14ac:dyDescent="0.25">
      <c r="A299" s="5">
        <v>42396</v>
      </c>
      <c r="B299" s="6">
        <v>0.76041666666666663</v>
      </c>
      <c r="C299" t="s">
        <v>29</v>
      </c>
      <c r="D299" t="s">
        <v>91</v>
      </c>
      <c r="E299">
        <v>56</v>
      </c>
      <c r="F299" t="s">
        <v>31</v>
      </c>
      <c r="G299" t="s">
        <v>96</v>
      </c>
      <c r="H299">
        <v>67</v>
      </c>
      <c r="J299" t="str">
        <f t="shared" si="34"/>
        <v>H</v>
      </c>
      <c r="K299" t="s">
        <v>257</v>
      </c>
      <c r="L299" t="s">
        <v>228</v>
      </c>
      <c r="M299" t="s">
        <v>229</v>
      </c>
      <c r="N299" t="str">
        <f t="shared" si="28"/>
        <v>&lt;tr&gt; &lt;td&gt;Jan. 27&lt;/td&gt;</v>
      </c>
      <c r="O299" t="str">
        <f t="shared" si="29"/>
        <v>&lt;td&gt;6:15 PM&lt;/td&gt;</v>
      </c>
      <c r="P299" t="str">
        <f t="shared" si="30"/>
        <v>&lt;td class="ShHSsched"&gt;Shaftesbury&lt;/td&gt;</v>
      </c>
      <c r="Q299" t="str">
        <f t="shared" si="31"/>
        <v>&lt;td&gt;56 - 67&lt;/td&gt;</v>
      </c>
      <c r="R299" t="str">
        <f t="shared" si="32"/>
        <v>&lt;td class="TVHSsched"&gt;Tec Voc&lt;/td&gt;</v>
      </c>
      <c r="S299" t="str">
        <f t="shared" si="33"/>
        <v>&lt;td&gt;WWAC/WAC Tier 2 Regular Season&lt;/td&gt; &lt;/tr&gt;</v>
      </c>
    </row>
    <row r="300" spans="1:19" x14ac:dyDescent="0.25">
      <c r="A300" s="5">
        <v>42396</v>
      </c>
      <c r="B300" s="6">
        <v>0.76041666666666663</v>
      </c>
      <c r="C300" t="s">
        <v>27</v>
      </c>
      <c r="D300" t="s">
        <v>88</v>
      </c>
      <c r="E300">
        <v>53</v>
      </c>
      <c r="F300" t="s">
        <v>253</v>
      </c>
      <c r="H300">
        <v>40</v>
      </c>
      <c r="J300" t="str">
        <f t="shared" si="34"/>
        <v>V</v>
      </c>
      <c r="K300" t="s">
        <v>257</v>
      </c>
      <c r="L300" t="s">
        <v>228</v>
      </c>
      <c r="M300" t="s">
        <v>229</v>
      </c>
      <c r="N300" t="str">
        <f t="shared" si="28"/>
        <v>&lt;tr&gt; &lt;td&gt;Jan. 27&lt;/td&gt;</v>
      </c>
      <c r="O300" t="str">
        <f t="shared" si="29"/>
        <v>&lt;td&gt;6:15 PM&lt;/td&gt;</v>
      </c>
      <c r="P300" t="str">
        <f t="shared" si="30"/>
        <v>&lt;td class="GPHSsched"&gt;Grant Park&lt;/td&gt;</v>
      </c>
      <c r="Q300" t="str">
        <f t="shared" si="31"/>
        <v>&lt;td&gt;53 - 40&lt;/td&gt;</v>
      </c>
      <c r="R300" t="str">
        <f t="shared" si="32"/>
        <v>&lt;td class="sched"&gt;St. James&lt;/td&gt;</v>
      </c>
      <c r="S300" t="str">
        <f t="shared" si="33"/>
        <v>&lt;td&gt;WWAC/WAC Tier 2 Regular Season&lt;/td&gt; &lt;/tr&gt;</v>
      </c>
    </row>
    <row r="301" spans="1:19" x14ac:dyDescent="0.25">
      <c r="A301" s="5">
        <v>42396</v>
      </c>
      <c r="B301" s="6">
        <v>0.76041666666666663</v>
      </c>
      <c r="C301" t="s">
        <v>6</v>
      </c>
      <c r="D301" t="s">
        <v>70</v>
      </c>
      <c r="E301">
        <v>32</v>
      </c>
      <c r="F301" t="s">
        <v>14</v>
      </c>
      <c r="G301" t="s">
        <v>94</v>
      </c>
      <c r="H301">
        <v>45</v>
      </c>
      <c r="J301" t="str">
        <f t="shared" si="34"/>
        <v>H</v>
      </c>
      <c r="K301" t="s">
        <v>258</v>
      </c>
      <c r="L301" t="s">
        <v>228</v>
      </c>
      <c r="M301" t="s">
        <v>229</v>
      </c>
      <c r="N301" t="str">
        <f t="shared" si="28"/>
        <v>&lt;tr&gt; &lt;td&gt;Jan. 27&lt;/td&gt;</v>
      </c>
      <c r="O301" t="str">
        <f t="shared" si="29"/>
        <v>&lt;td&gt;6:15 PM&lt;/td&gt;</v>
      </c>
      <c r="P301" t="str">
        <f t="shared" si="30"/>
        <v>&lt;td class="JTCsched"&gt;John Taylor&lt;/td&gt;</v>
      </c>
      <c r="Q301" t="str">
        <f t="shared" si="31"/>
        <v>&lt;td&gt;32 - 45&lt;/td&gt;</v>
      </c>
      <c r="R301" t="str">
        <f t="shared" si="32"/>
        <v>&lt;td class="SHCsched"&gt;Sturgeon Heights&lt;/td&gt;</v>
      </c>
      <c r="S301" t="str">
        <f t="shared" si="33"/>
        <v>&lt;td&gt;WWAC/WAC Tier 1 Regular Season&lt;/td&gt; &lt;/tr&gt;</v>
      </c>
    </row>
    <row r="302" spans="1:19" x14ac:dyDescent="0.25">
      <c r="A302" s="5">
        <v>42396</v>
      </c>
      <c r="B302" s="6">
        <v>0.76041666666666663</v>
      </c>
      <c r="C302" t="s">
        <v>23</v>
      </c>
      <c r="D302" t="s">
        <v>80</v>
      </c>
      <c r="E302">
        <v>78</v>
      </c>
      <c r="F302" t="s">
        <v>1</v>
      </c>
      <c r="G302" t="s">
        <v>74</v>
      </c>
      <c r="H302">
        <v>72</v>
      </c>
      <c r="J302" t="str">
        <f t="shared" si="34"/>
        <v>V</v>
      </c>
      <c r="K302" t="s">
        <v>258</v>
      </c>
      <c r="L302" t="s">
        <v>228</v>
      </c>
      <c r="M302" t="s">
        <v>229</v>
      </c>
      <c r="N302" t="str">
        <f t="shared" si="28"/>
        <v>&lt;tr&gt; &lt;td&gt;Jan. 27&lt;/td&gt;</v>
      </c>
      <c r="O302" t="str">
        <f t="shared" si="29"/>
        <v>&lt;td&gt;6:15 PM&lt;/td&gt;</v>
      </c>
      <c r="P302" t="str">
        <f t="shared" si="30"/>
        <v>&lt;td class="VMCsched"&gt;Vincent Massey&lt;/td&gt;</v>
      </c>
      <c r="Q302" t="str">
        <f t="shared" si="31"/>
        <v>&lt;td&gt;78 - 72&lt;/td&gt;</v>
      </c>
      <c r="R302" t="str">
        <f t="shared" si="32"/>
        <v>&lt;td class="OPHSsched"&gt;Oak Park&lt;/td&gt;</v>
      </c>
      <c r="S302" t="str">
        <f t="shared" si="33"/>
        <v>&lt;td&gt;WWAC/WAC Tier 1 Regular Season&lt;/td&gt; &lt;/tr&gt;</v>
      </c>
    </row>
    <row r="303" spans="1:19" x14ac:dyDescent="0.25">
      <c r="A303" s="5">
        <v>42396</v>
      </c>
      <c r="B303" s="6">
        <v>0.8125</v>
      </c>
      <c r="C303" t="s">
        <v>7</v>
      </c>
      <c r="D303" t="s">
        <v>7</v>
      </c>
      <c r="E303">
        <v>52</v>
      </c>
      <c r="F303" t="s">
        <v>19</v>
      </c>
      <c r="G303" t="s">
        <v>56</v>
      </c>
      <c r="H303">
        <v>38</v>
      </c>
      <c r="J303" t="str">
        <f t="shared" si="34"/>
        <v>V</v>
      </c>
      <c r="K303" t="s">
        <v>233</v>
      </c>
      <c r="L303" t="s">
        <v>228</v>
      </c>
      <c r="M303" t="s">
        <v>229</v>
      </c>
      <c r="N303" t="str">
        <f t="shared" si="28"/>
        <v>&lt;tr&gt; &lt;td&gt;Jan. 27&lt;/td&gt;</v>
      </c>
      <c r="O303" t="str">
        <f t="shared" si="29"/>
        <v>&lt;td&gt;7:30 PM&lt;/td&gt;</v>
      </c>
      <c r="P303" t="str">
        <f t="shared" si="30"/>
        <v>&lt;td class="MBCIsched"&gt;MBCI&lt;/td&gt;</v>
      </c>
      <c r="Q303" t="str">
        <f t="shared" si="31"/>
        <v>&lt;td&gt;52 - 38&lt;/td&gt;</v>
      </c>
      <c r="R303" t="str">
        <f t="shared" si="32"/>
        <v>&lt;td class="TCIsched"&gt;Transcona&lt;/td&gt;</v>
      </c>
      <c r="S303" t="str">
        <f t="shared" si="33"/>
        <v>&lt;td&gt;KPAC Tier 2 Regular Season&lt;/td&gt; &lt;/tr&gt;</v>
      </c>
    </row>
    <row r="304" spans="1:19" x14ac:dyDescent="0.25">
      <c r="A304" s="5">
        <v>42396</v>
      </c>
      <c r="B304" s="6">
        <v>0.8125</v>
      </c>
      <c r="C304" t="s">
        <v>20</v>
      </c>
      <c r="D304" t="s">
        <v>58</v>
      </c>
      <c r="E304" t="s">
        <v>725</v>
      </c>
      <c r="F304" t="s">
        <v>16</v>
      </c>
      <c r="G304" t="s">
        <v>45</v>
      </c>
      <c r="H304">
        <v>20</v>
      </c>
      <c r="J304" t="s">
        <v>726</v>
      </c>
      <c r="K304" t="s">
        <v>233</v>
      </c>
      <c r="L304" t="s">
        <v>228</v>
      </c>
      <c r="M304" t="s">
        <v>229</v>
      </c>
      <c r="N304" t="str">
        <f t="shared" si="28"/>
        <v>&lt;tr&gt; &lt;td&gt;Jan. 27&lt;/td&gt;</v>
      </c>
      <c r="O304" t="str">
        <f t="shared" si="29"/>
        <v>&lt;td&gt;7:30 PM&lt;/td&gt;</v>
      </c>
      <c r="P304" t="str">
        <f t="shared" si="30"/>
        <v>&lt;td class="WKCsched"&gt;West Kildonan&lt;/td&gt;</v>
      </c>
      <c r="Q304" t="str">
        <f t="shared" si="31"/>
        <v>&lt;td&gt;0F - 20&lt;/td&gt;</v>
      </c>
      <c r="R304" t="str">
        <f t="shared" si="32"/>
        <v>&lt;td class="MCsched"&gt;Maples&lt;/td&gt;</v>
      </c>
      <c r="S304" t="str">
        <f t="shared" si="33"/>
        <v>&lt;td&gt;KPAC Tier 2 Regular Season&lt;/td&gt; &lt;/tr&gt;</v>
      </c>
    </row>
    <row r="305" spans="1:19" x14ac:dyDescent="0.25">
      <c r="A305" s="5">
        <v>42396</v>
      </c>
      <c r="B305" s="6">
        <v>0.8125</v>
      </c>
      <c r="C305" t="s">
        <v>11</v>
      </c>
      <c r="D305" t="s">
        <v>48</v>
      </c>
      <c r="E305">
        <v>59</v>
      </c>
      <c r="F305" t="s">
        <v>4</v>
      </c>
      <c r="G305" t="s">
        <v>41</v>
      </c>
      <c r="H305">
        <v>45</v>
      </c>
      <c r="J305" t="str">
        <f t="shared" ref="J305:J368" si="35">IF(H305&gt;E305,"H",IF(E305&gt;H305,"V",""))</f>
        <v>V</v>
      </c>
      <c r="K305" t="s">
        <v>234</v>
      </c>
      <c r="L305" t="s">
        <v>228</v>
      </c>
      <c r="M305" t="s">
        <v>229</v>
      </c>
      <c r="N305" t="str">
        <f t="shared" si="28"/>
        <v>&lt;tr&gt; &lt;td&gt;Jan. 27&lt;/td&gt;</v>
      </c>
      <c r="O305" t="str">
        <f t="shared" si="29"/>
        <v>&lt;td&gt;7:30 PM&lt;/td&gt;</v>
      </c>
      <c r="P305" t="str">
        <f t="shared" si="30"/>
        <v>&lt;td class="MMCsched"&gt;Miles Macdonell&lt;/td&gt;</v>
      </c>
      <c r="Q305" t="str">
        <f t="shared" si="31"/>
        <v>&lt;td&gt;59 - 45&lt;/td&gt;</v>
      </c>
      <c r="R305" t="str">
        <f t="shared" si="32"/>
        <v>&lt;td class="GCCsched"&gt;Garden City&lt;/td&gt;</v>
      </c>
      <c r="S305" t="str">
        <f t="shared" si="33"/>
        <v>&lt;td&gt;KPAC Tier 1 Regular Season&lt;/td&gt; &lt;/tr&gt;</v>
      </c>
    </row>
    <row r="306" spans="1:19" x14ac:dyDescent="0.25">
      <c r="A306" s="5">
        <v>42397</v>
      </c>
      <c r="B306" s="6">
        <v>0.75</v>
      </c>
      <c r="C306" t="s">
        <v>555</v>
      </c>
      <c r="E306">
        <v>34</v>
      </c>
      <c r="F306" t="s">
        <v>162</v>
      </c>
      <c r="G306" t="s">
        <v>164</v>
      </c>
      <c r="H306">
        <v>65</v>
      </c>
      <c r="J306" t="str">
        <f t="shared" si="35"/>
        <v>H</v>
      </c>
      <c r="K306" t="s">
        <v>163</v>
      </c>
      <c r="L306" t="s">
        <v>228</v>
      </c>
      <c r="M306" t="s">
        <v>229</v>
      </c>
      <c r="N306" t="str">
        <f t="shared" si="28"/>
        <v>&lt;tr&gt; &lt;td&gt;Jan. 28&lt;/td&gt;</v>
      </c>
      <c r="O306" t="str">
        <f t="shared" si="29"/>
        <v>&lt;td&gt;6:00 PM&lt;/td&gt;</v>
      </c>
      <c r="P306" t="str">
        <f t="shared" si="30"/>
        <v>&lt;td class="sched"&gt;W.C. Miller&lt;/td&gt;</v>
      </c>
      <c r="Q306" t="str">
        <f t="shared" si="31"/>
        <v>&lt;td&gt;34 - 65&lt;/td&gt;</v>
      </c>
      <c r="R306" t="str">
        <f t="shared" si="32"/>
        <v>&lt;td class="GVCsched"&gt;Garden Valley&lt;/td&gt;</v>
      </c>
      <c r="S306" t="str">
        <f t="shared" si="33"/>
        <v>&lt;td&gt;Zone 4 Regular Season&lt;/td&gt; &lt;/tr&gt;</v>
      </c>
    </row>
    <row r="307" spans="1:19" x14ac:dyDescent="0.25">
      <c r="A307" s="5">
        <v>42397</v>
      </c>
      <c r="C307" t="s">
        <v>7</v>
      </c>
      <c r="D307" t="s">
        <v>7</v>
      </c>
      <c r="E307">
        <v>17</v>
      </c>
      <c r="F307" t="s">
        <v>111</v>
      </c>
      <c r="G307" t="s">
        <v>112</v>
      </c>
      <c r="H307">
        <v>52</v>
      </c>
      <c r="J307" t="str">
        <f t="shared" si="35"/>
        <v>H</v>
      </c>
      <c r="K307" t="s">
        <v>575</v>
      </c>
      <c r="L307" t="s">
        <v>173</v>
      </c>
      <c r="N307" t="str">
        <f t="shared" si="28"/>
        <v>&lt;tr&gt; &lt;td&gt;Jan. 28&lt;/td&gt;</v>
      </c>
      <c r="O307" t="str">
        <f t="shared" si="29"/>
        <v>&lt;td&gt;&lt;/td&gt;</v>
      </c>
      <c r="P307" t="str">
        <f t="shared" si="30"/>
        <v>&lt;td class="MBCIsched"&gt;MBCI&lt;/td&gt;</v>
      </c>
      <c r="Q307" t="str">
        <f t="shared" si="31"/>
        <v>&lt;td&gt;17 - 52&lt;/td&gt;</v>
      </c>
      <c r="R307" t="str">
        <f t="shared" si="32"/>
        <v>&lt;td class="SMAsched"&gt;St. Mary's&lt;/td&gt;</v>
      </c>
      <c r="S307" t="str">
        <f t="shared" si="33"/>
        <v>&lt;td&gt;St. Mary's Invitational Quarterfinal 1&lt;/td&gt; &lt;/tr&gt;</v>
      </c>
    </row>
    <row r="308" spans="1:19" x14ac:dyDescent="0.25">
      <c r="A308" s="5">
        <v>42397</v>
      </c>
      <c r="C308" t="s">
        <v>10</v>
      </c>
      <c r="D308" t="s">
        <v>72</v>
      </c>
      <c r="E308">
        <v>31</v>
      </c>
      <c r="F308" t="s">
        <v>31</v>
      </c>
      <c r="G308" t="s">
        <v>96</v>
      </c>
      <c r="H308">
        <v>70</v>
      </c>
      <c r="J308" t="str">
        <f t="shared" si="35"/>
        <v>H</v>
      </c>
      <c r="K308" t="s">
        <v>575</v>
      </c>
      <c r="L308" t="s">
        <v>174</v>
      </c>
      <c r="N308" t="str">
        <f t="shared" si="28"/>
        <v>&lt;tr&gt; &lt;td&gt;Jan. 28&lt;/td&gt;</v>
      </c>
      <c r="O308" t="str">
        <f t="shared" si="29"/>
        <v>&lt;td&gt;&lt;/td&gt;</v>
      </c>
      <c r="P308" t="str">
        <f t="shared" si="30"/>
        <v>&lt;td class="KHSsched"&gt;Kelvin&lt;/td&gt;</v>
      </c>
      <c r="Q308" t="str">
        <f t="shared" si="31"/>
        <v>&lt;td&gt;31 - 70&lt;/td&gt;</v>
      </c>
      <c r="R308" t="str">
        <f t="shared" si="32"/>
        <v>&lt;td class="TVHSsched"&gt;Tec Voc&lt;/td&gt;</v>
      </c>
      <c r="S308" t="str">
        <f t="shared" si="33"/>
        <v>&lt;td&gt;St. Mary's Invitational Quarterfinal 2&lt;/td&gt; &lt;/tr&gt;</v>
      </c>
    </row>
    <row r="309" spans="1:19" x14ac:dyDescent="0.25">
      <c r="A309" s="5">
        <v>42397</v>
      </c>
      <c r="C309" t="s">
        <v>6</v>
      </c>
      <c r="D309" t="s">
        <v>70</v>
      </c>
      <c r="E309">
        <v>40</v>
      </c>
      <c r="F309" t="s">
        <v>32</v>
      </c>
      <c r="G309" t="s">
        <v>100</v>
      </c>
      <c r="H309">
        <v>39</v>
      </c>
      <c r="J309" t="str">
        <f t="shared" si="35"/>
        <v>V</v>
      </c>
      <c r="K309" t="s">
        <v>575</v>
      </c>
      <c r="L309" t="s">
        <v>175</v>
      </c>
      <c r="N309" t="str">
        <f t="shared" si="28"/>
        <v>&lt;tr&gt; &lt;td&gt;Jan. 28&lt;/td&gt;</v>
      </c>
      <c r="O309" t="str">
        <f t="shared" si="29"/>
        <v>&lt;td&gt;&lt;/td&gt;</v>
      </c>
      <c r="P309" t="str">
        <f t="shared" si="30"/>
        <v>&lt;td class="JTCsched"&gt;John Taylor&lt;/td&gt;</v>
      </c>
      <c r="Q309" t="str">
        <f t="shared" si="31"/>
        <v>&lt;td&gt;40 - 39&lt;/td&gt;</v>
      </c>
      <c r="R309" t="str">
        <f t="shared" si="32"/>
        <v>&lt;td class="CPRSsched"&gt;Crocus Plains&lt;/td&gt;</v>
      </c>
      <c r="S309" t="str">
        <f t="shared" si="33"/>
        <v>&lt;td&gt;St. Mary's Invitational Quarterfinal 3&lt;/td&gt; &lt;/tr&gt;</v>
      </c>
    </row>
    <row r="310" spans="1:19" x14ac:dyDescent="0.25">
      <c r="A310" s="5">
        <v>42397</v>
      </c>
      <c r="C310" t="s">
        <v>15</v>
      </c>
      <c r="D310" t="s">
        <v>68</v>
      </c>
      <c r="E310">
        <v>77</v>
      </c>
      <c r="F310" t="s">
        <v>108</v>
      </c>
      <c r="G310" t="s">
        <v>109</v>
      </c>
      <c r="H310">
        <v>32</v>
      </c>
      <c r="J310" t="str">
        <f t="shared" si="35"/>
        <v>V</v>
      </c>
      <c r="K310" t="s">
        <v>575</v>
      </c>
      <c r="L310" t="s">
        <v>176</v>
      </c>
      <c r="N310" t="str">
        <f t="shared" si="28"/>
        <v>&lt;tr&gt; &lt;td&gt;Jan. 28&lt;/td&gt;</v>
      </c>
      <c r="O310" t="str">
        <f t="shared" si="29"/>
        <v>&lt;td&gt;&lt;/td&gt;</v>
      </c>
      <c r="P310" t="str">
        <f t="shared" si="30"/>
        <v>&lt;td class="FRCsched"&gt;Fort Richmond&lt;/td&gt;</v>
      </c>
      <c r="Q310" t="str">
        <f t="shared" si="31"/>
        <v>&lt;td&gt;77 - 32&lt;/td&gt;</v>
      </c>
      <c r="R310" t="str">
        <f t="shared" si="32"/>
        <v>&lt;td class="CJSsched"&gt;Jeanne-Sauv&amp;eacute;&lt;/td&gt;</v>
      </c>
      <c r="S310" t="str">
        <f t="shared" si="33"/>
        <v>&lt;td&gt;St. Mary's Invitational Quarterfinal 4&lt;/td&gt; &lt;/tr&gt;</v>
      </c>
    </row>
    <row r="311" spans="1:19" x14ac:dyDescent="0.25">
      <c r="A311" s="5">
        <v>42398</v>
      </c>
      <c r="C311" t="s">
        <v>10</v>
      </c>
      <c r="D311" t="s">
        <v>72</v>
      </c>
      <c r="E311">
        <v>52</v>
      </c>
      <c r="F311" t="s">
        <v>7</v>
      </c>
      <c r="G311" t="s">
        <v>7</v>
      </c>
      <c r="H311">
        <v>36</v>
      </c>
      <c r="J311" t="str">
        <f t="shared" si="35"/>
        <v>V</v>
      </c>
      <c r="K311" t="s">
        <v>575</v>
      </c>
      <c r="L311" t="s">
        <v>177</v>
      </c>
      <c r="N311" t="str">
        <f t="shared" si="28"/>
        <v>&lt;tr&gt; &lt;td&gt;Jan. 29&lt;/td&gt;</v>
      </c>
      <c r="O311" t="str">
        <f t="shared" si="29"/>
        <v>&lt;td&gt;&lt;/td&gt;</v>
      </c>
      <c r="P311" t="str">
        <f t="shared" si="30"/>
        <v>&lt;td class="KHSsched"&gt;Kelvin&lt;/td&gt;</v>
      </c>
      <c r="Q311" t="str">
        <f t="shared" si="31"/>
        <v>&lt;td&gt;52 - 36&lt;/td&gt;</v>
      </c>
      <c r="R311" t="str">
        <f t="shared" si="32"/>
        <v>&lt;td class="MBCIsched"&gt;MBCI&lt;/td&gt;</v>
      </c>
      <c r="S311" t="str">
        <f t="shared" si="33"/>
        <v>&lt;td&gt;St. Mary's Invitational Consolation Semi 1&lt;/td&gt; &lt;/tr&gt;</v>
      </c>
    </row>
    <row r="312" spans="1:19" x14ac:dyDescent="0.25">
      <c r="A312" s="5">
        <v>42398</v>
      </c>
      <c r="C312" t="s">
        <v>108</v>
      </c>
      <c r="D312" t="s">
        <v>109</v>
      </c>
      <c r="E312">
        <v>21</v>
      </c>
      <c r="F312" t="s">
        <v>32</v>
      </c>
      <c r="G312" t="s">
        <v>100</v>
      </c>
      <c r="H312">
        <v>53</v>
      </c>
      <c r="J312" t="str">
        <f t="shared" si="35"/>
        <v>H</v>
      </c>
      <c r="K312" t="s">
        <v>575</v>
      </c>
      <c r="L312" t="s">
        <v>178</v>
      </c>
      <c r="N312" t="str">
        <f t="shared" si="28"/>
        <v>&lt;tr&gt; &lt;td&gt;Jan. 29&lt;/td&gt;</v>
      </c>
      <c r="O312" t="str">
        <f t="shared" si="29"/>
        <v>&lt;td&gt;&lt;/td&gt;</v>
      </c>
      <c r="P312" t="str">
        <f t="shared" si="30"/>
        <v>&lt;td class="CJSsched"&gt;Jeanne-Sauv&amp;eacute;&lt;/td&gt;</v>
      </c>
      <c r="Q312" t="str">
        <f t="shared" si="31"/>
        <v>&lt;td&gt;21 - 53&lt;/td&gt;</v>
      </c>
      <c r="R312" t="str">
        <f t="shared" si="32"/>
        <v>&lt;td class="CPRSsched"&gt;Crocus Plains&lt;/td&gt;</v>
      </c>
      <c r="S312" t="str">
        <f t="shared" si="33"/>
        <v>&lt;td&gt;St. Mary's Invitational Consolation Semi 2&lt;/td&gt; &lt;/tr&gt;</v>
      </c>
    </row>
    <row r="313" spans="1:19" x14ac:dyDescent="0.25">
      <c r="A313" s="5">
        <v>42398</v>
      </c>
      <c r="C313" t="s">
        <v>31</v>
      </c>
      <c r="D313" t="s">
        <v>96</v>
      </c>
      <c r="E313">
        <v>51</v>
      </c>
      <c r="F313" t="s">
        <v>111</v>
      </c>
      <c r="G313" t="s">
        <v>112</v>
      </c>
      <c r="H313">
        <v>54</v>
      </c>
      <c r="J313" t="str">
        <f t="shared" si="35"/>
        <v>H</v>
      </c>
      <c r="K313" t="s">
        <v>575</v>
      </c>
      <c r="L313" t="s">
        <v>179</v>
      </c>
      <c r="N313" t="str">
        <f t="shared" si="28"/>
        <v>&lt;tr&gt; &lt;td&gt;Jan. 29&lt;/td&gt;</v>
      </c>
      <c r="O313" t="str">
        <f t="shared" si="29"/>
        <v>&lt;td&gt;&lt;/td&gt;</v>
      </c>
      <c r="P313" t="str">
        <f t="shared" si="30"/>
        <v>&lt;td class="TVHSsched"&gt;Tec Voc&lt;/td&gt;</v>
      </c>
      <c r="Q313" t="str">
        <f t="shared" si="31"/>
        <v>&lt;td&gt;51 - 54&lt;/td&gt;</v>
      </c>
      <c r="R313" t="str">
        <f t="shared" si="32"/>
        <v>&lt;td class="SMAsched"&gt;St. Mary's&lt;/td&gt;</v>
      </c>
      <c r="S313" t="str">
        <f t="shared" si="33"/>
        <v>&lt;td&gt;St. Mary's Invitational Semifinal 1&lt;/td&gt; &lt;/tr&gt;</v>
      </c>
    </row>
    <row r="314" spans="1:19" x14ac:dyDescent="0.25">
      <c r="A314" s="5">
        <v>42398</v>
      </c>
      <c r="C314" t="s">
        <v>15</v>
      </c>
      <c r="D314" t="s">
        <v>68</v>
      </c>
      <c r="E314">
        <v>48</v>
      </c>
      <c r="F314" t="s">
        <v>6</v>
      </c>
      <c r="G314" t="s">
        <v>70</v>
      </c>
      <c r="H314">
        <v>41</v>
      </c>
      <c r="J314" t="str">
        <f t="shared" si="35"/>
        <v>V</v>
      </c>
      <c r="K314" t="s">
        <v>575</v>
      </c>
      <c r="L314" t="s">
        <v>180</v>
      </c>
      <c r="N314" t="str">
        <f t="shared" si="28"/>
        <v>&lt;tr&gt; &lt;td&gt;Jan. 29&lt;/td&gt;</v>
      </c>
      <c r="O314" t="str">
        <f t="shared" si="29"/>
        <v>&lt;td&gt;&lt;/td&gt;</v>
      </c>
      <c r="P314" t="str">
        <f t="shared" si="30"/>
        <v>&lt;td class="FRCsched"&gt;Fort Richmond&lt;/td&gt;</v>
      </c>
      <c r="Q314" t="str">
        <f t="shared" si="31"/>
        <v>&lt;td&gt;48 - 41&lt;/td&gt;</v>
      </c>
      <c r="R314" t="str">
        <f t="shared" si="32"/>
        <v>&lt;td class="JTCsched"&gt;John Taylor&lt;/td&gt;</v>
      </c>
      <c r="S314" t="str">
        <f t="shared" si="33"/>
        <v>&lt;td&gt;St. Mary's Invitational Semifinal 2&lt;/td&gt; &lt;/tr&gt;</v>
      </c>
    </row>
    <row r="315" spans="1:19" x14ac:dyDescent="0.25">
      <c r="A315" s="5">
        <v>42399</v>
      </c>
      <c r="C315" t="s">
        <v>108</v>
      </c>
      <c r="D315" t="s">
        <v>109</v>
      </c>
      <c r="E315">
        <v>60</v>
      </c>
      <c r="F315" t="s">
        <v>7</v>
      </c>
      <c r="G315" t="s">
        <v>7</v>
      </c>
      <c r="H315">
        <v>36</v>
      </c>
      <c r="J315" t="str">
        <f t="shared" si="35"/>
        <v>V</v>
      </c>
      <c r="K315" t="s">
        <v>575</v>
      </c>
      <c r="L315" t="s">
        <v>181</v>
      </c>
      <c r="N315" t="str">
        <f t="shared" si="28"/>
        <v>&lt;tr&gt; &lt;td&gt;Jan. 30&lt;/td&gt;</v>
      </c>
      <c r="O315" t="str">
        <f t="shared" si="29"/>
        <v>&lt;td&gt;&lt;/td&gt;</v>
      </c>
      <c r="P315" t="str">
        <f t="shared" si="30"/>
        <v>&lt;td class="CJSsched"&gt;Jeanne-Sauv&amp;eacute;&lt;/td&gt;</v>
      </c>
      <c r="Q315" t="str">
        <f t="shared" si="31"/>
        <v>&lt;td&gt;60 - 36&lt;/td&gt;</v>
      </c>
      <c r="R315" t="str">
        <f t="shared" si="32"/>
        <v>&lt;td class="MBCIsched"&gt;MBCI&lt;/td&gt;</v>
      </c>
      <c r="S315" t="str">
        <f t="shared" si="33"/>
        <v>&lt;td&gt;St. Mary's Invitational 7th Place&lt;/td&gt; &lt;/tr&gt;</v>
      </c>
    </row>
    <row r="316" spans="1:19" x14ac:dyDescent="0.25">
      <c r="A316" s="5">
        <v>42399</v>
      </c>
      <c r="C316" t="s">
        <v>32</v>
      </c>
      <c r="D316" t="s">
        <v>100</v>
      </c>
      <c r="E316" t="s">
        <v>156</v>
      </c>
      <c r="F316" t="s">
        <v>10</v>
      </c>
      <c r="G316" t="s">
        <v>72</v>
      </c>
      <c r="H316" t="s">
        <v>254</v>
      </c>
      <c r="J316" t="str">
        <f t="shared" si="35"/>
        <v>V</v>
      </c>
      <c r="K316" t="s">
        <v>575</v>
      </c>
      <c r="L316" t="s">
        <v>182</v>
      </c>
      <c r="N316" t="str">
        <f t="shared" si="28"/>
        <v>&lt;tr&gt; &lt;td&gt;Jan. 30&lt;/td&gt;</v>
      </c>
      <c r="O316" t="str">
        <f t="shared" si="29"/>
        <v>&lt;td&gt;&lt;/td&gt;</v>
      </c>
      <c r="P316" t="str">
        <f t="shared" si="30"/>
        <v>&lt;td class="CPRSsched"&gt;Crocus Plains&lt;/td&gt;</v>
      </c>
      <c r="Q316" t="str">
        <f t="shared" si="31"/>
        <v>&lt;td&gt;W - L&lt;/td&gt;</v>
      </c>
      <c r="R316" t="str">
        <f t="shared" si="32"/>
        <v>&lt;td class="KHSsched"&gt;Kelvin&lt;/td&gt;</v>
      </c>
      <c r="S316" t="str">
        <f t="shared" si="33"/>
        <v>&lt;td&gt;St. Mary's Invitational Consolation Final&lt;/td&gt; &lt;/tr&gt;</v>
      </c>
    </row>
    <row r="317" spans="1:19" x14ac:dyDescent="0.25">
      <c r="A317" s="5">
        <v>42399</v>
      </c>
      <c r="C317" t="s">
        <v>6</v>
      </c>
      <c r="D317" t="s">
        <v>70</v>
      </c>
      <c r="E317" t="s">
        <v>156</v>
      </c>
      <c r="F317" t="s">
        <v>31</v>
      </c>
      <c r="G317" t="s">
        <v>96</v>
      </c>
      <c r="H317" t="s">
        <v>254</v>
      </c>
      <c r="J317" t="str">
        <f t="shared" si="35"/>
        <v>V</v>
      </c>
      <c r="K317" t="s">
        <v>575</v>
      </c>
      <c r="L317" t="s">
        <v>183</v>
      </c>
      <c r="N317" t="str">
        <f t="shared" si="28"/>
        <v>&lt;tr&gt; &lt;td&gt;Jan. 30&lt;/td&gt;</v>
      </c>
      <c r="O317" t="str">
        <f t="shared" si="29"/>
        <v>&lt;td&gt;&lt;/td&gt;</v>
      </c>
      <c r="P317" t="str">
        <f t="shared" si="30"/>
        <v>&lt;td class="JTCsched"&gt;John Taylor&lt;/td&gt;</v>
      </c>
      <c r="Q317" t="str">
        <f t="shared" si="31"/>
        <v>&lt;td&gt;W - L&lt;/td&gt;</v>
      </c>
      <c r="R317" t="str">
        <f t="shared" si="32"/>
        <v>&lt;td class="TVHSsched"&gt;Tec Voc&lt;/td&gt;</v>
      </c>
      <c r="S317" t="str">
        <f t="shared" si="33"/>
        <v>&lt;td&gt;St. Mary's Invitational 3rd Place&lt;/td&gt; &lt;/tr&gt;</v>
      </c>
    </row>
    <row r="318" spans="1:19" x14ac:dyDescent="0.25">
      <c r="A318" s="5">
        <v>42399</v>
      </c>
      <c r="C318" t="s">
        <v>15</v>
      </c>
      <c r="D318" t="s">
        <v>68</v>
      </c>
      <c r="E318" t="s">
        <v>254</v>
      </c>
      <c r="F318" t="s">
        <v>111</v>
      </c>
      <c r="G318" t="s">
        <v>112</v>
      </c>
      <c r="H318" t="s">
        <v>156</v>
      </c>
      <c r="J318" t="str">
        <f t="shared" si="35"/>
        <v>H</v>
      </c>
      <c r="K318" t="s">
        <v>575</v>
      </c>
      <c r="L318" t="s">
        <v>184</v>
      </c>
      <c r="N318" t="str">
        <f t="shared" si="28"/>
        <v>&lt;tr&gt; &lt;td&gt;Jan. 30&lt;/td&gt;</v>
      </c>
      <c r="O318" t="str">
        <f t="shared" si="29"/>
        <v>&lt;td&gt;&lt;/td&gt;</v>
      </c>
      <c r="P318" t="str">
        <f t="shared" si="30"/>
        <v>&lt;td class="FRCsched"&gt;Fort Richmond&lt;/td&gt;</v>
      </c>
      <c r="Q318" t="str">
        <f t="shared" si="31"/>
        <v>&lt;td&gt;L - W&lt;/td&gt;</v>
      </c>
      <c r="R318" t="str">
        <f t="shared" si="32"/>
        <v>&lt;td class="SMAsched"&gt;St. Mary's&lt;/td&gt;</v>
      </c>
      <c r="S318" t="str">
        <f t="shared" si="33"/>
        <v>&lt;td&gt;St. Mary's Invitational Championship&lt;/td&gt; &lt;/tr&gt;</v>
      </c>
    </row>
    <row r="319" spans="1:19" x14ac:dyDescent="0.25">
      <c r="A319" s="5">
        <v>42401</v>
      </c>
      <c r="B319" s="6">
        <v>0.77083333333333337</v>
      </c>
      <c r="C319" t="s">
        <v>218</v>
      </c>
      <c r="E319">
        <v>52</v>
      </c>
      <c r="F319" t="s">
        <v>28</v>
      </c>
      <c r="G319" t="s">
        <v>90</v>
      </c>
      <c r="H319">
        <v>54</v>
      </c>
      <c r="J319" t="str">
        <f t="shared" si="35"/>
        <v>H</v>
      </c>
      <c r="K319" t="s">
        <v>257</v>
      </c>
      <c r="L319" t="s">
        <v>228</v>
      </c>
      <c r="M319" t="s">
        <v>229</v>
      </c>
      <c r="N319" t="str">
        <f t="shared" si="28"/>
        <v>&lt;tr&gt; &lt;td&gt;Feb. 1&lt;/td&gt;</v>
      </c>
      <c r="O319" t="str">
        <f t="shared" si="29"/>
        <v>&lt;td&gt;6:30 PM&lt;/td&gt;</v>
      </c>
      <c r="P319" t="str">
        <f t="shared" si="30"/>
        <v>&lt;td class="sched"&gt;Stonewall&lt;/td&gt;</v>
      </c>
      <c r="Q319" t="str">
        <f t="shared" si="31"/>
        <v>&lt;td&gt;52 - 54&lt;/td&gt;</v>
      </c>
      <c r="R319" t="str">
        <f t="shared" si="32"/>
        <v>&lt;td class="PCIsched"&gt;Portage&lt;/td&gt;</v>
      </c>
      <c r="S319" t="str">
        <f t="shared" si="33"/>
        <v>&lt;td&gt;WWAC/WAC Tier 2 Regular Season&lt;/td&gt; &lt;/tr&gt;</v>
      </c>
    </row>
    <row r="320" spans="1:19" x14ac:dyDescent="0.25">
      <c r="A320" s="5">
        <v>42404</v>
      </c>
      <c r="B320" s="6">
        <v>0.54166666666666663</v>
      </c>
      <c r="C320" t="s">
        <v>18</v>
      </c>
      <c r="D320" t="s">
        <v>52</v>
      </c>
      <c r="E320">
        <v>53</v>
      </c>
      <c r="F320" t="s">
        <v>32</v>
      </c>
      <c r="G320" t="s">
        <v>100</v>
      </c>
      <c r="H320">
        <v>70</v>
      </c>
      <c r="J320" t="str">
        <f t="shared" si="35"/>
        <v>H</v>
      </c>
      <c r="K320" t="s">
        <v>576</v>
      </c>
      <c r="L320" t="s">
        <v>211</v>
      </c>
      <c r="N320" t="str">
        <f t="shared" si="28"/>
        <v>&lt;tr&gt; &lt;td&gt;Feb. 4&lt;/td&gt;</v>
      </c>
      <c r="O320" t="str">
        <f t="shared" si="29"/>
        <v>&lt;td&gt;1:00 PM&lt;/td&gt;</v>
      </c>
      <c r="P320" t="str">
        <f t="shared" si="30"/>
        <v>&lt;td class="RECsched"&gt;River East&lt;/td&gt;</v>
      </c>
      <c r="Q320" t="str">
        <f t="shared" si="31"/>
        <v>&lt;td&gt;53 - 70&lt;/td&gt;</v>
      </c>
      <c r="R320" t="str">
        <f t="shared" si="32"/>
        <v>&lt;td class="CPRSsched"&gt;Crocus Plains&lt;/td&gt;</v>
      </c>
      <c r="S320" t="str">
        <f t="shared" si="33"/>
        <v>&lt;td&gt;Java Jam Pool A&lt;/td&gt; &lt;/tr&gt;</v>
      </c>
    </row>
    <row r="321" spans="1:19" x14ac:dyDescent="0.25">
      <c r="A321" s="5">
        <v>42404</v>
      </c>
      <c r="B321" s="6">
        <v>0.54166666666666663</v>
      </c>
      <c r="C321" t="s">
        <v>577</v>
      </c>
      <c r="E321">
        <v>60</v>
      </c>
      <c r="F321" t="s">
        <v>10</v>
      </c>
      <c r="G321" t="s">
        <v>72</v>
      </c>
      <c r="H321">
        <v>43</v>
      </c>
      <c r="J321" t="str">
        <f t="shared" si="35"/>
        <v>V</v>
      </c>
      <c r="K321" t="s">
        <v>576</v>
      </c>
      <c r="L321" t="s">
        <v>212</v>
      </c>
      <c r="N321" t="str">
        <f t="shared" si="28"/>
        <v>&lt;tr&gt; &lt;td&gt;Feb. 4&lt;/td&gt;</v>
      </c>
      <c r="O321" t="str">
        <f t="shared" si="29"/>
        <v>&lt;td&gt;1:00 PM&lt;/td&gt;</v>
      </c>
      <c r="P321" t="str">
        <f t="shared" si="30"/>
        <v>&lt;td class="sched"&gt;Neepawa&lt;/td&gt;</v>
      </c>
      <c r="Q321" t="str">
        <f t="shared" si="31"/>
        <v>&lt;td&gt;60 - 43&lt;/td&gt;</v>
      </c>
      <c r="R321" t="str">
        <f t="shared" si="32"/>
        <v>&lt;td class="KHSsched"&gt;Kelvin&lt;/td&gt;</v>
      </c>
      <c r="S321" t="str">
        <f t="shared" si="33"/>
        <v>&lt;td&gt;Java Jam Pool B&lt;/td&gt; &lt;/tr&gt;</v>
      </c>
    </row>
    <row r="322" spans="1:19" x14ac:dyDescent="0.25">
      <c r="A322" s="5">
        <v>42404</v>
      </c>
      <c r="B322" s="6">
        <v>0.61458333333333337</v>
      </c>
      <c r="C322" t="s">
        <v>14</v>
      </c>
      <c r="D322" t="s">
        <v>94</v>
      </c>
      <c r="E322">
        <v>65</v>
      </c>
      <c r="F322" t="s">
        <v>162</v>
      </c>
      <c r="G322" t="s">
        <v>164</v>
      </c>
      <c r="H322">
        <v>45</v>
      </c>
      <c r="J322" t="str">
        <f t="shared" si="35"/>
        <v>V</v>
      </c>
      <c r="K322" t="s">
        <v>576</v>
      </c>
      <c r="L322" t="s">
        <v>214</v>
      </c>
      <c r="N322" t="str">
        <f t="shared" ref="N322:N385" si="36">"&lt;tr&gt; &lt;td&gt;"&amp;TEXT(A322,"MMM. D")&amp;"&lt;/td&gt;"</f>
        <v>&lt;tr&gt; &lt;td&gt;Feb. 4&lt;/td&gt;</v>
      </c>
      <c r="O322" t="str">
        <f t="shared" ref="O322:O385" si="37">"&lt;td&gt;"&amp;IF(B322&gt;0,TEXT(B322,"H:MM AM/PM"),"")&amp;"&lt;/td&gt;"</f>
        <v>&lt;td&gt;2:45 PM&lt;/td&gt;</v>
      </c>
      <c r="P322" t="str">
        <f t="shared" ref="P322:P385" si="38">"&lt;td class="""&amp;D322&amp;"sched""&gt;"&amp;C322&amp;"&lt;/td&gt;"</f>
        <v>&lt;td class="SHCsched"&gt;Sturgeon Heights&lt;/td&gt;</v>
      </c>
      <c r="Q322" t="str">
        <f t="shared" ref="Q322:Q385" si="39">"&lt;td&gt;"&amp;E322&amp;" - "&amp;H322&amp;IF(I322&gt;0," "&amp;I322,"")&amp;"&lt;/td&gt;"</f>
        <v>&lt;td&gt;65 - 45&lt;/td&gt;</v>
      </c>
      <c r="R322" t="str">
        <f t="shared" ref="R322:R385" si="40">"&lt;td class="""&amp;G322&amp;"sched""&gt;"&amp;F322&amp;"&lt;/td&gt;"</f>
        <v>&lt;td class="GVCsched"&gt;Garden Valley&lt;/td&gt;</v>
      </c>
      <c r="S322" t="str">
        <f t="shared" ref="S322:S385" si="41">"&lt;td&gt;"&amp;K322&amp;" "&amp;L322&amp;"&lt;/td&gt; &lt;/tr&gt;"</f>
        <v>&lt;td&gt;Java Jam Pool C&lt;/td&gt; &lt;/tr&gt;</v>
      </c>
    </row>
    <row r="323" spans="1:19" x14ac:dyDescent="0.25">
      <c r="A323" s="5">
        <v>42404</v>
      </c>
      <c r="B323" s="6">
        <v>0.61458333333333337</v>
      </c>
      <c r="C323" t="s">
        <v>2</v>
      </c>
      <c r="D323" t="s">
        <v>43</v>
      </c>
      <c r="E323">
        <v>50</v>
      </c>
      <c r="F323" t="s">
        <v>23</v>
      </c>
      <c r="G323" t="s">
        <v>102</v>
      </c>
      <c r="H323">
        <v>30</v>
      </c>
      <c r="J323" t="str">
        <f t="shared" si="35"/>
        <v>V</v>
      </c>
      <c r="K323" t="s">
        <v>576</v>
      </c>
      <c r="L323" t="s">
        <v>215</v>
      </c>
      <c r="N323" t="str">
        <f t="shared" si="36"/>
        <v>&lt;tr&gt; &lt;td&gt;Feb. 4&lt;/td&gt;</v>
      </c>
      <c r="O323" t="str">
        <f t="shared" si="37"/>
        <v>&lt;td&gt;2:45 PM&lt;/td&gt;</v>
      </c>
      <c r="P323" t="str">
        <f t="shared" si="38"/>
        <v>&lt;td class="KECsched"&gt;Kildonan-East&lt;/td&gt;</v>
      </c>
      <c r="Q323" t="str">
        <f t="shared" si="39"/>
        <v>&lt;td&gt;50 - 30&lt;/td&gt;</v>
      </c>
      <c r="R323" t="str">
        <f t="shared" si="40"/>
        <v>&lt;td class="VMHSsched"&gt;Vincent Massey&lt;/td&gt;</v>
      </c>
      <c r="S323" t="str">
        <f t="shared" si="41"/>
        <v>&lt;td&gt;Java Jam Pool D&lt;/td&gt; &lt;/tr&gt;</v>
      </c>
    </row>
    <row r="324" spans="1:19" x14ac:dyDescent="0.25">
      <c r="A324" s="5">
        <v>42404</v>
      </c>
      <c r="B324" s="6">
        <v>0.625</v>
      </c>
      <c r="C324" t="s">
        <v>564</v>
      </c>
      <c r="E324">
        <v>47</v>
      </c>
      <c r="F324" t="s">
        <v>9</v>
      </c>
      <c r="G324" t="s">
        <v>76</v>
      </c>
      <c r="H324">
        <v>85</v>
      </c>
      <c r="J324" t="str">
        <f t="shared" si="35"/>
        <v>H</v>
      </c>
      <c r="K324" t="s">
        <v>777</v>
      </c>
      <c r="L324" t="s">
        <v>211</v>
      </c>
      <c r="N324" t="str">
        <f t="shared" si="36"/>
        <v>&lt;tr&gt; &lt;td&gt;Feb. 4&lt;/td&gt;</v>
      </c>
      <c r="O324" t="str">
        <f t="shared" si="37"/>
        <v>&lt;td&gt;3:00 PM&lt;/td&gt;</v>
      </c>
      <c r="P324" t="str">
        <f t="shared" si="38"/>
        <v>&lt;td class="sched"&gt;LeBoldus&lt;/td&gt;</v>
      </c>
      <c r="Q324" t="str">
        <f t="shared" si="39"/>
        <v>&lt;td&gt;47 - 85&lt;/td&gt;</v>
      </c>
      <c r="R324" t="str">
        <f t="shared" si="40"/>
        <v>&lt;td class="SiHSsched"&gt;Sisler&lt;/td&gt;</v>
      </c>
      <c r="S324" t="str">
        <f t="shared" si="41"/>
        <v>&lt;td&gt;Campbell Invitational Pool A&lt;/td&gt; &lt;/tr&gt;</v>
      </c>
    </row>
    <row r="325" spans="1:19" x14ac:dyDescent="0.25">
      <c r="A325" s="5">
        <v>42404</v>
      </c>
      <c r="B325" s="6">
        <v>0.75</v>
      </c>
      <c r="C325" t="s">
        <v>104</v>
      </c>
      <c r="D325" t="s">
        <v>105</v>
      </c>
      <c r="E325">
        <v>51</v>
      </c>
      <c r="F325" t="s">
        <v>17</v>
      </c>
      <c r="G325" t="s">
        <v>50</v>
      </c>
      <c r="H325">
        <v>50</v>
      </c>
      <c r="J325" t="str">
        <f t="shared" si="35"/>
        <v>V</v>
      </c>
      <c r="K325" t="s">
        <v>233</v>
      </c>
      <c r="L325" t="s">
        <v>228</v>
      </c>
      <c r="M325" t="s">
        <v>229</v>
      </c>
      <c r="N325" t="str">
        <f t="shared" si="36"/>
        <v>&lt;tr&gt; &lt;td&gt;Feb. 4&lt;/td&gt;</v>
      </c>
      <c r="O325" t="str">
        <f t="shared" si="37"/>
        <v>&lt;td&gt;6:00 PM&lt;/td&gt;</v>
      </c>
      <c r="P325" t="str">
        <f t="shared" si="38"/>
        <v>&lt;td class="SCIsched"&gt;Springfield&lt;/td&gt;</v>
      </c>
      <c r="Q325" t="str">
        <f t="shared" si="39"/>
        <v>&lt;td&gt;51 - 50&lt;/td&gt;</v>
      </c>
      <c r="R325" t="str">
        <f t="shared" si="40"/>
        <v>&lt;td class="MMCIsched"&gt;Murdoch MacKay&lt;/td&gt;</v>
      </c>
      <c r="S325" t="str">
        <f t="shared" si="41"/>
        <v>&lt;td&gt;KPAC Tier 2 Regular Season&lt;/td&gt; &lt;/tr&gt;</v>
      </c>
    </row>
    <row r="326" spans="1:19" x14ac:dyDescent="0.25">
      <c r="A326" s="5">
        <v>42404</v>
      </c>
      <c r="B326" s="6">
        <v>0.75</v>
      </c>
      <c r="C326" t="s">
        <v>11</v>
      </c>
      <c r="D326" t="s">
        <v>48</v>
      </c>
      <c r="E326">
        <v>47</v>
      </c>
      <c r="F326" t="s">
        <v>771</v>
      </c>
      <c r="H326">
        <v>80</v>
      </c>
      <c r="J326" t="str">
        <f t="shared" si="35"/>
        <v>H</v>
      </c>
      <c r="K326" t="s">
        <v>772</v>
      </c>
      <c r="L326" t="s">
        <v>175</v>
      </c>
      <c r="N326" t="str">
        <f t="shared" si="36"/>
        <v>&lt;tr&gt; &lt;td&gt;Feb. 4&lt;/td&gt;</v>
      </c>
      <c r="O326" t="str">
        <f t="shared" si="37"/>
        <v>&lt;td&gt;6:00 PM&lt;/td&gt;</v>
      </c>
      <c r="P326" t="str">
        <f t="shared" si="38"/>
        <v>&lt;td class="MMCsched"&gt;Miles Macdonell&lt;/td&gt;</v>
      </c>
      <c r="Q326" t="str">
        <f t="shared" si="39"/>
        <v>&lt;td&gt;47 - 80&lt;/td&gt;</v>
      </c>
      <c r="R326" t="str">
        <f t="shared" si="40"/>
        <v>&lt;td class="sched"&gt;(AB) St. Mary's&lt;/td&gt;</v>
      </c>
      <c r="S326" t="str">
        <f t="shared" si="41"/>
        <v>&lt;td&gt;Redhawks Invitational Quarterfinal 3&lt;/td&gt; &lt;/tr&gt;</v>
      </c>
    </row>
    <row r="327" spans="1:19" x14ac:dyDescent="0.25">
      <c r="A327" s="5">
        <v>42404</v>
      </c>
      <c r="B327" s="6">
        <v>0.76041666666666663</v>
      </c>
      <c r="C327" t="s">
        <v>6</v>
      </c>
      <c r="D327" t="s">
        <v>70</v>
      </c>
      <c r="E327">
        <v>58</v>
      </c>
      <c r="F327" t="s">
        <v>577</v>
      </c>
      <c r="H327">
        <v>61</v>
      </c>
      <c r="J327" t="str">
        <f t="shared" si="35"/>
        <v>H</v>
      </c>
      <c r="K327" t="s">
        <v>576</v>
      </c>
      <c r="L327" t="s">
        <v>212</v>
      </c>
      <c r="N327" t="str">
        <f t="shared" si="36"/>
        <v>&lt;tr&gt; &lt;td&gt;Feb. 4&lt;/td&gt;</v>
      </c>
      <c r="O327" t="str">
        <f t="shared" si="37"/>
        <v>&lt;td&gt;6:15 PM&lt;/td&gt;</v>
      </c>
      <c r="P327" t="str">
        <f t="shared" si="38"/>
        <v>&lt;td class="JTCsched"&gt;John Taylor&lt;/td&gt;</v>
      </c>
      <c r="Q327" t="str">
        <f t="shared" si="39"/>
        <v>&lt;td&gt;58 - 61&lt;/td&gt;</v>
      </c>
      <c r="R327" t="str">
        <f t="shared" si="40"/>
        <v>&lt;td class="sched"&gt;Neepawa&lt;/td&gt;</v>
      </c>
      <c r="S327" t="str">
        <f t="shared" si="41"/>
        <v>&lt;td&gt;Java Jam Pool B&lt;/td&gt; &lt;/tr&gt;</v>
      </c>
    </row>
    <row r="328" spans="1:19" x14ac:dyDescent="0.25">
      <c r="A328" s="5">
        <v>42404</v>
      </c>
      <c r="B328" s="6">
        <v>0.83333333333333337</v>
      </c>
      <c r="C328" t="s">
        <v>8</v>
      </c>
      <c r="D328" t="s">
        <v>60</v>
      </c>
      <c r="E328">
        <v>61</v>
      </c>
      <c r="F328" t="s">
        <v>32</v>
      </c>
      <c r="G328" t="s">
        <v>100</v>
      </c>
      <c r="H328">
        <v>54</v>
      </c>
      <c r="J328" t="str">
        <f t="shared" si="35"/>
        <v>V</v>
      </c>
      <c r="K328" t="s">
        <v>576</v>
      </c>
      <c r="L328" t="s">
        <v>211</v>
      </c>
      <c r="N328" t="str">
        <f t="shared" si="36"/>
        <v>&lt;tr&gt; &lt;td&gt;Feb. 4&lt;/td&gt;</v>
      </c>
      <c r="O328" t="str">
        <f t="shared" si="37"/>
        <v>&lt;td&gt;8:00 PM&lt;/td&gt;</v>
      </c>
      <c r="P328" t="str">
        <f t="shared" si="38"/>
        <v>&lt;td class="DCIsched"&gt;Dakota&lt;/td&gt;</v>
      </c>
      <c r="Q328" t="str">
        <f t="shared" si="39"/>
        <v>&lt;td&gt;61 - 54&lt;/td&gt;</v>
      </c>
      <c r="R328" t="str">
        <f t="shared" si="40"/>
        <v>&lt;td class="CPRSsched"&gt;Crocus Plains&lt;/td&gt;</v>
      </c>
      <c r="S328" t="str">
        <f t="shared" si="41"/>
        <v>&lt;td&gt;Java Jam Pool A&lt;/td&gt; &lt;/tr&gt;</v>
      </c>
    </row>
    <row r="329" spans="1:19" x14ac:dyDescent="0.25">
      <c r="A329" s="5">
        <v>42404</v>
      </c>
      <c r="B329" s="6">
        <v>0.83333333333333337</v>
      </c>
      <c r="C329" t="s">
        <v>162</v>
      </c>
      <c r="D329" t="s">
        <v>164</v>
      </c>
      <c r="E329">
        <v>48</v>
      </c>
      <c r="F329" t="s">
        <v>12</v>
      </c>
      <c r="G329" t="s">
        <v>54</v>
      </c>
      <c r="H329">
        <v>71</v>
      </c>
      <c r="J329" t="str">
        <f t="shared" si="35"/>
        <v>H</v>
      </c>
      <c r="K329" t="s">
        <v>576</v>
      </c>
      <c r="L329" t="s">
        <v>214</v>
      </c>
      <c r="N329" t="str">
        <f t="shared" si="36"/>
        <v>&lt;tr&gt; &lt;td&gt;Feb. 4&lt;/td&gt;</v>
      </c>
      <c r="O329" t="str">
        <f t="shared" si="37"/>
        <v>&lt;td&gt;8:00 PM&lt;/td&gt;</v>
      </c>
      <c r="P329" t="str">
        <f t="shared" si="38"/>
        <v>&lt;td class="GVCsched"&gt;Garden Valley&lt;/td&gt;</v>
      </c>
      <c r="Q329" t="str">
        <f t="shared" si="39"/>
        <v>&lt;td&gt;48 - 71&lt;/td&gt;</v>
      </c>
      <c r="R329" t="str">
        <f t="shared" si="40"/>
        <v>&lt;td class="LSsched"&gt;Selkirk&lt;/td&gt;</v>
      </c>
      <c r="S329" t="str">
        <f t="shared" si="41"/>
        <v>&lt;td&gt;Java Jam Pool C&lt;/td&gt; &lt;/tr&gt;</v>
      </c>
    </row>
    <row r="330" spans="1:19" x14ac:dyDescent="0.25">
      <c r="A330" s="5">
        <v>42404</v>
      </c>
      <c r="B330" s="6">
        <v>0.83333333333333337</v>
      </c>
      <c r="C330" t="s">
        <v>111</v>
      </c>
      <c r="D330" t="s">
        <v>112</v>
      </c>
      <c r="E330">
        <v>57</v>
      </c>
      <c r="F330" t="s">
        <v>23</v>
      </c>
      <c r="G330" t="s">
        <v>102</v>
      </c>
      <c r="H330">
        <v>40</v>
      </c>
      <c r="J330" t="str">
        <f t="shared" si="35"/>
        <v>V</v>
      </c>
      <c r="K330" t="s">
        <v>576</v>
      </c>
      <c r="L330" t="s">
        <v>215</v>
      </c>
      <c r="N330" t="str">
        <f t="shared" si="36"/>
        <v>&lt;tr&gt; &lt;td&gt;Feb. 4&lt;/td&gt;</v>
      </c>
      <c r="O330" t="str">
        <f t="shared" si="37"/>
        <v>&lt;td&gt;8:00 PM&lt;/td&gt;</v>
      </c>
      <c r="P330" t="str">
        <f t="shared" si="38"/>
        <v>&lt;td class="SMAsched"&gt;St. Mary's&lt;/td&gt;</v>
      </c>
      <c r="Q330" t="str">
        <f t="shared" si="39"/>
        <v>&lt;td&gt;57 - 40&lt;/td&gt;</v>
      </c>
      <c r="R330" t="str">
        <f t="shared" si="40"/>
        <v>&lt;td class="VMHSsched"&gt;Vincent Massey&lt;/td&gt;</v>
      </c>
      <c r="S330" t="str">
        <f t="shared" si="41"/>
        <v>&lt;td&gt;Java Jam Pool D&lt;/td&gt; &lt;/tr&gt;</v>
      </c>
    </row>
    <row r="331" spans="1:19" x14ac:dyDescent="0.25">
      <c r="A331" s="5">
        <v>42404</v>
      </c>
      <c r="B331" s="6">
        <v>0.83333333333333337</v>
      </c>
      <c r="C331" t="s">
        <v>776</v>
      </c>
      <c r="F331" t="s">
        <v>24</v>
      </c>
      <c r="G331" t="s">
        <v>82</v>
      </c>
      <c r="I331" t="s">
        <v>565</v>
      </c>
      <c r="J331" t="str">
        <f t="shared" si="35"/>
        <v/>
      </c>
      <c r="K331" t="s">
        <v>777</v>
      </c>
      <c r="L331" t="s">
        <v>215</v>
      </c>
      <c r="N331" t="str">
        <f t="shared" si="36"/>
        <v>&lt;tr&gt; &lt;td&gt;Feb. 4&lt;/td&gt;</v>
      </c>
      <c r="O331" t="str">
        <f t="shared" si="37"/>
        <v>&lt;td&gt;8:00 PM&lt;/td&gt;</v>
      </c>
      <c r="P331" t="str">
        <f t="shared" si="38"/>
        <v>&lt;td class="sched"&gt;Luther&lt;/td&gt;</v>
      </c>
      <c r="Q331" t="str">
        <f t="shared" si="39"/>
        <v>&lt;td&gt; -  NR&lt;/td&gt;</v>
      </c>
      <c r="R331" t="str">
        <f t="shared" si="40"/>
        <v>&lt;td class="DMCIsched"&gt;Daniel McIntyre&lt;/td&gt;</v>
      </c>
      <c r="S331" t="str">
        <f t="shared" si="41"/>
        <v>&lt;td&gt;Campbell Invitational Pool D&lt;/td&gt; &lt;/tr&gt;</v>
      </c>
    </row>
    <row r="332" spans="1:19" x14ac:dyDescent="0.25">
      <c r="A332" s="5">
        <v>42405</v>
      </c>
      <c r="B332" s="6">
        <v>0.44791666666666669</v>
      </c>
      <c r="C332" t="s">
        <v>8</v>
      </c>
      <c r="D332" t="s">
        <v>60</v>
      </c>
      <c r="E332">
        <v>67</v>
      </c>
      <c r="F332" t="s">
        <v>18</v>
      </c>
      <c r="G332" t="s">
        <v>52</v>
      </c>
      <c r="H332">
        <v>30</v>
      </c>
      <c r="J332" t="str">
        <f t="shared" si="35"/>
        <v>V</v>
      </c>
      <c r="K332" t="s">
        <v>576</v>
      </c>
      <c r="L332" t="s">
        <v>211</v>
      </c>
      <c r="N332" t="str">
        <f t="shared" si="36"/>
        <v>&lt;tr&gt; &lt;td&gt;Feb. 5&lt;/td&gt;</v>
      </c>
      <c r="O332" t="str">
        <f t="shared" si="37"/>
        <v>&lt;td&gt;10:45 AM&lt;/td&gt;</v>
      </c>
      <c r="P332" t="str">
        <f t="shared" si="38"/>
        <v>&lt;td class="DCIsched"&gt;Dakota&lt;/td&gt;</v>
      </c>
      <c r="Q332" t="str">
        <f t="shared" si="39"/>
        <v>&lt;td&gt;67 - 30&lt;/td&gt;</v>
      </c>
      <c r="R332" t="str">
        <f t="shared" si="40"/>
        <v>&lt;td class="RECsched"&gt;River East&lt;/td&gt;</v>
      </c>
      <c r="S332" t="str">
        <f t="shared" si="41"/>
        <v>&lt;td&gt;Java Jam Pool A&lt;/td&gt; &lt;/tr&gt;</v>
      </c>
    </row>
    <row r="333" spans="1:19" x14ac:dyDescent="0.25">
      <c r="A333" s="5">
        <v>42405</v>
      </c>
      <c r="B333" s="6">
        <v>0.44791666666666669</v>
      </c>
      <c r="C333" t="s">
        <v>10</v>
      </c>
      <c r="D333" t="s">
        <v>72</v>
      </c>
      <c r="E333">
        <v>22</v>
      </c>
      <c r="F333" t="s">
        <v>6</v>
      </c>
      <c r="G333" t="s">
        <v>70</v>
      </c>
      <c r="H333">
        <v>59</v>
      </c>
      <c r="J333" t="str">
        <f t="shared" si="35"/>
        <v>H</v>
      </c>
      <c r="K333" t="s">
        <v>576</v>
      </c>
      <c r="L333" t="s">
        <v>212</v>
      </c>
      <c r="N333" t="str">
        <f t="shared" si="36"/>
        <v>&lt;tr&gt; &lt;td&gt;Feb. 5&lt;/td&gt;</v>
      </c>
      <c r="O333" t="str">
        <f t="shared" si="37"/>
        <v>&lt;td&gt;10:45 AM&lt;/td&gt;</v>
      </c>
      <c r="P333" t="str">
        <f t="shared" si="38"/>
        <v>&lt;td class="KHSsched"&gt;Kelvin&lt;/td&gt;</v>
      </c>
      <c r="Q333" t="str">
        <f t="shared" si="39"/>
        <v>&lt;td&gt;22 - 59&lt;/td&gt;</v>
      </c>
      <c r="R333" t="str">
        <f t="shared" si="40"/>
        <v>&lt;td class="JTCsched"&gt;John Taylor&lt;/td&gt;</v>
      </c>
      <c r="S333" t="str">
        <f t="shared" si="41"/>
        <v>&lt;td&gt;Java Jam Pool B&lt;/td&gt; &lt;/tr&gt;</v>
      </c>
    </row>
    <row r="334" spans="1:19" x14ac:dyDescent="0.25">
      <c r="A334" s="5">
        <v>42405</v>
      </c>
      <c r="B334" s="6">
        <v>0.45833333333333331</v>
      </c>
      <c r="C334" t="s">
        <v>783</v>
      </c>
      <c r="E334">
        <v>74</v>
      </c>
      <c r="F334" t="s">
        <v>11</v>
      </c>
      <c r="G334" t="s">
        <v>48</v>
      </c>
      <c r="H334">
        <v>60</v>
      </c>
      <c r="J334" t="str">
        <f t="shared" si="35"/>
        <v>V</v>
      </c>
      <c r="K334" t="s">
        <v>772</v>
      </c>
      <c r="L334" t="s">
        <v>178</v>
      </c>
      <c r="N334" t="str">
        <f t="shared" si="36"/>
        <v>&lt;tr&gt; &lt;td&gt;Feb. 5&lt;/td&gt;</v>
      </c>
      <c r="O334" t="str">
        <f t="shared" si="37"/>
        <v>&lt;td&gt;11:00 AM&lt;/td&gt;</v>
      </c>
      <c r="P334" t="str">
        <f t="shared" si="38"/>
        <v>&lt;td class="sched"&gt;Raymond&lt;/td&gt;</v>
      </c>
      <c r="Q334" t="str">
        <f t="shared" si="39"/>
        <v>&lt;td&gt;74 - 60&lt;/td&gt;</v>
      </c>
      <c r="R334" t="str">
        <f t="shared" si="40"/>
        <v>&lt;td class="MMCsched"&gt;Miles Macdonell&lt;/td&gt;</v>
      </c>
      <c r="S334" t="str">
        <f t="shared" si="41"/>
        <v>&lt;td&gt;Redhawks Invitational Consolation Semi 2&lt;/td&gt; &lt;/tr&gt;</v>
      </c>
    </row>
    <row r="335" spans="1:19" x14ac:dyDescent="0.25">
      <c r="A335" s="5">
        <v>42405</v>
      </c>
      <c r="B335" s="6">
        <v>0.52083333333333337</v>
      </c>
      <c r="C335" t="s">
        <v>14</v>
      </c>
      <c r="D335" t="s">
        <v>94</v>
      </c>
      <c r="E335">
        <v>60</v>
      </c>
      <c r="F335" t="s">
        <v>12</v>
      </c>
      <c r="G335" t="s">
        <v>54</v>
      </c>
      <c r="H335">
        <v>50</v>
      </c>
      <c r="J335" t="str">
        <f t="shared" si="35"/>
        <v>V</v>
      </c>
      <c r="K335" t="s">
        <v>576</v>
      </c>
      <c r="L335" t="s">
        <v>214</v>
      </c>
      <c r="N335" t="str">
        <f t="shared" si="36"/>
        <v>&lt;tr&gt; &lt;td&gt;Feb. 5&lt;/td&gt;</v>
      </c>
      <c r="O335" t="str">
        <f t="shared" si="37"/>
        <v>&lt;td&gt;12:30 PM&lt;/td&gt;</v>
      </c>
      <c r="P335" t="str">
        <f t="shared" si="38"/>
        <v>&lt;td class="SHCsched"&gt;Sturgeon Heights&lt;/td&gt;</v>
      </c>
      <c r="Q335" t="str">
        <f t="shared" si="39"/>
        <v>&lt;td&gt;60 - 50&lt;/td&gt;</v>
      </c>
      <c r="R335" t="str">
        <f t="shared" si="40"/>
        <v>&lt;td class="LSsched"&gt;Selkirk&lt;/td&gt;</v>
      </c>
      <c r="S335" t="str">
        <f t="shared" si="41"/>
        <v>&lt;td&gt;Java Jam Pool C&lt;/td&gt; &lt;/tr&gt;</v>
      </c>
    </row>
    <row r="336" spans="1:19" x14ac:dyDescent="0.25">
      <c r="A336" s="5">
        <v>42405</v>
      </c>
      <c r="B336" s="6">
        <v>0.52083333333333337</v>
      </c>
      <c r="C336" t="s">
        <v>2</v>
      </c>
      <c r="D336" t="s">
        <v>43</v>
      </c>
      <c r="E336">
        <v>65</v>
      </c>
      <c r="F336" t="s">
        <v>111</v>
      </c>
      <c r="G336" t="s">
        <v>112</v>
      </c>
      <c r="H336">
        <v>52</v>
      </c>
      <c r="J336" t="str">
        <f t="shared" si="35"/>
        <v>V</v>
      </c>
      <c r="K336" t="s">
        <v>576</v>
      </c>
      <c r="L336" t="s">
        <v>215</v>
      </c>
      <c r="N336" t="str">
        <f t="shared" si="36"/>
        <v>&lt;tr&gt; &lt;td&gt;Feb. 5&lt;/td&gt;</v>
      </c>
      <c r="O336" t="str">
        <f t="shared" si="37"/>
        <v>&lt;td&gt;12:30 PM&lt;/td&gt;</v>
      </c>
      <c r="P336" t="str">
        <f t="shared" si="38"/>
        <v>&lt;td class="KECsched"&gt;Kildonan-East&lt;/td&gt;</v>
      </c>
      <c r="Q336" t="str">
        <f t="shared" si="39"/>
        <v>&lt;td&gt;65 - 52&lt;/td&gt;</v>
      </c>
      <c r="R336" t="str">
        <f t="shared" si="40"/>
        <v>&lt;td class="SMAsched"&gt;St. Mary's&lt;/td&gt;</v>
      </c>
      <c r="S336" t="str">
        <f t="shared" si="41"/>
        <v>&lt;td&gt;Java Jam Pool D&lt;/td&gt; &lt;/tr&gt;</v>
      </c>
    </row>
    <row r="337" spans="1:19" x14ac:dyDescent="0.25">
      <c r="A337" s="5">
        <v>42405</v>
      </c>
      <c r="B337" s="6">
        <v>0.54166666666666663</v>
      </c>
      <c r="C337" t="s">
        <v>294</v>
      </c>
      <c r="E337">
        <v>56</v>
      </c>
      <c r="F337" t="s">
        <v>17</v>
      </c>
      <c r="G337" t="s">
        <v>50</v>
      </c>
      <c r="H337">
        <v>18</v>
      </c>
      <c r="J337" t="str">
        <f t="shared" si="35"/>
        <v>V</v>
      </c>
      <c r="K337" t="s">
        <v>566</v>
      </c>
      <c r="L337" t="s">
        <v>173</v>
      </c>
      <c r="N337" t="str">
        <f t="shared" si="36"/>
        <v>&lt;tr&gt; &lt;td&gt;Feb. 5&lt;/td&gt;</v>
      </c>
      <c r="O337" t="str">
        <f t="shared" si="37"/>
        <v>&lt;td&gt;1:00 PM&lt;/td&gt;</v>
      </c>
      <c r="P337" t="str">
        <f t="shared" si="38"/>
        <v>&lt;td class="sched"&gt;Hapnot&lt;/td&gt;</v>
      </c>
      <c r="Q337" t="str">
        <f t="shared" si="39"/>
        <v>&lt;td&gt;56 - 18&lt;/td&gt;</v>
      </c>
      <c r="R337" t="str">
        <f t="shared" si="40"/>
        <v>&lt;td class="MMCIsched"&gt;Murdoch MacKay&lt;/td&gt;</v>
      </c>
      <c r="S337" t="str">
        <f t="shared" si="41"/>
        <v>&lt;td&gt;Transcona Optimist Quarterfinal 1&lt;/td&gt; &lt;/tr&gt;</v>
      </c>
    </row>
    <row r="338" spans="1:19" x14ac:dyDescent="0.25">
      <c r="A338" s="5">
        <v>42405</v>
      </c>
      <c r="B338" s="6">
        <v>0.54166666666666663</v>
      </c>
      <c r="C338" t="s">
        <v>778</v>
      </c>
      <c r="E338">
        <v>39</v>
      </c>
      <c r="F338" t="s">
        <v>9</v>
      </c>
      <c r="G338" t="s">
        <v>76</v>
      </c>
      <c r="H338">
        <v>69</v>
      </c>
      <c r="J338" t="str">
        <f t="shared" si="35"/>
        <v>H</v>
      </c>
      <c r="K338" t="s">
        <v>777</v>
      </c>
      <c r="L338" t="s">
        <v>211</v>
      </c>
      <c r="N338" t="str">
        <f t="shared" si="36"/>
        <v>&lt;tr&gt; &lt;td&gt;Feb. 5&lt;/td&gt;</v>
      </c>
      <c r="O338" t="str">
        <f t="shared" si="37"/>
        <v>&lt;td&gt;1:00 PM&lt;/td&gt;</v>
      </c>
      <c r="P338" t="str">
        <f t="shared" si="38"/>
        <v>&lt;td class="sched"&gt;Riffel&lt;/td&gt;</v>
      </c>
      <c r="Q338" t="str">
        <f t="shared" si="39"/>
        <v>&lt;td&gt;39 - 69&lt;/td&gt;</v>
      </c>
      <c r="R338" t="str">
        <f t="shared" si="40"/>
        <v>&lt;td class="SiHSsched"&gt;Sisler&lt;/td&gt;</v>
      </c>
      <c r="S338" t="str">
        <f t="shared" si="41"/>
        <v>&lt;td&gt;Campbell Invitational Pool A&lt;/td&gt; &lt;/tr&gt;</v>
      </c>
    </row>
    <row r="339" spans="1:19" x14ac:dyDescent="0.25">
      <c r="A339" s="5">
        <v>42405</v>
      </c>
      <c r="B339" s="6">
        <v>0.6875</v>
      </c>
      <c r="C339" t="s">
        <v>10</v>
      </c>
      <c r="D339" t="s">
        <v>72</v>
      </c>
      <c r="E339">
        <v>49</v>
      </c>
      <c r="F339" t="s">
        <v>18</v>
      </c>
      <c r="G339" t="s">
        <v>52</v>
      </c>
      <c r="H339">
        <v>61</v>
      </c>
      <c r="J339" t="str">
        <f t="shared" si="35"/>
        <v>H</v>
      </c>
      <c r="K339" t="s">
        <v>576</v>
      </c>
      <c r="L339" t="s">
        <v>225</v>
      </c>
      <c r="N339" t="str">
        <f t="shared" si="36"/>
        <v>&lt;tr&gt; &lt;td&gt;Feb. 5&lt;/td&gt;</v>
      </c>
      <c r="O339" t="str">
        <f t="shared" si="37"/>
        <v>&lt;td&gt;4:30 PM&lt;/td&gt;</v>
      </c>
      <c r="P339" t="str">
        <f t="shared" si="38"/>
        <v>&lt;td class="KHSsched"&gt;Kelvin&lt;/td&gt;</v>
      </c>
      <c r="Q339" t="str">
        <f t="shared" si="39"/>
        <v>&lt;td&gt;49 - 61&lt;/td&gt;</v>
      </c>
      <c r="R339" t="str">
        <f t="shared" si="40"/>
        <v>&lt;td class="RECsched"&gt;River East&lt;/td&gt;</v>
      </c>
      <c r="S339" t="str">
        <f t="shared" si="41"/>
        <v>&lt;td&gt;Java Jam 9th Place Semi 1&lt;/td&gt; &lt;/tr&gt;</v>
      </c>
    </row>
    <row r="340" spans="1:19" x14ac:dyDescent="0.25">
      <c r="A340" s="5">
        <v>42405</v>
      </c>
      <c r="B340" s="6">
        <v>0.70833333333333337</v>
      </c>
      <c r="C340" t="s">
        <v>24</v>
      </c>
      <c r="D340" t="s">
        <v>82</v>
      </c>
      <c r="F340" t="s">
        <v>779</v>
      </c>
      <c r="I340" t="s">
        <v>565</v>
      </c>
      <c r="J340" t="str">
        <f t="shared" si="35"/>
        <v/>
      </c>
      <c r="K340" t="s">
        <v>777</v>
      </c>
      <c r="L340" t="s">
        <v>215</v>
      </c>
      <c r="N340" t="str">
        <f t="shared" si="36"/>
        <v>&lt;tr&gt; &lt;td&gt;Feb. 5&lt;/td&gt;</v>
      </c>
      <c r="O340" t="str">
        <f t="shared" si="37"/>
        <v>&lt;td&gt;5:00 PM&lt;/td&gt;</v>
      </c>
      <c r="P340" t="str">
        <f t="shared" si="38"/>
        <v>&lt;td class="DMCIsched"&gt;Daniel McIntyre&lt;/td&gt;</v>
      </c>
      <c r="Q340" t="str">
        <f t="shared" si="39"/>
        <v>&lt;td&gt; -  NR&lt;/td&gt;</v>
      </c>
      <c r="R340" t="str">
        <f t="shared" si="40"/>
        <v>&lt;td class="sched"&gt;St. Joseph&lt;/td&gt;</v>
      </c>
      <c r="S340" t="str">
        <f t="shared" si="41"/>
        <v>&lt;td&gt;Campbell Invitational Pool D&lt;/td&gt; &lt;/tr&gt;</v>
      </c>
    </row>
    <row r="341" spans="1:19" x14ac:dyDescent="0.25">
      <c r="A341" s="5">
        <v>42405</v>
      </c>
      <c r="B341" s="6">
        <v>0.72916666666666663</v>
      </c>
      <c r="C341" t="s">
        <v>21</v>
      </c>
      <c r="D341" t="s">
        <v>64</v>
      </c>
      <c r="E341">
        <v>49</v>
      </c>
      <c r="F341" t="s">
        <v>19</v>
      </c>
      <c r="G341" t="s">
        <v>56</v>
      </c>
      <c r="H341">
        <v>16</v>
      </c>
      <c r="J341" t="str">
        <f t="shared" si="35"/>
        <v>V</v>
      </c>
      <c r="K341" t="s">
        <v>566</v>
      </c>
      <c r="L341" t="s">
        <v>175</v>
      </c>
      <c r="N341" t="str">
        <f t="shared" si="36"/>
        <v>&lt;tr&gt; &lt;td&gt;Feb. 5&lt;/td&gt;</v>
      </c>
      <c r="O341" t="str">
        <f t="shared" si="37"/>
        <v>&lt;td&gt;5:30 PM&lt;/td&gt;</v>
      </c>
      <c r="P341" t="str">
        <f t="shared" si="38"/>
        <v>&lt;td class="JHBsched"&gt;J.H. Bruns&lt;/td&gt;</v>
      </c>
      <c r="Q341" t="str">
        <f t="shared" si="39"/>
        <v>&lt;td&gt;49 - 16&lt;/td&gt;</v>
      </c>
      <c r="R341" t="str">
        <f t="shared" si="40"/>
        <v>&lt;td class="TCIsched"&gt;Transcona&lt;/td&gt;</v>
      </c>
      <c r="S341" t="str">
        <f t="shared" si="41"/>
        <v>&lt;td&gt;Transcona Optimist Quarterfinal 3&lt;/td&gt; &lt;/tr&gt;</v>
      </c>
    </row>
    <row r="342" spans="1:19" x14ac:dyDescent="0.25">
      <c r="A342" s="5">
        <v>42405</v>
      </c>
      <c r="B342" s="6">
        <v>0.76041666666666663</v>
      </c>
      <c r="C342" t="s">
        <v>6</v>
      </c>
      <c r="D342" t="s">
        <v>70</v>
      </c>
      <c r="E342">
        <v>38</v>
      </c>
      <c r="F342" t="s">
        <v>32</v>
      </c>
      <c r="G342" t="s">
        <v>100</v>
      </c>
      <c r="H342">
        <v>50</v>
      </c>
      <c r="J342" t="str">
        <f t="shared" si="35"/>
        <v>H</v>
      </c>
      <c r="K342" t="s">
        <v>576</v>
      </c>
      <c r="L342" t="s">
        <v>222</v>
      </c>
      <c r="N342" t="str">
        <f t="shared" si="36"/>
        <v>&lt;tr&gt; &lt;td&gt;Feb. 5&lt;/td&gt;</v>
      </c>
      <c r="O342" t="str">
        <f t="shared" si="37"/>
        <v>&lt;td&gt;6:15 PM&lt;/td&gt;</v>
      </c>
      <c r="P342" t="str">
        <f t="shared" si="38"/>
        <v>&lt;td class="JTCsched"&gt;John Taylor&lt;/td&gt;</v>
      </c>
      <c r="Q342" t="str">
        <f t="shared" si="39"/>
        <v>&lt;td&gt;38 - 50&lt;/td&gt;</v>
      </c>
      <c r="R342" t="str">
        <f t="shared" si="40"/>
        <v>&lt;td class="CPRSsched"&gt;Crocus Plains&lt;/td&gt;</v>
      </c>
      <c r="S342" t="str">
        <f t="shared" si="41"/>
        <v>&lt;td&gt;Java Jam 5th Place Semi 1&lt;/td&gt; &lt;/tr&gt;</v>
      </c>
    </row>
    <row r="343" spans="1:19" x14ac:dyDescent="0.25">
      <c r="A343" s="5">
        <v>42405</v>
      </c>
      <c r="B343" s="6">
        <v>0.76041666666666663</v>
      </c>
      <c r="C343" t="s">
        <v>111</v>
      </c>
      <c r="D343" t="s">
        <v>112</v>
      </c>
      <c r="E343">
        <v>66</v>
      </c>
      <c r="F343" t="s">
        <v>12</v>
      </c>
      <c r="G343" t="s">
        <v>54</v>
      </c>
      <c r="H343">
        <v>61</v>
      </c>
      <c r="J343" t="str">
        <f t="shared" si="35"/>
        <v>V</v>
      </c>
      <c r="K343" t="s">
        <v>576</v>
      </c>
      <c r="L343" t="s">
        <v>223</v>
      </c>
      <c r="N343" t="str">
        <f t="shared" si="36"/>
        <v>&lt;tr&gt; &lt;td&gt;Feb. 5&lt;/td&gt;</v>
      </c>
      <c r="O343" t="str">
        <f t="shared" si="37"/>
        <v>&lt;td&gt;6:15 PM&lt;/td&gt;</v>
      </c>
      <c r="P343" t="str">
        <f t="shared" si="38"/>
        <v>&lt;td class="SMAsched"&gt;St. Mary's&lt;/td&gt;</v>
      </c>
      <c r="Q343" t="str">
        <f t="shared" si="39"/>
        <v>&lt;td&gt;66 - 61&lt;/td&gt;</v>
      </c>
      <c r="R343" t="str">
        <f t="shared" si="40"/>
        <v>&lt;td class="LSsched"&gt;Selkirk&lt;/td&gt;</v>
      </c>
      <c r="S343" t="str">
        <f t="shared" si="41"/>
        <v>&lt;td&gt;Java Jam 5th Place Semi 2&lt;/td&gt; &lt;/tr&gt;</v>
      </c>
    </row>
    <row r="344" spans="1:19" x14ac:dyDescent="0.25">
      <c r="A344" s="5">
        <v>42405</v>
      </c>
      <c r="B344" s="6">
        <v>0.83333333333333337</v>
      </c>
      <c r="C344" t="s">
        <v>23</v>
      </c>
      <c r="D344" t="s">
        <v>102</v>
      </c>
      <c r="E344">
        <v>41</v>
      </c>
      <c r="F344" t="s">
        <v>162</v>
      </c>
      <c r="G344" t="s">
        <v>164</v>
      </c>
      <c r="H344">
        <v>34</v>
      </c>
      <c r="J344" t="str">
        <f t="shared" si="35"/>
        <v>V</v>
      </c>
      <c r="K344" t="s">
        <v>576</v>
      </c>
      <c r="L344" t="s">
        <v>226</v>
      </c>
      <c r="N344" t="str">
        <f t="shared" si="36"/>
        <v>&lt;tr&gt; &lt;td&gt;Feb. 5&lt;/td&gt;</v>
      </c>
      <c r="O344" t="str">
        <f t="shared" si="37"/>
        <v>&lt;td&gt;8:00 PM&lt;/td&gt;</v>
      </c>
      <c r="P344" t="str">
        <f t="shared" si="38"/>
        <v>&lt;td class="VMHSsched"&gt;Vincent Massey&lt;/td&gt;</v>
      </c>
      <c r="Q344" t="str">
        <f t="shared" si="39"/>
        <v>&lt;td&gt;41 - 34&lt;/td&gt;</v>
      </c>
      <c r="R344" t="str">
        <f t="shared" si="40"/>
        <v>&lt;td class="GVCsched"&gt;Garden Valley&lt;/td&gt;</v>
      </c>
      <c r="S344" t="str">
        <f t="shared" si="41"/>
        <v>&lt;td&gt;Java Jam 9th Place Semi 2&lt;/td&gt; &lt;/tr&gt;</v>
      </c>
    </row>
    <row r="345" spans="1:19" x14ac:dyDescent="0.25">
      <c r="A345" s="5">
        <v>42405</v>
      </c>
      <c r="B345" s="6">
        <v>0.83333333333333337</v>
      </c>
      <c r="C345" t="s">
        <v>577</v>
      </c>
      <c r="E345">
        <v>45</v>
      </c>
      <c r="F345" t="s">
        <v>8</v>
      </c>
      <c r="G345" t="s">
        <v>60</v>
      </c>
      <c r="H345">
        <v>63</v>
      </c>
      <c r="J345" t="str">
        <f t="shared" si="35"/>
        <v>H</v>
      </c>
      <c r="K345" t="s">
        <v>576</v>
      </c>
      <c r="L345" t="s">
        <v>179</v>
      </c>
      <c r="N345" t="str">
        <f t="shared" si="36"/>
        <v>&lt;tr&gt; &lt;td&gt;Feb. 5&lt;/td&gt;</v>
      </c>
      <c r="O345" t="str">
        <f t="shared" si="37"/>
        <v>&lt;td&gt;8:00 PM&lt;/td&gt;</v>
      </c>
      <c r="P345" t="str">
        <f t="shared" si="38"/>
        <v>&lt;td class="sched"&gt;Neepawa&lt;/td&gt;</v>
      </c>
      <c r="Q345" t="str">
        <f t="shared" si="39"/>
        <v>&lt;td&gt;45 - 63&lt;/td&gt;</v>
      </c>
      <c r="R345" t="str">
        <f t="shared" si="40"/>
        <v>&lt;td class="DCIsched"&gt;Dakota&lt;/td&gt;</v>
      </c>
      <c r="S345" t="str">
        <f t="shared" si="41"/>
        <v>&lt;td&gt;Java Jam Semifinal 1&lt;/td&gt; &lt;/tr&gt;</v>
      </c>
    </row>
    <row r="346" spans="1:19" x14ac:dyDescent="0.25">
      <c r="A346" s="5">
        <v>42405</v>
      </c>
      <c r="B346" s="6">
        <v>0.83333333333333337</v>
      </c>
      <c r="C346" t="s">
        <v>2</v>
      </c>
      <c r="D346" t="s">
        <v>43</v>
      </c>
      <c r="E346">
        <v>62</v>
      </c>
      <c r="F346" t="s">
        <v>14</v>
      </c>
      <c r="G346" t="s">
        <v>94</v>
      </c>
      <c r="H346">
        <v>49</v>
      </c>
      <c r="J346" t="str">
        <f t="shared" si="35"/>
        <v>V</v>
      </c>
      <c r="K346" t="s">
        <v>576</v>
      </c>
      <c r="L346" t="s">
        <v>180</v>
      </c>
      <c r="N346" t="str">
        <f t="shared" si="36"/>
        <v>&lt;tr&gt; &lt;td&gt;Feb. 5&lt;/td&gt;</v>
      </c>
      <c r="O346" t="str">
        <f t="shared" si="37"/>
        <v>&lt;td&gt;8:00 PM&lt;/td&gt;</v>
      </c>
      <c r="P346" t="str">
        <f t="shared" si="38"/>
        <v>&lt;td class="KECsched"&gt;Kildonan-East&lt;/td&gt;</v>
      </c>
      <c r="Q346" t="str">
        <f t="shared" si="39"/>
        <v>&lt;td&gt;62 - 49&lt;/td&gt;</v>
      </c>
      <c r="R346" t="str">
        <f t="shared" si="40"/>
        <v>&lt;td class="SHCsched"&gt;Sturgeon Heights&lt;/td&gt;</v>
      </c>
      <c r="S346" t="str">
        <f t="shared" si="41"/>
        <v>&lt;td&gt;Java Jam Semifinal 2&lt;/td&gt; &lt;/tr&gt;</v>
      </c>
    </row>
    <row r="347" spans="1:19" x14ac:dyDescent="0.25">
      <c r="A347" s="5">
        <v>42405</v>
      </c>
      <c r="C347" t="s">
        <v>22</v>
      </c>
      <c r="D347" t="s">
        <v>66</v>
      </c>
      <c r="E347">
        <v>45</v>
      </c>
      <c r="F347" t="s">
        <v>200</v>
      </c>
      <c r="H347">
        <v>22</v>
      </c>
      <c r="J347" t="str">
        <f t="shared" si="35"/>
        <v>V</v>
      </c>
      <c r="K347" t="s">
        <v>766</v>
      </c>
      <c r="L347" t="s">
        <v>176</v>
      </c>
      <c r="N347" t="str">
        <f t="shared" si="36"/>
        <v>&lt;tr&gt; &lt;td&gt;Feb. 5&lt;/td&gt;</v>
      </c>
      <c r="O347" t="str">
        <f t="shared" si="37"/>
        <v>&lt;td&gt;&lt;/td&gt;</v>
      </c>
      <c r="P347" t="str">
        <f t="shared" si="38"/>
        <v>&lt;td class="SRSSsched"&gt;Steinbach&lt;/td&gt;</v>
      </c>
      <c r="Q347" t="str">
        <f t="shared" si="39"/>
        <v>&lt;td&gt;45 - 22&lt;/td&gt;</v>
      </c>
      <c r="R347" t="str">
        <f t="shared" si="40"/>
        <v>&lt;td class="sched"&gt;St. Norbert&lt;/td&gt;</v>
      </c>
      <c r="S347" t="str">
        <f t="shared" si="41"/>
        <v>&lt;td&gt;Sanford Classic Quarterfinal 4&lt;/td&gt; &lt;/tr&gt;</v>
      </c>
    </row>
    <row r="348" spans="1:19" x14ac:dyDescent="0.25">
      <c r="A348" s="5">
        <v>42405</v>
      </c>
      <c r="C348" t="s">
        <v>208</v>
      </c>
      <c r="E348">
        <v>61</v>
      </c>
      <c r="F348" t="s">
        <v>29</v>
      </c>
      <c r="G348" t="s">
        <v>91</v>
      </c>
      <c r="H348">
        <v>34</v>
      </c>
      <c r="J348" t="str">
        <f t="shared" si="35"/>
        <v>V</v>
      </c>
      <c r="K348" t="s">
        <v>279</v>
      </c>
      <c r="N348" t="str">
        <f t="shared" si="36"/>
        <v>&lt;tr&gt; &lt;td&gt;Feb. 5&lt;/td&gt;</v>
      </c>
      <c r="O348" t="str">
        <f t="shared" si="37"/>
        <v>&lt;td&gt;&lt;/td&gt;</v>
      </c>
      <c r="P348" t="str">
        <f t="shared" si="38"/>
        <v>&lt;td class="sched"&gt;Linden Christian&lt;/td&gt;</v>
      </c>
      <c r="Q348" t="str">
        <f t="shared" si="39"/>
        <v>&lt;td&gt;61 - 34&lt;/td&gt;</v>
      </c>
      <c r="R348" t="str">
        <f t="shared" si="40"/>
        <v>&lt;td class="ShHSsched"&gt;Shaftesbury&lt;/td&gt;</v>
      </c>
      <c r="S348" t="str">
        <f t="shared" si="41"/>
        <v>&lt;td&gt;Hoops for Hope &lt;/td&gt; &lt;/tr&gt;</v>
      </c>
    </row>
    <row r="349" spans="1:19" x14ac:dyDescent="0.25">
      <c r="A349" s="5">
        <v>42405</v>
      </c>
      <c r="C349" t="s">
        <v>28</v>
      </c>
      <c r="D349" t="s">
        <v>90</v>
      </c>
      <c r="E349">
        <v>65</v>
      </c>
      <c r="F349" t="s">
        <v>31</v>
      </c>
      <c r="G349" t="s">
        <v>96</v>
      </c>
      <c r="H349">
        <v>43</v>
      </c>
      <c r="J349" t="str">
        <f t="shared" si="35"/>
        <v>V</v>
      </c>
      <c r="K349" t="s">
        <v>279</v>
      </c>
      <c r="N349" t="str">
        <f t="shared" si="36"/>
        <v>&lt;tr&gt; &lt;td&gt;Feb. 5&lt;/td&gt;</v>
      </c>
      <c r="O349" t="str">
        <f t="shared" si="37"/>
        <v>&lt;td&gt;&lt;/td&gt;</v>
      </c>
      <c r="P349" t="str">
        <f t="shared" si="38"/>
        <v>&lt;td class="PCIsched"&gt;Portage&lt;/td&gt;</v>
      </c>
      <c r="Q349" t="str">
        <f t="shared" si="39"/>
        <v>&lt;td&gt;65 - 43&lt;/td&gt;</v>
      </c>
      <c r="R349" t="str">
        <f t="shared" si="40"/>
        <v>&lt;td class="TVHSsched"&gt;Tec Voc&lt;/td&gt;</v>
      </c>
      <c r="S349" t="str">
        <f t="shared" si="41"/>
        <v>&lt;td&gt;Hoops for Hope &lt;/td&gt; &lt;/tr&gt;</v>
      </c>
    </row>
    <row r="350" spans="1:19" x14ac:dyDescent="0.25">
      <c r="A350" s="5">
        <v>42406</v>
      </c>
      <c r="B350" s="6">
        <v>0.375</v>
      </c>
      <c r="C350" t="s">
        <v>220</v>
      </c>
      <c r="E350">
        <v>60</v>
      </c>
      <c r="F350" t="s">
        <v>17</v>
      </c>
      <c r="G350" t="s">
        <v>50</v>
      </c>
      <c r="H350">
        <v>31</v>
      </c>
      <c r="J350" t="str">
        <f t="shared" si="35"/>
        <v>V</v>
      </c>
      <c r="K350" t="s">
        <v>566</v>
      </c>
      <c r="L350" t="s">
        <v>177</v>
      </c>
      <c r="N350" t="str">
        <f t="shared" si="36"/>
        <v>&lt;tr&gt; &lt;td&gt;Feb. 6&lt;/td&gt;</v>
      </c>
      <c r="O350" t="str">
        <f t="shared" si="37"/>
        <v>&lt;td&gt;9:00 AM&lt;/td&gt;</v>
      </c>
      <c r="P350" t="str">
        <f t="shared" si="38"/>
        <v>&lt;td class="sched"&gt;Swan Valley&lt;/td&gt;</v>
      </c>
      <c r="Q350" t="str">
        <f t="shared" si="39"/>
        <v>&lt;td&gt;60 - 31&lt;/td&gt;</v>
      </c>
      <c r="R350" t="str">
        <f t="shared" si="40"/>
        <v>&lt;td class="MMCIsched"&gt;Murdoch MacKay&lt;/td&gt;</v>
      </c>
      <c r="S350" t="str">
        <f t="shared" si="41"/>
        <v>&lt;td&gt;Transcona Optimist Consolation Semi 1&lt;/td&gt; &lt;/tr&gt;</v>
      </c>
    </row>
    <row r="351" spans="1:19" x14ac:dyDescent="0.25">
      <c r="A351" s="5">
        <v>42406</v>
      </c>
      <c r="B351" s="6">
        <v>0.375</v>
      </c>
      <c r="C351" t="s">
        <v>201</v>
      </c>
      <c r="E351">
        <v>61</v>
      </c>
      <c r="F351" t="s">
        <v>19</v>
      </c>
      <c r="G351" t="s">
        <v>56</v>
      </c>
      <c r="H351">
        <v>40</v>
      </c>
      <c r="J351" t="str">
        <f t="shared" si="35"/>
        <v>V</v>
      </c>
      <c r="K351" t="s">
        <v>566</v>
      </c>
      <c r="L351" t="s">
        <v>178</v>
      </c>
      <c r="N351" t="str">
        <f t="shared" si="36"/>
        <v>&lt;tr&gt; &lt;td&gt;Feb. 6&lt;/td&gt;</v>
      </c>
      <c r="O351" t="str">
        <f t="shared" si="37"/>
        <v>&lt;td&gt;9:00 AM&lt;/td&gt;</v>
      </c>
      <c r="P351" t="str">
        <f t="shared" si="38"/>
        <v>&lt;td class="sched"&gt;Edward Schreyer&lt;/td&gt;</v>
      </c>
      <c r="Q351" t="str">
        <f t="shared" si="39"/>
        <v>&lt;td&gt;61 - 40&lt;/td&gt;</v>
      </c>
      <c r="R351" t="str">
        <f t="shared" si="40"/>
        <v>&lt;td class="TCIsched"&gt;Transcona&lt;/td&gt;</v>
      </c>
      <c r="S351" t="str">
        <f t="shared" si="41"/>
        <v>&lt;td&gt;Transcona Optimist Consolation Semi 2&lt;/td&gt; &lt;/tr&gt;</v>
      </c>
    </row>
    <row r="352" spans="1:19" x14ac:dyDescent="0.25">
      <c r="A352" s="5">
        <v>42406</v>
      </c>
      <c r="B352" s="6">
        <v>0.375</v>
      </c>
      <c r="C352" t="s">
        <v>11</v>
      </c>
      <c r="D352" t="s">
        <v>48</v>
      </c>
      <c r="E352">
        <v>68</v>
      </c>
      <c r="F352" t="s">
        <v>784</v>
      </c>
      <c r="H352">
        <v>41</v>
      </c>
      <c r="J352" t="str">
        <f t="shared" si="35"/>
        <v>V</v>
      </c>
      <c r="K352" t="s">
        <v>772</v>
      </c>
      <c r="L352" t="s">
        <v>181</v>
      </c>
      <c r="N352" t="str">
        <f t="shared" si="36"/>
        <v>&lt;tr&gt; &lt;td&gt;Feb. 6&lt;/td&gt;</v>
      </c>
      <c r="O352" t="str">
        <f t="shared" si="37"/>
        <v>&lt;td&gt;9:00 AM&lt;/td&gt;</v>
      </c>
      <c r="P352" t="str">
        <f t="shared" si="38"/>
        <v>&lt;td class="MMCsched"&gt;Miles Macdonell&lt;/td&gt;</v>
      </c>
      <c r="Q352" t="str">
        <f t="shared" si="39"/>
        <v>&lt;td&gt;68 - 41&lt;/td&gt;</v>
      </c>
      <c r="R352" t="str">
        <f t="shared" si="40"/>
        <v>&lt;td class="sched"&gt;Chestermere&lt;/td&gt;</v>
      </c>
      <c r="S352" t="str">
        <f t="shared" si="41"/>
        <v>&lt;td&gt;Redhawks Invitational 7th Place&lt;/td&gt; &lt;/tr&gt;</v>
      </c>
    </row>
    <row r="353" spans="1:19" x14ac:dyDescent="0.25">
      <c r="A353" s="5">
        <v>42406</v>
      </c>
      <c r="B353" s="6">
        <v>0.375</v>
      </c>
      <c r="C353" t="s">
        <v>579</v>
      </c>
      <c r="F353" t="s">
        <v>563</v>
      </c>
      <c r="I353" t="s">
        <v>565</v>
      </c>
      <c r="J353" t="str">
        <f t="shared" si="35"/>
        <v/>
      </c>
      <c r="K353" t="s">
        <v>777</v>
      </c>
      <c r="L353" t="s">
        <v>178</v>
      </c>
      <c r="N353" t="str">
        <f t="shared" si="36"/>
        <v>&lt;tr&gt; &lt;td&gt;Feb. 6&lt;/td&gt;</v>
      </c>
      <c r="O353" t="str">
        <f t="shared" si="37"/>
        <v>&lt;td&gt;9:00 AM&lt;/td&gt;</v>
      </c>
      <c r="P353" t="str">
        <f t="shared" si="38"/>
        <v>&lt;td class="sched"&gt;2nd Pool D&lt;/td&gt;</v>
      </c>
      <c r="Q353" t="str">
        <f t="shared" si="39"/>
        <v>&lt;td&gt; -  NR&lt;/td&gt;</v>
      </c>
      <c r="R353" t="str">
        <f t="shared" si="40"/>
        <v>&lt;td class="sched"&gt;2nd Pool A&lt;/td&gt;</v>
      </c>
      <c r="S353" t="str">
        <f t="shared" si="41"/>
        <v>&lt;td&gt;Campbell Invitational Consolation Semi 2&lt;/td&gt; &lt;/tr&gt;</v>
      </c>
    </row>
    <row r="354" spans="1:19" x14ac:dyDescent="0.25">
      <c r="A354" s="5">
        <v>42406</v>
      </c>
      <c r="B354" s="6">
        <v>0.41666666666666669</v>
      </c>
      <c r="C354" t="s">
        <v>162</v>
      </c>
      <c r="D354" t="s">
        <v>164</v>
      </c>
      <c r="E354">
        <v>58</v>
      </c>
      <c r="F354" t="s">
        <v>10</v>
      </c>
      <c r="G354" t="s">
        <v>72</v>
      </c>
      <c r="H354">
        <v>35</v>
      </c>
      <c r="J354" t="str">
        <f t="shared" si="35"/>
        <v>V</v>
      </c>
      <c r="K354" t="s">
        <v>576</v>
      </c>
      <c r="L354" t="s">
        <v>194</v>
      </c>
      <c r="N354" t="str">
        <f t="shared" si="36"/>
        <v>&lt;tr&gt; &lt;td&gt;Feb. 6&lt;/td&gt;</v>
      </c>
      <c r="O354" t="str">
        <f t="shared" si="37"/>
        <v>&lt;td&gt;10:00 AM&lt;/td&gt;</v>
      </c>
      <c r="P354" t="str">
        <f t="shared" si="38"/>
        <v>&lt;td class="GVCsched"&gt;Garden Valley&lt;/td&gt;</v>
      </c>
      <c r="Q354" t="str">
        <f t="shared" si="39"/>
        <v>&lt;td&gt;58 - 35&lt;/td&gt;</v>
      </c>
      <c r="R354" t="str">
        <f t="shared" si="40"/>
        <v>&lt;td class="KHSsched"&gt;Kelvin&lt;/td&gt;</v>
      </c>
      <c r="S354" t="str">
        <f t="shared" si="41"/>
        <v>&lt;td&gt;Java Jam 11th Place&lt;/td&gt; &lt;/tr&gt;</v>
      </c>
    </row>
    <row r="355" spans="1:19" x14ac:dyDescent="0.25">
      <c r="A355" s="5">
        <v>42406</v>
      </c>
      <c r="B355" s="6">
        <v>0.41666666666666669</v>
      </c>
      <c r="C355" t="s">
        <v>12</v>
      </c>
      <c r="D355" t="s">
        <v>54</v>
      </c>
      <c r="E355">
        <v>58</v>
      </c>
      <c r="F355" t="s">
        <v>6</v>
      </c>
      <c r="G355" t="s">
        <v>70</v>
      </c>
      <c r="H355">
        <v>42</v>
      </c>
      <c r="J355" t="str">
        <f t="shared" si="35"/>
        <v>V</v>
      </c>
      <c r="K355" t="s">
        <v>576</v>
      </c>
      <c r="L355" t="s">
        <v>181</v>
      </c>
      <c r="N355" t="str">
        <f t="shared" si="36"/>
        <v>&lt;tr&gt; &lt;td&gt;Feb. 6&lt;/td&gt;</v>
      </c>
      <c r="O355" t="str">
        <f t="shared" si="37"/>
        <v>&lt;td&gt;10:00 AM&lt;/td&gt;</v>
      </c>
      <c r="P355" t="str">
        <f t="shared" si="38"/>
        <v>&lt;td class="LSsched"&gt;Selkirk&lt;/td&gt;</v>
      </c>
      <c r="Q355" t="str">
        <f t="shared" si="39"/>
        <v>&lt;td&gt;58 - 42&lt;/td&gt;</v>
      </c>
      <c r="R355" t="str">
        <f t="shared" si="40"/>
        <v>&lt;td class="JTCsched"&gt;John Taylor&lt;/td&gt;</v>
      </c>
      <c r="S355" t="str">
        <f t="shared" si="41"/>
        <v>&lt;td&gt;Java Jam 7th Place&lt;/td&gt; &lt;/tr&gt;</v>
      </c>
    </row>
    <row r="356" spans="1:19" x14ac:dyDescent="0.25">
      <c r="A356" s="5">
        <v>42406</v>
      </c>
      <c r="B356" s="6">
        <v>0.45833333333333331</v>
      </c>
      <c r="C356" t="s">
        <v>779</v>
      </c>
      <c r="E356">
        <v>62</v>
      </c>
      <c r="F356" t="s">
        <v>9</v>
      </c>
      <c r="G356" t="s">
        <v>76</v>
      </c>
      <c r="H356">
        <v>90</v>
      </c>
      <c r="J356" t="str">
        <f t="shared" si="35"/>
        <v>H</v>
      </c>
      <c r="K356" t="s">
        <v>777</v>
      </c>
      <c r="L356" t="s">
        <v>180</v>
      </c>
      <c r="N356" t="str">
        <f t="shared" si="36"/>
        <v>&lt;tr&gt; &lt;td&gt;Feb. 6&lt;/td&gt;</v>
      </c>
      <c r="O356" t="str">
        <f t="shared" si="37"/>
        <v>&lt;td&gt;11:00 AM&lt;/td&gt;</v>
      </c>
      <c r="P356" t="str">
        <f t="shared" si="38"/>
        <v>&lt;td class="sched"&gt;St. Joseph&lt;/td&gt;</v>
      </c>
      <c r="Q356" t="str">
        <f t="shared" si="39"/>
        <v>&lt;td&gt;62 - 90&lt;/td&gt;</v>
      </c>
      <c r="R356" t="str">
        <f t="shared" si="40"/>
        <v>&lt;td class="SiHSsched"&gt;Sisler&lt;/td&gt;</v>
      </c>
      <c r="S356" t="str">
        <f t="shared" si="41"/>
        <v>&lt;td&gt;Campbell Invitational Semifinal 2&lt;/td&gt; &lt;/tr&gt;</v>
      </c>
    </row>
    <row r="357" spans="1:19" x14ac:dyDescent="0.25">
      <c r="A357" s="5">
        <v>42406</v>
      </c>
      <c r="B357" s="6">
        <v>0.48958333333333331</v>
      </c>
      <c r="C357" t="s">
        <v>23</v>
      </c>
      <c r="D357" t="s">
        <v>102</v>
      </c>
      <c r="E357">
        <v>51</v>
      </c>
      <c r="F357" t="s">
        <v>18</v>
      </c>
      <c r="G357" t="s">
        <v>52</v>
      </c>
      <c r="H357">
        <v>58</v>
      </c>
      <c r="J357" t="str">
        <f t="shared" si="35"/>
        <v>H</v>
      </c>
      <c r="K357" t="s">
        <v>576</v>
      </c>
      <c r="L357" t="s">
        <v>195</v>
      </c>
      <c r="N357" t="str">
        <f t="shared" si="36"/>
        <v>&lt;tr&gt; &lt;td&gt;Feb. 6&lt;/td&gt;</v>
      </c>
      <c r="O357" t="str">
        <f t="shared" si="37"/>
        <v>&lt;td&gt;11:45 AM&lt;/td&gt;</v>
      </c>
      <c r="P357" t="str">
        <f t="shared" si="38"/>
        <v>&lt;td class="VMHSsched"&gt;Vincent Massey&lt;/td&gt;</v>
      </c>
      <c r="Q357" t="str">
        <f t="shared" si="39"/>
        <v>&lt;td&gt;51 - 58&lt;/td&gt;</v>
      </c>
      <c r="R357" t="str">
        <f t="shared" si="40"/>
        <v>&lt;td class="RECsched"&gt;River East&lt;/td&gt;</v>
      </c>
      <c r="S357" t="str">
        <f t="shared" si="41"/>
        <v>&lt;td&gt;Java Jam 9th Place&lt;/td&gt; &lt;/tr&gt;</v>
      </c>
    </row>
    <row r="358" spans="1:19" x14ac:dyDescent="0.25">
      <c r="A358" s="5">
        <v>42406</v>
      </c>
      <c r="B358" s="6">
        <v>0.48958333333333331</v>
      </c>
      <c r="C358" t="s">
        <v>111</v>
      </c>
      <c r="D358" t="s">
        <v>112</v>
      </c>
      <c r="E358">
        <v>56</v>
      </c>
      <c r="F358" t="s">
        <v>32</v>
      </c>
      <c r="G358" t="s">
        <v>100</v>
      </c>
      <c r="H358">
        <v>46</v>
      </c>
      <c r="J358" t="str">
        <f t="shared" si="35"/>
        <v>V</v>
      </c>
      <c r="K358" t="s">
        <v>576</v>
      </c>
      <c r="L358" t="s">
        <v>224</v>
      </c>
      <c r="N358" t="str">
        <f t="shared" si="36"/>
        <v>&lt;tr&gt; &lt;td&gt;Feb. 6&lt;/td&gt;</v>
      </c>
      <c r="O358" t="str">
        <f t="shared" si="37"/>
        <v>&lt;td&gt;11:45 AM&lt;/td&gt;</v>
      </c>
      <c r="P358" t="str">
        <f t="shared" si="38"/>
        <v>&lt;td class="SMAsched"&gt;St. Mary's&lt;/td&gt;</v>
      </c>
      <c r="Q358" t="str">
        <f t="shared" si="39"/>
        <v>&lt;td&gt;56 - 46&lt;/td&gt;</v>
      </c>
      <c r="R358" t="str">
        <f t="shared" si="40"/>
        <v>&lt;td class="CPRSsched"&gt;Crocus Plains&lt;/td&gt;</v>
      </c>
      <c r="S358" t="str">
        <f t="shared" si="41"/>
        <v>&lt;td&gt;Java Jam 5th Place&lt;/td&gt; &lt;/tr&gt;</v>
      </c>
    </row>
    <row r="359" spans="1:19" x14ac:dyDescent="0.25">
      <c r="A359" s="5">
        <v>42406</v>
      </c>
      <c r="B359" s="6">
        <v>0.5</v>
      </c>
      <c r="C359" t="s">
        <v>272</v>
      </c>
      <c r="E359">
        <v>37</v>
      </c>
      <c r="F359" t="s">
        <v>21</v>
      </c>
      <c r="G359" t="s">
        <v>64</v>
      </c>
      <c r="H359">
        <v>35</v>
      </c>
      <c r="J359" t="str">
        <f t="shared" si="35"/>
        <v>V</v>
      </c>
      <c r="K359" t="s">
        <v>566</v>
      </c>
      <c r="L359" t="s">
        <v>180</v>
      </c>
      <c r="N359" t="str">
        <f t="shared" si="36"/>
        <v>&lt;tr&gt; &lt;td&gt;Feb. 6&lt;/td&gt;</v>
      </c>
      <c r="O359" t="str">
        <f t="shared" si="37"/>
        <v>&lt;td&gt;12:00 PM&lt;/td&gt;</v>
      </c>
      <c r="P359" t="str">
        <f t="shared" si="38"/>
        <v>&lt;td class="sched"&gt;Lorette&lt;/td&gt;</v>
      </c>
      <c r="Q359" t="str">
        <f t="shared" si="39"/>
        <v>&lt;td&gt;37 - 35&lt;/td&gt;</v>
      </c>
      <c r="R359" t="str">
        <f t="shared" si="40"/>
        <v>&lt;td class="JHBsched"&gt;J.H. Bruns&lt;/td&gt;</v>
      </c>
      <c r="S359" t="str">
        <f t="shared" si="41"/>
        <v>&lt;td&gt;Transcona Optimist Semifinal 2&lt;/td&gt; &lt;/tr&gt;</v>
      </c>
    </row>
    <row r="360" spans="1:19" x14ac:dyDescent="0.25">
      <c r="A360" s="5">
        <v>42406</v>
      </c>
      <c r="B360" s="6">
        <v>0.52083333333333337</v>
      </c>
      <c r="C360" t="s">
        <v>19</v>
      </c>
      <c r="D360" t="s">
        <v>56</v>
      </c>
      <c r="E360" t="s">
        <v>156</v>
      </c>
      <c r="F360" t="s">
        <v>17</v>
      </c>
      <c r="G360" t="s">
        <v>50</v>
      </c>
      <c r="H360" t="s">
        <v>254</v>
      </c>
      <c r="J360" t="str">
        <f t="shared" si="35"/>
        <v>V</v>
      </c>
      <c r="K360" t="s">
        <v>566</v>
      </c>
      <c r="L360" t="s">
        <v>181</v>
      </c>
      <c r="N360" t="str">
        <f t="shared" si="36"/>
        <v>&lt;tr&gt; &lt;td&gt;Feb. 6&lt;/td&gt;</v>
      </c>
      <c r="O360" t="str">
        <f t="shared" si="37"/>
        <v>&lt;td&gt;12:30 PM&lt;/td&gt;</v>
      </c>
      <c r="P360" t="str">
        <f t="shared" si="38"/>
        <v>&lt;td class="TCIsched"&gt;Transcona&lt;/td&gt;</v>
      </c>
      <c r="Q360" t="str">
        <f t="shared" si="39"/>
        <v>&lt;td&gt;W - L&lt;/td&gt;</v>
      </c>
      <c r="R360" t="str">
        <f t="shared" si="40"/>
        <v>&lt;td class="MMCIsched"&gt;Murdoch MacKay&lt;/td&gt;</v>
      </c>
      <c r="S360" t="str">
        <f t="shared" si="41"/>
        <v>&lt;td&gt;Transcona Optimist 7th Place&lt;/td&gt; &lt;/tr&gt;</v>
      </c>
    </row>
    <row r="361" spans="1:19" x14ac:dyDescent="0.25">
      <c r="A361" s="5">
        <v>42406</v>
      </c>
      <c r="B361" s="6">
        <v>0.54166666666666663</v>
      </c>
      <c r="C361" t="s">
        <v>578</v>
      </c>
      <c r="F361" t="s">
        <v>562</v>
      </c>
      <c r="I361" t="s">
        <v>565</v>
      </c>
      <c r="J361" t="str">
        <f t="shared" si="35"/>
        <v/>
      </c>
      <c r="K361" t="s">
        <v>777</v>
      </c>
      <c r="L361" t="s">
        <v>780</v>
      </c>
      <c r="N361" t="str">
        <f t="shared" si="36"/>
        <v>&lt;tr&gt; &lt;td&gt;Feb. 6&lt;/td&gt;</v>
      </c>
      <c r="O361" t="str">
        <f t="shared" si="37"/>
        <v>&lt;td&gt;1:00 PM&lt;/td&gt;</v>
      </c>
      <c r="P361" t="str">
        <f t="shared" si="38"/>
        <v>&lt;td class="sched"&gt;3rd Pool D&lt;/td&gt;</v>
      </c>
      <c r="Q361" t="str">
        <f t="shared" si="39"/>
        <v>&lt;td&gt; -  NR&lt;/td&gt;</v>
      </c>
      <c r="R361" t="str">
        <f t="shared" si="40"/>
        <v>&lt;td class="sched"&gt;3rd Pool A&lt;/td&gt;</v>
      </c>
      <c r="S361" t="str">
        <f t="shared" si="41"/>
        <v>&lt;td&gt;Campbell Invitational Consolation&lt;/td&gt; &lt;/tr&gt;</v>
      </c>
    </row>
    <row r="362" spans="1:19" x14ac:dyDescent="0.25">
      <c r="A362" s="5">
        <v>42406</v>
      </c>
      <c r="B362" s="6">
        <v>0.5625</v>
      </c>
      <c r="C362" t="s">
        <v>14</v>
      </c>
      <c r="D362" t="s">
        <v>94</v>
      </c>
      <c r="E362">
        <v>43</v>
      </c>
      <c r="F362" t="s">
        <v>577</v>
      </c>
      <c r="H362">
        <v>22</v>
      </c>
      <c r="J362" t="str">
        <f t="shared" si="35"/>
        <v>V</v>
      </c>
      <c r="K362" t="s">
        <v>576</v>
      </c>
      <c r="L362" t="s">
        <v>183</v>
      </c>
      <c r="N362" t="str">
        <f t="shared" si="36"/>
        <v>&lt;tr&gt; &lt;td&gt;Feb. 6&lt;/td&gt;</v>
      </c>
      <c r="O362" t="str">
        <f t="shared" si="37"/>
        <v>&lt;td&gt;1:30 PM&lt;/td&gt;</v>
      </c>
      <c r="P362" t="str">
        <f t="shared" si="38"/>
        <v>&lt;td class="SHCsched"&gt;Sturgeon Heights&lt;/td&gt;</v>
      </c>
      <c r="Q362" t="str">
        <f t="shared" si="39"/>
        <v>&lt;td&gt;43 - 22&lt;/td&gt;</v>
      </c>
      <c r="R362" t="str">
        <f t="shared" si="40"/>
        <v>&lt;td class="sched"&gt;Neepawa&lt;/td&gt;</v>
      </c>
      <c r="S362" t="str">
        <f t="shared" si="41"/>
        <v>&lt;td&gt;Java Jam 3rd Place&lt;/td&gt; &lt;/tr&gt;</v>
      </c>
    </row>
    <row r="363" spans="1:19" x14ac:dyDescent="0.25">
      <c r="A363" s="5">
        <v>42406</v>
      </c>
      <c r="B363" s="6">
        <v>0.625</v>
      </c>
      <c r="C363" t="s">
        <v>21</v>
      </c>
      <c r="D363" t="s">
        <v>64</v>
      </c>
      <c r="E363">
        <v>44</v>
      </c>
      <c r="F363" t="s">
        <v>294</v>
      </c>
      <c r="H363">
        <v>28</v>
      </c>
      <c r="J363" t="str">
        <f t="shared" si="35"/>
        <v>V</v>
      </c>
      <c r="K363" t="s">
        <v>566</v>
      </c>
      <c r="L363" t="s">
        <v>183</v>
      </c>
      <c r="N363" t="str">
        <f t="shared" si="36"/>
        <v>&lt;tr&gt; &lt;td&gt;Feb. 6&lt;/td&gt;</v>
      </c>
      <c r="O363" t="str">
        <f t="shared" si="37"/>
        <v>&lt;td&gt;3:00 PM&lt;/td&gt;</v>
      </c>
      <c r="P363" t="str">
        <f t="shared" si="38"/>
        <v>&lt;td class="JHBsched"&gt;J.H. Bruns&lt;/td&gt;</v>
      </c>
      <c r="Q363" t="str">
        <f t="shared" si="39"/>
        <v>&lt;td&gt;44 - 28&lt;/td&gt;</v>
      </c>
      <c r="R363" t="str">
        <f t="shared" si="40"/>
        <v>&lt;td class="sched"&gt;Hapnot&lt;/td&gt;</v>
      </c>
      <c r="S363" t="str">
        <f t="shared" si="41"/>
        <v>&lt;td&gt;Transcona Optimist 3rd Place&lt;/td&gt; &lt;/tr&gt;</v>
      </c>
    </row>
    <row r="364" spans="1:19" x14ac:dyDescent="0.25">
      <c r="A364" s="5">
        <v>42406</v>
      </c>
      <c r="B364" s="6">
        <v>0.625</v>
      </c>
      <c r="C364" t="s">
        <v>158</v>
      </c>
      <c r="F364" t="s">
        <v>159</v>
      </c>
      <c r="I364" t="s">
        <v>565</v>
      </c>
      <c r="J364" t="str">
        <f t="shared" si="35"/>
        <v/>
      </c>
      <c r="K364" t="s">
        <v>777</v>
      </c>
      <c r="L364" t="s">
        <v>182</v>
      </c>
      <c r="N364" t="str">
        <f t="shared" si="36"/>
        <v>&lt;tr&gt; &lt;td&gt;Feb. 6&lt;/td&gt;</v>
      </c>
      <c r="O364" t="str">
        <f t="shared" si="37"/>
        <v>&lt;td&gt;3:00 PM&lt;/td&gt;</v>
      </c>
      <c r="P364" t="str">
        <f t="shared" si="38"/>
        <v>&lt;td class="sched"&gt;CS2 winner&lt;/td&gt;</v>
      </c>
      <c r="Q364" t="str">
        <f t="shared" si="39"/>
        <v>&lt;td&gt; -  NR&lt;/td&gt;</v>
      </c>
      <c r="R364" t="str">
        <f t="shared" si="40"/>
        <v>&lt;td class="sched"&gt;CS1 winner&lt;/td&gt;</v>
      </c>
      <c r="S364" t="str">
        <f t="shared" si="41"/>
        <v>&lt;td&gt;Campbell Invitational Consolation Final&lt;/td&gt; &lt;/tr&gt;</v>
      </c>
    </row>
    <row r="365" spans="1:19" x14ac:dyDescent="0.25">
      <c r="A365" s="5">
        <v>42406</v>
      </c>
      <c r="B365" s="6">
        <v>0.63541666666666663</v>
      </c>
      <c r="C365" t="s">
        <v>2</v>
      </c>
      <c r="D365" t="s">
        <v>43</v>
      </c>
      <c r="E365">
        <v>53</v>
      </c>
      <c r="F365" t="s">
        <v>8</v>
      </c>
      <c r="G365" t="s">
        <v>60</v>
      </c>
      <c r="H365">
        <v>34</v>
      </c>
      <c r="J365" t="str">
        <f t="shared" si="35"/>
        <v>V</v>
      </c>
      <c r="K365" t="s">
        <v>576</v>
      </c>
      <c r="L365" t="s">
        <v>184</v>
      </c>
      <c r="N365" t="str">
        <f t="shared" si="36"/>
        <v>&lt;tr&gt; &lt;td&gt;Feb. 6&lt;/td&gt;</v>
      </c>
      <c r="O365" t="str">
        <f t="shared" si="37"/>
        <v>&lt;td&gt;3:15 PM&lt;/td&gt;</v>
      </c>
      <c r="P365" t="str">
        <f t="shared" si="38"/>
        <v>&lt;td class="KECsched"&gt;Kildonan-East&lt;/td&gt;</v>
      </c>
      <c r="Q365" t="str">
        <f t="shared" si="39"/>
        <v>&lt;td&gt;53 - 34&lt;/td&gt;</v>
      </c>
      <c r="R365" t="str">
        <f t="shared" si="40"/>
        <v>&lt;td class="DCIsched"&gt;Dakota&lt;/td&gt;</v>
      </c>
      <c r="S365" t="str">
        <f t="shared" si="41"/>
        <v>&lt;td&gt;Java Jam Championship&lt;/td&gt; &lt;/tr&gt;</v>
      </c>
    </row>
    <row r="366" spans="1:19" x14ac:dyDescent="0.25">
      <c r="A366" s="5">
        <v>42406</v>
      </c>
      <c r="B366" s="6">
        <v>0.70833333333333337</v>
      </c>
      <c r="C366" t="s">
        <v>160</v>
      </c>
      <c r="F366" t="s">
        <v>161</v>
      </c>
      <c r="I366" t="s">
        <v>565</v>
      </c>
      <c r="J366" t="str">
        <f t="shared" si="35"/>
        <v/>
      </c>
      <c r="K366" t="s">
        <v>777</v>
      </c>
      <c r="L366" t="s">
        <v>183</v>
      </c>
      <c r="N366" t="str">
        <f t="shared" si="36"/>
        <v>&lt;tr&gt; &lt;td&gt;Feb. 6&lt;/td&gt;</v>
      </c>
      <c r="O366" t="str">
        <f t="shared" si="37"/>
        <v>&lt;td&gt;5:00 PM&lt;/td&gt;</v>
      </c>
      <c r="P366" t="str">
        <f t="shared" si="38"/>
        <v>&lt;td class="sched"&gt;Semi 2 loser&lt;/td&gt;</v>
      </c>
      <c r="Q366" t="str">
        <f t="shared" si="39"/>
        <v>&lt;td&gt; -  NR&lt;/td&gt;</v>
      </c>
      <c r="R366" t="str">
        <f t="shared" si="40"/>
        <v>&lt;td class="sched"&gt;Semi 1 loser&lt;/td&gt;</v>
      </c>
      <c r="S366" t="str">
        <f t="shared" si="41"/>
        <v>&lt;td&gt;Campbell Invitational 3rd Place&lt;/td&gt; &lt;/tr&gt;</v>
      </c>
    </row>
    <row r="367" spans="1:19" x14ac:dyDescent="0.25">
      <c r="A367" s="5">
        <v>42406</v>
      </c>
      <c r="B367" s="6">
        <v>0.70833333333333337</v>
      </c>
      <c r="C367" t="s">
        <v>9</v>
      </c>
      <c r="D367" t="s">
        <v>76</v>
      </c>
      <c r="E367">
        <v>71</v>
      </c>
      <c r="F367" t="s">
        <v>785</v>
      </c>
      <c r="H367">
        <v>73</v>
      </c>
      <c r="J367" t="str">
        <f t="shared" si="35"/>
        <v>H</v>
      </c>
      <c r="K367" t="s">
        <v>777</v>
      </c>
      <c r="L367" t="s">
        <v>184</v>
      </c>
      <c r="N367" t="str">
        <f t="shared" si="36"/>
        <v>&lt;tr&gt; &lt;td&gt;Feb. 6&lt;/td&gt;</v>
      </c>
      <c r="O367" t="str">
        <f t="shared" si="37"/>
        <v>&lt;td&gt;5:00 PM&lt;/td&gt;</v>
      </c>
      <c r="P367" t="str">
        <f t="shared" si="38"/>
        <v>&lt;td class="SiHSsched"&gt;Sisler&lt;/td&gt;</v>
      </c>
      <c r="Q367" t="str">
        <f t="shared" si="39"/>
        <v>&lt;td&gt;71 - 73&lt;/td&gt;</v>
      </c>
      <c r="R367" t="str">
        <f t="shared" si="40"/>
        <v>&lt;td class="sched"&gt;Holy Cross&lt;/td&gt;</v>
      </c>
      <c r="S367" t="str">
        <f t="shared" si="41"/>
        <v>&lt;td&gt;Campbell Invitational Championship&lt;/td&gt; &lt;/tr&gt;</v>
      </c>
    </row>
    <row r="368" spans="1:19" x14ac:dyDescent="0.25">
      <c r="A368" s="5">
        <v>42406</v>
      </c>
      <c r="C368" t="s">
        <v>22</v>
      </c>
      <c r="D368" t="s">
        <v>66</v>
      </c>
      <c r="E368">
        <v>29</v>
      </c>
      <c r="F368" t="s">
        <v>303</v>
      </c>
      <c r="H368">
        <v>75</v>
      </c>
      <c r="J368" t="str">
        <f t="shared" si="35"/>
        <v>H</v>
      </c>
      <c r="K368" t="s">
        <v>766</v>
      </c>
      <c r="L368" t="s">
        <v>180</v>
      </c>
      <c r="N368" t="str">
        <f t="shared" si="36"/>
        <v>&lt;tr&gt; &lt;td&gt;Feb. 6&lt;/td&gt;</v>
      </c>
      <c r="O368" t="str">
        <f t="shared" si="37"/>
        <v>&lt;td&gt;&lt;/td&gt;</v>
      </c>
      <c r="P368" t="str">
        <f t="shared" si="38"/>
        <v>&lt;td class="SRSSsched"&gt;Steinbach&lt;/td&gt;</v>
      </c>
      <c r="Q368" t="str">
        <f t="shared" si="39"/>
        <v>&lt;td&gt;29 - 75&lt;/td&gt;</v>
      </c>
      <c r="R368" t="str">
        <f t="shared" si="40"/>
        <v>&lt;td class="sched"&gt;Virden&lt;/td&gt;</v>
      </c>
      <c r="S368" t="str">
        <f t="shared" si="41"/>
        <v>&lt;td&gt;Sanford Classic Semifinal 2&lt;/td&gt; &lt;/tr&gt;</v>
      </c>
    </row>
    <row r="369" spans="1:19" x14ac:dyDescent="0.25">
      <c r="A369" s="5">
        <v>42406</v>
      </c>
      <c r="C369" t="s">
        <v>22</v>
      </c>
      <c r="D369" t="s">
        <v>66</v>
      </c>
      <c r="E369">
        <v>37</v>
      </c>
      <c r="F369" t="s">
        <v>166</v>
      </c>
      <c r="H369">
        <v>38</v>
      </c>
      <c r="J369" t="str">
        <f t="shared" ref="J369:J432" si="42">IF(H369&gt;E369,"H",IF(E369&gt;H369,"V",""))</f>
        <v>H</v>
      </c>
      <c r="K369" t="s">
        <v>766</v>
      </c>
      <c r="L369" t="s">
        <v>183</v>
      </c>
      <c r="N369" t="str">
        <f t="shared" si="36"/>
        <v>&lt;tr&gt; &lt;td&gt;Feb. 6&lt;/td&gt;</v>
      </c>
      <c r="O369" t="str">
        <f t="shared" si="37"/>
        <v>&lt;td&gt;&lt;/td&gt;</v>
      </c>
      <c r="P369" t="str">
        <f t="shared" si="38"/>
        <v>&lt;td class="SRSSsched"&gt;Steinbach&lt;/td&gt;</v>
      </c>
      <c r="Q369" t="str">
        <f t="shared" si="39"/>
        <v>&lt;td&gt;37 - 38&lt;/td&gt;</v>
      </c>
      <c r="R369" t="str">
        <f t="shared" si="40"/>
        <v>&lt;td class="sched"&gt;Sanford&lt;/td&gt;</v>
      </c>
      <c r="S369" t="str">
        <f t="shared" si="41"/>
        <v>&lt;td&gt;Sanford Classic 3rd Place&lt;/td&gt; &lt;/tr&gt;</v>
      </c>
    </row>
    <row r="370" spans="1:19" x14ac:dyDescent="0.25">
      <c r="A370" s="5">
        <v>42406</v>
      </c>
      <c r="C370" t="s">
        <v>31</v>
      </c>
      <c r="D370" t="s">
        <v>96</v>
      </c>
      <c r="E370">
        <v>78</v>
      </c>
      <c r="F370" t="s">
        <v>29</v>
      </c>
      <c r="G370" t="s">
        <v>91</v>
      </c>
      <c r="H370">
        <v>35</v>
      </c>
      <c r="J370" t="str">
        <f t="shared" si="42"/>
        <v>V</v>
      </c>
      <c r="K370" t="s">
        <v>279</v>
      </c>
      <c r="N370" t="str">
        <f t="shared" si="36"/>
        <v>&lt;tr&gt; &lt;td&gt;Feb. 6&lt;/td&gt;</v>
      </c>
      <c r="O370" t="str">
        <f t="shared" si="37"/>
        <v>&lt;td&gt;&lt;/td&gt;</v>
      </c>
      <c r="P370" t="str">
        <f t="shared" si="38"/>
        <v>&lt;td class="TVHSsched"&gt;Tec Voc&lt;/td&gt;</v>
      </c>
      <c r="Q370" t="str">
        <f t="shared" si="39"/>
        <v>&lt;td&gt;78 - 35&lt;/td&gt;</v>
      </c>
      <c r="R370" t="str">
        <f t="shared" si="40"/>
        <v>&lt;td class="ShHSsched"&gt;Shaftesbury&lt;/td&gt;</v>
      </c>
      <c r="S370" t="str">
        <f t="shared" si="41"/>
        <v>&lt;td&gt;Hoops for Hope &lt;/td&gt; &lt;/tr&gt;</v>
      </c>
    </row>
    <row r="371" spans="1:19" x14ac:dyDescent="0.25">
      <c r="A371" s="5">
        <v>42406</v>
      </c>
      <c r="C371" t="s">
        <v>28</v>
      </c>
      <c r="D371" t="s">
        <v>90</v>
      </c>
      <c r="E371">
        <v>52</v>
      </c>
      <c r="F371" t="s">
        <v>29</v>
      </c>
      <c r="G371" t="s">
        <v>91</v>
      </c>
      <c r="H371">
        <v>34</v>
      </c>
      <c r="J371" t="str">
        <f t="shared" si="42"/>
        <v>V</v>
      </c>
      <c r="K371" t="s">
        <v>279</v>
      </c>
      <c r="N371" t="str">
        <f t="shared" si="36"/>
        <v>&lt;tr&gt; &lt;td&gt;Feb. 6&lt;/td&gt;</v>
      </c>
      <c r="O371" t="str">
        <f t="shared" si="37"/>
        <v>&lt;td&gt;&lt;/td&gt;</v>
      </c>
      <c r="P371" t="str">
        <f t="shared" si="38"/>
        <v>&lt;td class="PCIsched"&gt;Portage&lt;/td&gt;</v>
      </c>
      <c r="Q371" t="str">
        <f t="shared" si="39"/>
        <v>&lt;td&gt;52 - 34&lt;/td&gt;</v>
      </c>
      <c r="R371" t="str">
        <f t="shared" si="40"/>
        <v>&lt;td class="ShHSsched"&gt;Shaftesbury&lt;/td&gt;</v>
      </c>
      <c r="S371" t="str">
        <f t="shared" si="41"/>
        <v>&lt;td&gt;Hoops for Hope &lt;/td&gt; &lt;/tr&gt;</v>
      </c>
    </row>
    <row r="372" spans="1:19" x14ac:dyDescent="0.25">
      <c r="A372" s="5">
        <v>42406</v>
      </c>
      <c r="C372" t="s">
        <v>208</v>
      </c>
      <c r="E372">
        <v>57</v>
      </c>
      <c r="F372" t="s">
        <v>31</v>
      </c>
      <c r="G372" t="s">
        <v>96</v>
      </c>
      <c r="H372">
        <v>76</v>
      </c>
      <c r="J372" t="str">
        <f t="shared" si="42"/>
        <v>H</v>
      </c>
      <c r="K372" t="s">
        <v>279</v>
      </c>
      <c r="N372" t="str">
        <f t="shared" si="36"/>
        <v>&lt;tr&gt; &lt;td&gt;Feb. 6&lt;/td&gt;</v>
      </c>
      <c r="O372" t="str">
        <f t="shared" si="37"/>
        <v>&lt;td&gt;&lt;/td&gt;</v>
      </c>
      <c r="P372" t="str">
        <f t="shared" si="38"/>
        <v>&lt;td class="sched"&gt;Linden Christian&lt;/td&gt;</v>
      </c>
      <c r="Q372" t="str">
        <f t="shared" si="39"/>
        <v>&lt;td&gt;57 - 76&lt;/td&gt;</v>
      </c>
      <c r="R372" t="str">
        <f t="shared" si="40"/>
        <v>&lt;td class="TVHSsched"&gt;Tec Voc&lt;/td&gt;</v>
      </c>
      <c r="S372" t="str">
        <f t="shared" si="41"/>
        <v>&lt;td&gt;Hoops for Hope &lt;/td&gt; &lt;/tr&gt;</v>
      </c>
    </row>
    <row r="373" spans="1:19" x14ac:dyDescent="0.25">
      <c r="A373" s="5">
        <v>42406</v>
      </c>
      <c r="C373" t="s">
        <v>208</v>
      </c>
      <c r="E373">
        <v>72</v>
      </c>
      <c r="F373" t="s">
        <v>28</v>
      </c>
      <c r="G373" t="s">
        <v>90</v>
      </c>
      <c r="H373">
        <v>41</v>
      </c>
      <c r="J373" t="str">
        <f t="shared" si="42"/>
        <v>V</v>
      </c>
      <c r="K373" t="s">
        <v>279</v>
      </c>
      <c r="N373" t="str">
        <f t="shared" si="36"/>
        <v>&lt;tr&gt; &lt;td&gt;Feb. 6&lt;/td&gt;</v>
      </c>
      <c r="O373" t="str">
        <f t="shared" si="37"/>
        <v>&lt;td&gt;&lt;/td&gt;</v>
      </c>
      <c r="P373" t="str">
        <f t="shared" si="38"/>
        <v>&lt;td class="sched"&gt;Linden Christian&lt;/td&gt;</v>
      </c>
      <c r="Q373" t="str">
        <f t="shared" si="39"/>
        <v>&lt;td&gt;72 - 41&lt;/td&gt;</v>
      </c>
      <c r="R373" t="str">
        <f t="shared" si="40"/>
        <v>&lt;td class="PCIsched"&gt;Portage&lt;/td&gt;</v>
      </c>
      <c r="S373" t="str">
        <f t="shared" si="41"/>
        <v>&lt;td&gt;Hoops for Hope &lt;/td&gt; &lt;/tr&gt;</v>
      </c>
    </row>
    <row r="374" spans="1:19" x14ac:dyDescent="0.25">
      <c r="A374" s="5">
        <v>42408</v>
      </c>
      <c r="B374" s="6">
        <v>0.6875</v>
      </c>
      <c r="C374" t="s">
        <v>31</v>
      </c>
      <c r="D374" t="s">
        <v>96</v>
      </c>
      <c r="E374">
        <v>96</v>
      </c>
      <c r="F374" t="s">
        <v>30</v>
      </c>
      <c r="G374" t="s">
        <v>92</v>
      </c>
      <c r="H374">
        <v>31</v>
      </c>
      <c r="J374" t="str">
        <f t="shared" si="42"/>
        <v>V</v>
      </c>
      <c r="K374" t="s">
        <v>257</v>
      </c>
      <c r="L374" t="s">
        <v>228</v>
      </c>
      <c r="M374" t="s">
        <v>229</v>
      </c>
      <c r="N374" t="str">
        <f t="shared" si="36"/>
        <v>&lt;tr&gt; &lt;td&gt;Feb. 8&lt;/td&gt;</v>
      </c>
      <c r="O374" t="str">
        <f t="shared" si="37"/>
        <v>&lt;td&gt;4:30 PM&lt;/td&gt;</v>
      </c>
      <c r="P374" t="str">
        <f t="shared" si="38"/>
        <v>&lt;td class="TVHSsched"&gt;Tec Voc&lt;/td&gt;</v>
      </c>
      <c r="Q374" t="str">
        <f t="shared" si="39"/>
        <v>&lt;td&gt;96 - 31&lt;/td&gt;</v>
      </c>
      <c r="R374" t="str">
        <f t="shared" si="40"/>
        <v>&lt;td class="SJHSsched"&gt;St. John's&lt;/td&gt;</v>
      </c>
      <c r="S374" t="str">
        <f t="shared" si="41"/>
        <v>&lt;td&gt;WWAC/WAC Tier 2 Regular Season&lt;/td&gt; &lt;/tr&gt;</v>
      </c>
    </row>
    <row r="375" spans="1:19" x14ac:dyDescent="0.25">
      <c r="A375" s="5">
        <v>42408</v>
      </c>
      <c r="B375" s="6">
        <v>0.6875</v>
      </c>
      <c r="C375" t="s">
        <v>171</v>
      </c>
      <c r="E375">
        <v>56</v>
      </c>
      <c r="F375" t="s">
        <v>26</v>
      </c>
      <c r="G375" t="s">
        <v>86</v>
      </c>
      <c r="H375">
        <v>49</v>
      </c>
      <c r="J375" t="str">
        <f t="shared" si="42"/>
        <v>V</v>
      </c>
      <c r="K375" t="s">
        <v>257</v>
      </c>
      <c r="L375" t="s">
        <v>228</v>
      </c>
      <c r="M375" t="s">
        <v>229</v>
      </c>
      <c r="N375" t="str">
        <f t="shared" si="36"/>
        <v>&lt;tr&gt; &lt;td&gt;Feb. 8&lt;/td&gt;</v>
      </c>
      <c r="O375" t="str">
        <f t="shared" si="37"/>
        <v>&lt;td&gt;4:30 PM&lt;/td&gt;</v>
      </c>
      <c r="P375" t="str">
        <f t="shared" si="38"/>
        <v>&lt;td class="sched"&gt;Churchill&lt;/td&gt;</v>
      </c>
      <c r="Q375" t="str">
        <f t="shared" si="39"/>
        <v>&lt;td&gt;56 - 49&lt;/td&gt;</v>
      </c>
      <c r="R375" t="str">
        <f t="shared" si="40"/>
        <v>&lt;td class="GBHSsched"&gt;Gordon Bell&lt;/td&gt;</v>
      </c>
      <c r="S375" t="str">
        <f t="shared" si="41"/>
        <v>&lt;td&gt;WWAC/WAC Tier 2 Regular Season&lt;/td&gt; &lt;/tr&gt;</v>
      </c>
    </row>
    <row r="376" spans="1:19" x14ac:dyDescent="0.25">
      <c r="A376" s="5">
        <v>42408</v>
      </c>
      <c r="B376" s="6">
        <v>0.6875</v>
      </c>
      <c r="C376" t="s">
        <v>25</v>
      </c>
      <c r="D376" t="s">
        <v>84</v>
      </c>
      <c r="E376">
        <v>42</v>
      </c>
      <c r="F376" t="s">
        <v>10</v>
      </c>
      <c r="G376" t="s">
        <v>72</v>
      </c>
      <c r="H376">
        <v>59</v>
      </c>
      <c r="J376" t="str">
        <f t="shared" si="42"/>
        <v>H</v>
      </c>
      <c r="K376" t="s">
        <v>257</v>
      </c>
      <c r="L376" t="s">
        <v>228</v>
      </c>
      <c r="M376" t="s">
        <v>229</v>
      </c>
      <c r="N376" t="str">
        <f t="shared" si="36"/>
        <v>&lt;tr&gt; &lt;td&gt;Feb. 8&lt;/td&gt;</v>
      </c>
      <c r="O376" t="str">
        <f t="shared" si="37"/>
        <v>&lt;td&gt;4:30 PM&lt;/td&gt;</v>
      </c>
      <c r="P376" t="str">
        <f t="shared" si="38"/>
        <v>&lt;td class="EHSsched"&gt;Elmwood&lt;/td&gt;</v>
      </c>
      <c r="Q376" t="str">
        <f t="shared" si="39"/>
        <v>&lt;td&gt;42 - 59&lt;/td&gt;</v>
      </c>
      <c r="R376" t="str">
        <f t="shared" si="40"/>
        <v>&lt;td class="KHSsched"&gt;Kelvin&lt;/td&gt;</v>
      </c>
      <c r="S376" t="str">
        <f t="shared" si="41"/>
        <v>&lt;td&gt;WWAC/WAC Tier 2 Regular Season&lt;/td&gt; &lt;/tr&gt;</v>
      </c>
    </row>
    <row r="377" spans="1:19" x14ac:dyDescent="0.25">
      <c r="A377" s="5">
        <v>42408</v>
      </c>
      <c r="B377" s="6">
        <v>0.6875</v>
      </c>
      <c r="C377" t="s">
        <v>9</v>
      </c>
      <c r="D377" t="s">
        <v>76</v>
      </c>
      <c r="E377">
        <v>78</v>
      </c>
      <c r="F377" t="s">
        <v>24</v>
      </c>
      <c r="G377" t="s">
        <v>82</v>
      </c>
      <c r="H377">
        <v>31</v>
      </c>
      <c r="J377" t="str">
        <f t="shared" si="42"/>
        <v>V</v>
      </c>
      <c r="K377" t="s">
        <v>258</v>
      </c>
      <c r="L377" t="s">
        <v>228</v>
      </c>
      <c r="M377" t="s">
        <v>229</v>
      </c>
      <c r="N377" t="str">
        <f t="shared" si="36"/>
        <v>&lt;tr&gt; &lt;td&gt;Feb. 8&lt;/td&gt;</v>
      </c>
      <c r="O377" t="str">
        <f t="shared" si="37"/>
        <v>&lt;td&gt;4:30 PM&lt;/td&gt;</v>
      </c>
      <c r="P377" t="str">
        <f t="shared" si="38"/>
        <v>&lt;td class="SiHSsched"&gt;Sisler&lt;/td&gt;</v>
      </c>
      <c r="Q377" t="str">
        <f t="shared" si="39"/>
        <v>&lt;td&gt;78 - 31&lt;/td&gt;</v>
      </c>
      <c r="R377" t="str">
        <f t="shared" si="40"/>
        <v>&lt;td class="DMCIsched"&gt;Daniel McIntyre&lt;/td&gt;</v>
      </c>
      <c r="S377" t="str">
        <f t="shared" si="41"/>
        <v>&lt;td&gt;WWAC/WAC Tier 1 Regular Season&lt;/td&gt; &lt;/tr&gt;</v>
      </c>
    </row>
    <row r="378" spans="1:19" x14ac:dyDescent="0.25">
      <c r="A378" s="5">
        <v>42408</v>
      </c>
      <c r="B378" s="6">
        <v>0.6875</v>
      </c>
      <c r="C378" t="s">
        <v>111</v>
      </c>
      <c r="D378" t="s">
        <v>112</v>
      </c>
      <c r="E378">
        <v>49</v>
      </c>
      <c r="F378" t="s">
        <v>15</v>
      </c>
      <c r="G378" t="s">
        <v>68</v>
      </c>
      <c r="H378">
        <v>35</v>
      </c>
      <c r="J378" t="str">
        <f t="shared" si="42"/>
        <v>V</v>
      </c>
      <c r="K378" t="s">
        <v>258</v>
      </c>
      <c r="L378" t="s">
        <v>228</v>
      </c>
      <c r="M378" t="s">
        <v>229</v>
      </c>
      <c r="N378" t="str">
        <f t="shared" si="36"/>
        <v>&lt;tr&gt; &lt;td&gt;Feb. 8&lt;/td&gt;</v>
      </c>
      <c r="O378" t="str">
        <f t="shared" si="37"/>
        <v>&lt;td&gt;4:30 PM&lt;/td&gt;</v>
      </c>
      <c r="P378" t="str">
        <f t="shared" si="38"/>
        <v>&lt;td class="SMAsched"&gt;St. Mary's&lt;/td&gt;</v>
      </c>
      <c r="Q378" t="str">
        <f t="shared" si="39"/>
        <v>&lt;td&gt;49 - 35&lt;/td&gt;</v>
      </c>
      <c r="R378" t="str">
        <f t="shared" si="40"/>
        <v>&lt;td class="FRCsched"&gt;Fort Richmond&lt;/td&gt;</v>
      </c>
      <c r="S378" t="str">
        <f t="shared" si="41"/>
        <v>&lt;td&gt;WWAC/WAC Tier 1 Regular Season&lt;/td&gt; &lt;/tr&gt;</v>
      </c>
    </row>
    <row r="379" spans="1:19" x14ac:dyDescent="0.25">
      <c r="A379" s="5">
        <v>42408</v>
      </c>
      <c r="B379" s="6">
        <v>0.6875</v>
      </c>
      <c r="C379" t="s">
        <v>1</v>
      </c>
      <c r="D379" t="s">
        <v>74</v>
      </c>
      <c r="E379">
        <v>46</v>
      </c>
      <c r="F379" t="s">
        <v>23</v>
      </c>
      <c r="G379" t="s">
        <v>80</v>
      </c>
      <c r="H379">
        <v>54</v>
      </c>
      <c r="J379" t="str">
        <f t="shared" si="42"/>
        <v>H</v>
      </c>
      <c r="K379" t="s">
        <v>258</v>
      </c>
      <c r="L379" t="s">
        <v>228</v>
      </c>
      <c r="M379" t="s">
        <v>229</v>
      </c>
      <c r="N379" t="str">
        <f t="shared" si="36"/>
        <v>&lt;tr&gt; &lt;td&gt;Feb. 8&lt;/td&gt;</v>
      </c>
      <c r="O379" t="str">
        <f t="shared" si="37"/>
        <v>&lt;td&gt;4:30 PM&lt;/td&gt;</v>
      </c>
      <c r="P379" t="str">
        <f t="shared" si="38"/>
        <v>&lt;td class="OPHSsched"&gt;Oak Park&lt;/td&gt;</v>
      </c>
      <c r="Q379" t="str">
        <f t="shared" si="39"/>
        <v>&lt;td&gt;46 - 54&lt;/td&gt;</v>
      </c>
      <c r="R379" t="str">
        <f t="shared" si="40"/>
        <v>&lt;td class="VMCsched"&gt;Vincent Massey&lt;/td&gt;</v>
      </c>
      <c r="S379" t="str">
        <f t="shared" si="41"/>
        <v>&lt;td&gt;WWAC/WAC Tier 1 Regular Season&lt;/td&gt; &lt;/tr&gt;</v>
      </c>
    </row>
    <row r="380" spans="1:19" x14ac:dyDescent="0.25">
      <c r="A380" s="5">
        <v>42408</v>
      </c>
      <c r="B380" s="6">
        <v>0.6875</v>
      </c>
      <c r="C380" t="s">
        <v>13</v>
      </c>
      <c r="D380" t="s">
        <v>98</v>
      </c>
      <c r="E380">
        <v>60</v>
      </c>
      <c r="F380" t="s">
        <v>14</v>
      </c>
      <c r="G380" t="s">
        <v>94</v>
      </c>
      <c r="H380">
        <v>37</v>
      </c>
      <c r="J380" t="str">
        <f t="shared" si="42"/>
        <v>V</v>
      </c>
      <c r="K380" t="s">
        <v>258</v>
      </c>
      <c r="L380" t="s">
        <v>228</v>
      </c>
      <c r="M380" t="s">
        <v>229</v>
      </c>
      <c r="N380" t="str">
        <f t="shared" si="36"/>
        <v>&lt;tr&gt; &lt;td&gt;Feb. 8&lt;/td&gt;</v>
      </c>
      <c r="O380" t="str">
        <f t="shared" si="37"/>
        <v>&lt;td&gt;4:30 PM&lt;/td&gt;</v>
      </c>
      <c r="P380" t="str">
        <f t="shared" si="38"/>
        <v>&lt;td class="WWCsched"&gt;Westwood&lt;/td&gt;</v>
      </c>
      <c r="Q380" t="str">
        <f t="shared" si="39"/>
        <v>&lt;td&gt;60 - 37&lt;/td&gt;</v>
      </c>
      <c r="R380" t="str">
        <f t="shared" si="40"/>
        <v>&lt;td class="SHCsched"&gt;Sturgeon Heights&lt;/td&gt;</v>
      </c>
      <c r="S380" t="str">
        <f t="shared" si="41"/>
        <v>&lt;td&gt;WWAC/WAC Tier 1 Regular Season&lt;/td&gt; &lt;/tr&gt;</v>
      </c>
    </row>
    <row r="381" spans="1:19" x14ac:dyDescent="0.25">
      <c r="A381" s="5">
        <v>42408</v>
      </c>
      <c r="B381" s="6">
        <v>0.70833333333333337</v>
      </c>
      <c r="C381" t="s">
        <v>27</v>
      </c>
      <c r="D381" t="s">
        <v>88</v>
      </c>
      <c r="E381">
        <v>55</v>
      </c>
      <c r="F381" t="s">
        <v>28</v>
      </c>
      <c r="G381" t="s">
        <v>90</v>
      </c>
      <c r="H381">
        <v>51</v>
      </c>
      <c r="J381" t="str">
        <f t="shared" si="42"/>
        <v>V</v>
      </c>
      <c r="K381" t="s">
        <v>257</v>
      </c>
      <c r="L381" t="s">
        <v>228</v>
      </c>
      <c r="M381" t="s">
        <v>229</v>
      </c>
      <c r="N381" t="str">
        <f t="shared" si="36"/>
        <v>&lt;tr&gt; &lt;td&gt;Feb. 8&lt;/td&gt;</v>
      </c>
      <c r="O381" t="str">
        <f t="shared" si="37"/>
        <v>&lt;td&gt;5:00 PM&lt;/td&gt;</v>
      </c>
      <c r="P381" t="str">
        <f t="shared" si="38"/>
        <v>&lt;td class="GPHSsched"&gt;Grant Park&lt;/td&gt;</v>
      </c>
      <c r="Q381" t="str">
        <f t="shared" si="39"/>
        <v>&lt;td&gt;55 - 51&lt;/td&gt;</v>
      </c>
      <c r="R381" t="str">
        <f t="shared" si="40"/>
        <v>&lt;td class="PCIsched"&gt;Portage&lt;/td&gt;</v>
      </c>
      <c r="S381" t="str">
        <f t="shared" si="41"/>
        <v>&lt;td&gt;WWAC/WAC Tier 2 Regular Season&lt;/td&gt; &lt;/tr&gt;</v>
      </c>
    </row>
    <row r="382" spans="1:19" x14ac:dyDescent="0.25">
      <c r="A382" s="5">
        <v>42408</v>
      </c>
      <c r="B382" s="6">
        <v>0.75</v>
      </c>
      <c r="C382" t="s">
        <v>7</v>
      </c>
      <c r="D382" t="s">
        <v>7</v>
      </c>
      <c r="E382">
        <v>51</v>
      </c>
      <c r="F382" t="s">
        <v>20</v>
      </c>
      <c r="G382" t="s">
        <v>58</v>
      </c>
      <c r="H382">
        <v>41</v>
      </c>
      <c r="J382" t="str">
        <f t="shared" si="42"/>
        <v>V</v>
      </c>
      <c r="K382" t="s">
        <v>233</v>
      </c>
      <c r="L382" t="s">
        <v>228</v>
      </c>
      <c r="M382" t="s">
        <v>229</v>
      </c>
      <c r="N382" t="str">
        <f t="shared" si="36"/>
        <v>&lt;tr&gt; &lt;td&gt;Feb. 8&lt;/td&gt;</v>
      </c>
      <c r="O382" t="str">
        <f t="shared" si="37"/>
        <v>&lt;td&gt;6:00 PM&lt;/td&gt;</v>
      </c>
      <c r="P382" t="str">
        <f t="shared" si="38"/>
        <v>&lt;td class="MBCIsched"&gt;MBCI&lt;/td&gt;</v>
      </c>
      <c r="Q382" t="str">
        <f t="shared" si="39"/>
        <v>&lt;td&gt;51 - 41&lt;/td&gt;</v>
      </c>
      <c r="R382" t="str">
        <f t="shared" si="40"/>
        <v>&lt;td class="WKCsched"&gt;West Kildonan&lt;/td&gt;</v>
      </c>
      <c r="S382" t="str">
        <f t="shared" si="41"/>
        <v>&lt;td&gt;KPAC Tier 2 Regular Season&lt;/td&gt; &lt;/tr&gt;</v>
      </c>
    </row>
    <row r="383" spans="1:19" x14ac:dyDescent="0.25">
      <c r="A383" s="5">
        <v>42408</v>
      </c>
      <c r="B383" s="6">
        <v>0.75</v>
      </c>
      <c r="C383" t="s">
        <v>16</v>
      </c>
      <c r="D383" t="s">
        <v>45</v>
      </c>
      <c r="E383">
        <v>80</v>
      </c>
      <c r="F383" t="s">
        <v>18</v>
      </c>
      <c r="G383" t="s">
        <v>52</v>
      </c>
      <c r="H383">
        <v>66</v>
      </c>
      <c r="J383" t="str">
        <f t="shared" si="42"/>
        <v>V</v>
      </c>
      <c r="K383" t="s">
        <v>233</v>
      </c>
      <c r="L383" t="s">
        <v>228</v>
      </c>
      <c r="M383" t="s">
        <v>229</v>
      </c>
      <c r="N383" t="str">
        <f t="shared" si="36"/>
        <v>&lt;tr&gt; &lt;td&gt;Feb. 8&lt;/td&gt;</v>
      </c>
      <c r="O383" t="str">
        <f t="shared" si="37"/>
        <v>&lt;td&gt;6:00 PM&lt;/td&gt;</v>
      </c>
      <c r="P383" t="str">
        <f t="shared" si="38"/>
        <v>&lt;td class="MCsched"&gt;Maples&lt;/td&gt;</v>
      </c>
      <c r="Q383" t="str">
        <f t="shared" si="39"/>
        <v>&lt;td&gt;80 - 66&lt;/td&gt;</v>
      </c>
      <c r="R383" t="str">
        <f t="shared" si="40"/>
        <v>&lt;td class="RECsched"&gt;River East&lt;/td&gt;</v>
      </c>
      <c r="S383" t="str">
        <f t="shared" si="41"/>
        <v>&lt;td&gt;KPAC Tier 2 Regular Season&lt;/td&gt; &lt;/tr&gt;</v>
      </c>
    </row>
    <row r="384" spans="1:19" x14ac:dyDescent="0.25">
      <c r="A384" s="5">
        <v>42408</v>
      </c>
      <c r="B384" s="6">
        <v>0.75</v>
      </c>
      <c r="C384" t="s">
        <v>2</v>
      </c>
      <c r="D384" t="s">
        <v>43</v>
      </c>
      <c r="E384">
        <v>58</v>
      </c>
      <c r="F384" t="s">
        <v>4</v>
      </c>
      <c r="G384" t="s">
        <v>41</v>
      </c>
      <c r="H384">
        <v>54</v>
      </c>
      <c r="J384" t="str">
        <f t="shared" si="42"/>
        <v>V</v>
      </c>
      <c r="K384" t="s">
        <v>234</v>
      </c>
      <c r="L384" t="s">
        <v>228</v>
      </c>
      <c r="M384" t="s">
        <v>229</v>
      </c>
      <c r="N384" t="str">
        <f t="shared" si="36"/>
        <v>&lt;tr&gt; &lt;td&gt;Feb. 8&lt;/td&gt;</v>
      </c>
      <c r="O384" t="str">
        <f t="shared" si="37"/>
        <v>&lt;td&gt;6:00 PM&lt;/td&gt;</v>
      </c>
      <c r="P384" t="str">
        <f t="shared" si="38"/>
        <v>&lt;td class="KECsched"&gt;Kildonan-East&lt;/td&gt;</v>
      </c>
      <c r="Q384" t="str">
        <f t="shared" si="39"/>
        <v>&lt;td&gt;58 - 54&lt;/td&gt;</v>
      </c>
      <c r="R384" t="str">
        <f t="shared" si="40"/>
        <v>&lt;td class="GCCsched"&gt;Garden City&lt;/td&gt;</v>
      </c>
      <c r="S384" t="str">
        <f t="shared" si="41"/>
        <v>&lt;td&gt;KPAC Tier 1 Regular Season&lt;/td&gt; &lt;/tr&gt;</v>
      </c>
    </row>
    <row r="385" spans="1:19" x14ac:dyDescent="0.25">
      <c r="A385" s="5">
        <v>42408</v>
      </c>
      <c r="B385" s="6">
        <v>0.75</v>
      </c>
      <c r="C385" t="s">
        <v>11</v>
      </c>
      <c r="D385" t="s">
        <v>48</v>
      </c>
      <c r="E385">
        <v>63</v>
      </c>
      <c r="F385" t="s">
        <v>12</v>
      </c>
      <c r="G385" t="s">
        <v>54</v>
      </c>
      <c r="H385">
        <v>45</v>
      </c>
      <c r="J385" t="str">
        <f t="shared" si="42"/>
        <v>V</v>
      </c>
      <c r="K385" t="s">
        <v>234</v>
      </c>
      <c r="L385" t="s">
        <v>228</v>
      </c>
      <c r="M385" t="s">
        <v>229</v>
      </c>
      <c r="N385" t="str">
        <f t="shared" si="36"/>
        <v>&lt;tr&gt; &lt;td&gt;Feb. 8&lt;/td&gt;</v>
      </c>
      <c r="O385" t="str">
        <f t="shared" si="37"/>
        <v>&lt;td&gt;6:00 PM&lt;/td&gt;</v>
      </c>
      <c r="P385" t="str">
        <f t="shared" si="38"/>
        <v>&lt;td class="MMCsched"&gt;Miles Macdonell&lt;/td&gt;</v>
      </c>
      <c r="Q385" t="str">
        <f t="shared" si="39"/>
        <v>&lt;td&gt;63 - 45&lt;/td&gt;</v>
      </c>
      <c r="R385" t="str">
        <f t="shared" si="40"/>
        <v>&lt;td class="LSsched"&gt;Selkirk&lt;/td&gt;</v>
      </c>
      <c r="S385" t="str">
        <f t="shared" si="41"/>
        <v>&lt;td&gt;KPAC Tier 1 Regular Season&lt;/td&gt; &lt;/tr&gt;</v>
      </c>
    </row>
    <row r="386" spans="1:19" x14ac:dyDescent="0.25">
      <c r="A386" s="5">
        <v>42408</v>
      </c>
      <c r="B386" s="6">
        <v>0.75</v>
      </c>
      <c r="C386" t="s">
        <v>8</v>
      </c>
      <c r="D386" t="s">
        <v>60</v>
      </c>
      <c r="E386">
        <v>69</v>
      </c>
      <c r="F386" t="s">
        <v>237</v>
      </c>
      <c r="H386">
        <v>58</v>
      </c>
      <c r="J386" t="str">
        <f t="shared" si="42"/>
        <v>V</v>
      </c>
      <c r="K386" t="s">
        <v>763</v>
      </c>
      <c r="L386" t="s">
        <v>228</v>
      </c>
      <c r="M386" t="s">
        <v>229</v>
      </c>
      <c r="N386" t="str">
        <f t="shared" ref="N386:N449" si="43">"&lt;tr&gt; &lt;td&gt;"&amp;TEXT(A386,"MMM. D")&amp;"&lt;/td&gt;"</f>
        <v>&lt;tr&gt; &lt;td&gt;Feb. 8&lt;/td&gt;</v>
      </c>
      <c r="O386" t="str">
        <f t="shared" ref="O386:O449" si="44">"&lt;td&gt;"&amp;IF(B386&gt;0,TEXT(B386,"H:MM AM/PM"),"")&amp;"&lt;/td&gt;"</f>
        <v>&lt;td&gt;6:00 PM&lt;/td&gt;</v>
      </c>
      <c r="P386" t="str">
        <f t="shared" ref="P386:P449" si="45">"&lt;td class="""&amp;D386&amp;"sched""&gt;"&amp;C386&amp;"&lt;/td&gt;"</f>
        <v>&lt;td class="DCIsched"&gt;Dakota&lt;/td&gt;</v>
      </c>
      <c r="Q386" t="str">
        <f t="shared" ref="Q386:Q449" si="46">"&lt;td&gt;"&amp;E386&amp;" - "&amp;H386&amp;IF(I386&gt;0," "&amp;I386,"")&amp;"&lt;/td&gt;"</f>
        <v>&lt;td&gt;69 - 58&lt;/td&gt;</v>
      </c>
      <c r="R386" t="str">
        <f t="shared" ref="R386:R449" si="47">"&lt;td class="""&amp;G386&amp;"sched""&gt;"&amp;F386&amp;"&lt;/td&gt;"</f>
        <v>&lt;td class="sched"&gt;Westgate&lt;/td&gt;</v>
      </c>
      <c r="S386" t="str">
        <f t="shared" ref="S386:S449" si="48">"&lt;td&gt;"&amp;K386&amp;" "&amp;L386&amp;"&lt;/td&gt; &lt;/tr&gt;"</f>
        <v>&lt;td&gt;SCAC Regular Season&lt;/td&gt; &lt;/tr&gt;</v>
      </c>
    </row>
    <row r="387" spans="1:19" x14ac:dyDescent="0.25">
      <c r="A387" s="5">
        <v>42408</v>
      </c>
      <c r="B387" s="6">
        <v>0.75</v>
      </c>
      <c r="C387" t="s">
        <v>108</v>
      </c>
      <c r="D387" t="s">
        <v>109</v>
      </c>
      <c r="E387">
        <v>32</v>
      </c>
      <c r="F387" t="s">
        <v>21</v>
      </c>
      <c r="G387" t="s">
        <v>64</v>
      </c>
      <c r="H387">
        <v>48</v>
      </c>
      <c r="J387" t="str">
        <f t="shared" si="42"/>
        <v>H</v>
      </c>
      <c r="K387" t="s">
        <v>763</v>
      </c>
      <c r="L387" t="s">
        <v>228</v>
      </c>
      <c r="M387" t="s">
        <v>229</v>
      </c>
      <c r="N387" t="str">
        <f t="shared" si="43"/>
        <v>&lt;tr&gt; &lt;td&gt;Feb. 8&lt;/td&gt;</v>
      </c>
      <c r="O387" t="str">
        <f t="shared" si="44"/>
        <v>&lt;td&gt;6:00 PM&lt;/td&gt;</v>
      </c>
      <c r="P387" t="str">
        <f t="shared" si="45"/>
        <v>&lt;td class="CJSsched"&gt;Jeanne-Sauv&amp;eacute;&lt;/td&gt;</v>
      </c>
      <c r="Q387" t="str">
        <f t="shared" si="46"/>
        <v>&lt;td&gt;32 - 48&lt;/td&gt;</v>
      </c>
      <c r="R387" t="str">
        <f t="shared" si="47"/>
        <v>&lt;td class="JHBsched"&gt;J.H. Bruns&lt;/td&gt;</v>
      </c>
      <c r="S387" t="str">
        <f t="shared" si="48"/>
        <v>&lt;td&gt;SCAC Regular Season&lt;/td&gt; &lt;/tr&gt;</v>
      </c>
    </row>
    <row r="388" spans="1:19" x14ac:dyDescent="0.25">
      <c r="A388" s="5">
        <v>42409</v>
      </c>
      <c r="B388" s="6">
        <v>0.6875</v>
      </c>
      <c r="C388" t="s">
        <v>6</v>
      </c>
      <c r="D388" t="s">
        <v>70</v>
      </c>
      <c r="E388">
        <v>34</v>
      </c>
      <c r="F388" t="s">
        <v>13</v>
      </c>
      <c r="G388" t="s">
        <v>98</v>
      </c>
      <c r="H388">
        <v>56</v>
      </c>
      <c r="J388" t="str">
        <f t="shared" si="42"/>
        <v>H</v>
      </c>
      <c r="K388" t="s">
        <v>258</v>
      </c>
      <c r="L388" t="s">
        <v>228</v>
      </c>
      <c r="M388" t="s">
        <v>229</v>
      </c>
      <c r="N388" t="str">
        <f t="shared" si="43"/>
        <v>&lt;tr&gt; &lt;td&gt;Feb. 9&lt;/td&gt;</v>
      </c>
      <c r="O388" t="str">
        <f t="shared" si="44"/>
        <v>&lt;td&gt;4:30 PM&lt;/td&gt;</v>
      </c>
      <c r="P388" t="str">
        <f t="shared" si="45"/>
        <v>&lt;td class="JTCsched"&gt;John Taylor&lt;/td&gt;</v>
      </c>
      <c r="Q388" t="str">
        <f t="shared" si="46"/>
        <v>&lt;td&gt;34 - 56&lt;/td&gt;</v>
      </c>
      <c r="R388" t="str">
        <f t="shared" si="47"/>
        <v>&lt;td class="WWCsched"&gt;Westwood&lt;/td&gt;</v>
      </c>
      <c r="S388" t="str">
        <f t="shared" si="48"/>
        <v>&lt;td&gt;WWAC/WAC Tier 1 Regular Season&lt;/td&gt; &lt;/tr&gt;</v>
      </c>
    </row>
    <row r="389" spans="1:19" x14ac:dyDescent="0.25">
      <c r="A389" s="5">
        <v>42410</v>
      </c>
      <c r="B389" s="6">
        <v>0.6875</v>
      </c>
      <c r="C389" t="s">
        <v>253</v>
      </c>
      <c r="E389">
        <v>48</v>
      </c>
      <c r="F389" t="s">
        <v>10</v>
      </c>
      <c r="G389" t="s">
        <v>72</v>
      </c>
      <c r="H389">
        <v>43</v>
      </c>
      <c r="J389" t="str">
        <f t="shared" si="42"/>
        <v>V</v>
      </c>
      <c r="K389" t="s">
        <v>257</v>
      </c>
      <c r="L389" t="s">
        <v>228</v>
      </c>
      <c r="M389" t="s">
        <v>229</v>
      </c>
      <c r="N389" t="str">
        <f t="shared" si="43"/>
        <v>&lt;tr&gt; &lt;td&gt;Feb. 10&lt;/td&gt;</v>
      </c>
      <c r="O389" t="str">
        <f t="shared" si="44"/>
        <v>&lt;td&gt;4:30 PM&lt;/td&gt;</v>
      </c>
      <c r="P389" t="str">
        <f t="shared" si="45"/>
        <v>&lt;td class="sched"&gt;St. James&lt;/td&gt;</v>
      </c>
      <c r="Q389" t="str">
        <f t="shared" si="46"/>
        <v>&lt;td&gt;48 - 43&lt;/td&gt;</v>
      </c>
      <c r="R389" t="str">
        <f t="shared" si="47"/>
        <v>&lt;td class="KHSsched"&gt;Kelvin&lt;/td&gt;</v>
      </c>
      <c r="S389" t="str">
        <f t="shared" si="48"/>
        <v>&lt;td&gt;WWAC/WAC Tier 2 Regular Season&lt;/td&gt; &lt;/tr&gt;</v>
      </c>
    </row>
    <row r="390" spans="1:19" x14ac:dyDescent="0.25">
      <c r="A390" s="5">
        <v>42410</v>
      </c>
      <c r="B390" s="6">
        <v>0.6875</v>
      </c>
      <c r="C390" t="s">
        <v>171</v>
      </c>
      <c r="E390">
        <v>60</v>
      </c>
      <c r="F390" t="s">
        <v>27</v>
      </c>
      <c r="G390" t="s">
        <v>88</v>
      </c>
      <c r="H390">
        <v>67</v>
      </c>
      <c r="J390" t="str">
        <f t="shared" si="42"/>
        <v>H</v>
      </c>
      <c r="K390" t="s">
        <v>257</v>
      </c>
      <c r="L390" t="s">
        <v>228</v>
      </c>
      <c r="M390" t="s">
        <v>229</v>
      </c>
      <c r="N390" t="str">
        <f t="shared" si="43"/>
        <v>&lt;tr&gt; &lt;td&gt;Feb. 10&lt;/td&gt;</v>
      </c>
      <c r="O390" t="str">
        <f t="shared" si="44"/>
        <v>&lt;td&gt;4:30 PM&lt;/td&gt;</v>
      </c>
      <c r="P390" t="str">
        <f t="shared" si="45"/>
        <v>&lt;td class="sched"&gt;Churchill&lt;/td&gt;</v>
      </c>
      <c r="Q390" t="str">
        <f t="shared" si="46"/>
        <v>&lt;td&gt;60 - 67&lt;/td&gt;</v>
      </c>
      <c r="R390" t="str">
        <f t="shared" si="47"/>
        <v>&lt;td class="GPHSsched"&gt;Grant Park&lt;/td&gt;</v>
      </c>
      <c r="S390" t="str">
        <f t="shared" si="48"/>
        <v>&lt;td&gt;WWAC/WAC Tier 2 Regular Season&lt;/td&gt; &lt;/tr&gt;</v>
      </c>
    </row>
    <row r="391" spans="1:19" x14ac:dyDescent="0.25">
      <c r="A391" s="5">
        <v>42410</v>
      </c>
      <c r="B391" s="6">
        <v>0.75</v>
      </c>
      <c r="C391" t="s">
        <v>21</v>
      </c>
      <c r="D391" t="s">
        <v>64</v>
      </c>
      <c r="E391">
        <v>50</v>
      </c>
      <c r="F391" t="s">
        <v>237</v>
      </c>
      <c r="H391">
        <v>45</v>
      </c>
      <c r="J391" t="str">
        <f t="shared" si="42"/>
        <v>V</v>
      </c>
      <c r="K391" t="s">
        <v>763</v>
      </c>
      <c r="L391" t="s">
        <v>228</v>
      </c>
      <c r="M391" t="s">
        <v>229</v>
      </c>
      <c r="N391" t="str">
        <f t="shared" si="43"/>
        <v>&lt;tr&gt; &lt;td&gt;Feb. 10&lt;/td&gt;</v>
      </c>
      <c r="O391" t="str">
        <f t="shared" si="44"/>
        <v>&lt;td&gt;6:00 PM&lt;/td&gt;</v>
      </c>
      <c r="P391" t="str">
        <f t="shared" si="45"/>
        <v>&lt;td class="JHBsched"&gt;J.H. Bruns&lt;/td&gt;</v>
      </c>
      <c r="Q391" t="str">
        <f t="shared" si="46"/>
        <v>&lt;td&gt;50 - 45&lt;/td&gt;</v>
      </c>
      <c r="R391" t="str">
        <f t="shared" si="47"/>
        <v>&lt;td class="sched"&gt;Westgate&lt;/td&gt;</v>
      </c>
      <c r="S391" t="str">
        <f t="shared" si="48"/>
        <v>&lt;td&gt;SCAC Regular Season&lt;/td&gt; &lt;/tr&gt;</v>
      </c>
    </row>
    <row r="392" spans="1:19" x14ac:dyDescent="0.25">
      <c r="A392" s="5">
        <v>42410</v>
      </c>
      <c r="B392" s="6">
        <v>0.75</v>
      </c>
      <c r="C392" t="s">
        <v>5</v>
      </c>
      <c r="D392" t="s">
        <v>62</v>
      </c>
      <c r="E392">
        <v>78</v>
      </c>
      <c r="F392" t="s">
        <v>108</v>
      </c>
      <c r="G392" t="s">
        <v>109</v>
      </c>
      <c r="H392">
        <v>33</v>
      </c>
      <c r="J392" t="str">
        <f t="shared" si="42"/>
        <v>V</v>
      </c>
      <c r="K392" t="s">
        <v>763</v>
      </c>
      <c r="L392" t="s">
        <v>228</v>
      </c>
      <c r="M392" t="s">
        <v>229</v>
      </c>
      <c r="N392" t="str">
        <f t="shared" si="43"/>
        <v>&lt;tr&gt; &lt;td&gt;Feb. 10&lt;/td&gt;</v>
      </c>
      <c r="O392" t="str">
        <f t="shared" si="44"/>
        <v>&lt;td&gt;6:00 PM&lt;/td&gt;</v>
      </c>
      <c r="P392" t="str">
        <f t="shared" si="45"/>
        <v>&lt;td class="GCIsched"&gt;Glenlawn&lt;/td&gt;</v>
      </c>
      <c r="Q392" t="str">
        <f t="shared" si="46"/>
        <v>&lt;td&gt;78 - 33&lt;/td&gt;</v>
      </c>
      <c r="R392" t="str">
        <f t="shared" si="47"/>
        <v>&lt;td class="CJSsched"&gt;Jeanne-Sauv&amp;eacute;&lt;/td&gt;</v>
      </c>
      <c r="S392" t="str">
        <f t="shared" si="48"/>
        <v>&lt;td&gt;SCAC Regular Season&lt;/td&gt; &lt;/tr&gt;</v>
      </c>
    </row>
    <row r="393" spans="1:19" x14ac:dyDescent="0.25">
      <c r="A393" s="5">
        <v>42410</v>
      </c>
      <c r="B393" s="6">
        <v>0.75</v>
      </c>
      <c r="C393" t="s">
        <v>12</v>
      </c>
      <c r="D393" t="s">
        <v>54</v>
      </c>
      <c r="E393">
        <v>50</v>
      </c>
      <c r="F393" t="s">
        <v>2</v>
      </c>
      <c r="G393" t="s">
        <v>43</v>
      </c>
      <c r="H393">
        <v>60</v>
      </c>
      <c r="J393" t="str">
        <f t="shared" si="42"/>
        <v>H</v>
      </c>
      <c r="K393" t="s">
        <v>234</v>
      </c>
      <c r="L393" t="s">
        <v>228</v>
      </c>
      <c r="M393" t="s">
        <v>229</v>
      </c>
      <c r="N393" t="str">
        <f t="shared" si="43"/>
        <v>&lt;tr&gt; &lt;td&gt;Feb. 10&lt;/td&gt;</v>
      </c>
      <c r="O393" t="str">
        <f t="shared" si="44"/>
        <v>&lt;td&gt;6:00 PM&lt;/td&gt;</v>
      </c>
      <c r="P393" t="str">
        <f t="shared" si="45"/>
        <v>&lt;td class="LSsched"&gt;Selkirk&lt;/td&gt;</v>
      </c>
      <c r="Q393" t="str">
        <f t="shared" si="46"/>
        <v>&lt;td&gt;50 - 60&lt;/td&gt;</v>
      </c>
      <c r="R393" t="str">
        <f t="shared" si="47"/>
        <v>&lt;td class="KECsched"&gt;Kildonan-East&lt;/td&gt;</v>
      </c>
      <c r="S393" t="str">
        <f t="shared" si="48"/>
        <v>&lt;td&gt;KPAC Tier 1 Regular Season&lt;/td&gt; &lt;/tr&gt;</v>
      </c>
    </row>
    <row r="394" spans="1:19" x14ac:dyDescent="0.25">
      <c r="A394" s="5">
        <v>42410</v>
      </c>
      <c r="B394" s="6">
        <v>0.76041666666666663</v>
      </c>
      <c r="C394" t="s">
        <v>30</v>
      </c>
      <c r="D394" t="s">
        <v>92</v>
      </c>
      <c r="E394">
        <v>29</v>
      </c>
      <c r="F394" t="s">
        <v>29</v>
      </c>
      <c r="G394" t="s">
        <v>91</v>
      </c>
      <c r="H394">
        <v>59</v>
      </c>
      <c r="J394" t="str">
        <f t="shared" si="42"/>
        <v>H</v>
      </c>
      <c r="K394" t="s">
        <v>257</v>
      </c>
      <c r="L394" t="s">
        <v>228</v>
      </c>
      <c r="M394" t="s">
        <v>229</v>
      </c>
      <c r="N394" t="str">
        <f t="shared" si="43"/>
        <v>&lt;tr&gt; &lt;td&gt;Feb. 10&lt;/td&gt;</v>
      </c>
      <c r="O394" t="str">
        <f t="shared" si="44"/>
        <v>&lt;td&gt;6:15 PM&lt;/td&gt;</v>
      </c>
      <c r="P394" t="str">
        <f t="shared" si="45"/>
        <v>&lt;td class="SJHSsched"&gt;St. John's&lt;/td&gt;</v>
      </c>
      <c r="Q394" t="str">
        <f t="shared" si="46"/>
        <v>&lt;td&gt;29 - 59&lt;/td&gt;</v>
      </c>
      <c r="R394" t="str">
        <f t="shared" si="47"/>
        <v>&lt;td class="ShHSsched"&gt;Shaftesbury&lt;/td&gt;</v>
      </c>
      <c r="S394" t="str">
        <f t="shared" si="48"/>
        <v>&lt;td&gt;WWAC/WAC Tier 2 Regular Season&lt;/td&gt; &lt;/tr&gt;</v>
      </c>
    </row>
    <row r="395" spans="1:19" x14ac:dyDescent="0.25">
      <c r="A395" s="5">
        <v>42410</v>
      </c>
      <c r="B395" s="6">
        <v>0.76041666666666663</v>
      </c>
      <c r="C395" t="s">
        <v>218</v>
      </c>
      <c r="E395">
        <v>36</v>
      </c>
      <c r="F395" t="s">
        <v>31</v>
      </c>
      <c r="G395" t="s">
        <v>96</v>
      </c>
      <c r="H395">
        <v>80</v>
      </c>
      <c r="J395" t="str">
        <f t="shared" si="42"/>
        <v>H</v>
      </c>
      <c r="K395" t="s">
        <v>257</v>
      </c>
      <c r="L395" t="s">
        <v>228</v>
      </c>
      <c r="M395" t="s">
        <v>229</v>
      </c>
      <c r="N395" t="str">
        <f t="shared" si="43"/>
        <v>&lt;tr&gt; &lt;td&gt;Feb. 10&lt;/td&gt;</v>
      </c>
      <c r="O395" t="str">
        <f t="shared" si="44"/>
        <v>&lt;td&gt;6:15 PM&lt;/td&gt;</v>
      </c>
      <c r="P395" t="str">
        <f t="shared" si="45"/>
        <v>&lt;td class="sched"&gt;Stonewall&lt;/td&gt;</v>
      </c>
      <c r="Q395" t="str">
        <f t="shared" si="46"/>
        <v>&lt;td&gt;36 - 80&lt;/td&gt;</v>
      </c>
      <c r="R395" t="str">
        <f t="shared" si="47"/>
        <v>&lt;td class="TVHSsched"&gt;Tec Voc&lt;/td&gt;</v>
      </c>
      <c r="S395" t="str">
        <f t="shared" si="48"/>
        <v>&lt;td&gt;WWAC/WAC Tier 2 Regular Season&lt;/td&gt; &lt;/tr&gt;</v>
      </c>
    </row>
    <row r="396" spans="1:19" x14ac:dyDescent="0.25">
      <c r="A396" s="5">
        <v>42410</v>
      </c>
      <c r="B396" s="6">
        <v>0.76041666666666663</v>
      </c>
      <c r="C396" t="s">
        <v>15</v>
      </c>
      <c r="D396" t="s">
        <v>68</v>
      </c>
      <c r="E396">
        <v>15</v>
      </c>
      <c r="F396" t="s">
        <v>23</v>
      </c>
      <c r="G396" t="s">
        <v>80</v>
      </c>
      <c r="H396">
        <v>71</v>
      </c>
      <c r="J396" t="str">
        <f t="shared" si="42"/>
        <v>H</v>
      </c>
      <c r="K396" t="s">
        <v>258</v>
      </c>
      <c r="L396" t="s">
        <v>228</v>
      </c>
      <c r="M396" t="s">
        <v>229</v>
      </c>
      <c r="N396" t="str">
        <f t="shared" si="43"/>
        <v>&lt;tr&gt; &lt;td&gt;Feb. 10&lt;/td&gt;</v>
      </c>
      <c r="O396" t="str">
        <f t="shared" si="44"/>
        <v>&lt;td&gt;6:15 PM&lt;/td&gt;</v>
      </c>
      <c r="P396" t="str">
        <f t="shared" si="45"/>
        <v>&lt;td class="FRCsched"&gt;Fort Richmond&lt;/td&gt;</v>
      </c>
      <c r="Q396" t="str">
        <f t="shared" si="46"/>
        <v>&lt;td&gt;15 - 71&lt;/td&gt;</v>
      </c>
      <c r="R396" t="str">
        <f t="shared" si="47"/>
        <v>&lt;td class="VMCsched"&gt;Vincent Massey&lt;/td&gt;</v>
      </c>
      <c r="S396" t="str">
        <f t="shared" si="48"/>
        <v>&lt;td&gt;WWAC/WAC Tier 1 Regular Season&lt;/td&gt; &lt;/tr&gt;</v>
      </c>
    </row>
    <row r="397" spans="1:19" x14ac:dyDescent="0.25">
      <c r="A397" s="5">
        <v>42410</v>
      </c>
      <c r="B397" s="6">
        <v>0.76041666666666663</v>
      </c>
      <c r="C397" t="s">
        <v>9</v>
      </c>
      <c r="D397" t="s">
        <v>76</v>
      </c>
      <c r="E397">
        <v>70</v>
      </c>
      <c r="F397" t="s">
        <v>14</v>
      </c>
      <c r="G397" t="s">
        <v>94</v>
      </c>
      <c r="H397">
        <v>32</v>
      </c>
      <c r="J397" t="str">
        <f t="shared" si="42"/>
        <v>V</v>
      </c>
      <c r="K397" t="s">
        <v>258</v>
      </c>
      <c r="L397" t="s">
        <v>228</v>
      </c>
      <c r="M397" t="s">
        <v>229</v>
      </c>
      <c r="N397" t="str">
        <f t="shared" si="43"/>
        <v>&lt;tr&gt; &lt;td&gt;Feb. 10&lt;/td&gt;</v>
      </c>
      <c r="O397" t="str">
        <f t="shared" si="44"/>
        <v>&lt;td&gt;6:15 PM&lt;/td&gt;</v>
      </c>
      <c r="P397" t="str">
        <f t="shared" si="45"/>
        <v>&lt;td class="SiHSsched"&gt;Sisler&lt;/td&gt;</v>
      </c>
      <c r="Q397" t="str">
        <f t="shared" si="46"/>
        <v>&lt;td&gt;70 - 32&lt;/td&gt;</v>
      </c>
      <c r="R397" t="str">
        <f t="shared" si="47"/>
        <v>&lt;td class="SHCsched"&gt;Sturgeon Heights&lt;/td&gt;</v>
      </c>
      <c r="S397" t="str">
        <f t="shared" si="48"/>
        <v>&lt;td&gt;WWAC/WAC Tier 1 Regular Season&lt;/td&gt; &lt;/tr&gt;</v>
      </c>
    </row>
    <row r="398" spans="1:19" x14ac:dyDescent="0.25">
      <c r="A398" s="5">
        <v>42410</v>
      </c>
      <c r="B398" s="6">
        <v>0.77083333333333337</v>
      </c>
      <c r="C398" t="s">
        <v>28</v>
      </c>
      <c r="D398" t="s">
        <v>90</v>
      </c>
      <c r="E398">
        <v>50</v>
      </c>
      <c r="F398" t="s">
        <v>25</v>
      </c>
      <c r="G398" t="s">
        <v>84</v>
      </c>
      <c r="H398">
        <v>30</v>
      </c>
      <c r="J398" t="str">
        <f t="shared" si="42"/>
        <v>V</v>
      </c>
      <c r="K398" t="s">
        <v>257</v>
      </c>
      <c r="L398" t="s">
        <v>228</v>
      </c>
      <c r="M398" t="s">
        <v>229</v>
      </c>
      <c r="N398" t="str">
        <f t="shared" si="43"/>
        <v>&lt;tr&gt; &lt;td&gt;Feb. 10&lt;/td&gt;</v>
      </c>
      <c r="O398" t="str">
        <f t="shared" si="44"/>
        <v>&lt;td&gt;6:30 PM&lt;/td&gt;</v>
      </c>
      <c r="P398" t="str">
        <f t="shared" si="45"/>
        <v>&lt;td class="PCIsched"&gt;Portage&lt;/td&gt;</v>
      </c>
      <c r="Q398" t="str">
        <f t="shared" si="46"/>
        <v>&lt;td&gt;50 - 30&lt;/td&gt;</v>
      </c>
      <c r="R398" t="str">
        <f t="shared" si="47"/>
        <v>&lt;td class="EHSsched"&gt;Elmwood&lt;/td&gt;</v>
      </c>
      <c r="S398" t="str">
        <f t="shared" si="48"/>
        <v>&lt;td&gt;WWAC/WAC Tier 2 Regular Season&lt;/td&gt; &lt;/tr&gt;</v>
      </c>
    </row>
    <row r="399" spans="1:19" x14ac:dyDescent="0.25">
      <c r="A399" s="5">
        <v>42410</v>
      </c>
      <c r="B399" s="6">
        <v>0.77083333333333337</v>
      </c>
      <c r="C399" t="s">
        <v>22</v>
      </c>
      <c r="D399" t="s">
        <v>66</v>
      </c>
      <c r="E399">
        <v>22</v>
      </c>
      <c r="F399" t="s">
        <v>8</v>
      </c>
      <c r="G399" t="s">
        <v>60</v>
      </c>
      <c r="H399">
        <v>65</v>
      </c>
      <c r="J399" t="str">
        <f t="shared" si="42"/>
        <v>H</v>
      </c>
      <c r="K399" t="s">
        <v>763</v>
      </c>
      <c r="L399" t="s">
        <v>228</v>
      </c>
      <c r="M399" t="s">
        <v>229</v>
      </c>
      <c r="N399" t="str">
        <f t="shared" si="43"/>
        <v>&lt;tr&gt; &lt;td&gt;Feb. 10&lt;/td&gt;</v>
      </c>
      <c r="O399" t="str">
        <f t="shared" si="44"/>
        <v>&lt;td&gt;6:30 PM&lt;/td&gt;</v>
      </c>
      <c r="P399" t="str">
        <f t="shared" si="45"/>
        <v>&lt;td class="SRSSsched"&gt;Steinbach&lt;/td&gt;</v>
      </c>
      <c r="Q399" t="str">
        <f t="shared" si="46"/>
        <v>&lt;td&gt;22 - 65&lt;/td&gt;</v>
      </c>
      <c r="R399" t="str">
        <f t="shared" si="47"/>
        <v>&lt;td class="DCIsched"&gt;Dakota&lt;/td&gt;</v>
      </c>
      <c r="S399" t="str">
        <f t="shared" si="48"/>
        <v>&lt;td&gt;SCAC Regular Season&lt;/td&gt; &lt;/tr&gt;</v>
      </c>
    </row>
    <row r="400" spans="1:19" x14ac:dyDescent="0.25">
      <c r="A400" s="5">
        <v>42410</v>
      </c>
      <c r="B400" s="6">
        <v>0.8125</v>
      </c>
      <c r="C400" t="s">
        <v>18</v>
      </c>
      <c r="D400" t="s">
        <v>52</v>
      </c>
      <c r="E400">
        <v>77</v>
      </c>
      <c r="F400" t="s">
        <v>17</v>
      </c>
      <c r="G400" t="s">
        <v>50</v>
      </c>
      <c r="H400">
        <v>52</v>
      </c>
      <c r="J400" t="str">
        <f t="shared" si="42"/>
        <v>V</v>
      </c>
      <c r="K400" t="s">
        <v>233</v>
      </c>
      <c r="L400" t="s">
        <v>228</v>
      </c>
      <c r="M400" t="s">
        <v>229</v>
      </c>
      <c r="N400" t="str">
        <f t="shared" si="43"/>
        <v>&lt;tr&gt; &lt;td&gt;Feb. 10&lt;/td&gt;</v>
      </c>
      <c r="O400" t="str">
        <f t="shared" si="44"/>
        <v>&lt;td&gt;7:30 PM&lt;/td&gt;</v>
      </c>
      <c r="P400" t="str">
        <f t="shared" si="45"/>
        <v>&lt;td class="RECsched"&gt;River East&lt;/td&gt;</v>
      </c>
      <c r="Q400" t="str">
        <f t="shared" si="46"/>
        <v>&lt;td&gt;77 - 52&lt;/td&gt;</v>
      </c>
      <c r="R400" t="str">
        <f t="shared" si="47"/>
        <v>&lt;td class="MMCIsched"&gt;Murdoch MacKay&lt;/td&gt;</v>
      </c>
      <c r="S400" t="str">
        <f t="shared" si="48"/>
        <v>&lt;td&gt;KPAC Tier 2 Regular Season&lt;/td&gt; &lt;/tr&gt;</v>
      </c>
    </row>
    <row r="401" spans="1:19" x14ac:dyDescent="0.25">
      <c r="A401" s="5">
        <v>42410</v>
      </c>
      <c r="B401" s="6">
        <v>0.8125</v>
      </c>
      <c r="C401" t="s">
        <v>19</v>
      </c>
      <c r="D401" t="s">
        <v>56</v>
      </c>
      <c r="E401">
        <v>30</v>
      </c>
      <c r="F401" t="s">
        <v>7</v>
      </c>
      <c r="G401" t="s">
        <v>7</v>
      </c>
      <c r="H401">
        <v>60</v>
      </c>
      <c r="J401" t="str">
        <f t="shared" si="42"/>
        <v>H</v>
      </c>
      <c r="K401" t="s">
        <v>233</v>
      </c>
      <c r="L401" t="s">
        <v>228</v>
      </c>
      <c r="M401" t="s">
        <v>229</v>
      </c>
      <c r="N401" t="str">
        <f t="shared" si="43"/>
        <v>&lt;tr&gt; &lt;td&gt;Feb. 10&lt;/td&gt;</v>
      </c>
      <c r="O401" t="str">
        <f t="shared" si="44"/>
        <v>&lt;td&gt;7:30 PM&lt;/td&gt;</v>
      </c>
      <c r="P401" t="str">
        <f t="shared" si="45"/>
        <v>&lt;td class="TCIsched"&gt;Transcona&lt;/td&gt;</v>
      </c>
      <c r="Q401" t="str">
        <f t="shared" si="46"/>
        <v>&lt;td&gt;30 - 60&lt;/td&gt;</v>
      </c>
      <c r="R401" t="str">
        <f t="shared" si="47"/>
        <v>&lt;td class="MBCIsched"&gt;MBCI&lt;/td&gt;</v>
      </c>
      <c r="S401" t="str">
        <f t="shared" si="48"/>
        <v>&lt;td&gt;KPAC Tier 2 Regular Season&lt;/td&gt; &lt;/tr&gt;</v>
      </c>
    </row>
    <row r="402" spans="1:19" x14ac:dyDescent="0.25">
      <c r="A402" s="5">
        <v>42411</v>
      </c>
      <c r="B402" s="6">
        <v>0.41666666666666669</v>
      </c>
      <c r="C402" t="s">
        <v>769</v>
      </c>
      <c r="E402">
        <v>63</v>
      </c>
      <c r="F402" t="s">
        <v>1</v>
      </c>
      <c r="G402" t="s">
        <v>74</v>
      </c>
      <c r="H402">
        <v>69</v>
      </c>
      <c r="J402" t="str">
        <f t="shared" si="42"/>
        <v>H</v>
      </c>
      <c r="K402" t="s">
        <v>770</v>
      </c>
      <c r="L402" t="s">
        <v>175</v>
      </c>
      <c r="N402" t="str">
        <f t="shared" si="43"/>
        <v>&lt;tr&gt; &lt;td&gt;Feb. 11&lt;/td&gt;</v>
      </c>
      <c r="O402" t="str">
        <f t="shared" si="44"/>
        <v>&lt;td&gt;10:00 AM&lt;/td&gt;</v>
      </c>
      <c r="P402" t="str">
        <f t="shared" si="45"/>
        <v>&lt;td class="sched"&gt;Paul Kane&lt;/td&gt;</v>
      </c>
      <c r="Q402" t="str">
        <f t="shared" si="46"/>
        <v>&lt;td&gt;63 - 69&lt;/td&gt;</v>
      </c>
      <c r="R402" t="str">
        <f t="shared" si="47"/>
        <v>&lt;td class="OPHSsched"&gt;Oak Park&lt;/td&gt;</v>
      </c>
      <c r="S402" t="str">
        <f t="shared" si="48"/>
        <v>&lt;td&gt;Ainlay Tri-Prov Quarterfinal 3&lt;/td&gt; &lt;/tr&gt;</v>
      </c>
    </row>
    <row r="403" spans="1:19" x14ac:dyDescent="0.25">
      <c r="A403" s="5">
        <v>42411</v>
      </c>
      <c r="B403" s="6">
        <v>0.66666666666666663</v>
      </c>
      <c r="C403" t="s">
        <v>797</v>
      </c>
      <c r="E403">
        <v>53</v>
      </c>
      <c r="F403" t="s">
        <v>13</v>
      </c>
      <c r="G403" t="s">
        <v>98</v>
      </c>
      <c r="H403">
        <v>68</v>
      </c>
      <c r="J403" t="str">
        <f t="shared" si="42"/>
        <v>H</v>
      </c>
      <c r="K403" t="s">
        <v>770</v>
      </c>
      <c r="L403" t="s">
        <v>173</v>
      </c>
      <c r="N403" t="str">
        <f t="shared" si="43"/>
        <v>&lt;tr&gt; &lt;td&gt;Feb. 11&lt;/td&gt;</v>
      </c>
      <c r="O403" t="str">
        <f t="shared" si="44"/>
        <v>&lt;td&gt;4:00 PM&lt;/td&gt;</v>
      </c>
      <c r="P403" t="str">
        <f t="shared" si="45"/>
        <v>&lt;td class="sched"&gt;Ross Sheppard&lt;/td&gt;</v>
      </c>
      <c r="Q403" t="str">
        <f t="shared" si="46"/>
        <v>&lt;td&gt;53 - 68&lt;/td&gt;</v>
      </c>
      <c r="R403" t="str">
        <f t="shared" si="47"/>
        <v>&lt;td class="WWCsched"&gt;Westwood&lt;/td&gt;</v>
      </c>
      <c r="S403" t="str">
        <f t="shared" si="48"/>
        <v>&lt;td&gt;Ainlay Tri-Prov Quarterfinal 1&lt;/td&gt; &lt;/tr&gt;</v>
      </c>
    </row>
    <row r="404" spans="1:19" x14ac:dyDescent="0.25">
      <c r="A404" s="5">
        <v>42411</v>
      </c>
      <c r="B404" s="6">
        <v>0.75</v>
      </c>
      <c r="C404" t="s">
        <v>162</v>
      </c>
      <c r="D404" t="s">
        <v>164</v>
      </c>
      <c r="E404">
        <v>56</v>
      </c>
      <c r="F404" t="s">
        <v>555</v>
      </c>
      <c r="H404">
        <v>24</v>
      </c>
      <c r="J404" t="str">
        <f t="shared" si="42"/>
        <v>V</v>
      </c>
      <c r="K404" t="s">
        <v>163</v>
      </c>
      <c r="L404" t="s">
        <v>228</v>
      </c>
      <c r="M404" t="s">
        <v>229</v>
      </c>
      <c r="N404" t="str">
        <f t="shared" si="43"/>
        <v>&lt;tr&gt; &lt;td&gt;Feb. 11&lt;/td&gt;</v>
      </c>
      <c r="O404" t="str">
        <f t="shared" si="44"/>
        <v>&lt;td&gt;6:00 PM&lt;/td&gt;</v>
      </c>
      <c r="P404" t="str">
        <f t="shared" si="45"/>
        <v>&lt;td class="GVCsched"&gt;Garden Valley&lt;/td&gt;</v>
      </c>
      <c r="Q404" t="str">
        <f t="shared" si="46"/>
        <v>&lt;td&gt;56 - 24&lt;/td&gt;</v>
      </c>
      <c r="R404" t="str">
        <f t="shared" si="47"/>
        <v>&lt;td class="sched"&gt;W.C. Miller&lt;/td&gt;</v>
      </c>
      <c r="S404" t="str">
        <f t="shared" si="48"/>
        <v>&lt;td&gt;Zone 4 Regular Season&lt;/td&gt; &lt;/tr&gt;</v>
      </c>
    </row>
    <row r="405" spans="1:19" x14ac:dyDescent="0.25">
      <c r="A405" s="5">
        <v>42411</v>
      </c>
      <c r="B405" s="6">
        <v>0.76041666666666663</v>
      </c>
      <c r="C405" t="s">
        <v>24</v>
      </c>
      <c r="D405" t="s">
        <v>82</v>
      </c>
      <c r="E405">
        <v>51</v>
      </c>
      <c r="F405" t="s">
        <v>111</v>
      </c>
      <c r="G405" t="s">
        <v>112</v>
      </c>
      <c r="H405">
        <v>52</v>
      </c>
      <c r="J405" t="str">
        <f t="shared" si="42"/>
        <v>H</v>
      </c>
      <c r="K405" t="s">
        <v>258</v>
      </c>
      <c r="L405" t="s">
        <v>228</v>
      </c>
      <c r="M405" t="s">
        <v>229</v>
      </c>
      <c r="N405" t="str">
        <f t="shared" si="43"/>
        <v>&lt;tr&gt; &lt;td&gt;Feb. 11&lt;/td&gt;</v>
      </c>
      <c r="O405" t="str">
        <f t="shared" si="44"/>
        <v>&lt;td&gt;6:15 PM&lt;/td&gt;</v>
      </c>
      <c r="P405" t="str">
        <f t="shared" si="45"/>
        <v>&lt;td class="DMCIsched"&gt;Daniel McIntyre&lt;/td&gt;</v>
      </c>
      <c r="Q405" t="str">
        <f t="shared" si="46"/>
        <v>&lt;td&gt;51 - 52&lt;/td&gt;</v>
      </c>
      <c r="R405" t="str">
        <f t="shared" si="47"/>
        <v>&lt;td class="SMAsched"&gt;St. Mary's&lt;/td&gt;</v>
      </c>
      <c r="S405" t="str">
        <f t="shared" si="48"/>
        <v>&lt;td&gt;WWAC/WAC Tier 1 Regular Season&lt;/td&gt; &lt;/tr&gt;</v>
      </c>
    </row>
    <row r="406" spans="1:19" x14ac:dyDescent="0.25">
      <c r="A406" s="5">
        <v>42411</v>
      </c>
      <c r="C406" t="s">
        <v>15</v>
      </c>
      <c r="D406" t="s">
        <v>68</v>
      </c>
      <c r="E406">
        <v>27</v>
      </c>
      <c r="F406" t="s">
        <v>11</v>
      </c>
      <c r="G406" t="s">
        <v>48</v>
      </c>
      <c r="H406">
        <v>65</v>
      </c>
      <c r="J406" t="str">
        <f t="shared" si="42"/>
        <v>H</v>
      </c>
      <c r="K406" t="s">
        <v>302</v>
      </c>
      <c r="L406" t="s">
        <v>173</v>
      </c>
      <c r="N406" t="str">
        <f t="shared" si="43"/>
        <v>&lt;tr&gt; &lt;td&gt;Feb. 11&lt;/td&gt;</v>
      </c>
      <c r="O406" t="str">
        <f t="shared" si="44"/>
        <v>&lt;td&gt;&lt;/td&gt;</v>
      </c>
      <c r="P406" t="str">
        <f t="shared" si="45"/>
        <v>&lt;td class="FRCsched"&gt;Fort Richmond&lt;/td&gt;</v>
      </c>
      <c r="Q406" t="str">
        <f t="shared" si="46"/>
        <v>&lt;td&gt;27 - 65&lt;/td&gt;</v>
      </c>
      <c r="R406" t="str">
        <f t="shared" si="47"/>
        <v>&lt;td class="MMCsched"&gt;Miles Macdonell&lt;/td&gt;</v>
      </c>
      <c r="S406" t="str">
        <f t="shared" si="48"/>
        <v>&lt;td&gt;Buckeye Classic Quarterfinal 1&lt;/td&gt; &lt;/tr&gt;</v>
      </c>
    </row>
    <row r="407" spans="1:19" x14ac:dyDescent="0.25">
      <c r="A407" s="5">
        <v>42411</v>
      </c>
      <c r="C407" t="s">
        <v>21</v>
      </c>
      <c r="D407" t="s">
        <v>64</v>
      </c>
      <c r="E407">
        <v>25</v>
      </c>
      <c r="F407" t="s">
        <v>23</v>
      </c>
      <c r="G407" t="s">
        <v>80</v>
      </c>
      <c r="H407">
        <v>65</v>
      </c>
      <c r="J407" t="str">
        <f t="shared" si="42"/>
        <v>H</v>
      </c>
      <c r="K407" t="s">
        <v>302</v>
      </c>
      <c r="L407" t="s">
        <v>174</v>
      </c>
      <c r="N407" t="str">
        <f t="shared" si="43"/>
        <v>&lt;tr&gt; &lt;td&gt;Feb. 11&lt;/td&gt;</v>
      </c>
      <c r="O407" t="str">
        <f t="shared" si="44"/>
        <v>&lt;td&gt;&lt;/td&gt;</v>
      </c>
      <c r="P407" t="str">
        <f t="shared" si="45"/>
        <v>&lt;td class="JHBsched"&gt;J.H. Bruns&lt;/td&gt;</v>
      </c>
      <c r="Q407" t="str">
        <f t="shared" si="46"/>
        <v>&lt;td&gt;25 - 65&lt;/td&gt;</v>
      </c>
      <c r="R407" t="str">
        <f t="shared" si="47"/>
        <v>&lt;td class="VMCsched"&gt;Vincent Massey&lt;/td&gt;</v>
      </c>
      <c r="S407" t="str">
        <f t="shared" si="48"/>
        <v>&lt;td&gt;Buckeye Classic Quarterfinal 2&lt;/td&gt; &lt;/tr&gt;</v>
      </c>
    </row>
    <row r="408" spans="1:19" x14ac:dyDescent="0.25">
      <c r="A408" s="5">
        <v>42411</v>
      </c>
      <c r="C408" t="s">
        <v>2</v>
      </c>
      <c r="D408" t="s">
        <v>43</v>
      </c>
      <c r="E408">
        <v>40</v>
      </c>
      <c r="F408" t="s">
        <v>9</v>
      </c>
      <c r="G408" t="s">
        <v>76</v>
      </c>
      <c r="H408">
        <v>78</v>
      </c>
      <c r="J408" t="str">
        <f t="shared" si="42"/>
        <v>H</v>
      </c>
      <c r="K408" t="s">
        <v>302</v>
      </c>
      <c r="L408" t="s">
        <v>175</v>
      </c>
      <c r="N408" t="str">
        <f t="shared" si="43"/>
        <v>&lt;tr&gt; &lt;td&gt;Feb. 11&lt;/td&gt;</v>
      </c>
      <c r="O408" t="str">
        <f t="shared" si="44"/>
        <v>&lt;td&gt;&lt;/td&gt;</v>
      </c>
      <c r="P408" t="str">
        <f t="shared" si="45"/>
        <v>&lt;td class="KECsched"&gt;Kildonan-East&lt;/td&gt;</v>
      </c>
      <c r="Q408" t="str">
        <f t="shared" si="46"/>
        <v>&lt;td&gt;40 - 78&lt;/td&gt;</v>
      </c>
      <c r="R408" t="str">
        <f t="shared" si="47"/>
        <v>&lt;td class="SiHSsched"&gt;Sisler&lt;/td&gt;</v>
      </c>
      <c r="S408" t="str">
        <f t="shared" si="48"/>
        <v>&lt;td&gt;Buckeye Classic Quarterfinal 3&lt;/td&gt; &lt;/tr&gt;</v>
      </c>
    </row>
    <row r="409" spans="1:19" x14ac:dyDescent="0.25">
      <c r="A409" s="5">
        <v>42411</v>
      </c>
      <c r="C409" t="s">
        <v>5</v>
      </c>
      <c r="D409" t="s">
        <v>62</v>
      </c>
      <c r="E409">
        <v>52</v>
      </c>
      <c r="F409" t="s">
        <v>4</v>
      </c>
      <c r="G409" t="s">
        <v>41</v>
      </c>
      <c r="H409">
        <v>61</v>
      </c>
      <c r="J409" t="str">
        <f t="shared" si="42"/>
        <v>H</v>
      </c>
      <c r="K409" t="s">
        <v>302</v>
      </c>
      <c r="L409" t="s">
        <v>176</v>
      </c>
      <c r="N409" t="str">
        <f t="shared" si="43"/>
        <v>&lt;tr&gt; &lt;td&gt;Feb. 11&lt;/td&gt;</v>
      </c>
      <c r="O409" t="str">
        <f t="shared" si="44"/>
        <v>&lt;td&gt;&lt;/td&gt;</v>
      </c>
      <c r="P409" t="str">
        <f t="shared" si="45"/>
        <v>&lt;td class="GCIsched"&gt;Glenlawn&lt;/td&gt;</v>
      </c>
      <c r="Q409" t="str">
        <f t="shared" si="46"/>
        <v>&lt;td&gt;52 - 61&lt;/td&gt;</v>
      </c>
      <c r="R409" t="str">
        <f t="shared" si="47"/>
        <v>&lt;td class="GCCsched"&gt;Garden City&lt;/td&gt;</v>
      </c>
      <c r="S409" t="str">
        <f t="shared" si="48"/>
        <v>&lt;td&gt;Buckeye Classic Quarterfinal 4&lt;/td&gt; &lt;/tr&gt;</v>
      </c>
    </row>
    <row r="410" spans="1:19" x14ac:dyDescent="0.25">
      <c r="A410" s="5">
        <v>42411</v>
      </c>
      <c r="C410" t="s">
        <v>584</v>
      </c>
      <c r="E410">
        <v>55</v>
      </c>
      <c r="F410" t="s">
        <v>104</v>
      </c>
      <c r="G410" t="s">
        <v>105</v>
      </c>
      <c r="H410">
        <v>17</v>
      </c>
      <c r="J410" t="str">
        <f t="shared" si="42"/>
        <v>V</v>
      </c>
      <c r="K410" t="s">
        <v>104</v>
      </c>
      <c r="L410" t="s">
        <v>582</v>
      </c>
      <c r="N410" t="str">
        <f t="shared" si="43"/>
        <v>&lt;tr&gt; &lt;td&gt;Feb. 11&lt;/td&gt;</v>
      </c>
      <c r="O410" t="str">
        <f t="shared" si="44"/>
        <v>&lt;td&gt;&lt;/td&gt;</v>
      </c>
      <c r="P410" t="str">
        <f t="shared" si="45"/>
        <v>&lt;td class="sched"&gt;Louis Riel&lt;/td&gt;</v>
      </c>
      <c r="Q410" t="str">
        <f t="shared" si="46"/>
        <v>&lt;td&gt;55 - 17&lt;/td&gt;</v>
      </c>
      <c r="R410" t="str">
        <f t="shared" si="47"/>
        <v>&lt;td class="SCIsched"&gt;Springfield&lt;/td&gt;</v>
      </c>
      <c r="S410" t="str">
        <f t="shared" si="48"/>
        <v>&lt;td&gt;Springfield Round Robin&lt;/td&gt; &lt;/tr&gt;</v>
      </c>
    </row>
    <row r="411" spans="1:19" x14ac:dyDescent="0.25">
      <c r="A411" s="5">
        <v>42411</v>
      </c>
      <c r="C411" t="s">
        <v>581</v>
      </c>
      <c r="E411">
        <v>83</v>
      </c>
      <c r="F411" t="s">
        <v>27</v>
      </c>
      <c r="G411" t="s">
        <v>88</v>
      </c>
      <c r="H411">
        <v>51</v>
      </c>
      <c r="J411" t="str">
        <f t="shared" si="42"/>
        <v>V</v>
      </c>
      <c r="K411" t="s">
        <v>104</v>
      </c>
      <c r="L411" t="s">
        <v>582</v>
      </c>
      <c r="N411" t="str">
        <f t="shared" si="43"/>
        <v>&lt;tr&gt; &lt;td&gt;Feb. 11&lt;/td&gt;</v>
      </c>
      <c r="O411" t="str">
        <f t="shared" si="44"/>
        <v>&lt;td&gt;&lt;/td&gt;</v>
      </c>
      <c r="P411" t="str">
        <f t="shared" si="45"/>
        <v>&lt;td class="sched"&gt;Ross L. Gray&lt;/td&gt;</v>
      </c>
      <c r="Q411" t="str">
        <f t="shared" si="46"/>
        <v>&lt;td&gt;83 - 51&lt;/td&gt;</v>
      </c>
      <c r="R411" t="str">
        <f t="shared" si="47"/>
        <v>&lt;td class="GPHSsched"&gt;Grant Park&lt;/td&gt;</v>
      </c>
      <c r="S411" t="str">
        <f t="shared" si="48"/>
        <v>&lt;td&gt;Springfield Round Robin&lt;/td&gt; &lt;/tr&gt;</v>
      </c>
    </row>
    <row r="412" spans="1:19" x14ac:dyDescent="0.25">
      <c r="A412" s="5">
        <v>42412</v>
      </c>
      <c r="B412" s="6">
        <v>0.58333333333333337</v>
      </c>
      <c r="C412" t="s">
        <v>798</v>
      </c>
      <c r="E412">
        <v>89</v>
      </c>
      <c r="F412" t="s">
        <v>13</v>
      </c>
      <c r="G412" t="s">
        <v>98</v>
      </c>
      <c r="H412">
        <v>92</v>
      </c>
      <c r="J412" t="str">
        <f t="shared" si="42"/>
        <v>H</v>
      </c>
      <c r="K412" t="s">
        <v>770</v>
      </c>
      <c r="L412" t="s">
        <v>179</v>
      </c>
      <c r="N412" t="str">
        <f t="shared" si="43"/>
        <v>&lt;tr&gt; &lt;td&gt;Feb. 12&lt;/td&gt;</v>
      </c>
      <c r="O412" t="str">
        <f t="shared" si="44"/>
        <v>&lt;td&gt;2:00 PM&lt;/td&gt;</v>
      </c>
      <c r="P412" t="str">
        <f t="shared" si="45"/>
        <v>&lt;td class="sched"&gt;Harry Ainlay&lt;/td&gt;</v>
      </c>
      <c r="Q412" t="str">
        <f t="shared" si="46"/>
        <v>&lt;td&gt;89 - 92&lt;/td&gt;</v>
      </c>
      <c r="R412" t="str">
        <f t="shared" si="47"/>
        <v>&lt;td class="WWCsched"&gt;Westwood&lt;/td&gt;</v>
      </c>
      <c r="S412" t="str">
        <f t="shared" si="48"/>
        <v>&lt;td&gt;Ainlay Tri-Prov Semifinal 1&lt;/td&gt; &lt;/tr&gt;</v>
      </c>
    </row>
    <row r="413" spans="1:19" x14ac:dyDescent="0.25">
      <c r="A413" s="5">
        <v>42412</v>
      </c>
      <c r="B413" s="6">
        <v>0.70833333333333337</v>
      </c>
      <c r="C413" t="s">
        <v>799</v>
      </c>
      <c r="E413">
        <v>68</v>
      </c>
      <c r="F413" t="s">
        <v>1</v>
      </c>
      <c r="G413" t="s">
        <v>74</v>
      </c>
      <c r="H413">
        <v>70</v>
      </c>
      <c r="J413" t="str">
        <f t="shared" si="42"/>
        <v>H</v>
      </c>
      <c r="K413" t="s">
        <v>770</v>
      </c>
      <c r="L413" t="s">
        <v>180</v>
      </c>
      <c r="N413" t="str">
        <f t="shared" si="43"/>
        <v>&lt;tr&gt; &lt;td&gt;Feb. 12&lt;/td&gt;</v>
      </c>
      <c r="O413" t="str">
        <f t="shared" si="44"/>
        <v>&lt;td&gt;5:00 PM&lt;/td&gt;</v>
      </c>
      <c r="P413" t="str">
        <f t="shared" si="45"/>
        <v>&lt;td class="sched"&gt;St. Albert&lt;/td&gt;</v>
      </c>
      <c r="Q413" t="str">
        <f t="shared" si="46"/>
        <v>&lt;td&gt;68 - 70&lt;/td&gt;</v>
      </c>
      <c r="R413" t="str">
        <f t="shared" si="47"/>
        <v>&lt;td class="OPHSsched"&gt;Oak Park&lt;/td&gt;</v>
      </c>
      <c r="S413" t="str">
        <f t="shared" si="48"/>
        <v>&lt;td&gt;Ainlay Tri-Prov Semifinal 2&lt;/td&gt; &lt;/tr&gt;</v>
      </c>
    </row>
    <row r="414" spans="1:19" x14ac:dyDescent="0.25">
      <c r="A414" s="5">
        <v>42412</v>
      </c>
      <c r="C414" t="s">
        <v>22</v>
      </c>
      <c r="D414" t="s">
        <v>66</v>
      </c>
      <c r="E414">
        <v>60</v>
      </c>
      <c r="F414" t="s">
        <v>240</v>
      </c>
      <c r="H414">
        <v>22</v>
      </c>
      <c r="J414" t="str">
        <f t="shared" si="42"/>
        <v>V</v>
      </c>
      <c r="K414" t="s">
        <v>198</v>
      </c>
      <c r="L414" t="s">
        <v>175</v>
      </c>
      <c r="N414" t="str">
        <f t="shared" si="43"/>
        <v>&lt;tr&gt; &lt;td&gt;Feb. 12&lt;/td&gt;</v>
      </c>
      <c r="O414" t="str">
        <f t="shared" si="44"/>
        <v>&lt;td&gt;&lt;/td&gt;</v>
      </c>
      <c r="P414" t="str">
        <f t="shared" si="45"/>
        <v>&lt;td class="SRSSsched"&gt;Steinbach&lt;/td&gt;</v>
      </c>
      <c r="Q414" t="str">
        <f t="shared" si="46"/>
        <v>&lt;td&gt;60 - 22&lt;/td&gt;</v>
      </c>
      <c r="R414" t="str">
        <f t="shared" si="47"/>
        <v>&lt;td class="sched"&gt;Nelson McIntyre&lt;/td&gt;</v>
      </c>
      <c r="S414" t="str">
        <f t="shared" si="48"/>
        <v>&lt;td&gt;Windsor Park Quarterfinal 3&lt;/td&gt; &lt;/tr&gt;</v>
      </c>
    </row>
    <row r="415" spans="1:19" x14ac:dyDescent="0.25">
      <c r="A415" s="5">
        <v>42412</v>
      </c>
      <c r="C415" t="s">
        <v>162</v>
      </c>
      <c r="D415" t="s">
        <v>164</v>
      </c>
      <c r="E415">
        <v>31</v>
      </c>
      <c r="F415" t="s">
        <v>200</v>
      </c>
      <c r="H415">
        <v>55</v>
      </c>
      <c r="J415" t="str">
        <f t="shared" si="42"/>
        <v>H</v>
      </c>
      <c r="K415" t="s">
        <v>198</v>
      </c>
      <c r="L415" t="s">
        <v>176</v>
      </c>
      <c r="N415" t="str">
        <f t="shared" si="43"/>
        <v>&lt;tr&gt; &lt;td&gt;Feb. 12&lt;/td&gt;</v>
      </c>
      <c r="O415" t="str">
        <f t="shared" si="44"/>
        <v>&lt;td&gt;&lt;/td&gt;</v>
      </c>
      <c r="P415" t="str">
        <f t="shared" si="45"/>
        <v>&lt;td class="GVCsched"&gt;Garden Valley&lt;/td&gt;</v>
      </c>
      <c r="Q415" t="str">
        <f t="shared" si="46"/>
        <v>&lt;td&gt;31 - 55&lt;/td&gt;</v>
      </c>
      <c r="R415" t="str">
        <f t="shared" si="47"/>
        <v>&lt;td class="sched"&gt;St. Norbert&lt;/td&gt;</v>
      </c>
      <c r="S415" t="str">
        <f t="shared" si="48"/>
        <v>&lt;td&gt;Windsor Park Quarterfinal 4&lt;/td&gt; &lt;/tr&gt;</v>
      </c>
    </row>
    <row r="416" spans="1:19" x14ac:dyDescent="0.25">
      <c r="A416" s="5">
        <v>42412</v>
      </c>
      <c r="C416" t="s">
        <v>21</v>
      </c>
      <c r="D416" t="s">
        <v>64</v>
      </c>
      <c r="E416">
        <v>23</v>
      </c>
      <c r="F416" t="s">
        <v>15</v>
      </c>
      <c r="G416" t="s">
        <v>68</v>
      </c>
      <c r="H416">
        <v>49</v>
      </c>
      <c r="J416" t="str">
        <f t="shared" si="42"/>
        <v>H</v>
      </c>
      <c r="K416" t="s">
        <v>302</v>
      </c>
      <c r="L416" t="s">
        <v>177</v>
      </c>
      <c r="N416" t="str">
        <f t="shared" si="43"/>
        <v>&lt;tr&gt; &lt;td&gt;Feb. 12&lt;/td&gt;</v>
      </c>
      <c r="O416" t="str">
        <f t="shared" si="44"/>
        <v>&lt;td&gt;&lt;/td&gt;</v>
      </c>
      <c r="P416" t="str">
        <f t="shared" si="45"/>
        <v>&lt;td class="JHBsched"&gt;J.H. Bruns&lt;/td&gt;</v>
      </c>
      <c r="Q416" t="str">
        <f t="shared" si="46"/>
        <v>&lt;td&gt;23 - 49&lt;/td&gt;</v>
      </c>
      <c r="R416" t="str">
        <f t="shared" si="47"/>
        <v>&lt;td class="FRCsched"&gt;Fort Richmond&lt;/td&gt;</v>
      </c>
      <c r="S416" t="str">
        <f t="shared" si="48"/>
        <v>&lt;td&gt;Buckeye Classic Consolation Semi 1&lt;/td&gt; &lt;/tr&gt;</v>
      </c>
    </row>
    <row r="417" spans="1:19" x14ac:dyDescent="0.25">
      <c r="A417" s="5">
        <v>42412</v>
      </c>
      <c r="C417" t="s">
        <v>5</v>
      </c>
      <c r="D417" t="s">
        <v>62</v>
      </c>
      <c r="E417">
        <v>56</v>
      </c>
      <c r="F417" t="s">
        <v>2</v>
      </c>
      <c r="G417" t="s">
        <v>43</v>
      </c>
      <c r="H417">
        <v>41</v>
      </c>
      <c r="J417" t="str">
        <f t="shared" si="42"/>
        <v>V</v>
      </c>
      <c r="K417" t="s">
        <v>302</v>
      </c>
      <c r="L417" t="s">
        <v>178</v>
      </c>
      <c r="N417" t="str">
        <f t="shared" si="43"/>
        <v>&lt;tr&gt; &lt;td&gt;Feb. 12&lt;/td&gt;</v>
      </c>
      <c r="O417" t="str">
        <f t="shared" si="44"/>
        <v>&lt;td&gt;&lt;/td&gt;</v>
      </c>
      <c r="P417" t="str">
        <f t="shared" si="45"/>
        <v>&lt;td class="GCIsched"&gt;Glenlawn&lt;/td&gt;</v>
      </c>
      <c r="Q417" t="str">
        <f t="shared" si="46"/>
        <v>&lt;td&gt;56 - 41&lt;/td&gt;</v>
      </c>
      <c r="R417" t="str">
        <f t="shared" si="47"/>
        <v>&lt;td class="KECsched"&gt;Kildonan-East&lt;/td&gt;</v>
      </c>
      <c r="S417" t="str">
        <f t="shared" si="48"/>
        <v>&lt;td&gt;Buckeye Classic Consolation Semi 2&lt;/td&gt; &lt;/tr&gt;</v>
      </c>
    </row>
    <row r="418" spans="1:19" x14ac:dyDescent="0.25">
      <c r="A418" s="5">
        <v>42412</v>
      </c>
      <c r="C418" t="s">
        <v>23</v>
      </c>
      <c r="D418" t="s">
        <v>80</v>
      </c>
      <c r="E418">
        <v>54</v>
      </c>
      <c r="F418" t="s">
        <v>11</v>
      </c>
      <c r="G418" t="s">
        <v>48</v>
      </c>
      <c r="H418">
        <v>58</v>
      </c>
      <c r="J418" t="str">
        <f t="shared" si="42"/>
        <v>H</v>
      </c>
      <c r="K418" t="s">
        <v>302</v>
      </c>
      <c r="L418" t="s">
        <v>179</v>
      </c>
      <c r="N418" t="str">
        <f t="shared" si="43"/>
        <v>&lt;tr&gt; &lt;td&gt;Feb. 12&lt;/td&gt;</v>
      </c>
      <c r="O418" t="str">
        <f t="shared" si="44"/>
        <v>&lt;td&gt;&lt;/td&gt;</v>
      </c>
      <c r="P418" t="str">
        <f t="shared" si="45"/>
        <v>&lt;td class="VMCsched"&gt;Vincent Massey&lt;/td&gt;</v>
      </c>
      <c r="Q418" t="str">
        <f t="shared" si="46"/>
        <v>&lt;td&gt;54 - 58&lt;/td&gt;</v>
      </c>
      <c r="R418" t="str">
        <f t="shared" si="47"/>
        <v>&lt;td class="MMCsched"&gt;Miles Macdonell&lt;/td&gt;</v>
      </c>
      <c r="S418" t="str">
        <f t="shared" si="48"/>
        <v>&lt;td&gt;Buckeye Classic Semifinal 1&lt;/td&gt; &lt;/tr&gt;</v>
      </c>
    </row>
    <row r="419" spans="1:19" x14ac:dyDescent="0.25">
      <c r="A419" s="5">
        <v>42412</v>
      </c>
      <c r="C419" t="s">
        <v>4</v>
      </c>
      <c r="D419" t="s">
        <v>41</v>
      </c>
      <c r="E419">
        <v>45</v>
      </c>
      <c r="F419" t="s">
        <v>9</v>
      </c>
      <c r="G419" t="s">
        <v>76</v>
      </c>
      <c r="H419">
        <v>70</v>
      </c>
      <c r="J419" t="str">
        <f t="shared" si="42"/>
        <v>H</v>
      </c>
      <c r="K419" t="s">
        <v>302</v>
      </c>
      <c r="L419" t="s">
        <v>180</v>
      </c>
      <c r="N419" t="str">
        <f t="shared" si="43"/>
        <v>&lt;tr&gt; &lt;td&gt;Feb. 12&lt;/td&gt;</v>
      </c>
      <c r="O419" t="str">
        <f t="shared" si="44"/>
        <v>&lt;td&gt;&lt;/td&gt;</v>
      </c>
      <c r="P419" t="str">
        <f t="shared" si="45"/>
        <v>&lt;td class="GCCsched"&gt;Garden City&lt;/td&gt;</v>
      </c>
      <c r="Q419" t="str">
        <f t="shared" si="46"/>
        <v>&lt;td&gt;45 - 70&lt;/td&gt;</v>
      </c>
      <c r="R419" t="str">
        <f t="shared" si="47"/>
        <v>&lt;td class="SiHSsched"&gt;Sisler&lt;/td&gt;</v>
      </c>
      <c r="S419" t="str">
        <f t="shared" si="48"/>
        <v>&lt;td&gt;Buckeye Classic Semifinal 2&lt;/td&gt; &lt;/tr&gt;</v>
      </c>
    </row>
    <row r="420" spans="1:19" x14ac:dyDescent="0.25">
      <c r="A420" s="5">
        <v>42412</v>
      </c>
      <c r="C420" t="s">
        <v>27</v>
      </c>
      <c r="D420" t="s">
        <v>88</v>
      </c>
      <c r="E420">
        <v>53</v>
      </c>
      <c r="F420" t="s">
        <v>104</v>
      </c>
      <c r="G420" t="s">
        <v>105</v>
      </c>
      <c r="H420">
        <v>25</v>
      </c>
      <c r="J420" t="str">
        <f t="shared" si="42"/>
        <v>V</v>
      </c>
      <c r="K420" t="s">
        <v>104</v>
      </c>
      <c r="L420" t="s">
        <v>582</v>
      </c>
      <c r="N420" t="str">
        <f t="shared" si="43"/>
        <v>&lt;tr&gt; &lt;td&gt;Feb. 12&lt;/td&gt;</v>
      </c>
      <c r="O420" t="str">
        <f t="shared" si="44"/>
        <v>&lt;td&gt;&lt;/td&gt;</v>
      </c>
      <c r="P420" t="str">
        <f t="shared" si="45"/>
        <v>&lt;td class="GPHSsched"&gt;Grant Park&lt;/td&gt;</v>
      </c>
      <c r="Q420" t="str">
        <f t="shared" si="46"/>
        <v>&lt;td&gt;53 - 25&lt;/td&gt;</v>
      </c>
      <c r="R420" t="str">
        <f t="shared" si="47"/>
        <v>&lt;td class="SCIsched"&gt;Springfield&lt;/td&gt;</v>
      </c>
      <c r="S420" t="str">
        <f t="shared" si="48"/>
        <v>&lt;td&gt;Springfield Round Robin&lt;/td&gt; &lt;/tr&gt;</v>
      </c>
    </row>
    <row r="421" spans="1:19" x14ac:dyDescent="0.25">
      <c r="A421" s="5">
        <v>42412</v>
      </c>
      <c r="C421" t="s">
        <v>581</v>
      </c>
      <c r="E421">
        <v>78</v>
      </c>
      <c r="F421" t="s">
        <v>104</v>
      </c>
      <c r="G421" t="s">
        <v>105</v>
      </c>
      <c r="H421">
        <v>34</v>
      </c>
      <c r="J421" t="str">
        <f t="shared" si="42"/>
        <v>V</v>
      </c>
      <c r="K421" t="s">
        <v>104</v>
      </c>
      <c r="L421" t="s">
        <v>582</v>
      </c>
      <c r="N421" t="str">
        <f t="shared" si="43"/>
        <v>&lt;tr&gt; &lt;td&gt;Feb. 12&lt;/td&gt;</v>
      </c>
      <c r="O421" t="str">
        <f t="shared" si="44"/>
        <v>&lt;td&gt;&lt;/td&gt;</v>
      </c>
      <c r="P421" t="str">
        <f t="shared" si="45"/>
        <v>&lt;td class="sched"&gt;Ross L. Gray&lt;/td&gt;</v>
      </c>
      <c r="Q421" t="str">
        <f t="shared" si="46"/>
        <v>&lt;td&gt;78 - 34&lt;/td&gt;</v>
      </c>
      <c r="R421" t="str">
        <f t="shared" si="47"/>
        <v>&lt;td class="SCIsched"&gt;Springfield&lt;/td&gt;</v>
      </c>
      <c r="S421" t="str">
        <f t="shared" si="48"/>
        <v>&lt;td&gt;Springfield Round Robin&lt;/td&gt; &lt;/tr&gt;</v>
      </c>
    </row>
    <row r="422" spans="1:19" x14ac:dyDescent="0.25">
      <c r="A422" s="5">
        <v>42412</v>
      </c>
      <c r="C422" t="s">
        <v>584</v>
      </c>
      <c r="E422">
        <v>44</v>
      </c>
      <c r="F422" t="s">
        <v>27</v>
      </c>
      <c r="G422" t="s">
        <v>88</v>
      </c>
      <c r="H422">
        <v>28</v>
      </c>
      <c r="J422" t="str">
        <f t="shared" si="42"/>
        <v>V</v>
      </c>
      <c r="K422" t="s">
        <v>104</v>
      </c>
      <c r="L422" t="s">
        <v>582</v>
      </c>
      <c r="N422" t="str">
        <f t="shared" si="43"/>
        <v>&lt;tr&gt; &lt;td&gt;Feb. 12&lt;/td&gt;</v>
      </c>
      <c r="O422" t="str">
        <f t="shared" si="44"/>
        <v>&lt;td&gt;&lt;/td&gt;</v>
      </c>
      <c r="P422" t="str">
        <f t="shared" si="45"/>
        <v>&lt;td class="sched"&gt;Louis Riel&lt;/td&gt;</v>
      </c>
      <c r="Q422" t="str">
        <f t="shared" si="46"/>
        <v>&lt;td&gt;44 - 28&lt;/td&gt;</v>
      </c>
      <c r="R422" t="str">
        <f t="shared" si="47"/>
        <v>&lt;td class="GPHSsched"&gt;Grant Park&lt;/td&gt;</v>
      </c>
      <c r="S422" t="str">
        <f t="shared" si="48"/>
        <v>&lt;td&gt;Springfield Round Robin&lt;/td&gt; &lt;/tr&gt;</v>
      </c>
    </row>
    <row r="423" spans="1:19" x14ac:dyDescent="0.25">
      <c r="A423" s="5">
        <v>42413</v>
      </c>
      <c r="B423" s="6">
        <v>0.79166666666666663</v>
      </c>
      <c r="C423" t="s">
        <v>1</v>
      </c>
      <c r="D423" t="s">
        <v>74</v>
      </c>
      <c r="E423">
        <v>64</v>
      </c>
      <c r="F423" t="s">
        <v>13</v>
      </c>
      <c r="G423" t="s">
        <v>98</v>
      </c>
      <c r="H423">
        <v>51</v>
      </c>
      <c r="J423" t="str">
        <f t="shared" si="42"/>
        <v>V</v>
      </c>
      <c r="K423" t="s">
        <v>770</v>
      </c>
      <c r="L423" t="s">
        <v>184</v>
      </c>
      <c r="N423" t="str">
        <f t="shared" si="43"/>
        <v>&lt;tr&gt; &lt;td&gt;Feb. 13&lt;/td&gt;</v>
      </c>
      <c r="O423" t="str">
        <f t="shared" si="44"/>
        <v>&lt;td&gt;7:00 PM&lt;/td&gt;</v>
      </c>
      <c r="P423" t="str">
        <f t="shared" si="45"/>
        <v>&lt;td class="OPHSsched"&gt;Oak Park&lt;/td&gt;</v>
      </c>
      <c r="Q423" t="str">
        <f t="shared" si="46"/>
        <v>&lt;td&gt;64 - 51&lt;/td&gt;</v>
      </c>
      <c r="R423" t="str">
        <f t="shared" si="47"/>
        <v>&lt;td class="WWCsched"&gt;Westwood&lt;/td&gt;</v>
      </c>
      <c r="S423" t="str">
        <f t="shared" si="48"/>
        <v>&lt;td&gt;Ainlay Tri-Prov Championship&lt;/td&gt; &lt;/tr&gt;</v>
      </c>
    </row>
    <row r="424" spans="1:19" x14ac:dyDescent="0.25">
      <c r="A424" s="5">
        <v>42413</v>
      </c>
      <c r="C424" t="s">
        <v>162</v>
      </c>
      <c r="D424" t="s">
        <v>164</v>
      </c>
      <c r="E424">
        <v>74</v>
      </c>
      <c r="F424" t="s">
        <v>240</v>
      </c>
      <c r="H424">
        <v>33</v>
      </c>
      <c r="J424" t="str">
        <f t="shared" si="42"/>
        <v>V</v>
      </c>
      <c r="K424" t="s">
        <v>198</v>
      </c>
      <c r="L424" t="s">
        <v>178</v>
      </c>
      <c r="N424" t="str">
        <f t="shared" si="43"/>
        <v>&lt;tr&gt; &lt;td&gt;Feb. 13&lt;/td&gt;</v>
      </c>
      <c r="O424" t="str">
        <f t="shared" si="44"/>
        <v>&lt;td&gt;&lt;/td&gt;</v>
      </c>
      <c r="P424" t="str">
        <f t="shared" si="45"/>
        <v>&lt;td class="GVCsched"&gt;Garden Valley&lt;/td&gt;</v>
      </c>
      <c r="Q424" t="str">
        <f t="shared" si="46"/>
        <v>&lt;td&gt;74 - 33&lt;/td&gt;</v>
      </c>
      <c r="R424" t="str">
        <f t="shared" si="47"/>
        <v>&lt;td class="sched"&gt;Nelson McIntyre&lt;/td&gt;</v>
      </c>
      <c r="S424" t="str">
        <f t="shared" si="48"/>
        <v>&lt;td&gt;Windsor Park Consolation Semi 2&lt;/td&gt; &lt;/tr&gt;</v>
      </c>
    </row>
    <row r="425" spans="1:19" x14ac:dyDescent="0.25">
      <c r="A425" s="5">
        <v>42413</v>
      </c>
      <c r="C425" t="s">
        <v>200</v>
      </c>
      <c r="E425">
        <v>52</v>
      </c>
      <c r="F425" t="s">
        <v>22</v>
      </c>
      <c r="G425" t="s">
        <v>66</v>
      </c>
      <c r="H425">
        <v>32</v>
      </c>
      <c r="J425" t="str">
        <f t="shared" si="42"/>
        <v>V</v>
      </c>
      <c r="K425" t="s">
        <v>198</v>
      </c>
      <c r="L425" t="s">
        <v>180</v>
      </c>
      <c r="N425" t="str">
        <f t="shared" si="43"/>
        <v>&lt;tr&gt; &lt;td&gt;Feb. 13&lt;/td&gt;</v>
      </c>
      <c r="O425" t="str">
        <f t="shared" si="44"/>
        <v>&lt;td&gt;&lt;/td&gt;</v>
      </c>
      <c r="P425" t="str">
        <f t="shared" si="45"/>
        <v>&lt;td class="sched"&gt;St. Norbert&lt;/td&gt;</v>
      </c>
      <c r="Q425" t="str">
        <f t="shared" si="46"/>
        <v>&lt;td&gt;52 - 32&lt;/td&gt;</v>
      </c>
      <c r="R425" t="str">
        <f t="shared" si="47"/>
        <v>&lt;td class="SRSSsched"&gt;Steinbach&lt;/td&gt;</v>
      </c>
      <c r="S425" t="str">
        <f t="shared" si="48"/>
        <v>&lt;td&gt;Windsor Park Semifinal 2&lt;/td&gt; &lt;/tr&gt;</v>
      </c>
    </row>
    <row r="426" spans="1:19" x14ac:dyDescent="0.25">
      <c r="A426" s="5">
        <v>42413</v>
      </c>
      <c r="C426" t="s">
        <v>162</v>
      </c>
      <c r="D426" t="s">
        <v>164</v>
      </c>
      <c r="E426">
        <v>51</v>
      </c>
      <c r="F426" t="s">
        <v>198</v>
      </c>
      <c r="H426">
        <v>26</v>
      </c>
      <c r="J426" t="str">
        <f t="shared" si="42"/>
        <v>V</v>
      </c>
      <c r="K426" t="s">
        <v>198</v>
      </c>
      <c r="L426" t="s">
        <v>182</v>
      </c>
      <c r="N426" t="str">
        <f t="shared" si="43"/>
        <v>&lt;tr&gt; &lt;td&gt;Feb. 13&lt;/td&gt;</v>
      </c>
      <c r="O426" t="str">
        <f t="shared" si="44"/>
        <v>&lt;td&gt;&lt;/td&gt;</v>
      </c>
      <c r="P426" t="str">
        <f t="shared" si="45"/>
        <v>&lt;td class="GVCsched"&gt;Garden Valley&lt;/td&gt;</v>
      </c>
      <c r="Q426" t="str">
        <f t="shared" si="46"/>
        <v>&lt;td&gt;51 - 26&lt;/td&gt;</v>
      </c>
      <c r="R426" t="str">
        <f t="shared" si="47"/>
        <v>&lt;td class="sched"&gt;Windsor Park&lt;/td&gt;</v>
      </c>
      <c r="S426" t="str">
        <f t="shared" si="48"/>
        <v>&lt;td&gt;Windsor Park Consolation Final&lt;/td&gt; &lt;/tr&gt;</v>
      </c>
    </row>
    <row r="427" spans="1:19" x14ac:dyDescent="0.25">
      <c r="A427" s="5">
        <v>42413</v>
      </c>
      <c r="C427" t="s">
        <v>22</v>
      </c>
      <c r="D427" t="s">
        <v>66</v>
      </c>
      <c r="E427">
        <v>58</v>
      </c>
      <c r="F427" t="s">
        <v>253</v>
      </c>
      <c r="H427">
        <v>42</v>
      </c>
      <c r="J427" t="str">
        <f t="shared" si="42"/>
        <v>V</v>
      </c>
      <c r="K427" t="s">
        <v>198</v>
      </c>
      <c r="L427" t="s">
        <v>183</v>
      </c>
      <c r="N427" t="str">
        <f t="shared" si="43"/>
        <v>&lt;tr&gt; &lt;td&gt;Feb. 13&lt;/td&gt;</v>
      </c>
      <c r="O427" t="str">
        <f t="shared" si="44"/>
        <v>&lt;td&gt;&lt;/td&gt;</v>
      </c>
      <c r="P427" t="str">
        <f t="shared" si="45"/>
        <v>&lt;td class="SRSSsched"&gt;Steinbach&lt;/td&gt;</v>
      </c>
      <c r="Q427" t="str">
        <f t="shared" si="46"/>
        <v>&lt;td&gt;58 - 42&lt;/td&gt;</v>
      </c>
      <c r="R427" t="str">
        <f t="shared" si="47"/>
        <v>&lt;td class="sched"&gt;St. James&lt;/td&gt;</v>
      </c>
      <c r="S427" t="str">
        <f t="shared" si="48"/>
        <v>&lt;td&gt;Windsor Park 3rd Place&lt;/td&gt; &lt;/tr&gt;</v>
      </c>
    </row>
    <row r="428" spans="1:19" x14ac:dyDescent="0.25">
      <c r="A428" s="5">
        <v>42413</v>
      </c>
      <c r="C428" t="s">
        <v>2</v>
      </c>
      <c r="D428" t="s">
        <v>43</v>
      </c>
      <c r="E428">
        <v>45</v>
      </c>
      <c r="F428" t="s">
        <v>21</v>
      </c>
      <c r="G428" t="s">
        <v>64</v>
      </c>
      <c r="H428">
        <v>26</v>
      </c>
      <c r="J428" t="str">
        <f t="shared" si="42"/>
        <v>V</v>
      </c>
      <c r="K428" t="s">
        <v>302</v>
      </c>
      <c r="L428" t="s">
        <v>181</v>
      </c>
      <c r="N428" t="str">
        <f t="shared" si="43"/>
        <v>&lt;tr&gt; &lt;td&gt;Feb. 13&lt;/td&gt;</v>
      </c>
      <c r="O428" t="str">
        <f t="shared" si="44"/>
        <v>&lt;td&gt;&lt;/td&gt;</v>
      </c>
      <c r="P428" t="str">
        <f t="shared" si="45"/>
        <v>&lt;td class="KECsched"&gt;Kildonan-East&lt;/td&gt;</v>
      </c>
      <c r="Q428" t="str">
        <f t="shared" si="46"/>
        <v>&lt;td&gt;45 - 26&lt;/td&gt;</v>
      </c>
      <c r="R428" t="str">
        <f t="shared" si="47"/>
        <v>&lt;td class="JHBsched"&gt;J.H. Bruns&lt;/td&gt;</v>
      </c>
      <c r="S428" t="str">
        <f t="shared" si="48"/>
        <v>&lt;td&gt;Buckeye Classic 7th Place&lt;/td&gt; &lt;/tr&gt;</v>
      </c>
    </row>
    <row r="429" spans="1:19" x14ac:dyDescent="0.25">
      <c r="A429" s="5">
        <v>42413</v>
      </c>
      <c r="C429" t="s">
        <v>5</v>
      </c>
      <c r="D429" t="s">
        <v>62</v>
      </c>
      <c r="E429">
        <v>71</v>
      </c>
      <c r="F429" t="s">
        <v>15</v>
      </c>
      <c r="G429" t="s">
        <v>68</v>
      </c>
      <c r="H429">
        <v>21</v>
      </c>
      <c r="J429" t="str">
        <f t="shared" si="42"/>
        <v>V</v>
      </c>
      <c r="K429" t="s">
        <v>302</v>
      </c>
      <c r="L429" t="s">
        <v>182</v>
      </c>
      <c r="N429" t="str">
        <f t="shared" si="43"/>
        <v>&lt;tr&gt; &lt;td&gt;Feb. 13&lt;/td&gt;</v>
      </c>
      <c r="O429" t="str">
        <f t="shared" si="44"/>
        <v>&lt;td&gt;&lt;/td&gt;</v>
      </c>
      <c r="P429" t="str">
        <f t="shared" si="45"/>
        <v>&lt;td class="GCIsched"&gt;Glenlawn&lt;/td&gt;</v>
      </c>
      <c r="Q429" t="str">
        <f t="shared" si="46"/>
        <v>&lt;td&gt;71 - 21&lt;/td&gt;</v>
      </c>
      <c r="R429" t="str">
        <f t="shared" si="47"/>
        <v>&lt;td class="FRCsched"&gt;Fort Richmond&lt;/td&gt;</v>
      </c>
      <c r="S429" t="str">
        <f t="shared" si="48"/>
        <v>&lt;td&gt;Buckeye Classic Consolation Final&lt;/td&gt; &lt;/tr&gt;</v>
      </c>
    </row>
    <row r="430" spans="1:19" x14ac:dyDescent="0.25">
      <c r="A430" s="5">
        <v>42413</v>
      </c>
      <c r="C430" t="s">
        <v>4</v>
      </c>
      <c r="D430" t="s">
        <v>41</v>
      </c>
      <c r="E430">
        <v>70</v>
      </c>
      <c r="F430" t="s">
        <v>23</v>
      </c>
      <c r="G430" t="s">
        <v>80</v>
      </c>
      <c r="H430">
        <v>82</v>
      </c>
      <c r="J430" t="str">
        <f t="shared" si="42"/>
        <v>H</v>
      </c>
      <c r="K430" t="s">
        <v>302</v>
      </c>
      <c r="L430" t="s">
        <v>183</v>
      </c>
      <c r="N430" t="str">
        <f t="shared" si="43"/>
        <v>&lt;tr&gt; &lt;td&gt;Feb. 13&lt;/td&gt;</v>
      </c>
      <c r="O430" t="str">
        <f t="shared" si="44"/>
        <v>&lt;td&gt;&lt;/td&gt;</v>
      </c>
      <c r="P430" t="str">
        <f t="shared" si="45"/>
        <v>&lt;td class="GCCsched"&gt;Garden City&lt;/td&gt;</v>
      </c>
      <c r="Q430" t="str">
        <f t="shared" si="46"/>
        <v>&lt;td&gt;70 - 82&lt;/td&gt;</v>
      </c>
      <c r="R430" t="str">
        <f t="shared" si="47"/>
        <v>&lt;td class="VMCsched"&gt;Vincent Massey&lt;/td&gt;</v>
      </c>
      <c r="S430" t="str">
        <f t="shared" si="48"/>
        <v>&lt;td&gt;Buckeye Classic 3rd Place&lt;/td&gt; &lt;/tr&gt;</v>
      </c>
    </row>
    <row r="431" spans="1:19" x14ac:dyDescent="0.25">
      <c r="A431" s="5">
        <v>42413</v>
      </c>
      <c r="C431" t="s">
        <v>9</v>
      </c>
      <c r="D431" t="s">
        <v>76</v>
      </c>
      <c r="E431">
        <v>84</v>
      </c>
      <c r="F431" t="s">
        <v>11</v>
      </c>
      <c r="G431" t="s">
        <v>48</v>
      </c>
      <c r="H431">
        <v>38</v>
      </c>
      <c r="J431" t="str">
        <f t="shared" si="42"/>
        <v>V</v>
      </c>
      <c r="K431" t="s">
        <v>302</v>
      </c>
      <c r="L431" t="s">
        <v>184</v>
      </c>
      <c r="N431" t="str">
        <f t="shared" si="43"/>
        <v>&lt;tr&gt; &lt;td&gt;Feb. 13&lt;/td&gt;</v>
      </c>
      <c r="O431" t="str">
        <f t="shared" si="44"/>
        <v>&lt;td&gt;&lt;/td&gt;</v>
      </c>
      <c r="P431" t="str">
        <f t="shared" si="45"/>
        <v>&lt;td class="SiHSsched"&gt;Sisler&lt;/td&gt;</v>
      </c>
      <c r="Q431" t="str">
        <f t="shared" si="46"/>
        <v>&lt;td&gt;84 - 38&lt;/td&gt;</v>
      </c>
      <c r="R431" t="str">
        <f t="shared" si="47"/>
        <v>&lt;td class="MMCsched"&gt;Miles Macdonell&lt;/td&gt;</v>
      </c>
      <c r="S431" t="str">
        <f t="shared" si="48"/>
        <v>&lt;td&gt;Buckeye Classic Championship&lt;/td&gt; &lt;/tr&gt;</v>
      </c>
    </row>
    <row r="432" spans="1:19" x14ac:dyDescent="0.25">
      <c r="A432" s="5">
        <v>42416</v>
      </c>
      <c r="B432" s="6">
        <v>0.6875</v>
      </c>
      <c r="C432" t="s">
        <v>6</v>
      </c>
      <c r="D432" t="s">
        <v>70</v>
      </c>
      <c r="E432">
        <v>53</v>
      </c>
      <c r="F432" t="s">
        <v>24</v>
      </c>
      <c r="G432" t="s">
        <v>82</v>
      </c>
      <c r="H432">
        <v>65</v>
      </c>
      <c r="J432" t="str">
        <f t="shared" si="42"/>
        <v>H</v>
      </c>
      <c r="K432" t="s">
        <v>258</v>
      </c>
      <c r="L432" t="s">
        <v>228</v>
      </c>
      <c r="M432" t="s">
        <v>229</v>
      </c>
      <c r="N432" t="str">
        <f t="shared" si="43"/>
        <v>&lt;tr&gt; &lt;td&gt;Feb. 16&lt;/td&gt;</v>
      </c>
      <c r="O432" t="str">
        <f t="shared" si="44"/>
        <v>&lt;td&gt;4:30 PM&lt;/td&gt;</v>
      </c>
      <c r="P432" t="str">
        <f t="shared" si="45"/>
        <v>&lt;td class="JTCsched"&gt;John Taylor&lt;/td&gt;</v>
      </c>
      <c r="Q432" t="str">
        <f t="shared" si="46"/>
        <v>&lt;td&gt;53 - 65&lt;/td&gt;</v>
      </c>
      <c r="R432" t="str">
        <f t="shared" si="47"/>
        <v>&lt;td class="DMCIsched"&gt;Daniel McIntyre&lt;/td&gt;</v>
      </c>
      <c r="S432" t="str">
        <f t="shared" si="48"/>
        <v>&lt;td&gt;WWAC/WAC Tier 1 Regular Season&lt;/td&gt; &lt;/tr&gt;</v>
      </c>
    </row>
    <row r="433" spans="1:19" x14ac:dyDescent="0.25">
      <c r="A433" s="5">
        <v>42416</v>
      </c>
      <c r="B433" s="6">
        <v>0.75</v>
      </c>
      <c r="C433" t="s">
        <v>19</v>
      </c>
      <c r="D433" t="s">
        <v>56</v>
      </c>
      <c r="E433">
        <v>31</v>
      </c>
      <c r="F433" t="s">
        <v>104</v>
      </c>
      <c r="G433" t="s">
        <v>105</v>
      </c>
      <c r="H433">
        <v>39</v>
      </c>
      <c r="J433" t="str">
        <f t="shared" ref="J433:J496" si="49">IF(H433&gt;E433,"H",IF(E433&gt;H433,"V",""))</f>
        <v>H</v>
      </c>
      <c r="K433" t="s">
        <v>233</v>
      </c>
      <c r="L433" t="s">
        <v>228</v>
      </c>
      <c r="M433" t="s">
        <v>229</v>
      </c>
      <c r="N433" t="str">
        <f t="shared" si="43"/>
        <v>&lt;tr&gt; &lt;td&gt;Feb. 16&lt;/td&gt;</v>
      </c>
      <c r="O433" t="str">
        <f t="shared" si="44"/>
        <v>&lt;td&gt;6:00 PM&lt;/td&gt;</v>
      </c>
      <c r="P433" t="str">
        <f t="shared" si="45"/>
        <v>&lt;td class="TCIsched"&gt;Transcona&lt;/td&gt;</v>
      </c>
      <c r="Q433" t="str">
        <f t="shared" si="46"/>
        <v>&lt;td&gt;31 - 39&lt;/td&gt;</v>
      </c>
      <c r="R433" t="str">
        <f t="shared" si="47"/>
        <v>&lt;td class="SCIsched"&gt;Springfield&lt;/td&gt;</v>
      </c>
      <c r="S433" t="str">
        <f t="shared" si="48"/>
        <v>&lt;td&gt;KPAC Tier 2 Regular Season&lt;/td&gt; &lt;/tr&gt;</v>
      </c>
    </row>
    <row r="434" spans="1:19" x14ac:dyDescent="0.25">
      <c r="A434" s="5">
        <v>42416</v>
      </c>
      <c r="B434" s="6">
        <v>0.75</v>
      </c>
      <c r="C434" t="s">
        <v>760</v>
      </c>
      <c r="E434">
        <v>24</v>
      </c>
      <c r="F434" t="s">
        <v>162</v>
      </c>
      <c r="G434" t="s">
        <v>164</v>
      </c>
      <c r="H434">
        <v>53</v>
      </c>
      <c r="J434" t="str">
        <f t="shared" si="49"/>
        <v>H</v>
      </c>
      <c r="K434" t="s">
        <v>163</v>
      </c>
      <c r="L434" t="s">
        <v>228</v>
      </c>
      <c r="M434" t="s">
        <v>229</v>
      </c>
      <c r="N434" t="str">
        <f t="shared" si="43"/>
        <v>&lt;tr&gt; &lt;td&gt;Feb. 16&lt;/td&gt;</v>
      </c>
      <c r="O434" t="str">
        <f t="shared" si="44"/>
        <v>&lt;td&gt;6:00 PM&lt;/td&gt;</v>
      </c>
      <c r="P434" t="str">
        <f t="shared" si="45"/>
        <v>&lt;td class="sched"&gt;Morden&lt;/td&gt;</v>
      </c>
      <c r="Q434" t="str">
        <f t="shared" si="46"/>
        <v>&lt;td&gt;24 - 53&lt;/td&gt;</v>
      </c>
      <c r="R434" t="str">
        <f t="shared" si="47"/>
        <v>&lt;td class="GVCsched"&gt;Garden Valley&lt;/td&gt;</v>
      </c>
      <c r="S434" t="str">
        <f t="shared" si="48"/>
        <v>&lt;td&gt;Zone 4 Regular Season&lt;/td&gt; &lt;/tr&gt;</v>
      </c>
    </row>
    <row r="435" spans="1:19" x14ac:dyDescent="0.25">
      <c r="A435" s="5">
        <v>42416</v>
      </c>
      <c r="B435" s="6">
        <v>0.76041666666666663</v>
      </c>
      <c r="C435" t="s">
        <v>1</v>
      </c>
      <c r="D435" t="s">
        <v>74</v>
      </c>
      <c r="E435">
        <v>72</v>
      </c>
      <c r="F435" t="s">
        <v>111</v>
      </c>
      <c r="G435" t="s">
        <v>112</v>
      </c>
      <c r="H435">
        <v>44</v>
      </c>
      <c r="J435" t="str">
        <f t="shared" si="49"/>
        <v>V</v>
      </c>
      <c r="K435" t="s">
        <v>258</v>
      </c>
      <c r="L435" t="s">
        <v>228</v>
      </c>
      <c r="M435" t="s">
        <v>229</v>
      </c>
      <c r="N435" t="str">
        <f t="shared" si="43"/>
        <v>&lt;tr&gt; &lt;td&gt;Feb. 16&lt;/td&gt;</v>
      </c>
      <c r="O435" t="str">
        <f t="shared" si="44"/>
        <v>&lt;td&gt;6:15 PM&lt;/td&gt;</v>
      </c>
      <c r="P435" t="str">
        <f t="shared" si="45"/>
        <v>&lt;td class="OPHSsched"&gt;Oak Park&lt;/td&gt;</v>
      </c>
      <c r="Q435" t="str">
        <f t="shared" si="46"/>
        <v>&lt;td&gt;72 - 44&lt;/td&gt;</v>
      </c>
      <c r="R435" t="str">
        <f t="shared" si="47"/>
        <v>&lt;td class="SMAsched"&gt;St. Mary's&lt;/td&gt;</v>
      </c>
      <c r="S435" t="str">
        <f t="shared" si="48"/>
        <v>&lt;td&gt;WWAC/WAC Tier 1 Regular Season&lt;/td&gt; &lt;/tr&gt;</v>
      </c>
    </row>
    <row r="436" spans="1:19" x14ac:dyDescent="0.25">
      <c r="A436" s="5">
        <v>42417</v>
      </c>
      <c r="B436" s="6">
        <v>0.6875</v>
      </c>
      <c r="C436" t="s">
        <v>27</v>
      </c>
      <c r="D436" t="s">
        <v>88</v>
      </c>
      <c r="E436">
        <v>61</v>
      </c>
      <c r="F436" t="s">
        <v>30</v>
      </c>
      <c r="G436" t="s">
        <v>92</v>
      </c>
      <c r="H436">
        <v>44</v>
      </c>
      <c r="J436" t="str">
        <f t="shared" si="49"/>
        <v>V</v>
      </c>
      <c r="K436" t="s">
        <v>257</v>
      </c>
      <c r="L436" t="s">
        <v>228</v>
      </c>
      <c r="M436" t="s">
        <v>229</v>
      </c>
      <c r="N436" t="str">
        <f t="shared" si="43"/>
        <v>&lt;tr&gt; &lt;td&gt;Feb. 17&lt;/td&gt;</v>
      </c>
      <c r="O436" t="str">
        <f t="shared" si="44"/>
        <v>&lt;td&gt;4:30 PM&lt;/td&gt;</v>
      </c>
      <c r="P436" t="str">
        <f t="shared" si="45"/>
        <v>&lt;td class="GPHSsched"&gt;Grant Park&lt;/td&gt;</v>
      </c>
      <c r="Q436" t="str">
        <f t="shared" si="46"/>
        <v>&lt;td&gt;61 - 44&lt;/td&gt;</v>
      </c>
      <c r="R436" t="str">
        <f t="shared" si="47"/>
        <v>&lt;td class="SJHSsched"&gt;St. John's&lt;/td&gt;</v>
      </c>
      <c r="S436" t="str">
        <f t="shared" si="48"/>
        <v>&lt;td&gt;WWAC/WAC Tier 2 Regular Season&lt;/td&gt; &lt;/tr&gt;</v>
      </c>
    </row>
    <row r="437" spans="1:19" x14ac:dyDescent="0.25">
      <c r="A437" s="5">
        <v>42417</v>
      </c>
      <c r="B437" s="6">
        <v>0.6875</v>
      </c>
      <c r="C437" t="s">
        <v>26</v>
      </c>
      <c r="D437" t="s">
        <v>86</v>
      </c>
      <c r="E437">
        <v>78</v>
      </c>
      <c r="F437" t="s">
        <v>10</v>
      </c>
      <c r="G437" t="s">
        <v>72</v>
      </c>
      <c r="H437">
        <v>81</v>
      </c>
      <c r="J437" t="str">
        <f t="shared" si="49"/>
        <v>H</v>
      </c>
      <c r="K437" t="s">
        <v>257</v>
      </c>
      <c r="L437" t="s">
        <v>228</v>
      </c>
      <c r="M437" t="s">
        <v>229</v>
      </c>
      <c r="N437" t="str">
        <f t="shared" si="43"/>
        <v>&lt;tr&gt; &lt;td&gt;Feb. 17&lt;/td&gt;</v>
      </c>
      <c r="O437" t="str">
        <f t="shared" si="44"/>
        <v>&lt;td&gt;4:30 PM&lt;/td&gt;</v>
      </c>
      <c r="P437" t="str">
        <f t="shared" si="45"/>
        <v>&lt;td class="GBHSsched"&gt;Gordon Bell&lt;/td&gt;</v>
      </c>
      <c r="Q437" t="str">
        <f t="shared" si="46"/>
        <v>&lt;td&gt;78 - 81&lt;/td&gt;</v>
      </c>
      <c r="R437" t="str">
        <f t="shared" si="47"/>
        <v>&lt;td class="KHSsched"&gt;Kelvin&lt;/td&gt;</v>
      </c>
      <c r="S437" t="str">
        <f t="shared" si="48"/>
        <v>&lt;td&gt;WWAC/WAC Tier 2 Regular Season&lt;/td&gt; &lt;/tr&gt;</v>
      </c>
    </row>
    <row r="438" spans="1:19" x14ac:dyDescent="0.25">
      <c r="A438" s="5">
        <v>42417</v>
      </c>
      <c r="B438" s="6">
        <v>0.70833333333333337</v>
      </c>
      <c r="C438" t="s">
        <v>171</v>
      </c>
      <c r="E438">
        <v>55</v>
      </c>
      <c r="F438" t="s">
        <v>28</v>
      </c>
      <c r="G438" t="s">
        <v>90</v>
      </c>
      <c r="H438">
        <v>57</v>
      </c>
      <c r="J438" t="str">
        <f t="shared" si="49"/>
        <v>H</v>
      </c>
      <c r="K438" t="s">
        <v>257</v>
      </c>
      <c r="L438" t="s">
        <v>228</v>
      </c>
      <c r="M438" t="s">
        <v>229</v>
      </c>
      <c r="N438" t="str">
        <f t="shared" si="43"/>
        <v>&lt;tr&gt; &lt;td&gt;Feb. 17&lt;/td&gt;</v>
      </c>
      <c r="O438" t="str">
        <f t="shared" si="44"/>
        <v>&lt;td&gt;5:00 PM&lt;/td&gt;</v>
      </c>
      <c r="P438" t="str">
        <f t="shared" si="45"/>
        <v>&lt;td class="sched"&gt;Churchill&lt;/td&gt;</v>
      </c>
      <c r="Q438" t="str">
        <f t="shared" si="46"/>
        <v>&lt;td&gt;55 - 57&lt;/td&gt;</v>
      </c>
      <c r="R438" t="str">
        <f t="shared" si="47"/>
        <v>&lt;td class="PCIsched"&gt;Portage&lt;/td&gt;</v>
      </c>
      <c r="S438" t="str">
        <f t="shared" si="48"/>
        <v>&lt;td&gt;WWAC/WAC Tier 2 Regular Season&lt;/td&gt; &lt;/tr&gt;</v>
      </c>
    </row>
    <row r="439" spans="1:19" x14ac:dyDescent="0.25">
      <c r="A439" s="5">
        <v>42417</v>
      </c>
      <c r="B439" s="6">
        <v>0.72916666666666663</v>
      </c>
      <c r="C439" t="s">
        <v>8</v>
      </c>
      <c r="D439" t="s">
        <v>60</v>
      </c>
      <c r="E439">
        <v>23</v>
      </c>
      <c r="F439" t="s">
        <v>5</v>
      </c>
      <c r="G439" t="s">
        <v>62</v>
      </c>
      <c r="H439">
        <v>61</v>
      </c>
      <c r="J439" t="str">
        <f t="shared" si="49"/>
        <v>H</v>
      </c>
      <c r="K439" t="s">
        <v>763</v>
      </c>
      <c r="L439" t="s">
        <v>228</v>
      </c>
      <c r="M439" t="s">
        <v>229</v>
      </c>
      <c r="N439" t="str">
        <f t="shared" si="43"/>
        <v>&lt;tr&gt; &lt;td&gt;Feb. 17&lt;/td&gt;</v>
      </c>
      <c r="O439" t="str">
        <f t="shared" si="44"/>
        <v>&lt;td&gt;5:30 PM&lt;/td&gt;</v>
      </c>
      <c r="P439" t="str">
        <f t="shared" si="45"/>
        <v>&lt;td class="DCIsched"&gt;Dakota&lt;/td&gt;</v>
      </c>
      <c r="Q439" t="str">
        <f t="shared" si="46"/>
        <v>&lt;td&gt;23 - 61&lt;/td&gt;</v>
      </c>
      <c r="R439" t="str">
        <f t="shared" si="47"/>
        <v>&lt;td class="GCIsched"&gt;Glenlawn&lt;/td&gt;</v>
      </c>
      <c r="S439" t="str">
        <f t="shared" si="48"/>
        <v>&lt;td&gt;SCAC Regular Season&lt;/td&gt; &lt;/tr&gt;</v>
      </c>
    </row>
    <row r="440" spans="1:19" x14ac:dyDescent="0.25">
      <c r="A440" s="5">
        <v>42417</v>
      </c>
      <c r="B440" s="6">
        <v>0.75</v>
      </c>
      <c r="C440" t="s">
        <v>237</v>
      </c>
      <c r="E440">
        <v>71</v>
      </c>
      <c r="F440" t="s">
        <v>108</v>
      </c>
      <c r="G440" t="s">
        <v>109</v>
      </c>
      <c r="H440">
        <v>33</v>
      </c>
      <c r="J440" t="str">
        <f t="shared" si="49"/>
        <v>V</v>
      </c>
      <c r="K440" t="s">
        <v>763</v>
      </c>
      <c r="L440" t="s">
        <v>228</v>
      </c>
      <c r="M440" t="s">
        <v>229</v>
      </c>
      <c r="N440" t="str">
        <f t="shared" si="43"/>
        <v>&lt;tr&gt; &lt;td&gt;Feb. 17&lt;/td&gt;</v>
      </c>
      <c r="O440" t="str">
        <f t="shared" si="44"/>
        <v>&lt;td&gt;6:00 PM&lt;/td&gt;</v>
      </c>
      <c r="P440" t="str">
        <f t="shared" si="45"/>
        <v>&lt;td class="sched"&gt;Westgate&lt;/td&gt;</v>
      </c>
      <c r="Q440" t="str">
        <f t="shared" si="46"/>
        <v>&lt;td&gt;71 - 33&lt;/td&gt;</v>
      </c>
      <c r="R440" t="str">
        <f t="shared" si="47"/>
        <v>&lt;td class="CJSsched"&gt;Jeanne-Sauv&amp;eacute;&lt;/td&gt;</v>
      </c>
      <c r="S440" t="str">
        <f t="shared" si="48"/>
        <v>&lt;td&gt;SCAC Regular Season&lt;/td&gt; &lt;/tr&gt;</v>
      </c>
    </row>
    <row r="441" spans="1:19" x14ac:dyDescent="0.25">
      <c r="A441" s="5">
        <v>42417</v>
      </c>
      <c r="B441" s="6">
        <v>0.76041666666666663</v>
      </c>
      <c r="C441" t="s">
        <v>25</v>
      </c>
      <c r="D441" t="s">
        <v>84</v>
      </c>
      <c r="E441">
        <v>37</v>
      </c>
      <c r="F441" t="s">
        <v>253</v>
      </c>
      <c r="H441">
        <v>46</v>
      </c>
      <c r="J441" t="str">
        <f t="shared" si="49"/>
        <v>H</v>
      </c>
      <c r="K441" t="s">
        <v>257</v>
      </c>
      <c r="L441" t="s">
        <v>228</v>
      </c>
      <c r="M441" t="s">
        <v>229</v>
      </c>
      <c r="N441" t="str">
        <f t="shared" si="43"/>
        <v>&lt;tr&gt; &lt;td&gt;Feb. 17&lt;/td&gt;</v>
      </c>
      <c r="O441" t="str">
        <f t="shared" si="44"/>
        <v>&lt;td&gt;6:15 PM&lt;/td&gt;</v>
      </c>
      <c r="P441" t="str">
        <f t="shared" si="45"/>
        <v>&lt;td class="EHSsched"&gt;Elmwood&lt;/td&gt;</v>
      </c>
      <c r="Q441" t="str">
        <f t="shared" si="46"/>
        <v>&lt;td&gt;37 - 46&lt;/td&gt;</v>
      </c>
      <c r="R441" t="str">
        <f t="shared" si="47"/>
        <v>&lt;td class="sched"&gt;St. James&lt;/td&gt;</v>
      </c>
      <c r="S441" t="str">
        <f t="shared" si="48"/>
        <v>&lt;td&gt;WWAC/WAC Tier 2 Regular Season&lt;/td&gt; &lt;/tr&gt;</v>
      </c>
    </row>
    <row r="442" spans="1:19" x14ac:dyDescent="0.25">
      <c r="A442" s="5">
        <v>42417</v>
      </c>
      <c r="B442" s="6">
        <v>0.76041666666666663</v>
      </c>
      <c r="C442" t="s">
        <v>23</v>
      </c>
      <c r="D442" t="s">
        <v>80</v>
      </c>
      <c r="E442">
        <v>56</v>
      </c>
      <c r="F442" t="s">
        <v>9</v>
      </c>
      <c r="G442" t="s">
        <v>76</v>
      </c>
      <c r="H442">
        <v>88</v>
      </c>
      <c r="J442" t="str">
        <f t="shared" si="49"/>
        <v>H</v>
      </c>
      <c r="K442" t="s">
        <v>258</v>
      </c>
      <c r="L442" t="s">
        <v>228</v>
      </c>
      <c r="M442" t="s">
        <v>229</v>
      </c>
      <c r="N442" t="str">
        <f t="shared" si="43"/>
        <v>&lt;tr&gt; &lt;td&gt;Feb. 17&lt;/td&gt;</v>
      </c>
      <c r="O442" t="str">
        <f t="shared" si="44"/>
        <v>&lt;td&gt;6:15 PM&lt;/td&gt;</v>
      </c>
      <c r="P442" t="str">
        <f t="shared" si="45"/>
        <v>&lt;td class="VMCsched"&gt;Vincent Massey&lt;/td&gt;</v>
      </c>
      <c r="Q442" t="str">
        <f t="shared" si="46"/>
        <v>&lt;td&gt;56 - 88&lt;/td&gt;</v>
      </c>
      <c r="R442" t="str">
        <f t="shared" si="47"/>
        <v>&lt;td class="SiHSsched"&gt;Sisler&lt;/td&gt;</v>
      </c>
      <c r="S442" t="str">
        <f t="shared" si="48"/>
        <v>&lt;td&gt;WWAC/WAC Tier 1 Regular Season&lt;/td&gt; &lt;/tr&gt;</v>
      </c>
    </row>
    <row r="443" spans="1:19" x14ac:dyDescent="0.25">
      <c r="A443" s="5">
        <v>42417</v>
      </c>
      <c r="B443" s="6">
        <v>0.76041666666666663</v>
      </c>
      <c r="C443" t="s">
        <v>15</v>
      </c>
      <c r="D443" t="s">
        <v>68</v>
      </c>
      <c r="E443">
        <v>54</v>
      </c>
      <c r="F443" t="s">
        <v>6</v>
      </c>
      <c r="G443" t="s">
        <v>70</v>
      </c>
      <c r="H443">
        <v>61</v>
      </c>
      <c r="J443" t="str">
        <f t="shared" si="49"/>
        <v>H</v>
      </c>
      <c r="K443" t="s">
        <v>258</v>
      </c>
      <c r="L443" t="s">
        <v>228</v>
      </c>
      <c r="M443" t="s">
        <v>229</v>
      </c>
      <c r="N443" t="str">
        <f t="shared" si="43"/>
        <v>&lt;tr&gt; &lt;td&gt;Feb. 17&lt;/td&gt;</v>
      </c>
      <c r="O443" t="str">
        <f t="shared" si="44"/>
        <v>&lt;td&gt;6:15 PM&lt;/td&gt;</v>
      </c>
      <c r="P443" t="str">
        <f t="shared" si="45"/>
        <v>&lt;td class="FRCsched"&gt;Fort Richmond&lt;/td&gt;</v>
      </c>
      <c r="Q443" t="str">
        <f t="shared" si="46"/>
        <v>&lt;td&gt;54 - 61&lt;/td&gt;</v>
      </c>
      <c r="R443" t="str">
        <f t="shared" si="47"/>
        <v>&lt;td class="JTCsched"&gt;John Taylor&lt;/td&gt;</v>
      </c>
      <c r="S443" t="str">
        <f t="shared" si="48"/>
        <v>&lt;td&gt;WWAC/WAC Tier 1 Regular Season&lt;/td&gt; &lt;/tr&gt;</v>
      </c>
    </row>
    <row r="444" spans="1:19" x14ac:dyDescent="0.25">
      <c r="A444" s="5">
        <v>42417</v>
      </c>
      <c r="B444" s="6">
        <v>0.76041666666666663</v>
      </c>
      <c r="C444" t="s">
        <v>14</v>
      </c>
      <c r="D444" t="s">
        <v>94</v>
      </c>
      <c r="E444">
        <v>51</v>
      </c>
      <c r="F444" t="s">
        <v>1</v>
      </c>
      <c r="G444" t="s">
        <v>74</v>
      </c>
      <c r="H444">
        <v>74</v>
      </c>
      <c r="J444" t="str">
        <f t="shared" si="49"/>
        <v>H</v>
      </c>
      <c r="K444" t="s">
        <v>258</v>
      </c>
      <c r="L444" t="s">
        <v>228</v>
      </c>
      <c r="M444" t="s">
        <v>229</v>
      </c>
      <c r="N444" t="str">
        <f t="shared" si="43"/>
        <v>&lt;tr&gt; &lt;td&gt;Feb. 17&lt;/td&gt;</v>
      </c>
      <c r="O444" t="str">
        <f t="shared" si="44"/>
        <v>&lt;td&gt;6:15 PM&lt;/td&gt;</v>
      </c>
      <c r="P444" t="str">
        <f t="shared" si="45"/>
        <v>&lt;td class="SHCsched"&gt;Sturgeon Heights&lt;/td&gt;</v>
      </c>
      <c r="Q444" t="str">
        <f t="shared" si="46"/>
        <v>&lt;td&gt;51 - 74&lt;/td&gt;</v>
      </c>
      <c r="R444" t="str">
        <f t="shared" si="47"/>
        <v>&lt;td class="OPHSsched"&gt;Oak Park&lt;/td&gt;</v>
      </c>
      <c r="S444" t="str">
        <f t="shared" si="48"/>
        <v>&lt;td&gt;WWAC/WAC Tier 1 Regular Season&lt;/td&gt; &lt;/tr&gt;</v>
      </c>
    </row>
    <row r="445" spans="1:19" x14ac:dyDescent="0.25">
      <c r="A445" s="5">
        <v>42417</v>
      </c>
      <c r="B445" s="6">
        <v>0.77083333333333337</v>
      </c>
      <c r="C445" t="s">
        <v>22</v>
      </c>
      <c r="D445" t="s">
        <v>66</v>
      </c>
      <c r="E445">
        <v>30</v>
      </c>
      <c r="F445" t="s">
        <v>21</v>
      </c>
      <c r="G445" t="s">
        <v>64</v>
      </c>
      <c r="H445">
        <v>42</v>
      </c>
      <c r="J445" t="str">
        <f t="shared" si="49"/>
        <v>H</v>
      </c>
      <c r="K445" t="s">
        <v>763</v>
      </c>
      <c r="L445" t="s">
        <v>228</v>
      </c>
      <c r="M445" t="s">
        <v>229</v>
      </c>
      <c r="N445" t="str">
        <f t="shared" si="43"/>
        <v>&lt;tr&gt; &lt;td&gt;Feb. 17&lt;/td&gt;</v>
      </c>
      <c r="O445" t="str">
        <f t="shared" si="44"/>
        <v>&lt;td&gt;6:30 PM&lt;/td&gt;</v>
      </c>
      <c r="P445" t="str">
        <f t="shared" si="45"/>
        <v>&lt;td class="SRSSsched"&gt;Steinbach&lt;/td&gt;</v>
      </c>
      <c r="Q445" t="str">
        <f t="shared" si="46"/>
        <v>&lt;td&gt;30 - 42&lt;/td&gt;</v>
      </c>
      <c r="R445" t="str">
        <f t="shared" si="47"/>
        <v>&lt;td class="JHBsched"&gt;J.H. Bruns&lt;/td&gt;</v>
      </c>
      <c r="S445" t="str">
        <f t="shared" si="48"/>
        <v>&lt;td&gt;SCAC Regular Season&lt;/td&gt; &lt;/tr&gt;</v>
      </c>
    </row>
    <row r="446" spans="1:19" x14ac:dyDescent="0.25">
      <c r="A446" s="5">
        <v>42417</v>
      </c>
      <c r="B446" s="6">
        <v>0.8125</v>
      </c>
      <c r="C446" t="s">
        <v>19</v>
      </c>
      <c r="D446" t="s">
        <v>56</v>
      </c>
      <c r="E446">
        <v>32</v>
      </c>
      <c r="F446" t="s">
        <v>18</v>
      </c>
      <c r="G446" t="s">
        <v>52</v>
      </c>
      <c r="H446">
        <v>70</v>
      </c>
      <c r="J446" t="str">
        <f t="shared" si="49"/>
        <v>H</v>
      </c>
      <c r="K446" t="s">
        <v>233</v>
      </c>
      <c r="L446" t="s">
        <v>228</v>
      </c>
      <c r="M446" t="s">
        <v>229</v>
      </c>
      <c r="N446" t="str">
        <f t="shared" si="43"/>
        <v>&lt;tr&gt; &lt;td&gt;Feb. 17&lt;/td&gt;</v>
      </c>
      <c r="O446" t="str">
        <f t="shared" si="44"/>
        <v>&lt;td&gt;7:30 PM&lt;/td&gt;</v>
      </c>
      <c r="P446" t="str">
        <f t="shared" si="45"/>
        <v>&lt;td class="TCIsched"&gt;Transcona&lt;/td&gt;</v>
      </c>
      <c r="Q446" t="str">
        <f t="shared" si="46"/>
        <v>&lt;td&gt;32 - 70&lt;/td&gt;</v>
      </c>
      <c r="R446" t="str">
        <f t="shared" si="47"/>
        <v>&lt;td class="RECsched"&gt;River East&lt;/td&gt;</v>
      </c>
      <c r="S446" t="str">
        <f t="shared" si="48"/>
        <v>&lt;td&gt;KPAC Tier 2 Regular Season&lt;/td&gt; &lt;/tr&gt;</v>
      </c>
    </row>
    <row r="447" spans="1:19" x14ac:dyDescent="0.25">
      <c r="A447" s="5">
        <v>42417</v>
      </c>
      <c r="B447" s="6">
        <v>0.8125</v>
      </c>
      <c r="C447" t="s">
        <v>20</v>
      </c>
      <c r="D447" t="s">
        <v>58</v>
      </c>
      <c r="E447">
        <v>32</v>
      </c>
      <c r="F447" t="s">
        <v>104</v>
      </c>
      <c r="G447" t="s">
        <v>105</v>
      </c>
      <c r="H447">
        <v>40</v>
      </c>
      <c r="J447" t="str">
        <f t="shared" si="49"/>
        <v>H</v>
      </c>
      <c r="K447" t="s">
        <v>233</v>
      </c>
      <c r="L447" t="s">
        <v>228</v>
      </c>
      <c r="M447" t="s">
        <v>229</v>
      </c>
      <c r="N447" t="str">
        <f t="shared" si="43"/>
        <v>&lt;tr&gt; &lt;td&gt;Feb. 17&lt;/td&gt;</v>
      </c>
      <c r="O447" t="str">
        <f t="shared" si="44"/>
        <v>&lt;td&gt;7:30 PM&lt;/td&gt;</v>
      </c>
      <c r="P447" t="str">
        <f t="shared" si="45"/>
        <v>&lt;td class="WKCsched"&gt;West Kildonan&lt;/td&gt;</v>
      </c>
      <c r="Q447" t="str">
        <f t="shared" si="46"/>
        <v>&lt;td&gt;32 - 40&lt;/td&gt;</v>
      </c>
      <c r="R447" t="str">
        <f t="shared" si="47"/>
        <v>&lt;td class="SCIsched"&gt;Springfield&lt;/td&gt;</v>
      </c>
      <c r="S447" t="str">
        <f t="shared" si="48"/>
        <v>&lt;td&gt;KPAC Tier 2 Regular Season&lt;/td&gt; &lt;/tr&gt;</v>
      </c>
    </row>
    <row r="448" spans="1:19" x14ac:dyDescent="0.25">
      <c r="A448" s="5">
        <v>42417</v>
      </c>
      <c r="B448" s="6">
        <v>0.8125</v>
      </c>
      <c r="C448" t="s">
        <v>12</v>
      </c>
      <c r="D448" t="s">
        <v>54</v>
      </c>
      <c r="E448">
        <v>46</v>
      </c>
      <c r="F448" t="s">
        <v>11</v>
      </c>
      <c r="G448" t="s">
        <v>48</v>
      </c>
      <c r="H448">
        <v>78</v>
      </c>
      <c r="J448" t="str">
        <f t="shared" si="49"/>
        <v>H</v>
      </c>
      <c r="K448" t="s">
        <v>234</v>
      </c>
      <c r="L448" t="s">
        <v>228</v>
      </c>
      <c r="M448" t="s">
        <v>229</v>
      </c>
      <c r="N448" t="str">
        <f t="shared" si="43"/>
        <v>&lt;tr&gt; &lt;td&gt;Feb. 17&lt;/td&gt;</v>
      </c>
      <c r="O448" t="str">
        <f t="shared" si="44"/>
        <v>&lt;td&gt;7:30 PM&lt;/td&gt;</v>
      </c>
      <c r="P448" t="str">
        <f t="shared" si="45"/>
        <v>&lt;td class="LSsched"&gt;Selkirk&lt;/td&gt;</v>
      </c>
      <c r="Q448" t="str">
        <f t="shared" si="46"/>
        <v>&lt;td&gt;46 - 78&lt;/td&gt;</v>
      </c>
      <c r="R448" t="str">
        <f t="shared" si="47"/>
        <v>&lt;td class="MMCsched"&gt;Miles Macdonell&lt;/td&gt;</v>
      </c>
      <c r="S448" t="str">
        <f t="shared" si="48"/>
        <v>&lt;td&gt;KPAC Tier 1 Regular Season&lt;/td&gt; &lt;/tr&gt;</v>
      </c>
    </row>
    <row r="449" spans="1:19" x14ac:dyDescent="0.25">
      <c r="A449" s="5">
        <v>42417</v>
      </c>
      <c r="B449" s="6">
        <v>0.8125</v>
      </c>
      <c r="C449" t="s">
        <v>2</v>
      </c>
      <c r="D449" t="s">
        <v>43</v>
      </c>
      <c r="E449">
        <v>27</v>
      </c>
      <c r="F449" t="s">
        <v>4</v>
      </c>
      <c r="G449" t="s">
        <v>41</v>
      </c>
      <c r="H449">
        <v>63</v>
      </c>
      <c r="J449" t="str">
        <f t="shared" si="49"/>
        <v>H</v>
      </c>
      <c r="K449" t="s">
        <v>234</v>
      </c>
      <c r="L449" t="s">
        <v>228</v>
      </c>
      <c r="M449" t="s">
        <v>229</v>
      </c>
      <c r="N449" t="str">
        <f t="shared" si="43"/>
        <v>&lt;tr&gt; &lt;td&gt;Feb. 17&lt;/td&gt;</v>
      </c>
      <c r="O449" t="str">
        <f t="shared" si="44"/>
        <v>&lt;td&gt;7:30 PM&lt;/td&gt;</v>
      </c>
      <c r="P449" t="str">
        <f t="shared" si="45"/>
        <v>&lt;td class="KECsched"&gt;Kildonan-East&lt;/td&gt;</v>
      </c>
      <c r="Q449" t="str">
        <f t="shared" si="46"/>
        <v>&lt;td&gt;27 - 63&lt;/td&gt;</v>
      </c>
      <c r="R449" t="str">
        <f t="shared" si="47"/>
        <v>&lt;td class="GCCsched"&gt;Garden City&lt;/td&gt;</v>
      </c>
      <c r="S449" t="str">
        <f t="shared" si="48"/>
        <v>&lt;td&gt;KPAC Tier 1 Regular Season&lt;/td&gt; &lt;/tr&gt;</v>
      </c>
    </row>
    <row r="450" spans="1:19" x14ac:dyDescent="0.25">
      <c r="A450" s="5">
        <v>42418</v>
      </c>
      <c r="B450" s="6">
        <v>0.5625</v>
      </c>
      <c r="C450" t="s">
        <v>8</v>
      </c>
      <c r="D450" t="s">
        <v>60</v>
      </c>
      <c r="E450">
        <v>34</v>
      </c>
      <c r="F450" t="s">
        <v>1</v>
      </c>
      <c r="G450" t="s">
        <v>74</v>
      </c>
      <c r="H450">
        <v>57</v>
      </c>
      <c r="J450" t="str">
        <f t="shared" si="49"/>
        <v>H</v>
      </c>
      <c r="K450" t="s">
        <v>787</v>
      </c>
      <c r="L450" t="s">
        <v>173</v>
      </c>
      <c r="N450" t="str">
        <f t="shared" ref="N450:N513" si="50">"&lt;tr&gt; &lt;td&gt;"&amp;TEXT(A450,"MMM. D")&amp;"&lt;/td&gt;"</f>
        <v>&lt;tr&gt; &lt;td&gt;Feb. 18&lt;/td&gt;</v>
      </c>
      <c r="O450" t="str">
        <f t="shared" ref="O450:O513" si="51">"&lt;td&gt;"&amp;IF(B450&gt;0,TEXT(B450,"H:MM AM/PM"),"")&amp;"&lt;/td&gt;"</f>
        <v>&lt;td&gt;1:30 PM&lt;/td&gt;</v>
      </c>
      <c r="P450" t="str">
        <f t="shared" ref="P450:P513" si="52">"&lt;td class="""&amp;D450&amp;"sched""&gt;"&amp;C450&amp;"&lt;/td&gt;"</f>
        <v>&lt;td class="DCIsched"&gt;Dakota&lt;/td&gt;</v>
      </c>
      <c r="Q450" t="str">
        <f t="shared" ref="Q450:Q513" si="53">"&lt;td&gt;"&amp;E450&amp;" - "&amp;H450&amp;IF(I450&gt;0," "&amp;I450,"")&amp;"&lt;/td&gt;"</f>
        <v>&lt;td&gt;34 - 57&lt;/td&gt;</v>
      </c>
      <c r="R450" t="str">
        <f t="shared" ref="R450:R513" si="54">"&lt;td class="""&amp;G450&amp;"sched""&gt;"&amp;F450&amp;"&lt;/td&gt;"</f>
        <v>&lt;td class="OPHSsched"&gt;Oak Park&lt;/td&gt;</v>
      </c>
      <c r="S450" t="str">
        <f t="shared" ref="S450:S513" si="55">"&lt;td&gt;"&amp;K450&amp;" "&amp;L450&amp;"&lt;/td&gt; &lt;/tr&gt;"</f>
        <v>&lt;td&gt;North-South Showdown Quarterfinal 1&lt;/td&gt; &lt;/tr&gt;</v>
      </c>
    </row>
    <row r="451" spans="1:19" x14ac:dyDescent="0.25">
      <c r="A451" s="5">
        <v>42418</v>
      </c>
      <c r="B451" s="6">
        <v>0.61458333333333337</v>
      </c>
      <c r="C451" t="s">
        <v>24</v>
      </c>
      <c r="D451" t="s">
        <v>82</v>
      </c>
      <c r="E451">
        <v>72</v>
      </c>
      <c r="F451" t="s">
        <v>16</v>
      </c>
      <c r="G451" t="s">
        <v>45</v>
      </c>
      <c r="H451">
        <v>48</v>
      </c>
      <c r="J451" t="str">
        <f t="shared" si="49"/>
        <v>V</v>
      </c>
      <c r="K451" t="s">
        <v>787</v>
      </c>
      <c r="L451" t="s">
        <v>175</v>
      </c>
      <c r="N451" t="str">
        <f t="shared" si="50"/>
        <v>&lt;tr&gt; &lt;td&gt;Feb. 18&lt;/td&gt;</v>
      </c>
      <c r="O451" t="str">
        <f t="shared" si="51"/>
        <v>&lt;td&gt;2:45 PM&lt;/td&gt;</v>
      </c>
      <c r="P451" t="str">
        <f t="shared" si="52"/>
        <v>&lt;td class="DMCIsched"&gt;Daniel McIntyre&lt;/td&gt;</v>
      </c>
      <c r="Q451" t="str">
        <f t="shared" si="53"/>
        <v>&lt;td&gt;72 - 48&lt;/td&gt;</v>
      </c>
      <c r="R451" t="str">
        <f t="shared" si="54"/>
        <v>&lt;td class="MCsched"&gt;Maples&lt;/td&gt;</v>
      </c>
      <c r="S451" t="str">
        <f t="shared" si="55"/>
        <v>&lt;td&gt;North-South Showdown Quarterfinal 3&lt;/td&gt; &lt;/tr&gt;</v>
      </c>
    </row>
    <row r="452" spans="1:19" x14ac:dyDescent="0.25">
      <c r="A452" s="5">
        <v>42418</v>
      </c>
      <c r="B452" s="6">
        <v>0.70833333333333337</v>
      </c>
      <c r="C452" t="s">
        <v>6</v>
      </c>
      <c r="D452" t="s">
        <v>70</v>
      </c>
      <c r="E452">
        <v>34</v>
      </c>
      <c r="F452" t="s">
        <v>9</v>
      </c>
      <c r="G452" t="s">
        <v>76</v>
      </c>
      <c r="H452">
        <v>72</v>
      </c>
      <c r="J452" t="str">
        <f t="shared" si="49"/>
        <v>H</v>
      </c>
      <c r="K452" t="s">
        <v>787</v>
      </c>
      <c r="L452" t="s">
        <v>176</v>
      </c>
      <c r="N452" t="str">
        <f t="shared" si="50"/>
        <v>&lt;tr&gt; &lt;td&gt;Feb. 18&lt;/td&gt;</v>
      </c>
      <c r="O452" t="str">
        <f t="shared" si="51"/>
        <v>&lt;td&gt;5:00 PM&lt;/td&gt;</v>
      </c>
      <c r="P452" t="str">
        <f t="shared" si="52"/>
        <v>&lt;td class="JTCsched"&gt;John Taylor&lt;/td&gt;</v>
      </c>
      <c r="Q452" t="str">
        <f t="shared" si="53"/>
        <v>&lt;td&gt;34 - 72&lt;/td&gt;</v>
      </c>
      <c r="R452" t="str">
        <f t="shared" si="54"/>
        <v>&lt;td class="SiHSsched"&gt;Sisler&lt;/td&gt;</v>
      </c>
      <c r="S452" t="str">
        <f t="shared" si="55"/>
        <v>&lt;td&gt;North-South Showdown Quarterfinal 4&lt;/td&gt; &lt;/tr&gt;</v>
      </c>
    </row>
    <row r="453" spans="1:19" x14ac:dyDescent="0.25">
      <c r="A453" s="5">
        <v>42418</v>
      </c>
      <c r="B453" s="6">
        <v>0.75</v>
      </c>
      <c r="C453" t="s">
        <v>23</v>
      </c>
      <c r="D453" t="s">
        <v>102</v>
      </c>
      <c r="E453">
        <v>49</v>
      </c>
      <c r="F453" t="s">
        <v>32</v>
      </c>
      <c r="G453" t="s">
        <v>100</v>
      </c>
      <c r="H453">
        <v>53</v>
      </c>
      <c r="J453" t="str">
        <f t="shared" si="49"/>
        <v>H</v>
      </c>
      <c r="K453" t="s">
        <v>796</v>
      </c>
      <c r="L453" t="s">
        <v>554</v>
      </c>
      <c r="N453" t="str">
        <f t="shared" si="50"/>
        <v>&lt;tr&gt; &lt;td&gt;Feb. 18&lt;/td&gt;</v>
      </c>
      <c r="O453" t="str">
        <f t="shared" si="51"/>
        <v>&lt;td&gt;6:00 PM&lt;/td&gt;</v>
      </c>
      <c r="P453" t="str">
        <f t="shared" si="52"/>
        <v>&lt;td class="VMHSsched"&gt;Vincent Massey&lt;/td&gt;</v>
      </c>
      <c r="Q453" t="str">
        <f t="shared" si="53"/>
        <v>&lt;td&gt;49 - 53&lt;/td&gt;</v>
      </c>
      <c r="R453" t="str">
        <f t="shared" si="54"/>
        <v>&lt;td class="CPRSsched"&gt;Crocus Plains&lt;/td&gt;</v>
      </c>
      <c r="S453" t="str">
        <f t="shared" si="55"/>
        <v>&lt;td&gt;Zone 15 Championship Game 1&lt;/td&gt; &lt;/tr&gt;</v>
      </c>
    </row>
    <row r="454" spans="1:19" x14ac:dyDescent="0.25">
      <c r="A454" s="5">
        <v>42418</v>
      </c>
      <c r="B454" s="6">
        <v>0.76041666666666663</v>
      </c>
      <c r="C454" t="s">
        <v>31</v>
      </c>
      <c r="D454" t="s">
        <v>96</v>
      </c>
      <c r="E454">
        <v>79</v>
      </c>
      <c r="F454" t="s">
        <v>14</v>
      </c>
      <c r="G454" t="s">
        <v>94</v>
      </c>
      <c r="H454">
        <v>59</v>
      </c>
      <c r="J454" t="str">
        <f t="shared" si="49"/>
        <v>V</v>
      </c>
      <c r="K454" t="s">
        <v>787</v>
      </c>
      <c r="L454" t="s">
        <v>174</v>
      </c>
      <c r="N454" t="str">
        <f t="shared" si="50"/>
        <v>&lt;tr&gt; &lt;td&gt;Feb. 18&lt;/td&gt;</v>
      </c>
      <c r="O454" t="str">
        <f t="shared" si="51"/>
        <v>&lt;td&gt;6:15 PM&lt;/td&gt;</v>
      </c>
      <c r="P454" t="str">
        <f t="shared" si="52"/>
        <v>&lt;td class="TVHSsched"&gt;Tec Voc&lt;/td&gt;</v>
      </c>
      <c r="Q454" t="str">
        <f t="shared" si="53"/>
        <v>&lt;td&gt;79 - 59&lt;/td&gt;</v>
      </c>
      <c r="R454" t="str">
        <f t="shared" si="54"/>
        <v>&lt;td class="SHCsched"&gt;Sturgeon Heights&lt;/td&gt;</v>
      </c>
      <c r="S454" t="str">
        <f t="shared" si="55"/>
        <v>&lt;td&gt;North-South Showdown Quarterfinal 2&lt;/td&gt; &lt;/tr&gt;</v>
      </c>
    </row>
    <row r="455" spans="1:19" x14ac:dyDescent="0.25">
      <c r="A455" s="5">
        <v>42418</v>
      </c>
      <c r="C455" t="s">
        <v>25</v>
      </c>
      <c r="D455" t="s">
        <v>84</v>
      </c>
      <c r="E455">
        <v>44</v>
      </c>
      <c r="F455" t="s">
        <v>26</v>
      </c>
      <c r="G455" t="s">
        <v>86</v>
      </c>
      <c r="H455">
        <v>63</v>
      </c>
      <c r="J455" t="str">
        <f t="shared" si="49"/>
        <v>H</v>
      </c>
      <c r="K455" t="s">
        <v>26</v>
      </c>
      <c r="L455" t="s">
        <v>173</v>
      </c>
      <c r="N455" t="str">
        <f t="shared" si="50"/>
        <v>&lt;tr&gt; &lt;td&gt;Feb. 18&lt;/td&gt;</v>
      </c>
      <c r="O455" t="str">
        <f t="shared" si="51"/>
        <v>&lt;td&gt;&lt;/td&gt;</v>
      </c>
      <c r="P455" t="str">
        <f t="shared" si="52"/>
        <v>&lt;td class="EHSsched"&gt;Elmwood&lt;/td&gt;</v>
      </c>
      <c r="Q455" t="str">
        <f t="shared" si="53"/>
        <v>&lt;td&gt;44 - 63&lt;/td&gt;</v>
      </c>
      <c r="R455" t="str">
        <f t="shared" si="54"/>
        <v>&lt;td class="GBHSsched"&gt;Gordon Bell&lt;/td&gt;</v>
      </c>
      <c r="S455" t="str">
        <f t="shared" si="55"/>
        <v>&lt;td&gt;Gordon Bell Quarterfinal 1&lt;/td&gt; &lt;/tr&gt;</v>
      </c>
    </row>
    <row r="456" spans="1:19" x14ac:dyDescent="0.25">
      <c r="A456" s="5">
        <v>42418</v>
      </c>
      <c r="C456" t="s">
        <v>208</v>
      </c>
      <c r="E456">
        <v>54</v>
      </c>
      <c r="F456" t="s">
        <v>12</v>
      </c>
      <c r="G456" t="s">
        <v>54</v>
      </c>
      <c r="H456">
        <v>40</v>
      </c>
      <c r="J456" t="str">
        <f t="shared" si="49"/>
        <v>V</v>
      </c>
      <c r="K456" t="s">
        <v>26</v>
      </c>
      <c r="L456" t="s">
        <v>176</v>
      </c>
      <c r="N456" t="str">
        <f t="shared" si="50"/>
        <v>&lt;tr&gt; &lt;td&gt;Feb. 18&lt;/td&gt;</v>
      </c>
      <c r="O456" t="str">
        <f t="shared" si="51"/>
        <v>&lt;td&gt;&lt;/td&gt;</v>
      </c>
      <c r="P456" t="str">
        <f t="shared" si="52"/>
        <v>&lt;td class="sched"&gt;Linden Christian&lt;/td&gt;</v>
      </c>
      <c r="Q456" t="str">
        <f t="shared" si="53"/>
        <v>&lt;td&gt;54 - 40&lt;/td&gt;</v>
      </c>
      <c r="R456" t="str">
        <f t="shared" si="54"/>
        <v>&lt;td class="LSsched"&gt;Selkirk&lt;/td&gt;</v>
      </c>
      <c r="S456" t="str">
        <f t="shared" si="55"/>
        <v>&lt;td&gt;Gordon Bell Quarterfinal 4&lt;/td&gt; &lt;/tr&gt;</v>
      </c>
    </row>
    <row r="457" spans="1:19" x14ac:dyDescent="0.25">
      <c r="A457" s="5">
        <v>42419</v>
      </c>
      <c r="B457" s="6">
        <v>0.54166666666666663</v>
      </c>
      <c r="C457" t="s">
        <v>6</v>
      </c>
      <c r="D457" t="s">
        <v>70</v>
      </c>
      <c r="E457">
        <v>49</v>
      </c>
      <c r="F457" t="s">
        <v>16</v>
      </c>
      <c r="G457" t="s">
        <v>45</v>
      </c>
      <c r="H457">
        <v>43</v>
      </c>
      <c r="J457" t="str">
        <f t="shared" si="49"/>
        <v>V</v>
      </c>
      <c r="K457" t="s">
        <v>787</v>
      </c>
      <c r="L457" t="s">
        <v>178</v>
      </c>
      <c r="N457" t="str">
        <f t="shared" si="50"/>
        <v>&lt;tr&gt; &lt;td&gt;Feb. 19&lt;/td&gt;</v>
      </c>
      <c r="O457" t="str">
        <f t="shared" si="51"/>
        <v>&lt;td&gt;1:00 PM&lt;/td&gt;</v>
      </c>
      <c r="P457" t="str">
        <f t="shared" si="52"/>
        <v>&lt;td class="JTCsched"&gt;John Taylor&lt;/td&gt;</v>
      </c>
      <c r="Q457" t="str">
        <f t="shared" si="53"/>
        <v>&lt;td&gt;49 - 43&lt;/td&gt;</v>
      </c>
      <c r="R457" t="str">
        <f t="shared" si="54"/>
        <v>&lt;td class="MCsched"&gt;Maples&lt;/td&gt;</v>
      </c>
      <c r="S457" t="str">
        <f t="shared" si="55"/>
        <v>&lt;td&gt;North-South Showdown Consolation Semi 2&lt;/td&gt; &lt;/tr&gt;</v>
      </c>
    </row>
    <row r="458" spans="1:19" x14ac:dyDescent="0.25">
      <c r="A458" s="5">
        <v>42419</v>
      </c>
      <c r="B458" s="6">
        <v>0.61458333333333337</v>
      </c>
      <c r="C458" t="s">
        <v>9</v>
      </c>
      <c r="D458" t="s">
        <v>76</v>
      </c>
      <c r="E458">
        <v>105</v>
      </c>
      <c r="F458" t="s">
        <v>24</v>
      </c>
      <c r="G458" t="s">
        <v>82</v>
      </c>
      <c r="H458">
        <v>42</v>
      </c>
      <c r="J458" t="str">
        <f t="shared" si="49"/>
        <v>V</v>
      </c>
      <c r="K458" t="s">
        <v>787</v>
      </c>
      <c r="L458" t="s">
        <v>180</v>
      </c>
      <c r="N458" t="str">
        <f t="shared" si="50"/>
        <v>&lt;tr&gt; &lt;td&gt;Feb. 19&lt;/td&gt;</v>
      </c>
      <c r="O458" t="str">
        <f t="shared" si="51"/>
        <v>&lt;td&gt;2:45 PM&lt;/td&gt;</v>
      </c>
      <c r="P458" t="str">
        <f t="shared" si="52"/>
        <v>&lt;td class="SiHSsched"&gt;Sisler&lt;/td&gt;</v>
      </c>
      <c r="Q458" t="str">
        <f t="shared" si="53"/>
        <v>&lt;td&gt;105 - 42&lt;/td&gt;</v>
      </c>
      <c r="R458" t="str">
        <f t="shared" si="54"/>
        <v>&lt;td class="DMCIsched"&gt;Daniel McIntyre&lt;/td&gt;</v>
      </c>
      <c r="S458" t="str">
        <f t="shared" si="55"/>
        <v>&lt;td&gt;North-South Showdown Semifinal 2&lt;/td&gt; &lt;/tr&gt;</v>
      </c>
    </row>
    <row r="459" spans="1:19" x14ac:dyDescent="0.25">
      <c r="A459" s="5">
        <v>42419</v>
      </c>
      <c r="B459" s="6">
        <v>0.6875</v>
      </c>
      <c r="C459" t="s">
        <v>14</v>
      </c>
      <c r="D459" t="s">
        <v>94</v>
      </c>
      <c r="E459">
        <v>47</v>
      </c>
      <c r="F459" t="s">
        <v>8</v>
      </c>
      <c r="G459" t="s">
        <v>60</v>
      </c>
      <c r="H459">
        <v>66</v>
      </c>
      <c r="J459" t="str">
        <f t="shared" si="49"/>
        <v>H</v>
      </c>
      <c r="K459" t="s">
        <v>787</v>
      </c>
      <c r="L459" t="s">
        <v>177</v>
      </c>
      <c r="N459" t="str">
        <f t="shared" si="50"/>
        <v>&lt;tr&gt; &lt;td&gt;Feb. 19&lt;/td&gt;</v>
      </c>
      <c r="O459" t="str">
        <f t="shared" si="51"/>
        <v>&lt;td&gt;4:30 PM&lt;/td&gt;</v>
      </c>
      <c r="P459" t="str">
        <f t="shared" si="52"/>
        <v>&lt;td class="SHCsched"&gt;Sturgeon Heights&lt;/td&gt;</v>
      </c>
      <c r="Q459" t="str">
        <f t="shared" si="53"/>
        <v>&lt;td&gt;47 - 66&lt;/td&gt;</v>
      </c>
      <c r="R459" t="str">
        <f t="shared" si="54"/>
        <v>&lt;td class="DCIsched"&gt;Dakota&lt;/td&gt;</v>
      </c>
      <c r="S459" t="str">
        <f t="shared" si="55"/>
        <v>&lt;td&gt;North-South Showdown Consolation Semi 1&lt;/td&gt; &lt;/tr&gt;</v>
      </c>
    </row>
    <row r="460" spans="1:19" x14ac:dyDescent="0.25">
      <c r="A460" s="5">
        <v>42419</v>
      </c>
      <c r="B460" s="6">
        <v>0.76041666666666663</v>
      </c>
      <c r="C460" t="s">
        <v>31</v>
      </c>
      <c r="D460" t="s">
        <v>96</v>
      </c>
      <c r="E460">
        <v>55</v>
      </c>
      <c r="F460" t="s">
        <v>1</v>
      </c>
      <c r="G460" t="s">
        <v>74</v>
      </c>
      <c r="H460">
        <v>81</v>
      </c>
      <c r="J460" t="str">
        <f t="shared" si="49"/>
        <v>H</v>
      </c>
      <c r="K460" t="s">
        <v>787</v>
      </c>
      <c r="L460" t="s">
        <v>179</v>
      </c>
      <c r="N460" t="str">
        <f t="shared" si="50"/>
        <v>&lt;tr&gt; &lt;td&gt;Feb. 19&lt;/td&gt;</v>
      </c>
      <c r="O460" t="str">
        <f t="shared" si="51"/>
        <v>&lt;td&gt;6:15 PM&lt;/td&gt;</v>
      </c>
      <c r="P460" t="str">
        <f t="shared" si="52"/>
        <v>&lt;td class="TVHSsched"&gt;Tec Voc&lt;/td&gt;</v>
      </c>
      <c r="Q460" t="str">
        <f t="shared" si="53"/>
        <v>&lt;td&gt;55 - 81&lt;/td&gt;</v>
      </c>
      <c r="R460" t="str">
        <f t="shared" si="54"/>
        <v>&lt;td class="OPHSsched"&gt;Oak Park&lt;/td&gt;</v>
      </c>
      <c r="S460" t="str">
        <f t="shared" si="55"/>
        <v>&lt;td&gt;North-South Showdown Semifinal 1&lt;/td&gt; &lt;/tr&gt;</v>
      </c>
    </row>
    <row r="461" spans="1:19" x14ac:dyDescent="0.25">
      <c r="A461" s="5">
        <v>42419</v>
      </c>
      <c r="C461" t="s">
        <v>811</v>
      </c>
      <c r="E461">
        <v>58</v>
      </c>
      <c r="F461" t="s">
        <v>25</v>
      </c>
      <c r="G461" t="s">
        <v>84</v>
      </c>
      <c r="H461">
        <v>41</v>
      </c>
      <c r="J461" t="str">
        <f t="shared" si="49"/>
        <v>V</v>
      </c>
      <c r="K461" t="s">
        <v>26</v>
      </c>
      <c r="L461" t="s">
        <v>177</v>
      </c>
      <c r="N461" t="str">
        <f t="shared" si="50"/>
        <v>&lt;tr&gt; &lt;td&gt;Feb. 19&lt;/td&gt;</v>
      </c>
      <c r="O461" t="str">
        <f t="shared" si="51"/>
        <v>&lt;td&gt;&lt;/td&gt;</v>
      </c>
      <c r="P461" t="str">
        <f t="shared" si="52"/>
        <v>&lt;td class="sched"&gt;Calvin Christian&lt;/td&gt;</v>
      </c>
      <c r="Q461" t="str">
        <f t="shared" si="53"/>
        <v>&lt;td&gt;58 - 41&lt;/td&gt;</v>
      </c>
      <c r="R461" t="str">
        <f t="shared" si="54"/>
        <v>&lt;td class="EHSsched"&gt;Elmwood&lt;/td&gt;</v>
      </c>
      <c r="S461" t="str">
        <f t="shared" si="55"/>
        <v>&lt;td&gt;Gordon Bell Consolation Semi 1&lt;/td&gt; &lt;/tr&gt;</v>
      </c>
    </row>
    <row r="462" spans="1:19" x14ac:dyDescent="0.25">
      <c r="A462" s="5">
        <v>42419</v>
      </c>
      <c r="C462" t="s">
        <v>12</v>
      </c>
      <c r="D462" t="s">
        <v>54</v>
      </c>
      <c r="E462">
        <v>52</v>
      </c>
      <c r="F462" t="s">
        <v>581</v>
      </c>
      <c r="H462">
        <v>62</v>
      </c>
      <c r="J462" t="str">
        <f t="shared" si="49"/>
        <v>H</v>
      </c>
      <c r="K462" t="s">
        <v>26</v>
      </c>
      <c r="L462" t="s">
        <v>178</v>
      </c>
      <c r="N462" t="str">
        <f t="shared" si="50"/>
        <v>&lt;tr&gt; &lt;td&gt;Feb. 19&lt;/td&gt;</v>
      </c>
      <c r="O462" t="str">
        <f t="shared" si="51"/>
        <v>&lt;td&gt;&lt;/td&gt;</v>
      </c>
      <c r="P462" t="str">
        <f t="shared" si="52"/>
        <v>&lt;td class="LSsched"&gt;Selkirk&lt;/td&gt;</v>
      </c>
      <c r="Q462" t="str">
        <f t="shared" si="53"/>
        <v>&lt;td&gt;52 - 62&lt;/td&gt;</v>
      </c>
      <c r="R462" t="str">
        <f t="shared" si="54"/>
        <v>&lt;td class="sched"&gt;Ross L. Gray&lt;/td&gt;</v>
      </c>
      <c r="S462" t="str">
        <f t="shared" si="55"/>
        <v>&lt;td&gt;Gordon Bell Consolation Semi 2&lt;/td&gt; &lt;/tr&gt;</v>
      </c>
    </row>
    <row r="463" spans="1:19" x14ac:dyDescent="0.25">
      <c r="A463" s="5">
        <v>42419</v>
      </c>
      <c r="C463" t="s">
        <v>272</v>
      </c>
      <c r="E463">
        <v>38</v>
      </c>
      <c r="F463" t="s">
        <v>26</v>
      </c>
      <c r="G463" t="s">
        <v>86</v>
      </c>
      <c r="H463">
        <v>45</v>
      </c>
      <c r="J463" t="str">
        <f t="shared" si="49"/>
        <v>H</v>
      </c>
      <c r="K463" t="s">
        <v>26</v>
      </c>
      <c r="L463" t="s">
        <v>179</v>
      </c>
      <c r="N463" t="str">
        <f t="shared" si="50"/>
        <v>&lt;tr&gt; &lt;td&gt;Feb. 19&lt;/td&gt;</v>
      </c>
      <c r="O463" t="str">
        <f t="shared" si="51"/>
        <v>&lt;td&gt;&lt;/td&gt;</v>
      </c>
      <c r="P463" t="str">
        <f t="shared" si="52"/>
        <v>&lt;td class="sched"&gt;Lorette&lt;/td&gt;</v>
      </c>
      <c r="Q463" t="str">
        <f t="shared" si="53"/>
        <v>&lt;td&gt;38 - 45&lt;/td&gt;</v>
      </c>
      <c r="R463" t="str">
        <f t="shared" si="54"/>
        <v>&lt;td class="GBHSsched"&gt;Gordon Bell&lt;/td&gt;</v>
      </c>
      <c r="S463" t="str">
        <f t="shared" si="55"/>
        <v>&lt;td&gt;Gordon Bell Semifinal 1&lt;/td&gt; &lt;/tr&gt;</v>
      </c>
    </row>
    <row r="464" spans="1:19" x14ac:dyDescent="0.25">
      <c r="A464" s="5">
        <v>42420</v>
      </c>
      <c r="B464" s="6">
        <v>0.44791666666666669</v>
      </c>
      <c r="C464" t="s">
        <v>14</v>
      </c>
      <c r="D464" t="s">
        <v>94</v>
      </c>
      <c r="E464" t="s">
        <v>156</v>
      </c>
      <c r="F464" t="s">
        <v>16</v>
      </c>
      <c r="G464" t="s">
        <v>45</v>
      </c>
      <c r="H464" t="s">
        <v>254</v>
      </c>
      <c r="J464" t="str">
        <f t="shared" si="49"/>
        <v>V</v>
      </c>
      <c r="K464" t="s">
        <v>787</v>
      </c>
      <c r="L464" t="s">
        <v>181</v>
      </c>
      <c r="N464" t="str">
        <f t="shared" si="50"/>
        <v>&lt;tr&gt; &lt;td&gt;Feb. 20&lt;/td&gt;</v>
      </c>
      <c r="O464" t="str">
        <f t="shared" si="51"/>
        <v>&lt;td&gt;10:45 AM&lt;/td&gt;</v>
      </c>
      <c r="P464" t="str">
        <f t="shared" si="52"/>
        <v>&lt;td class="SHCsched"&gt;Sturgeon Heights&lt;/td&gt;</v>
      </c>
      <c r="Q464" t="str">
        <f t="shared" si="53"/>
        <v>&lt;td&gt;W - L&lt;/td&gt;</v>
      </c>
      <c r="R464" t="str">
        <f t="shared" si="54"/>
        <v>&lt;td class="MCsched"&gt;Maples&lt;/td&gt;</v>
      </c>
      <c r="S464" t="str">
        <f t="shared" si="55"/>
        <v>&lt;td&gt;North-South Showdown 7th Place&lt;/td&gt; &lt;/tr&gt;</v>
      </c>
    </row>
    <row r="465" spans="1:19" x14ac:dyDescent="0.25">
      <c r="A465" s="5">
        <v>42420</v>
      </c>
      <c r="B465" s="6">
        <v>0.48958333333333331</v>
      </c>
      <c r="C465" t="s">
        <v>6</v>
      </c>
      <c r="D465" t="s">
        <v>70</v>
      </c>
      <c r="E465" t="s">
        <v>156</v>
      </c>
      <c r="F465" t="s">
        <v>8</v>
      </c>
      <c r="G465" t="s">
        <v>60</v>
      </c>
      <c r="H465" t="s">
        <v>254</v>
      </c>
      <c r="J465" t="str">
        <f t="shared" si="49"/>
        <v>V</v>
      </c>
      <c r="K465" t="s">
        <v>787</v>
      </c>
      <c r="L465" t="s">
        <v>182</v>
      </c>
      <c r="N465" t="str">
        <f t="shared" si="50"/>
        <v>&lt;tr&gt; &lt;td&gt;Feb. 20&lt;/td&gt;</v>
      </c>
      <c r="O465" t="str">
        <f t="shared" si="51"/>
        <v>&lt;td&gt;11:45 AM&lt;/td&gt;</v>
      </c>
      <c r="P465" t="str">
        <f t="shared" si="52"/>
        <v>&lt;td class="JTCsched"&gt;John Taylor&lt;/td&gt;</v>
      </c>
      <c r="Q465" t="str">
        <f t="shared" si="53"/>
        <v>&lt;td&gt;W - L&lt;/td&gt;</v>
      </c>
      <c r="R465" t="str">
        <f t="shared" si="54"/>
        <v>&lt;td class="DCIsched"&gt;Dakota&lt;/td&gt;</v>
      </c>
      <c r="S465" t="str">
        <f t="shared" si="55"/>
        <v>&lt;td&gt;North-South Showdown Consolation Final&lt;/td&gt; &lt;/tr&gt;</v>
      </c>
    </row>
    <row r="466" spans="1:19" x14ac:dyDescent="0.25">
      <c r="A466" s="5">
        <v>42420</v>
      </c>
      <c r="B466" s="6">
        <v>0.48958333333333331</v>
      </c>
      <c r="C466" t="s">
        <v>24</v>
      </c>
      <c r="D466" t="s">
        <v>82</v>
      </c>
      <c r="E466">
        <v>62</v>
      </c>
      <c r="F466" t="s">
        <v>31</v>
      </c>
      <c r="G466" t="s">
        <v>96</v>
      </c>
      <c r="H466">
        <v>59</v>
      </c>
      <c r="J466" t="str">
        <f t="shared" si="49"/>
        <v>V</v>
      </c>
      <c r="K466" t="s">
        <v>787</v>
      </c>
      <c r="L466" t="s">
        <v>183</v>
      </c>
      <c r="N466" t="str">
        <f t="shared" si="50"/>
        <v>&lt;tr&gt; &lt;td&gt;Feb. 20&lt;/td&gt;</v>
      </c>
      <c r="O466" t="str">
        <f t="shared" si="51"/>
        <v>&lt;td&gt;11:45 AM&lt;/td&gt;</v>
      </c>
      <c r="P466" t="str">
        <f t="shared" si="52"/>
        <v>&lt;td class="DMCIsched"&gt;Daniel McIntyre&lt;/td&gt;</v>
      </c>
      <c r="Q466" t="str">
        <f t="shared" si="53"/>
        <v>&lt;td&gt;62 - 59&lt;/td&gt;</v>
      </c>
      <c r="R466" t="str">
        <f t="shared" si="54"/>
        <v>&lt;td class="TVHSsched"&gt;Tec Voc&lt;/td&gt;</v>
      </c>
      <c r="S466" t="str">
        <f t="shared" si="55"/>
        <v>&lt;td&gt;North-South Showdown 3rd Place&lt;/td&gt; &lt;/tr&gt;</v>
      </c>
    </row>
    <row r="467" spans="1:19" x14ac:dyDescent="0.25">
      <c r="A467" s="5">
        <v>42420</v>
      </c>
      <c r="B467" s="6">
        <v>0.63541666666666663</v>
      </c>
      <c r="C467" t="s">
        <v>9</v>
      </c>
      <c r="D467" t="s">
        <v>76</v>
      </c>
      <c r="E467">
        <v>74</v>
      </c>
      <c r="F467" t="s">
        <v>1</v>
      </c>
      <c r="G467" t="s">
        <v>74</v>
      </c>
      <c r="H467">
        <v>50</v>
      </c>
      <c r="J467" t="str">
        <f t="shared" si="49"/>
        <v>V</v>
      </c>
      <c r="K467" t="s">
        <v>787</v>
      </c>
      <c r="L467" t="s">
        <v>184</v>
      </c>
      <c r="N467" t="str">
        <f t="shared" si="50"/>
        <v>&lt;tr&gt; &lt;td&gt;Feb. 20&lt;/td&gt;</v>
      </c>
      <c r="O467" t="str">
        <f t="shared" si="51"/>
        <v>&lt;td&gt;3:15 PM&lt;/td&gt;</v>
      </c>
      <c r="P467" t="str">
        <f t="shared" si="52"/>
        <v>&lt;td class="SiHSsched"&gt;Sisler&lt;/td&gt;</v>
      </c>
      <c r="Q467" t="str">
        <f t="shared" si="53"/>
        <v>&lt;td&gt;74 - 50&lt;/td&gt;</v>
      </c>
      <c r="R467" t="str">
        <f t="shared" si="54"/>
        <v>&lt;td class="OPHSsched"&gt;Oak Park&lt;/td&gt;</v>
      </c>
      <c r="S467" t="str">
        <f t="shared" si="55"/>
        <v>&lt;td&gt;North-South Showdown Championship&lt;/td&gt; &lt;/tr&gt;</v>
      </c>
    </row>
    <row r="468" spans="1:19" x14ac:dyDescent="0.25">
      <c r="A468" s="5">
        <v>42420</v>
      </c>
      <c r="C468" t="s">
        <v>12</v>
      </c>
      <c r="D468" t="s">
        <v>54</v>
      </c>
      <c r="F468" t="s">
        <v>25</v>
      </c>
      <c r="G468" t="s">
        <v>84</v>
      </c>
      <c r="I468" t="s">
        <v>565</v>
      </c>
      <c r="J468" t="str">
        <f t="shared" si="49"/>
        <v/>
      </c>
      <c r="K468" t="s">
        <v>26</v>
      </c>
      <c r="L468" t="s">
        <v>181</v>
      </c>
      <c r="N468" t="str">
        <f t="shared" si="50"/>
        <v>&lt;tr&gt; &lt;td&gt;Feb. 20&lt;/td&gt;</v>
      </c>
      <c r="O468" t="str">
        <f t="shared" si="51"/>
        <v>&lt;td&gt;&lt;/td&gt;</v>
      </c>
      <c r="P468" t="str">
        <f t="shared" si="52"/>
        <v>&lt;td class="LSsched"&gt;Selkirk&lt;/td&gt;</v>
      </c>
      <c r="Q468" t="str">
        <f t="shared" si="53"/>
        <v>&lt;td&gt; -  NR&lt;/td&gt;</v>
      </c>
      <c r="R468" t="str">
        <f t="shared" si="54"/>
        <v>&lt;td class="EHSsched"&gt;Elmwood&lt;/td&gt;</v>
      </c>
      <c r="S468" t="str">
        <f t="shared" si="55"/>
        <v>&lt;td&gt;Gordon Bell 7th Place&lt;/td&gt; &lt;/tr&gt;</v>
      </c>
    </row>
    <row r="469" spans="1:19" x14ac:dyDescent="0.25">
      <c r="A469" s="5">
        <v>42420</v>
      </c>
      <c r="C469" t="s">
        <v>584</v>
      </c>
      <c r="E469">
        <v>54</v>
      </c>
      <c r="F469" t="s">
        <v>26</v>
      </c>
      <c r="G469" t="s">
        <v>86</v>
      </c>
      <c r="H469">
        <v>55</v>
      </c>
      <c r="J469" t="str">
        <f t="shared" si="49"/>
        <v>H</v>
      </c>
      <c r="K469" t="s">
        <v>26</v>
      </c>
      <c r="L469" t="s">
        <v>184</v>
      </c>
      <c r="N469" t="str">
        <f t="shared" si="50"/>
        <v>&lt;tr&gt; &lt;td&gt;Feb. 20&lt;/td&gt;</v>
      </c>
      <c r="O469" t="str">
        <f t="shared" si="51"/>
        <v>&lt;td&gt;&lt;/td&gt;</v>
      </c>
      <c r="P469" t="str">
        <f t="shared" si="52"/>
        <v>&lt;td class="sched"&gt;Louis Riel&lt;/td&gt;</v>
      </c>
      <c r="Q469" t="str">
        <f t="shared" si="53"/>
        <v>&lt;td&gt;54 - 55&lt;/td&gt;</v>
      </c>
      <c r="R469" t="str">
        <f t="shared" si="54"/>
        <v>&lt;td class="GBHSsched"&gt;Gordon Bell&lt;/td&gt;</v>
      </c>
      <c r="S469" t="str">
        <f t="shared" si="55"/>
        <v>&lt;td&gt;Gordon Bell Championship&lt;/td&gt; &lt;/tr&gt;</v>
      </c>
    </row>
    <row r="470" spans="1:19" x14ac:dyDescent="0.25">
      <c r="A470" s="5">
        <v>42422</v>
      </c>
      <c r="B470" s="6">
        <v>0.6875</v>
      </c>
      <c r="C470" t="s">
        <v>31</v>
      </c>
      <c r="D470" t="s">
        <v>96</v>
      </c>
      <c r="E470">
        <v>89</v>
      </c>
      <c r="F470" t="s">
        <v>25</v>
      </c>
      <c r="G470" t="s">
        <v>84</v>
      </c>
      <c r="H470">
        <v>37</v>
      </c>
      <c r="J470" t="str">
        <f t="shared" si="49"/>
        <v>V</v>
      </c>
      <c r="K470" t="s">
        <v>257</v>
      </c>
      <c r="L470" t="s">
        <v>228</v>
      </c>
      <c r="M470" t="s">
        <v>229</v>
      </c>
      <c r="N470" t="str">
        <f t="shared" si="50"/>
        <v>&lt;tr&gt; &lt;td&gt;Feb. 22&lt;/td&gt;</v>
      </c>
      <c r="O470" t="str">
        <f t="shared" si="51"/>
        <v>&lt;td&gt;4:30 PM&lt;/td&gt;</v>
      </c>
      <c r="P470" t="str">
        <f t="shared" si="52"/>
        <v>&lt;td class="TVHSsched"&gt;Tec Voc&lt;/td&gt;</v>
      </c>
      <c r="Q470" t="str">
        <f t="shared" si="53"/>
        <v>&lt;td&gt;89 - 37&lt;/td&gt;</v>
      </c>
      <c r="R470" t="str">
        <f t="shared" si="54"/>
        <v>&lt;td class="EHSsched"&gt;Elmwood&lt;/td&gt;</v>
      </c>
      <c r="S470" t="str">
        <f t="shared" si="55"/>
        <v>&lt;td&gt;WWAC/WAC Tier 2 Regular Season&lt;/td&gt; &lt;/tr&gt;</v>
      </c>
    </row>
    <row r="471" spans="1:19" x14ac:dyDescent="0.25">
      <c r="A471" s="5">
        <v>42422</v>
      </c>
      <c r="B471" s="6">
        <v>0.6875</v>
      </c>
      <c r="C471" t="s">
        <v>253</v>
      </c>
      <c r="E471">
        <v>37</v>
      </c>
      <c r="F471" t="s">
        <v>26</v>
      </c>
      <c r="G471" t="s">
        <v>86</v>
      </c>
      <c r="H471">
        <v>47</v>
      </c>
      <c r="J471" t="str">
        <f t="shared" si="49"/>
        <v>H</v>
      </c>
      <c r="K471" t="s">
        <v>257</v>
      </c>
      <c r="L471" t="s">
        <v>228</v>
      </c>
      <c r="M471" t="s">
        <v>229</v>
      </c>
      <c r="N471" t="str">
        <f t="shared" si="50"/>
        <v>&lt;tr&gt; &lt;td&gt;Feb. 22&lt;/td&gt;</v>
      </c>
      <c r="O471" t="str">
        <f t="shared" si="51"/>
        <v>&lt;td&gt;4:30 PM&lt;/td&gt;</v>
      </c>
      <c r="P471" t="str">
        <f t="shared" si="52"/>
        <v>&lt;td class="sched"&gt;St. James&lt;/td&gt;</v>
      </c>
      <c r="Q471" t="str">
        <f t="shared" si="53"/>
        <v>&lt;td&gt;37 - 47&lt;/td&gt;</v>
      </c>
      <c r="R471" t="str">
        <f t="shared" si="54"/>
        <v>&lt;td class="GBHSsched"&gt;Gordon Bell&lt;/td&gt;</v>
      </c>
      <c r="S471" t="str">
        <f t="shared" si="55"/>
        <v>&lt;td&gt;WWAC/WAC Tier 2 Regular Season&lt;/td&gt; &lt;/tr&gt;</v>
      </c>
    </row>
    <row r="472" spans="1:19" x14ac:dyDescent="0.25">
      <c r="A472" s="5">
        <v>42422</v>
      </c>
      <c r="B472" s="6">
        <v>0.6875</v>
      </c>
      <c r="C472" t="s">
        <v>10</v>
      </c>
      <c r="D472" t="s">
        <v>72</v>
      </c>
      <c r="E472">
        <v>56</v>
      </c>
      <c r="F472" t="s">
        <v>30</v>
      </c>
      <c r="G472" t="s">
        <v>92</v>
      </c>
      <c r="H472">
        <v>37</v>
      </c>
      <c r="J472" t="str">
        <f t="shared" si="49"/>
        <v>V</v>
      </c>
      <c r="K472" t="s">
        <v>257</v>
      </c>
      <c r="L472" t="s">
        <v>228</v>
      </c>
      <c r="M472" t="s">
        <v>229</v>
      </c>
      <c r="N472" t="str">
        <f t="shared" si="50"/>
        <v>&lt;tr&gt; &lt;td&gt;Feb. 22&lt;/td&gt;</v>
      </c>
      <c r="O472" t="str">
        <f t="shared" si="51"/>
        <v>&lt;td&gt;4:30 PM&lt;/td&gt;</v>
      </c>
      <c r="P472" t="str">
        <f t="shared" si="52"/>
        <v>&lt;td class="KHSsched"&gt;Kelvin&lt;/td&gt;</v>
      </c>
      <c r="Q472" t="str">
        <f t="shared" si="53"/>
        <v>&lt;td&gt;56 - 37&lt;/td&gt;</v>
      </c>
      <c r="R472" t="str">
        <f t="shared" si="54"/>
        <v>&lt;td class="SJHSsched"&gt;St. John's&lt;/td&gt;</v>
      </c>
      <c r="S472" t="str">
        <f t="shared" si="55"/>
        <v>&lt;td&gt;WWAC/WAC Tier 2 Regular Season&lt;/td&gt; &lt;/tr&gt;</v>
      </c>
    </row>
    <row r="473" spans="1:19" x14ac:dyDescent="0.25">
      <c r="A473" s="5">
        <v>42422</v>
      </c>
      <c r="B473" s="6">
        <v>0.6875</v>
      </c>
      <c r="C473" t="s">
        <v>29</v>
      </c>
      <c r="D473" t="s">
        <v>91</v>
      </c>
      <c r="E473">
        <v>53</v>
      </c>
      <c r="F473" t="s">
        <v>27</v>
      </c>
      <c r="G473" t="s">
        <v>88</v>
      </c>
      <c r="H473">
        <v>63</v>
      </c>
      <c r="J473" t="str">
        <f t="shared" si="49"/>
        <v>H</v>
      </c>
      <c r="K473" t="s">
        <v>257</v>
      </c>
      <c r="L473" t="s">
        <v>228</v>
      </c>
      <c r="M473" t="s">
        <v>229</v>
      </c>
      <c r="N473" t="str">
        <f t="shared" si="50"/>
        <v>&lt;tr&gt; &lt;td&gt;Feb. 22&lt;/td&gt;</v>
      </c>
      <c r="O473" t="str">
        <f t="shared" si="51"/>
        <v>&lt;td&gt;4:30 PM&lt;/td&gt;</v>
      </c>
      <c r="P473" t="str">
        <f t="shared" si="52"/>
        <v>&lt;td class="ShHSsched"&gt;Shaftesbury&lt;/td&gt;</v>
      </c>
      <c r="Q473" t="str">
        <f t="shared" si="53"/>
        <v>&lt;td&gt;53 - 63&lt;/td&gt;</v>
      </c>
      <c r="R473" t="str">
        <f t="shared" si="54"/>
        <v>&lt;td class="GPHSsched"&gt;Grant Park&lt;/td&gt;</v>
      </c>
      <c r="S473" t="str">
        <f t="shared" si="55"/>
        <v>&lt;td&gt;WWAC/WAC Tier 2 Regular Season&lt;/td&gt; &lt;/tr&gt;</v>
      </c>
    </row>
    <row r="474" spans="1:19" x14ac:dyDescent="0.25">
      <c r="A474" s="5">
        <v>42422</v>
      </c>
      <c r="B474" s="6">
        <v>0.6875</v>
      </c>
      <c r="C474" t="s">
        <v>9</v>
      </c>
      <c r="D474" t="s">
        <v>76</v>
      </c>
      <c r="E474">
        <v>77</v>
      </c>
      <c r="F474" t="s">
        <v>6</v>
      </c>
      <c r="G474" t="s">
        <v>70</v>
      </c>
      <c r="H474">
        <v>28</v>
      </c>
      <c r="J474" t="str">
        <f t="shared" si="49"/>
        <v>V</v>
      </c>
      <c r="K474" t="s">
        <v>258</v>
      </c>
      <c r="L474" t="s">
        <v>228</v>
      </c>
      <c r="M474" t="s">
        <v>229</v>
      </c>
      <c r="N474" t="str">
        <f t="shared" si="50"/>
        <v>&lt;tr&gt; &lt;td&gt;Feb. 22&lt;/td&gt;</v>
      </c>
      <c r="O474" t="str">
        <f t="shared" si="51"/>
        <v>&lt;td&gt;4:30 PM&lt;/td&gt;</v>
      </c>
      <c r="P474" t="str">
        <f t="shared" si="52"/>
        <v>&lt;td class="SiHSsched"&gt;Sisler&lt;/td&gt;</v>
      </c>
      <c r="Q474" t="str">
        <f t="shared" si="53"/>
        <v>&lt;td&gt;77 - 28&lt;/td&gt;</v>
      </c>
      <c r="R474" t="str">
        <f t="shared" si="54"/>
        <v>&lt;td class="JTCsched"&gt;John Taylor&lt;/td&gt;</v>
      </c>
      <c r="S474" t="str">
        <f t="shared" si="55"/>
        <v>&lt;td&gt;WWAC/WAC Tier 1 Regular Season&lt;/td&gt; &lt;/tr&gt;</v>
      </c>
    </row>
    <row r="475" spans="1:19" x14ac:dyDescent="0.25">
      <c r="A475" s="5">
        <v>42422</v>
      </c>
      <c r="B475" s="6">
        <v>0.6875</v>
      </c>
      <c r="C475" t="s">
        <v>24</v>
      </c>
      <c r="D475" t="s">
        <v>82</v>
      </c>
      <c r="E475">
        <v>62</v>
      </c>
      <c r="F475" t="s">
        <v>13</v>
      </c>
      <c r="G475" t="s">
        <v>98</v>
      </c>
      <c r="H475">
        <v>86</v>
      </c>
      <c r="J475" t="str">
        <f t="shared" si="49"/>
        <v>H</v>
      </c>
      <c r="K475" t="s">
        <v>258</v>
      </c>
      <c r="L475" t="s">
        <v>228</v>
      </c>
      <c r="M475" t="s">
        <v>229</v>
      </c>
      <c r="N475" t="str">
        <f t="shared" si="50"/>
        <v>&lt;tr&gt; &lt;td&gt;Feb. 22&lt;/td&gt;</v>
      </c>
      <c r="O475" t="str">
        <f t="shared" si="51"/>
        <v>&lt;td&gt;4:30 PM&lt;/td&gt;</v>
      </c>
      <c r="P475" t="str">
        <f t="shared" si="52"/>
        <v>&lt;td class="DMCIsched"&gt;Daniel McIntyre&lt;/td&gt;</v>
      </c>
      <c r="Q475" t="str">
        <f t="shared" si="53"/>
        <v>&lt;td&gt;62 - 86&lt;/td&gt;</v>
      </c>
      <c r="R475" t="str">
        <f t="shared" si="54"/>
        <v>&lt;td class="WWCsched"&gt;Westwood&lt;/td&gt;</v>
      </c>
      <c r="S475" t="str">
        <f t="shared" si="55"/>
        <v>&lt;td&gt;WWAC/WAC Tier 1 Regular Season&lt;/td&gt; &lt;/tr&gt;</v>
      </c>
    </row>
    <row r="476" spans="1:19" x14ac:dyDescent="0.25">
      <c r="A476" s="5">
        <v>42422</v>
      </c>
      <c r="B476" s="6">
        <v>0.6875</v>
      </c>
      <c r="C476" t="s">
        <v>23</v>
      </c>
      <c r="D476" t="s">
        <v>80</v>
      </c>
      <c r="E476">
        <v>86</v>
      </c>
      <c r="F476" t="s">
        <v>111</v>
      </c>
      <c r="G476" t="s">
        <v>112</v>
      </c>
      <c r="H476">
        <v>27</v>
      </c>
      <c r="J476" t="str">
        <f t="shared" si="49"/>
        <v>V</v>
      </c>
      <c r="K476" t="s">
        <v>258</v>
      </c>
      <c r="L476" t="s">
        <v>228</v>
      </c>
      <c r="M476" t="s">
        <v>229</v>
      </c>
      <c r="N476" t="str">
        <f t="shared" si="50"/>
        <v>&lt;tr&gt; &lt;td&gt;Feb. 22&lt;/td&gt;</v>
      </c>
      <c r="O476" t="str">
        <f t="shared" si="51"/>
        <v>&lt;td&gt;4:30 PM&lt;/td&gt;</v>
      </c>
      <c r="P476" t="str">
        <f t="shared" si="52"/>
        <v>&lt;td class="VMCsched"&gt;Vincent Massey&lt;/td&gt;</v>
      </c>
      <c r="Q476" t="str">
        <f t="shared" si="53"/>
        <v>&lt;td&gt;86 - 27&lt;/td&gt;</v>
      </c>
      <c r="R476" t="str">
        <f t="shared" si="54"/>
        <v>&lt;td class="SMAsched"&gt;St. Mary's&lt;/td&gt;</v>
      </c>
      <c r="S476" t="str">
        <f t="shared" si="55"/>
        <v>&lt;td&gt;WWAC/WAC Tier 1 Regular Season&lt;/td&gt; &lt;/tr&gt;</v>
      </c>
    </row>
    <row r="477" spans="1:19" x14ac:dyDescent="0.25">
      <c r="A477" s="5">
        <v>42422</v>
      </c>
      <c r="B477" s="6">
        <v>0.6875</v>
      </c>
      <c r="C477" t="s">
        <v>15</v>
      </c>
      <c r="D477" t="s">
        <v>68</v>
      </c>
      <c r="E477">
        <v>17</v>
      </c>
      <c r="F477" t="s">
        <v>1</v>
      </c>
      <c r="G477" t="s">
        <v>74</v>
      </c>
      <c r="H477">
        <v>67</v>
      </c>
      <c r="J477" t="str">
        <f t="shared" si="49"/>
        <v>H</v>
      </c>
      <c r="K477" t="s">
        <v>258</v>
      </c>
      <c r="L477" t="s">
        <v>228</v>
      </c>
      <c r="M477" t="s">
        <v>229</v>
      </c>
      <c r="N477" t="str">
        <f t="shared" si="50"/>
        <v>&lt;tr&gt; &lt;td&gt;Feb. 22&lt;/td&gt;</v>
      </c>
      <c r="O477" t="str">
        <f t="shared" si="51"/>
        <v>&lt;td&gt;4:30 PM&lt;/td&gt;</v>
      </c>
      <c r="P477" t="str">
        <f t="shared" si="52"/>
        <v>&lt;td class="FRCsched"&gt;Fort Richmond&lt;/td&gt;</v>
      </c>
      <c r="Q477" t="str">
        <f t="shared" si="53"/>
        <v>&lt;td&gt;17 - 67&lt;/td&gt;</v>
      </c>
      <c r="R477" t="str">
        <f t="shared" si="54"/>
        <v>&lt;td class="OPHSsched"&gt;Oak Park&lt;/td&gt;</v>
      </c>
      <c r="S477" t="str">
        <f t="shared" si="55"/>
        <v>&lt;td&gt;WWAC/WAC Tier 1 Regular Season&lt;/td&gt; &lt;/tr&gt;</v>
      </c>
    </row>
    <row r="478" spans="1:19" x14ac:dyDescent="0.25">
      <c r="A478" s="5">
        <v>42422</v>
      </c>
      <c r="B478" s="6">
        <v>0.75</v>
      </c>
      <c r="C478" t="s">
        <v>7</v>
      </c>
      <c r="D478" t="s">
        <v>7</v>
      </c>
      <c r="E478">
        <v>64</v>
      </c>
      <c r="F478" t="s">
        <v>17</v>
      </c>
      <c r="G478" t="s">
        <v>50</v>
      </c>
      <c r="H478">
        <v>49</v>
      </c>
      <c r="J478" t="str">
        <f t="shared" si="49"/>
        <v>V</v>
      </c>
      <c r="K478" t="s">
        <v>233</v>
      </c>
      <c r="L478" t="s">
        <v>228</v>
      </c>
      <c r="M478" t="s">
        <v>229</v>
      </c>
      <c r="N478" t="str">
        <f t="shared" si="50"/>
        <v>&lt;tr&gt; &lt;td&gt;Feb. 22&lt;/td&gt;</v>
      </c>
      <c r="O478" t="str">
        <f t="shared" si="51"/>
        <v>&lt;td&gt;6:00 PM&lt;/td&gt;</v>
      </c>
      <c r="P478" t="str">
        <f t="shared" si="52"/>
        <v>&lt;td class="MBCIsched"&gt;MBCI&lt;/td&gt;</v>
      </c>
      <c r="Q478" t="str">
        <f t="shared" si="53"/>
        <v>&lt;td&gt;64 - 49&lt;/td&gt;</v>
      </c>
      <c r="R478" t="str">
        <f t="shared" si="54"/>
        <v>&lt;td class="MMCIsched"&gt;Murdoch MacKay&lt;/td&gt;</v>
      </c>
      <c r="S478" t="str">
        <f t="shared" si="55"/>
        <v>&lt;td&gt;KPAC Tier 2 Regular Season&lt;/td&gt; &lt;/tr&gt;</v>
      </c>
    </row>
    <row r="479" spans="1:19" x14ac:dyDescent="0.25">
      <c r="A479" s="5">
        <v>42422</v>
      </c>
      <c r="B479" s="6">
        <v>0.75</v>
      </c>
      <c r="C479" t="s">
        <v>18</v>
      </c>
      <c r="D479" t="s">
        <v>52</v>
      </c>
      <c r="E479">
        <v>64</v>
      </c>
      <c r="F479" t="s">
        <v>20</v>
      </c>
      <c r="G479" t="s">
        <v>58</v>
      </c>
      <c r="H479">
        <v>22</v>
      </c>
      <c r="J479" t="str">
        <f t="shared" si="49"/>
        <v>V</v>
      </c>
      <c r="K479" t="s">
        <v>233</v>
      </c>
      <c r="L479" t="s">
        <v>228</v>
      </c>
      <c r="M479" t="s">
        <v>229</v>
      </c>
      <c r="N479" t="str">
        <f t="shared" si="50"/>
        <v>&lt;tr&gt; &lt;td&gt;Feb. 22&lt;/td&gt;</v>
      </c>
      <c r="O479" t="str">
        <f t="shared" si="51"/>
        <v>&lt;td&gt;6:00 PM&lt;/td&gt;</v>
      </c>
      <c r="P479" t="str">
        <f t="shared" si="52"/>
        <v>&lt;td class="RECsched"&gt;River East&lt;/td&gt;</v>
      </c>
      <c r="Q479" t="str">
        <f t="shared" si="53"/>
        <v>&lt;td&gt;64 - 22&lt;/td&gt;</v>
      </c>
      <c r="R479" t="str">
        <f t="shared" si="54"/>
        <v>&lt;td class="WKCsched"&gt;West Kildonan&lt;/td&gt;</v>
      </c>
      <c r="S479" t="str">
        <f t="shared" si="55"/>
        <v>&lt;td&gt;KPAC Tier 2 Regular Season&lt;/td&gt; &lt;/tr&gt;</v>
      </c>
    </row>
    <row r="480" spans="1:19" x14ac:dyDescent="0.25">
      <c r="A480" s="5">
        <v>42422</v>
      </c>
      <c r="B480" s="6">
        <v>0.75</v>
      </c>
      <c r="C480" t="s">
        <v>16</v>
      </c>
      <c r="D480" t="s">
        <v>45</v>
      </c>
      <c r="E480">
        <v>65</v>
      </c>
      <c r="F480" t="s">
        <v>19</v>
      </c>
      <c r="G480" t="s">
        <v>56</v>
      </c>
      <c r="H480">
        <v>31</v>
      </c>
      <c r="J480" t="str">
        <f t="shared" si="49"/>
        <v>V</v>
      </c>
      <c r="K480" t="s">
        <v>233</v>
      </c>
      <c r="L480" t="s">
        <v>228</v>
      </c>
      <c r="M480" t="s">
        <v>229</v>
      </c>
      <c r="N480" t="str">
        <f t="shared" si="50"/>
        <v>&lt;tr&gt; &lt;td&gt;Feb. 22&lt;/td&gt;</v>
      </c>
      <c r="O480" t="str">
        <f t="shared" si="51"/>
        <v>&lt;td&gt;6:00 PM&lt;/td&gt;</v>
      </c>
      <c r="P480" t="str">
        <f t="shared" si="52"/>
        <v>&lt;td class="MCsched"&gt;Maples&lt;/td&gt;</v>
      </c>
      <c r="Q480" t="str">
        <f t="shared" si="53"/>
        <v>&lt;td&gt;65 - 31&lt;/td&gt;</v>
      </c>
      <c r="R480" t="str">
        <f t="shared" si="54"/>
        <v>&lt;td class="TCIsched"&gt;Transcona&lt;/td&gt;</v>
      </c>
      <c r="S480" t="str">
        <f t="shared" si="55"/>
        <v>&lt;td&gt;KPAC Tier 2 Regular Season&lt;/td&gt; &lt;/tr&gt;</v>
      </c>
    </row>
    <row r="481" spans="1:19" x14ac:dyDescent="0.25">
      <c r="A481" s="5">
        <v>42422</v>
      </c>
      <c r="B481" s="6">
        <v>0.75</v>
      </c>
      <c r="C481" t="s">
        <v>4</v>
      </c>
      <c r="D481" t="s">
        <v>41</v>
      </c>
      <c r="E481">
        <v>64</v>
      </c>
      <c r="F481" t="s">
        <v>11</v>
      </c>
      <c r="G481" t="s">
        <v>48</v>
      </c>
      <c r="H481">
        <v>80</v>
      </c>
      <c r="J481" t="str">
        <f t="shared" si="49"/>
        <v>H</v>
      </c>
      <c r="K481" t="s">
        <v>234</v>
      </c>
      <c r="L481" t="s">
        <v>228</v>
      </c>
      <c r="M481" t="s">
        <v>229</v>
      </c>
      <c r="N481" t="str">
        <f t="shared" si="50"/>
        <v>&lt;tr&gt; &lt;td&gt;Feb. 22&lt;/td&gt;</v>
      </c>
      <c r="O481" t="str">
        <f t="shared" si="51"/>
        <v>&lt;td&gt;6:00 PM&lt;/td&gt;</v>
      </c>
      <c r="P481" t="str">
        <f t="shared" si="52"/>
        <v>&lt;td class="GCCsched"&gt;Garden City&lt;/td&gt;</v>
      </c>
      <c r="Q481" t="str">
        <f t="shared" si="53"/>
        <v>&lt;td&gt;64 - 80&lt;/td&gt;</v>
      </c>
      <c r="R481" t="str">
        <f t="shared" si="54"/>
        <v>&lt;td class="MMCsched"&gt;Miles Macdonell&lt;/td&gt;</v>
      </c>
      <c r="S481" t="str">
        <f t="shared" si="55"/>
        <v>&lt;td&gt;KPAC Tier 1 Regular Season&lt;/td&gt; &lt;/tr&gt;</v>
      </c>
    </row>
    <row r="482" spans="1:19" x14ac:dyDescent="0.25">
      <c r="A482" s="5">
        <v>42422</v>
      </c>
      <c r="B482" s="6">
        <v>0.75</v>
      </c>
      <c r="C482" t="s">
        <v>237</v>
      </c>
      <c r="E482">
        <v>36</v>
      </c>
      <c r="F482" t="s">
        <v>22</v>
      </c>
      <c r="G482" t="s">
        <v>66</v>
      </c>
      <c r="H482">
        <v>55</v>
      </c>
      <c r="J482" t="str">
        <f t="shared" si="49"/>
        <v>H</v>
      </c>
      <c r="K482" t="s">
        <v>763</v>
      </c>
      <c r="L482" t="s">
        <v>228</v>
      </c>
      <c r="M482" t="s">
        <v>229</v>
      </c>
      <c r="N482" t="str">
        <f t="shared" si="50"/>
        <v>&lt;tr&gt; &lt;td&gt;Feb. 22&lt;/td&gt;</v>
      </c>
      <c r="O482" t="str">
        <f t="shared" si="51"/>
        <v>&lt;td&gt;6:00 PM&lt;/td&gt;</v>
      </c>
      <c r="P482" t="str">
        <f t="shared" si="52"/>
        <v>&lt;td class="sched"&gt;Westgate&lt;/td&gt;</v>
      </c>
      <c r="Q482" t="str">
        <f t="shared" si="53"/>
        <v>&lt;td&gt;36 - 55&lt;/td&gt;</v>
      </c>
      <c r="R482" t="str">
        <f t="shared" si="54"/>
        <v>&lt;td class="SRSSsched"&gt;Steinbach&lt;/td&gt;</v>
      </c>
      <c r="S482" t="str">
        <f t="shared" si="55"/>
        <v>&lt;td&gt;SCAC Regular Season&lt;/td&gt; &lt;/tr&gt;</v>
      </c>
    </row>
    <row r="483" spans="1:19" x14ac:dyDescent="0.25">
      <c r="A483" s="5">
        <v>42422</v>
      </c>
      <c r="B483" s="6">
        <v>0.75</v>
      </c>
      <c r="C483" t="s">
        <v>108</v>
      </c>
      <c r="D483" t="s">
        <v>109</v>
      </c>
      <c r="E483">
        <v>16</v>
      </c>
      <c r="F483" t="s">
        <v>8</v>
      </c>
      <c r="G483" t="s">
        <v>60</v>
      </c>
      <c r="H483">
        <v>71</v>
      </c>
      <c r="J483" t="str">
        <f t="shared" si="49"/>
        <v>H</v>
      </c>
      <c r="K483" t="s">
        <v>763</v>
      </c>
      <c r="L483" t="s">
        <v>228</v>
      </c>
      <c r="M483" t="s">
        <v>229</v>
      </c>
      <c r="N483" t="str">
        <f t="shared" si="50"/>
        <v>&lt;tr&gt; &lt;td&gt;Feb. 22&lt;/td&gt;</v>
      </c>
      <c r="O483" t="str">
        <f t="shared" si="51"/>
        <v>&lt;td&gt;6:00 PM&lt;/td&gt;</v>
      </c>
      <c r="P483" t="str">
        <f t="shared" si="52"/>
        <v>&lt;td class="CJSsched"&gt;Jeanne-Sauv&amp;eacute;&lt;/td&gt;</v>
      </c>
      <c r="Q483" t="str">
        <f t="shared" si="53"/>
        <v>&lt;td&gt;16 - 71&lt;/td&gt;</v>
      </c>
      <c r="R483" t="str">
        <f t="shared" si="54"/>
        <v>&lt;td class="DCIsched"&gt;Dakota&lt;/td&gt;</v>
      </c>
      <c r="S483" t="str">
        <f t="shared" si="55"/>
        <v>&lt;td&gt;SCAC Regular Season&lt;/td&gt; &lt;/tr&gt;</v>
      </c>
    </row>
    <row r="484" spans="1:19" x14ac:dyDescent="0.25">
      <c r="A484" s="5">
        <v>42422</v>
      </c>
      <c r="B484" s="6">
        <v>0.75</v>
      </c>
      <c r="C484" t="s">
        <v>21</v>
      </c>
      <c r="D484" t="s">
        <v>64</v>
      </c>
      <c r="E484">
        <v>19</v>
      </c>
      <c r="F484" t="s">
        <v>5</v>
      </c>
      <c r="G484" t="s">
        <v>62</v>
      </c>
      <c r="H484">
        <v>57</v>
      </c>
      <c r="J484" t="str">
        <f t="shared" si="49"/>
        <v>H</v>
      </c>
      <c r="K484" t="s">
        <v>763</v>
      </c>
      <c r="L484" t="s">
        <v>228</v>
      </c>
      <c r="M484" t="s">
        <v>229</v>
      </c>
      <c r="N484" t="str">
        <f t="shared" si="50"/>
        <v>&lt;tr&gt; &lt;td&gt;Feb. 22&lt;/td&gt;</v>
      </c>
      <c r="O484" t="str">
        <f t="shared" si="51"/>
        <v>&lt;td&gt;6:00 PM&lt;/td&gt;</v>
      </c>
      <c r="P484" t="str">
        <f t="shared" si="52"/>
        <v>&lt;td class="JHBsched"&gt;J.H. Bruns&lt;/td&gt;</v>
      </c>
      <c r="Q484" t="str">
        <f t="shared" si="53"/>
        <v>&lt;td&gt;19 - 57&lt;/td&gt;</v>
      </c>
      <c r="R484" t="str">
        <f t="shared" si="54"/>
        <v>&lt;td class="GCIsched"&gt;Glenlawn&lt;/td&gt;</v>
      </c>
      <c r="S484" t="str">
        <f t="shared" si="55"/>
        <v>&lt;td&gt;SCAC Regular Season&lt;/td&gt; &lt;/tr&gt;</v>
      </c>
    </row>
    <row r="485" spans="1:19" x14ac:dyDescent="0.25">
      <c r="A485" s="5">
        <v>42423</v>
      </c>
      <c r="B485" s="6">
        <v>0.75</v>
      </c>
      <c r="C485" t="s">
        <v>108</v>
      </c>
      <c r="D485" t="s">
        <v>109</v>
      </c>
      <c r="E485">
        <v>30</v>
      </c>
      <c r="F485" t="s">
        <v>22</v>
      </c>
      <c r="G485" t="s">
        <v>66</v>
      </c>
      <c r="H485">
        <v>43</v>
      </c>
      <c r="J485" t="str">
        <f t="shared" si="49"/>
        <v>H</v>
      </c>
      <c r="K485" t="s">
        <v>763</v>
      </c>
      <c r="L485" t="s">
        <v>228</v>
      </c>
      <c r="M485" t="s">
        <v>229</v>
      </c>
      <c r="N485" t="str">
        <f t="shared" si="50"/>
        <v>&lt;tr&gt; &lt;td&gt;Feb. 23&lt;/td&gt;</v>
      </c>
      <c r="O485" t="str">
        <f t="shared" si="51"/>
        <v>&lt;td&gt;6:00 PM&lt;/td&gt;</v>
      </c>
      <c r="P485" t="str">
        <f t="shared" si="52"/>
        <v>&lt;td class="CJSsched"&gt;Jeanne-Sauv&amp;eacute;&lt;/td&gt;</v>
      </c>
      <c r="Q485" t="str">
        <f t="shared" si="53"/>
        <v>&lt;td&gt;30 - 43&lt;/td&gt;</v>
      </c>
      <c r="R485" t="str">
        <f t="shared" si="54"/>
        <v>&lt;td class="SRSSsched"&gt;Steinbach&lt;/td&gt;</v>
      </c>
      <c r="S485" t="str">
        <f t="shared" si="55"/>
        <v>&lt;td&gt;SCAC Regular Season&lt;/td&gt; &lt;/tr&gt;</v>
      </c>
    </row>
    <row r="486" spans="1:19" x14ac:dyDescent="0.25">
      <c r="A486" s="5">
        <v>42423</v>
      </c>
      <c r="B486" s="6">
        <v>0.75</v>
      </c>
      <c r="C486" t="s">
        <v>162</v>
      </c>
      <c r="D486" t="s">
        <v>164</v>
      </c>
      <c r="E486">
        <v>48</v>
      </c>
      <c r="F486" t="s">
        <v>166</v>
      </c>
      <c r="H486">
        <v>39</v>
      </c>
      <c r="J486" t="str">
        <f t="shared" si="49"/>
        <v>V</v>
      </c>
      <c r="K486" t="s">
        <v>163</v>
      </c>
      <c r="L486" t="s">
        <v>228</v>
      </c>
      <c r="M486" t="s">
        <v>229</v>
      </c>
      <c r="N486" t="str">
        <f t="shared" si="50"/>
        <v>&lt;tr&gt; &lt;td&gt;Feb. 23&lt;/td&gt;</v>
      </c>
      <c r="O486" t="str">
        <f t="shared" si="51"/>
        <v>&lt;td&gt;6:00 PM&lt;/td&gt;</v>
      </c>
      <c r="P486" t="str">
        <f t="shared" si="52"/>
        <v>&lt;td class="GVCsched"&gt;Garden Valley&lt;/td&gt;</v>
      </c>
      <c r="Q486" t="str">
        <f t="shared" si="53"/>
        <v>&lt;td&gt;48 - 39&lt;/td&gt;</v>
      </c>
      <c r="R486" t="str">
        <f t="shared" si="54"/>
        <v>&lt;td class="sched"&gt;Sanford&lt;/td&gt;</v>
      </c>
      <c r="S486" t="str">
        <f t="shared" si="55"/>
        <v>&lt;td&gt;Zone 4 Regular Season&lt;/td&gt; &lt;/tr&gt;</v>
      </c>
    </row>
    <row r="487" spans="1:19" x14ac:dyDescent="0.25">
      <c r="A487" s="5">
        <v>42423</v>
      </c>
      <c r="B487" s="6">
        <v>0.75</v>
      </c>
      <c r="C487" t="s">
        <v>11</v>
      </c>
      <c r="D487" t="s">
        <v>48</v>
      </c>
      <c r="E487">
        <v>56</v>
      </c>
      <c r="F487" t="s">
        <v>2</v>
      </c>
      <c r="G487" t="s">
        <v>43</v>
      </c>
      <c r="H487">
        <v>54</v>
      </c>
      <c r="J487" t="str">
        <f t="shared" si="49"/>
        <v>V</v>
      </c>
      <c r="K487" t="s">
        <v>234</v>
      </c>
      <c r="L487" t="s">
        <v>228</v>
      </c>
      <c r="M487" t="s">
        <v>229</v>
      </c>
      <c r="N487" t="str">
        <f t="shared" si="50"/>
        <v>&lt;tr&gt; &lt;td&gt;Feb. 23&lt;/td&gt;</v>
      </c>
      <c r="O487" t="str">
        <f t="shared" si="51"/>
        <v>&lt;td&gt;6:00 PM&lt;/td&gt;</v>
      </c>
      <c r="P487" t="str">
        <f t="shared" si="52"/>
        <v>&lt;td class="MMCsched"&gt;Miles Macdonell&lt;/td&gt;</v>
      </c>
      <c r="Q487" t="str">
        <f t="shared" si="53"/>
        <v>&lt;td&gt;56 - 54&lt;/td&gt;</v>
      </c>
      <c r="R487" t="str">
        <f t="shared" si="54"/>
        <v>&lt;td class="KECsched"&gt;Kildonan-East&lt;/td&gt;</v>
      </c>
      <c r="S487" t="str">
        <f t="shared" si="55"/>
        <v>&lt;td&gt;KPAC Tier 1 Regular Season&lt;/td&gt; &lt;/tr&gt;</v>
      </c>
    </row>
    <row r="488" spans="1:19" x14ac:dyDescent="0.25">
      <c r="A488" s="5">
        <v>42423</v>
      </c>
      <c r="B488" s="6">
        <v>0.75</v>
      </c>
      <c r="C488" t="s">
        <v>32</v>
      </c>
      <c r="D488" t="s">
        <v>100</v>
      </c>
      <c r="E488">
        <v>54</v>
      </c>
      <c r="F488" t="s">
        <v>23</v>
      </c>
      <c r="G488" t="s">
        <v>102</v>
      </c>
      <c r="H488">
        <v>45</v>
      </c>
      <c r="J488" t="str">
        <f t="shared" si="49"/>
        <v>V</v>
      </c>
      <c r="K488" t="s">
        <v>796</v>
      </c>
      <c r="L488" t="s">
        <v>819</v>
      </c>
      <c r="N488" t="str">
        <f t="shared" si="50"/>
        <v>&lt;tr&gt; &lt;td&gt;Feb. 23&lt;/td&gt;</v>
      </c>
      <c r="O488" t="str">
        <f t="shared" si="51"/>
        <v>&lt;td&gt;6:00 PM&lt;/td&gt;</v>
      </c>
      <c r="P488" t="str">
        <f t="shared" si="52"/>
        <v>&lt;td class="CPRSsched"&gt;Crocus Plains&lt;/td&gt;</v>
      </c>
      <c r="Q488" t="str">
        <f t="shared" si="53"/>
        <v>&lt;td&gt;54 - 45&lt;/td&gt;</v>
      </c>
      <c r="R488" t="str">
        <f t="shared" si="54"/>
        <v>&lt;td class="VMHSsched"&gt;Vincent Massey&lt;/td&gt;</v>
      </c>
      <c r="S488" t="str">
        <f t="shared" si="55"/>
        <v>&lt;td&gt;Zone 15 Championship Game 2&lt;/td&gt; &lt;/tr&gt;</v>
      </c>
    </row>
    <row r="489" spans="1:19" x14ac:dyDescent="0.25">
      <c r="A489" s="5">
        <v>42424</v>
      </c>
      <c r="B489" s="6">
        <v>0.6875</v>
      </c>
      <c r="C489" t="s">
        <v>15</v>
      </c>
      <c r="D489" t="s">
        <v>68</v>
      </c>
      <c r="E489">
        <v>35</v>
      </c>
      <c r="F489" t="s">
        <v>111</v>
      </c>
      <c r="G489" t="s">
        <v>112</v>
      </c>
      <c r="H489">
        <v>39</v>
      </c>
      <c r="J489" t="str">
        <f t="shared" si="49"/>
        <v>H</v>
      </c>
      <c r="K489" t="s">
        <v>258</v>
      </c>
      <c r="L489" t="s">
        <v>228</v>
      </c>
      <c r="M489" t="s">
        <v>229</v>
      </c>
      <c r="N489" t="str">
        <f t="shared" si="50"/>
        <v>&lt;tr&gt; &lt;td&gt;Feb. 24&lt;/td&gt;</v>
      </c>
      <c r="O489" t="str">
        <f t="shared" si="51"/>
        <v>&lt;td&gt;4:30 PM&lt;/td&gt;</v>
      </c>
      <c r="P489" t="str">
        <f t="shared" si="52"/>
        <v>&lt;td class="FRCsched"&gt;Fort Richmond&lt;/td&gt;</v>
      </c>
      <c r="Q489" t="str">
        <f t="shared" si="53"/>
        <v>&lt;td&gt;35 - 39&lt;/td&gt;</v>
      </c>
      <c r="R489" t="str">
        <f t="shared" si="54"/>
        <v>&lt;td class="SMAsched"&gt;St. Mary's&lt;/td&gt;</v>
      </c>
      <c r="S489" t="str">
        <f t="shared" si="55"/>
        <v>&lt;td&gt;WWAC/WAC Tier 1 Regular Season&lt;/td&gt; &lt;/tr&gt;</v>
      </c>
    </row>
    <row r="490" spans="1:19" x14ac:dyDescent="0.25">
      <c r="A490" s="5">
        <v>42424</v>
      </c>
      <c r="B490" s="6">
        <v>0.6875</v>
      </c>
      <c r="C490" t="s">
        <v>14</v>
      </c>
      <c r="D490" t="s">
        <v>94</v>
      </c>
      <c r="E490">
        <v>60</v>
      </c>
      <c r="F490" t="s">
        <v>24</v>
      </c>
      <c r="G490" t="s">
        <v>82</v>
      </c>
      <c r="H490">
        <v>70</v>
      </c>
      <c r="J490" t="str">
        <f t="shared" si="49"/>
        <v>H</v>
      </c>
      <c r="K490" t="s">
        <v>258</v>
      </c>
      <c r="L490" t="s">
        <v>228</v>
      </c>
      <c r="M490" t="s">
        <v>229</v>
      </c>
      <c r="N490" t="str">
        <f t="shared" si="50"/>
        <v>&lt;tr&gt; &lt;td&gt;Feb. 24&lt;/td&gt;</v>
      </c>
      <c r="O490" t="str">
        <f t="shared" si="51"/>
        <v>&lt;td&gt;4:30 PM&lt;/td&gt;</v>
      </c>
      <c r="P490" t="str">
        <f t="shared" si="52"/>
        <v>&lt;td class="SHCsched"&gt;Sturgeon Heights&lt;/td&gt;</v>
      </c>
      <c r="Q490" t="str">
        <f t="shared" si="53"/>
        <v>&lt;td&gt;60 - 70&lt;/td&gt;</v>
      </c>
      <c r="R490" t="str">
        <f t="shared" si="54"/>
        <v>&lt;td class="DMCIsched"&gt;Daniel McIntyre&lt;/td&gt;</v>
      </c>
      <c r="S490" t="str">
        <f t="shared" si="55"/>
        <v>&lt;td&gt;WWAC/WAC Tier 1 Regular Season&lt;/td&gt; &lt;/tr&gt;</v>
      </c>
    </row>
    <row r="491" spans="1:19" x14ac:dyDescent="0.25">
      <c r="A491" s="5">
        <v>42424</v>
      </c>
      <c r="B491" s="6">
        <v>0.75</v>
      </c>
      <c r="C491" t="s">
        <v>4</v>
      </c>
      <c r="D491" t="s">
        <v>41</v>
      </c>
      <c r="E491">
        <v>78</v>
      </c>
      <c r="F491" t="s">
        <v>12</v>
      </c>
      <c r="G491" t="s">
        <v>54</v>
      </c>
      <c r="H491">
        <v>71</v>
      </c>
      <c r="J491" t="str">
        <f t="shared" si="49"/>
        <v>V</v>
      </c>
      <c r="K491" t="s">
        <v>234</v>
      </c>
      <c r="L491" t="s">
        <v>228</v>
      </c>
      <c r="M491" t="s">
        <v>229</v>
      </c>
      <c r="N491" t="str">
        <f t="shared" si="50"/>
        <v>&lt;tr&gt; &lt;td&gt;Feb. 24&lt;/td&gt;</v>
      </c>
      <c r="O491" t="str">
        <f t="shared" si="51"/>
        <v>&lt;td&gt;6:00 PM&lt;/td&gt;</v>
      </c>
      <c r="P491" t="str">
        <f t="shared" si="52"/>
        <v>&lt;td class="GCCsched"&gt;Garden City&lt;/td&gt;</v>
      </c>
      <c r="Q491" t="str">
        <f t="shared" si="53"/>
        <v>&lt;td&gt;78 - 71&lt;/td&gt;</v>
      </c>
      <c r="R491" t="str">
        <f t="shared" si="54"/>
        <v>&lt;td class="LSsched"&gt;Selkirk&lt;/td&gt;</v>
      </c>
      <c r="S491" t="str">
        <f t="shared" si="55"/>
        <v>&lt;td&gt;KPAC Tier 1 Regular Season&lt;/td&gt; &lt;/tr&gt;</v>
      </c>
    </row>
    <row r="492" spans="1:19" x14ac:dyDescent="0.25">
      <c r="A492" s="5">
        <v>42424</v>
      </c>
      <c r="B492" s="6">
        <v>0.75</v>
      </c>
      <c r="C492" t="s">
        <v>5</v>
      </c>
      <c r="D492" t="s">
        <v>62</v>
      </c>
      <c r="E492">
        <v>64</v>
      </c>
      <c r="F492" t="s">
        <v>237</v>
      </c>
      <c r="H492">
        <v>45</v>
      </c>
      <c r="J492" t="str">
        <f t="shared" si="49"/>
        <v>V</v>
      </c>
      <c r="K492" t="s">
        <v>763</v>
      </c>
      <c r="L492" t="s">
        <v>228</v>
      </c>
      <c r="M492" t="s">
        <v>229</v>
      </c>
      <c r="N492" t="str">
        <f t="shared" si="50"/>
        <v>&lt;tr&gt; &lt;td&gt;Feb. 24&lt;/td&gt;</v>
      </c>
      <c r="O492" t="str">
        <f t="shared" si="51"/>
        <v>&lt;td&gt;6:00 PM&lt;/td&gt;</v>
      </c>
      <c r="P492" t="str">
        <f t="shared" si="52"/>
        <v>&lt;td class="GCIsched"&gt;Glenlawn&lt;/td&gt;</v>
      </c>
      <c r="Q492" t="str">
        <f t="shared" si="53"/>
        <v>&lt;td&gt;64 - 45&lt;/td&gt;</v>
      </c>
      <c r="R492" t="str">
        <f t="shared" si="54"/>
        <v>&lt;td class="sched"&gt;Westgate&lt;/td&gt;</v>
      </c>
      <c r="S492" t="str">
        <f t="shared" si="55"/>
        <v>&lt;td&gt;SCAC Regular Season&lt;/td&gt; &lt;/tr&gt;</v>
      </c>
    </row>
    <row r="493" spans="1:19" x14ac:dyDescent="0.25">
      <c r="A493" s="5">
        <v>42424</v>
      </c>
      <c r="B493" s="6">
        <v>0.75</v>
      </c>
      <c r="C493" t="s">
        <v>21</v>
      </c>
      <c r="D493" t="s">
        <v>64</v>
      </c>
      <c r="E493">
        <v>44</v>
      </c>
      <c r="F493" t="s">
        <v>8</v>
      </c>
      <c r="G493" t="s">
        <v>60</v>
      </c>
      <c r="H493">
        <v>38</v>
      </c>
      <c r="J493" t="str">
        <f t="shared" si="49"/>
        <v>V</v>
      </c>
      <c r="K493" t="s">
        <v>763</v>
      </c>
      <c r="L493" t="s">
        <v>228</v>
      </c>
      <c r="M493" t="s">
        <v>229</v>
      </c>
      <c r="N493" t="str">
        <f t="shared" si="50"/>
        <v>&lt;tr&gt; &lt;td&gt;Feb. 24&lt;/td&gt;</v>
      </c>
      <c r="O493" t="str">
        <f t="shared" si="51"/>
        <v>&lt;td&gt;6:00 PM&lt;/td&gt;</v>
      </c>
      <c r="P493" t="str">
        <f t="shared" si="52"/>
        <v>&lt;td class="JHBsched"&gt;J.H. Bruns&lt;/td&gt;</v>
      </c>
      <c r="Q493" t="str">
        <f t="shared" si="53"/>
        <v>&lt;td&gt;44 - 38&lt;/td&gt;</v>
      </c>
      <c r="R493" t="str">
        <f t="shared" si="54"/>
        <v>&lt;td class="DCIsched"&gt;Dakota&lt;/td&gt;</v>
      </c>
      <c r="S493" t="str">
        <f t="shared" si="55"/>
        <v>&lt;td&gt;SCAC Regular Season&lt;/td&gt; &lt;/tr&gt;</v>
      </c>
    </row>
    <row r="494" spans="1:19" x14ac:dyDescent="0.25">
      <c r="A494" s="5">
        <v>42424</v>
      </c>
      <c r="B494" s="6">
        <v>0.76041666666666663</v>
      </c>
      <c r="C494" t="s">
        <v>30</v>
      </c>
      <c r="D494" t="s">
        <v>92</v>
      </c>
      <c r="E494">
        <v>30</v>
      </c>
      <c r="F494" t="s">
        <v>26</v>
      </c>
      <c r="G494" t="s">
        <v>86</v>
      </c>
      <c r="H494">
        <v>49</v>
      </c>
      <c r="J494" t="str">
        <f t="shared" si="49"/>
        <v>H</v>
      </c>
      <c r="K494" t="s">
        <v>257</v>
      </c>
      <c r="L494" t="s">
        <v>228</v>
      </c>
      <c r="M494" t="s">
        <v>229</v>
      </c>
      <c r="N494" t="str">
        <f t="shared" si="50"/>
        <v>&lt;tr&gt; &lt;td&gt;Feb. 24&lt;/td&gt;</v>
      </c>
      <c r="O494" t="str">
        <f t="shared" si="51"/>
        <v>&lt;td&gt;6:15 PM&lt;/td&gt;</v>
      </c>
      <c r="P494" t="str">
        <f t="shared" si="52"/>
        <v>&lt;td class="SJHSsched"&gt;St. John's&lt;/td&gt;</v>
      </c>
      <c r="Q494" t="str">
        <f t="shared" si="53"/>
        <v>&lt;td&gt;30 - 49&lt;/td&gt;</v>
      </c>
      <c r="R494" t="str">
        <f t="shared" si="54"/>
        <v>&lt;td class="GBHSsched"&gt;Gordon Bell&lt;/td&gt;</v>
      </c>
      <c r="S494" t="str">
        <f t="shared" si="55"/>
        <v>&lt;td&gt;WWAC/WAC Tier 2 Regular Season&lt;/td&gt; &lt;/tr&gt;</v>
      </c>
    </row>
    <row r="495" spans="1:19" x14ac:dyDescent="0.25">
      <c r="A495" s="5">
        <v>42424</v>
      </c>
      <c r="B495" s="6">
        <v>0.76041666666666663</v>
      </c>
      <c r="C495" t="s">
        <v>13</v>
      </c>
      <c r="D495" t="s">
        <v>98</v>
      </c>
      <c r="E495">
        <v>46</v>
      </c>
      <c r="F495" t="s">
        <v>9</v>
      </c>
      <c r="G495" t="s">
        <v>76</v>
      </c>
      <c r="H495">
        <v>54</v>
      </c>
      <c r="J495" t="str">
        <f t="shared" si="49"/>
        <v>H</v>
      </c>
      <c r="K495" t="s">
        <v>258</v>
      </c>
      <c r="L495" t="s">
        <v>228</v>
      </c>
      <c r="M495" t="s">
        <v>229</v>
      </c>
      <c r="N495" t="str">
        <f t="shared" si="50"/>
        <v>&lt;tr&gt; &lt;td&gt;Feb. 24&lt;/td&gt;</v>
      </c>
      <c r="O495" t="str">
        <f t="shared" si="51"/>
        <v>&lt;td&gt;6:15 PM&lt;/td&gt;</v>
      </c>
      <c r="P495" t="str">
        <f t="shared" si="52"/>
        <v>&lt;td class="WWCsched"&gt;Westwood&lt;/td&gt;</v>
      </c>
      <c r="Q495" t="str">
        <f t="shared" si="53"/>
        <v>&lt;td&gt;46 - 54&lt;/td&gt;</v>
      </c>
      <c r="R495" t="str">
        <f t="shared" si="54"/>
        <v>&lt;td class="SiHSsched"&gt;Sisler&lt;/td&gt;</v>
      </c>
      <c r="S495" t="str">
        <f t="shared" si="55"/>
        <v>&lt;td&gt;WWAC/WAC Tier 1 Regular Season&lt;/td&gt; &lt;/tr&gt;</v>
      </c>
    </row>
    <row r="496" spans="1:19" x14ac:dyDescent="0.25">
      <c r="A496" s="5">
        <v>42424</v>
      </c>
      <c r="B496" s="6">
        <v>0.77083333333333337</v>
      </c>
      <c r="C496" t="s">
        <v>28</v>
      </c>
      <c r="D496" t="s">
        <v>90</v>
      </c>
      <c r="E496">
        <v>41</v>
      </c>
      <c r="F496" t="s">
        <v>31</v>
      </c>
      <c r="G496" t="s">
        <v>96</v>
      </c>
      <c r="H496">
        <v>98</v>
      </c>
      <c r="J496" t="str">
        <f t="shared" si="49"/>
        <v>H</v>
      </c>
      <c r="K496" t="s">
        <v>257</v>
      </c>
      <c r="L496" t="s">
        <v>228</v>
      </c>
      <c r="M496" t="s">
        <v>229</v>
      </c>
      <c r="N496" t="str">
        <f t="shared" si="50"/>
        <v>&lt;tr&gt; &lt;td&gt;Feb. 24&lt;/td&gt;</v>
      </c>
      <c r="O496" t="str">
        <f t="shared" si="51"/>
        <v>&lt;td&gt;6:30 PM&lt;/td&gt;</v>
      </c>
      <c r="P496" t="str">
        <f t="shared" si="52"/>
        <v>&lt;td class="PCIsched"&gt;Portage&lt;/td&gt;</v>
      </c>
      <c r="Q496" t="str">
        <f t="shared" si="53"/>
        <v>&lt;td&gt;41 - 98&lt;/td&gt;</v>
      </c>
      <c r="R496" t="str">
        <f t="shared" si="54"/>
        <v>&lt;td class="TVHSsched"&gt;Tec Voc&lt;/td&gt;</v>
      </c>
      <c r="S496" t="str">
        <f t="shared" si="55"/>
        <v>&lt;td&gt;WWAC/WAC Tier 2 Regular Season&lt;/td&gt; &lt;/tr&gt;</v>
      </c>
    </row>
    <row r="497" spans="1:19" x14ac:dyDescent="0.25">
      <c r="A497" s="5">
        <v>42424</v>
      </c>
      <c r="B497" s="6">
        <v>0.77083333333333337</v>
      </c>
      <c r="C497" t="s">
        <v>22</v>
      </c>
      <c r="D497" t="s">
        <v>66</v>
      </c>
      <c r="E497">
        <v>39</v>
      </c>
      <c r="F497" t="s">
        <v>108</v>
      </c>
      <c r="G497" t="s">
        <v>109</v>
      </c>
      <c r="H497">
        <v>27</v>
      </c>
      <c r="J497" t="str">
        <f t="shared" ref="J497:J551" si="56">IF(H497&gt;E497,"H",IF(E497&gt;H497,"V",""))</f>
        <v>V</v>
      </c>
      <c r="K497" t="s">
        <v>763</v>
      </c>
      <c r="L497" t="s">
        <v>228</v>
      </c>
      <c r="M497" t="s">
        <v>229</v>
      </c>
      <c r="N497" t="str">
        <f t="shared" si="50"/>
        <v>&lt;tr&gt; &lt;td&gt;Feb. 24&lt;/td&gt;</v>
      </c>
      <c r="O497" t="str">
        <f t="shared" si="51"/>
        <v>&lt;td&gt;6:30 PM&lt;/td&gt;</v>
      </c>
      <c r="P497" t="str">
        <f t="shared" si="52"/>
        <v>&lt;td class="SRSSsched"&gt;Steinbach&lt;/td&gt;</v>
      </c>
      <c r="Q497" t="str">
        <f t="shared" si="53"/>
        <v>&lt;td&gt;39 - 27&lt;/td&gt;</v>
      </c>
      <c r="R497" t="str">
        <f t="shared" si="54"/>
        <v>&lt;td class="CJSsched"&gt;Jeanne-Sauv&amp;eacute;&lt;/td&gt;</v>
      </c>
      <c r="S497" t="str">
        <f t="shared" si="55"/>
        <v>&lt;td&gt;SCAC Regular Season&lt;/td&gt; &lt;/tr&gt;</v>
      </c>
    </row>
    <row r="498" spans="1:19" x14ac:dyDescent="0.25">
      <c r="A498" s="5">
        <v>42424</v>
      </c>
      <c r="B498" s="6">
        <v>0.8125</v>
      </c>
      <c r="C498" t="s">
        <v>18</v>
      </c>
      <c r="D498" t="s">
        <v>52</v>
      </c>
      <c r="E498">
        <v>89</v>
      </c>
      <c r="F498" t="s">
        <v>19</v>
      </c>
      <c r="G498" t="s">
        <v>56</v>
      </c>
      <c r="H498">
        <v>28</v>
      </c>
      <c r="J498" t="str">
        <f t="shared" si="56"/>
        <v>V</v>
      </c>
      <c r="K498" t="s">
        <v>233</v>
      </c>
      <c r="L498" t="s">
        <v>228</v>
      </c>
      <c r="M498" t="s">
        <v>229</v>
      </c>
      <c r="N498" t="str">
        <f t="shared" si="50"/>
        <v>&lt;tr&gt; &lt;td&gt;Feb. 24&lt;/td&gt;</v>
      </c>
      <c r="O498" t="str">
        <f t="shared" si="51"/>
        <v>&lt;td&gt;7:30 PM&lt;/td&gt;</v>
      </c>
      <c r="P498" t="str">
        <f t="shared" si="52"/>
        <v>&lt;td class="RECsched"&gt;River East&lt;/td&gt;</v>
      </c>
      <c r="Q498" t="str">
        <f t="shared" si="53"/>
        <v>&lt;td&gt;89 - 28&lt;/td&gt;</v>
      </c>
      <c r="R498" t="str">
        <f t="shared" si="54"/>
        <v>&lt;td class="TCIsched"&gt;Transcona&lt;/td&gt;</v>
      </c>
      <c r="S498" t="str">
        <f t="shared" si="55"/>
        <v>&lt;td&gt;KPAC Tier 2 Regular Season&lt;/td&gt; &lt;/tr&gt;</v>
      </c>
    </row>
    <row r="499" spans="1:19" x14ac:dyDescent="0.25">
      <c r="A499" s="5">
        <v>42424</v>
      </c>
      <c r="B499" s="6">
        <v>0.8125</v>
      </c>
      <c r="C499" t="s">
        <v>104</v>
      </c>
      <c r="D499" t="s">
        <v>105</v>
      </c>
      <c r="E499">
        <v>36</v>
      </c>
      <c r="F499" t="s">
        <v>20</v>
      </c>
      <c r="G499" t="s">
        <v>58</v>
      </c>
      <c r="H499">
        <v>39</v>
      </c>
      <c r="J499" t="str">
        <f t="shared" si="56"/>
        <v>H</v>
      </c>
      <c r="K499" t="s">
        <v>233</v>
      </c>
      <c r="L499" t="s">
        <v>228</v>
      </c>
      <c r="M499" t="s">
        <v>229</v>
      </c>
      <c r="N499" t="str">
        <f t="shared" si="50"/>
        <v>&lt;tr&gt; &lt;td&gt;Feb. 24&lt;/td&gt;</v>
      </c>
      <c r="O499" t="str">
        <f t="shared" si="51"/>
        <v>&lt;td&gt;7:30 PM&lt;/td&gt;</v>
      </c>
      <c r="P499" t="str">
        <f t="shared" si="52"/>
        <v>&lt;td class="SCIsched"&gt;Springfield&lt;/td&gt;</v>
      </c>
      <c r="Q499" t="str">
        <f t="shared" si="53"/>
        <v>&lt;td&gt;36 - 39&lt;/td&gt;</v>
      </c>
      <c r="R499" t="str">
        <f t="shared" si="54"/>
        <v>&lt;td class="WKCsched"&gt;West Kildonan&lt;/td&gt;</v>
      </c>
      <c r="S499" t="str">
        <f t="shared" si="55"/>
        <v>&lt;td&gt;KPAC Tier 2 Regular Season&lt;/td&gt; &lt;/tr&gt;</v>
      </c>
    </row>
    <row r="500" spans="1:19" x14ac:dyDescent="0.25">
      <c r="A500" s="5">
        <v>42424</v>
      </c>
      <c r="B500" s="6">
        <v>0.8125</v>
      </c>
      <c r="C500" t="s">
        <v>16</v>
      </c>
      <c r="D500" t="s">
        <v>45</v>
      </c>
      <c r="E500">
        <v>55</v>
      </c>
      <c r="F500" t="s">
        <v>7</v>
      </c>
      <c r="G500" t="s">
        <v>7</v>
      </c>
      <c r="H500">
        <v>28</v>
      </c>
      <c r="J500" t="str">
        <f t="shared" si="56"/>
        <v>V</v>
      </c>
      <c r="K500" t="s">
        <v>233</v>
      </c>
      <c r="L500" t="s">
        <v>228</v>
      </c>
      <c r="M500" t="s">
        <v>229</v>
      </c>
      <c r="N500" t="str">
        <f t="shared" si="50"/>
        <v>&lt;tr&gt; &lt;td&gt;Feb. 24&lt;/td&gt;</v>
      </c>
      <c r="O500" t="str">
        <f t="shared" si="51"/>
        <v>&lt;td&gt;7:30 PM&lt;/td&gt;</v>
      </c>
      <c r="P500" t="str">
        <f t="shared" si="52"/>
        <v>&lt;td class="MCsched"&gt;Maples&lt;/td&gt;</v>
      </c>
      <c r="Q500" t="str">
        <f t="shared" si="53"/>
        <v>&lt;td&gt;55 - 28&lt;/td&gt;</v>
      </c>
      <c r="R500" t="str">
        <f t="shared" si="54"/>
        <v>&lt;td class="MBCIsched"&gt;MBCI&lt;/td&gt;</v>
      </c>
      <c r="S500" t="str">
        <f t="shared" si="55"/>
        <v>&lt;td&gt;KPAC Tier 2 Regular Season&lt;/td&gt; &lt;/tr&gt;</v>
      </c>
    </row>
    <row r="501" spans="1:19" x14ac:dyDescent="0.25">
      <c r="A501" s="5">
        <v>42425</v>
      </c>
      <c r="B501" s="6">
        <v>0.8125</v>
      </c>
      <c r="C501" t="s">
        <v>5</v>
      </c>
      <c r="D501" t="s">
        <v>62</v>
      </c>
      <c r="E501">
        <v>50</v>
      </c>
      <c r="F501" t="s">
        <v>22</v>
      </c>
      <c r="G501" t="s">
        <v>66</v>
      </c>
      <c r="H501">
        <v>20</v>
      </c>
      <c r="J501" t="str">
        <f t="shared" si="56"/>
        <v>V</v>
      </c>
      <c r="K501" t="s">
        <v>763</v>
      </c>
      <c r="L501" t="s">
        <v>228</v>
      </c>
      <c r="M501" t="s">
        <v>229</v>
      </c>
      <c r="N501" t="str">
        <f t="shared" si="50"/>
        <v>&lt;tr&gt; &lt;td&gt;Feb. 25&lt;/td&gt;</v>
      </c>
      <c r="O501" t="str">
        <f t="shared" si="51"/>
        <v>&lt;td&gt;7:30 PM&lt;/td&gt;</v>
      </c>
      <c r="P501" t="str">
        <f t="shared" si="52"/>
        <v>&lt;td class="GCIsched"&gt;Glenlawn&lt;/td&gt;</v>
      </c>
      <c r="Q501" t="str">
        <f t="shared" si="53"/>
        <v>&lt;td&gt;50 - 20&lt;/td&gt;</v>
      </c>
      <c r="R501" t="str">
        <f t="shared" si="54"/>
        <v>&lt;td class="SRSSsched"&gt;Steinbach&lt;/td&gt;</v>
      </c>
      <c r="S501" t="str">
        <f t="shared" si="55"/>
        <v>&lt;td&gt;SCAC Regular Season&lt;/td&gt; &lt;/tr&gt;</v>
      </c>
    </row>
    <row r="502" spans="1:19" x14ac:dyDescent="0.25">
      <c r="A502" s="5">
        <v>42426</v>
      </c>
      <c r="C502" t="s">
        <v>162</v>
      </c>
      <c r="D502" t="s">
        <v>164</v>
      </c>
      <c r="E502">
        <v>65</v>
      </c>
      <c r="F502" t="s">
        <v>23</v>
      </c>
      <c r="G502" t="s">
        <v>102</v>
      </c>
      <c r="H502">
        <v>69</v>
      </c>
      <c r="J502" t="str">
        <f t="shared" si="56"/>
        <v>H</v>
      </c>
      <c r="K502" t="s">
        <v>821</v>
      </c>
      <c r="L502" t="s">
        <v>822</v>
      </c>
      <c r="N502" t="str">
        <f t="shared" si="50"/>
        <v>&lt;tr&gt; &lt;td&gt;Feb. 26&lt;/td&gt;</v>
      </c>
      <c r="O502" t="str">
        <f t="shared" si="51"/>
        <v>&lt;td&gt;&lt;/td&gt;</v>
      </c>
      <c r="P502" t="str">
        <f t="shared" si="52"/>
        <v>&lt;td class="GVCsched"&gt;Garden Valley&lt;/td&gt;</v>
      </c>
      <c r="Q502" t="str">
        <f t="shared" si="53"/>
        <v>&lt;td&gt;65 - 69&lt;/td&gt;</v>
      </c>
      <c r="R502" t="str">
        <f t="shared" si="54"/>
        <v>&lt;td class="VMHSsched"&gt;Vincent Massey&lt;/td&gt;</v>
      </c>
      <c r="S502" t="str">
        <f t="shared" si="55"/>
        <v>&lt;td&gt;Triple Crown Zone Challenge&lt;/td&gt; &lt;/tr&gt;</v>
      </c>
    </row>
    <row r="503" spans="1:19" x14ac:dyDescent="0.25">
      <c r="A503" s="5">
        <v>42426</v>
      </c>
      <c r="C503" t="s">
        <v>213</v>
      </c>
      <c r="E503">
        <v>42</v>
      </c>
      <c r="F503" t="s">
        <v>32</v>
      </c>
      <c r="G503" t="s">
        <v>100</v>
      </c>
      <c r="H503">
        <v>54</v>
      </c>
      <c r="J503" t="str">
        <f t="shared" si="56"/>
        <v>H</v>
      </c>
      <c r="K503" t="s">
        <v>821</v>
      </c>
      <c r="L503" t="s">
        <v>822</v>
      </c>
      <c r="N503" t="str">
        <f t="shared" si="50"/>
        <v>&lt;tr&gt; &lt;td&gt;Feb. 26&lt;/td&gt;</v>
      </c>
      <c r="O503" t="str">
        <f t="shared" si="51"/>
        <v>&lt;td&gt;&lt;/td&gt;</v>
      </c>
      <c r="P503" t="str">
        <f t="shared" si="52"/>
        <v>&lt;td class="sched"&gt;St. John's-Ravenscourt&lt;/td&gt;</v>
      </c>
      <c r="Q503" t="str">
        <f t="shared" si="53"/>
        <v>&lt;td&gt;42 - 54&lt;/td&gt;</v>
      </c>
      <c r="R503" t="str">
        <f t="shared" si="54"/>
        <v>&lt;td class="CPRSsched"&gt;Crocus Plains&lt;/td&gt;</v>
      </c>
      <c r="S503" t="str">
        <f t="shared" si="55"/>
        <v>&lt;td&gt;Triple Crown Zone Challenge&lt;/td&gt; &lt;/tr&gt;</v>
      </c>
    </row>
    <row r="504" spans="1:19" x14ac:dyDescent="0.25">
      <c r="A504" s="5">
        <v>42426</v>
      </c>
      <c r="C504" t="s">
        <v>27</v>
      </c>
      <c r="D504" t="s">
        <v>88</v>
      </c>
      <c r="E504">
        <v>49</v>
      </c>
      <c r="F504" t="s">
        <v>303</v>
      </c>
      <c r="H504">
        <v>83</v>
      </c>
      <c r="J504" t="str">
        <f t="shared" si="56"/>
        <v>H</v>
      </c>
      <c r="K504" t="s">
        <v>821</v>
      </c>
      <c r="L504" t="s">
        <v>822</v>
      </c>
      <c r="N504" t="str">
        <f t="shared" si="50"/>
        <v>&lt;tr&gt; &lt;td&gt;Feb. 26&lt;/td&gt;</v>
      </c>
      <c r="O504" t="str">
        <f t="shared" si="51"/>
        <v>&lt;td&gt;&lt;/td&gt;</v>
      </c>
      <c r="P504" t="str">
        <f t="shared" si="52"/>
        <v>&lt;td class="GPHSsched"&gt;Grant Park&lt;/td&gt;</v>
      </c>
      <c r="Q504" t="str">
        <f t="shared" si="53"/>
        <v>&lt;td&gt;49 - 83&lt;/td&gt;</v>
      </c>
      <c r="R504" t="str">
        <f t="shared" si="54"/>
        <v>&lt;td class="sched"&gt;Virden&lt;/td&gt;</v>
      </c>
      <c r="S504" t="str">
        <f t="shared" si="55"/>
        <v>&lt;td&gt;Triple Crown Zone Challenge&lt;/td&gt; &lt;/tr&gt;</v>
      </c>
    </row>
    <row r="505" spans="1:19" x14ac:dyDescent="0.25">
      <c r="A505" s="5">
        <v>42427</v>
      </c>
      <c r="C505" t="s">
        <v>213</v>
      </c>
      <c r="E505">
        <v>53</v>
      </c>
      <c r="F505" t="s">
        <v>23</v>
      </c>
      <c r="G505" t="s">
        <v>102</v>
      </c>
      <c r="H505">
        <v>56</v>
      </c>
      <c r="J505" t="str">
        <f t="shared" si="56"/>
        <v>H</v>
      </c>
      <c r="K505" t="s">
        <v>821</v>
      </c>
      <c r="L505" t="s">
        <v>822</v>
      </c>
      <c r="N505" t="str">
        <f t="shared" si="50"/>
        <v>&lt;tr&gt; &lt;td&gt;Feb. 27&lt;/td&gt;</v>
      </c>
      <c r="O505" t="str">
        <f t="shared" si="51"/>
        <v>&lt;td&gt;&lt;/td&gt;</v>
      </c>
      <c r="P505" t="str">
        <f t="shared" si="52"/>
        <v>&lt;td class="sched"&gt;St. John's-Ravenscourt&lt;/td&gt;</v>
      </c>
      <c r="Q505" t="str">
        <f t="shared" si="53"/>
        <v>&lt;td&gt;53 - 56&lt;/td&gt;</v>
      </c>
      <c r="R505" t="str">
        <f t="shared" si="54"/>
        <v>&lt;td class="VMHSsched"&gt;Vincent Massey&lt;/td&gt;</v>
      </c>
      <c r="S505" t="str">
        <f t="shared" si="55"/>
        <v>&lt;td&gt;Triple Crown Zone Challenge&lt;/td&gt; &lt;/tr&gt;</v>
      </c>
    </row>
    <row r="506" spans="1:19" x14ac:dyDescent="0.25">
      <c r="A506" s="5">
        <v>42427</v>
      </c>
      <c r="C506" t="s">
        <v>27</v>
      </c>
      <c r="D506" t="s">
        <v>88</v>
      </c>
      <c r="E506">
        <v>65</v>
      </c>
      <c r="F506" t="s">
        <v>32</v>
      </c>
      <c r="G506" t="s">
        <v>100</v>
      </c>
      <c r="H506">
        <v>72</v>
      </c>
      <c r="J506" t="str">
        <f t="shared" si="56"/>
        <v>H</v>
      </c>
      <c r="K506" t="s">
        <v>821</v>
      </c>
      <c r="L506" t="s">
        <v>822</v>
      </c>
      <c r="N506" t="str">
        <f t="shared" si="50"/>
        <v>&lt;tr&gt; &lt;td&gt;Feb. 27&lt;/td&gt;</v>
      </c>
      <c r="O506" t="str">
        <f t="shared" si="51"/>
        <v>&lt;td&gt;&lt;/td&gt;</v>
      </c>
      <c r="P506" t="str">
        <f t="shared" si="52"/>
        <v>&lt;td class="GPHSsched"&gt;Grant Park&lt;/td&gt;</v>
      </c>
      <c r="Q506" t="str">
        <f t="shared" si="53"/>
        <v>&lt;td&gt;65 - 72&lt;/td&gt;</v>
      </c>
      <c r="R506" t="str">
        <f t="shared" si="54"/>
        <v>&lt;td class="CPRSsched"&gt;Crocus Plains&lt;/td&gt;</v>
      </c>
      <c r="S506" t="str">
        <f t="shared" si="55"/>
        <v>&lt;td&gt;Triple Crown Zone Challenge&lt;/td&gt; &lt;/tr&gt;</v>
      </c>
    </row>
    <row r="507" spans="1:19" x14ac:dyDescent="0.25">
      <c r="A507" s="5">
        <v>42427</v>
      </c>
      <c r="C507" t="s">
        <v>162</v>
      </c>
      <c r="D507" t="s">
        <v>164</v>
      </c>
      <c r="E507">
        <v>65</v>
      </c>
      <c r="F507" t="s">
        <v>303</v>
      </c>
      <c r="H507">
        <v>71</v>
      </c>
      <c r="J507" t="str">
        <f t="shared" si="56"/>
        <v>H</v>
      </c>
      <c r="K507" t="s">
        <v>821</v>
      </c>
      <c r="L507" t="s">
        <v>822</v>
      </c>
      <c r="N507" t="str">
        <f t="shared" si="50"/>
        <v>&lt;tr&gt; &lt;td&gt;Feb. 27&lt;/td&gt;</v>
      </c>
      <c r="O507" t="str">
        <f t="shared" si="51"/>
        <v>&lt;td&gt;&lt;/td&gt;</v>
      </c>
      <c r="P507" t="str">
        <f t="shared" si="52"/>
        <v>&lt;td class="GVCsched"&gt;Garden Valley&lt;/td&gt;</v>
      </c>
      <c r="Q507" t="str">
        <f t="shared" si="53"/>
        <v>&lt;td&gt;65 - 71&lt;/td&gt;</v>
      </c>
      <c r="R507" t="str">
        <f t="shared" si="54"/>
        <v>&lt;td class="sched"&gt;Virden&lt;/td&gt;</v>
      </c>
      <c r="S507" t="str">
        <f t="shared" si="55"/>
        <v>&lt;td&gt;Triple Crown Zone Challenge&lt;/td&gt; &lt;/tr&gt;</v>
      </c>
    </row>
    <row r="508" spans="1:19" x14ac:dyDescent="0.25">
      <c r="A508" s="5">
        <v>42427</v>
      </c>
      <c r="C508" t="s">
        <v>23</v>
      </c>
      <c r="D508" t="s">
        <v>102</v>
      </c>
      <c r="E508">
        <v>43</v>
      </c>
      <c r="F508" t="s">
        <v>27</v>
      </c>
      <c r="G508" t="s">
        <v>88</v>
      </c>
      <c r="H508">
        <v>45</v>
      </c>
      <c r="J508" t="str">
        <f t="shared" si="56"/>
        <v>H</v>
      </c>
      <c r="K508" t="s">
        <v>821</v>
      </c>
      <c r="L508" t="s">
        <v>822</v>
      </c>
      <c r="N508" t="str">
        <f t="shared" si="50"/>
        <v>&lt;tr&gt; &lt;td&gt;Feb. 27&lt;/td&gt;</v>
      </c>
      <c r="O508" t="str">
        <f t="shared" si="51"/>
        <v>&lt;td&gt;&lt;/td&gt;</v>
      </c>
      <c r="P508" t="str">
        <f t="shared" si="52"/>
        <v>&lt;td class="VMHSsched"&gt;Vincent Massey&lt;/td&gt;</v>
      </c>
      <c r="Q508" t="str">
        <f t="shared" si="53"/>
        <v>&lt;td&gt;43 - 45&lt;/td&gt;</v>
      </c>
      <c r="R508" t="str">
        <f t="shared" si="54"/>
        <v>&lt;td class="GPHSsched"&gt;Grant Park&lt;/td&gt;</v>
      </c>
      <c r="S508" t="str">
        <f t="shared" si="55"/>
        <v>&lt;td&gt;Triple Crown Zone Challenge&lt;/td&gt; &lt;/tr&gt;</v>
      </c>
    </row>
    <row r="509" spans="1:19" x14ac:dyDescent="0.25">
      <c r="A509" s="5">
        <v>42427</v>
      </c>
      <c r="C509" t="s">
        <v>162</v>
      </c>
      <c r="D509" t="s">
        <v>164</v>
      </c>
      <c r="E509">
        <v>60</v>
      </c>
      <c r="F509" t="s">
        <v>32</v>
      </c>
      <c r="G509" t="s">
        <v>100</v>
      </c>
      <c r="H509">
        <v>72</v>
      </c>
      <c r="J509" t="str">
        <f t="shared" si="56"/>
        <v>H</v>
      </c>
      <c r="K509" t="s">
        <v>821</v>
      </c>
      <c r="L509" t="s">
        <v>822</v>
      </c>
      <c r="N509" t="str">
        <f t="shared" si="50"/>
        <v>&lt;tr&gt; &lt;td&gt;Feb. 27&lt;/td&gt;</v>
      </c>
      <c r="O509" t="str">
        <f t="shared" si="51"/>
        <v>&lt;td&gt;&lt;/td&gt;</v>
      </c>
      <c r="P509" t="str">
        <f t="shared" si="52"/>
        <v>&lt;td class="GVCsched"&gt;Garden Valley&lt;/td&gt;</v>
      </c>
      <c r="Q509" t="str">
        <f t="shared" si="53"/>
        <v>&lt;td&gt;60 - 72&lt;/td&gt;</v>
      </c>
      <c r="R509" t="str">
        <f t="shared" si="54"/>
        <v>&lt;td class="CPRSsched"&gt;Crocus Plains&lt;/td&gt;</v>
      </c>
      <c r="S509" t="str">
        <f t="shared" si="55"/>
        <v>&lt;td&gt;Triple Crown Zone Challenge&lt;/td&gt; &lt;/tr&gt;</v>
      </c>
    </row>
    <row r="510" spans="1:19" x14ac:dyDescent="0.25">
      <c r="A510" s="5">
        <v>42429</v>
      </c>
      <c r="B510" s="6">
        <v>0.6875</v>
      </c>
      <c r="C510" t="s">
        <v>253</v>
      </c>
      <c r="E510">
        <v>40</v>
      </c>
      <c r="F510" t="s">
        <v>31</v>
      </c>
      <c r="G510" t="s">
        <v>96</v>
      </c>
      <c r="H510">
        <v>73</v>
      </c>
      <c r="J510" t="str">
        <f t="shared" si="56"/>
        <v>H</v>
      </c>
      <c r="K510" t="s">
        <v>252</v>
      </c>
      <c r="L510" t="s">
        <v>173</v>
      </c>
      <c r="N510" t="str">
        <f t="shared" si="50"/>
        <v>&lt;tr&gt; &lt;td&gt;Feb. 29&lt;/td&gt;</v>
      </c>
      <c r="O510" t="str">
        <f t="shared" si="51"/>
        <v>&lt;td&gt;4:30 PM&lt;/td&gt;</v>
      </c>
      <c r="P510" t="str">
        <f t="shared" si="52"/>
        <v>&lt;td class="sched"&gt;St. James&lt;/td&gt;</v>
      </c>
      <c r="Q510" t="str">
        <f t="shared" si="53"/>
        <v>&lt;td&gt;40 - 73&lt;/td&gt;</v>
      </c>
      <c r="R510" t="str">
        <f t="shared" si="54"/>
        <v>&lt;td class="TVHSsched"&gt;Tec Voc&lt;/td&gt;</v>
      </c>
      <c r="S510" t="str">
        <f t="shared" si="55"/>
        <v>&lt;td&gt;WWAC-WAC Tier 2 Quarterfinal 1&lt;/td&gt; &lt;/tr&gt;</v>
      </c>
    </row>
    <row r="511" spans="1:19" x14ac:dyDescent="0.25">
      <c r="A511" s="5">
        <v>42429</v>
      </c>
      <c r="B511" s="6">
        <v>0.6875</v>
      </c>
      <c r="C511" t="s">
        <v>10</v>
      </c>
      <c r="D511" t="s">
        <v>72</v>
      </c>
      <c r="E511">
        <v>58</v>
      </c>
      <c r="F511" t="s">
        <v>29</v>
      </c>
      <c r="G511" t="s">
        <v>91</v>
      </c>
      <c r="H511">
        <v>56</v>
      </c>
      <c r="J511" t="str">
        <f t="shared" si="56"/>
        <v>V</v>
      </c>
      <c r="K511" t="s">
        <v>252</v>
      </c>
      <c r="L511" t="s">
        <v>174</v>
      </c>
      <c r="N511" t="str">
        <f t="shared" si="50"/>
        <v>&lt;tr&gt; &lt;td&gt;Feb. 29&lt;/td&gt;</v>
      </c>
      <c r="O511" t="str">
        <f t="shared" si="51"/>
        <v>&lt;td&gt;4:30 PM&lt;/td&gt;</v>
      </c>
      <c r="P511" t="str">
        <f t="shared" si="52"/>
        <v>&lt;td class="KHSsched"&gt;Kelvin&lt;/td&gt;</v>
      </c>
      <c r="Q511" t="str">
        <f t="shared" si="53"/>
        <v>&lt;td&gt;58 - 56&lt;/td&gt;</v>
      </c>
      <c r="R511" t="str">
        <f t="shared" si="54"/>
        <v>&lt;td class="ShHSsched"&gt;Shaftesbury&lt;/td&gt;</v>
      </c>
      <c r="S511" t="str">
        <f t="shared" si="55"/>
        <v>&lt;td&gt;WWAC-WAC Tier 2 Quarterfinal 2&lt;/td&gt; &lt;/tr&gt;</v>
      </c>
    </row>
    <row r="512" spans="1:19" x14ac:dyDescent="0.25">
      <c r="A512" s="5">
        <v>42429</v>
      </c>
      <c r="B512" s="6">
        <v>0.6875</v>
      </c>
      <c r="C512" t="s">
        <v>218</v>
      </c>
      <c r="E512">
        <v>47</v>
      </c>
      <c r="F512" t="s">
        <v>27</v>
      </c>
      <c r="G512" t="s">
        <v>88</v>
      </c>
      <c r="H512">
        <v>68</v>
      </c>
      <c r="J512" t="str">
        <f t="shared" si="56"/>
        <v>H</v>
      </c>
      <c r="K512" t="s">
        <v>252</v>
      </c>
      <c r="L512" t="s">
        <v>175</v>
      </c>
      <c r="N512" t="str">
        <f t="shared" si="50"/>
        <v>&lt;tr&gt; &lt;td&gt;Feb. 29&lt;/td&gt;</v>
      </c>
      <c r="O512" t="str">
        <f t="shared" si="51"/>
        <v>&lt;td&gt;4:30 PM&lt;/td&gt;</v>
      </c>
      <c r="P512" t="str">
        <f t="shared" si="52"/>
        <v>&lt;td class="sched"&gt;Stonewall&lt;/td&gt;</v>
      </c>
      <c r="Q512" t="str">
        <f t="shared" si="53"/>
        <v>&lt;td&gt;47 - 68&lt;/td&gt;</v>
      </c>
      <c r="R512" t="str">
        <f t="shared" si="54"/>
        <v>&lt;td class="GPHSsched"&gt;Grant Park&lt;/td&gt;</v>
      </c>
      <c r="S512" t="str">
        <f t="shared" si="55"/>
        <v>&lt;td&gt;WWAC-WAC Tier 2 Quarterfinal 3&lt;/td&gt; &lt;/tr&gt;</v>
      </c>
    </row>
    <row r="513" spans="1:19" x14ac:dyDescent="0.25">
      <c r="A513" s="5">
        <v>42429</v>
      </c>
      <c r="B513" s="6">
        <v>0.6875</v>
      </c>
      <c r="C513" t="s">
        <v>6</v>
      </c>
      <c r="D513" t="s">
        <v>70</v>
      </c>
      <c r="E513">
        <v>31</v>
      </c>
      <c r="F513" t="s">
        <v>9</v>
      </c>
      <c r="G513" t="s">
        <v>76</v>
      </c>
      <c r="H513">
        <v>93</v>
      </c>
      <c r="J513" t="str">
        <f t="shared" si="56"/>
        <v>H</v>
      </c>
      <c r="K513" t="s">
        <v>251</v>
      </c>
      <c r="L513" t="s">
        <v>173</v>
      </c>
      <c r="N513" t="str">
        <f t="shared" si="50"/>
        <v>&lt;tr&gt; &lt;td&gt;Feb. 29&lt;/td&gt;</v>
      </c>
      <c r="O513" t="str">
        <f t="shared" si="51"/>
        <v>&lt;td&gt;4:30 PM&lt;/td&gt;</v>
      </c>
      <c r="P513" t="str">
        <f t="shared" si="52"/>
        <v>&lt;td class="JTCsched"&gt;John Taylor&lt;/td&gt;</v>
      </c>
      <c r="Q513" t="str">
        <f t="shared" si="53"/>
        <v>&lt;td&gt;31 - 93&lt;/td&gt;</v>
      </c>
      <c r="R513" t="str">
        <f t="shared" si="54"/>
        <v>&lt;td class="SiHSsched"&gt;Sisler&lt;/td&gt;</v>
      </c>
      <c r="S513" t="str">
        <f t="shared" si="55"/>
        <v>&lt;td&gt;WWAC-WAC Tier 1 Quarterfinal 1&lt;/td&gt; &lt;/tr&gt;</v>
      </c>
    </row>
    <row r="514" spans="1:19" x14ac:dyDescent="0.25">
      <c r="A514" s="5">
        <v>42429</v>
      </c>
      <c r="B514" s="6">
        <v>0.6875</v>
      </c>
      <c r="C514" t="s">
        <v>111</v>
      </c>
      <c r="D514" t="s">
        <v>112</v>
      </c>
      <c r="E514">
        <v>47</v>
      </c>
      <c r="F514" t="s">
        <v>13</v>
      </c>
      <c r="G514" t="s">
        <v>98</v>
      </c>
      <c r="H514">
        <v>75</v>
      </c>
      <c r="J514" t="str">
        <f t="shared" si="56"/>
        <v>H</v>
      </c>
      <c r="K514" t="s">
        <v>251</v>
      </c>
      <c r="L514" t="s">
        <v>174</v>
      </c>
      <c r="N514" t="str">
        <f t="shared" ref="N514:N577" si="57">"&lt;tr&gt; &lt;td&gt;"&amp;TEXT(A514,"MMM. D")&amp;"&lt;/td&gt;"</f>
        <v>&lt;tr&gt; &lt;td&gt;Feb. 29&lt;/td&gt;</v>
      </c>
      <c r="O514" t="str">
        <f t="shared" ref="O514:O577" si="58">"&lt;td&gt;"&amp;IF(B514&gt;0,TEXT(B514,"H:MM AM/PM"),"")&amp;"&lt;/td&gt;"</f>
        <v>&lt;td&gt;4:30 PM&lt;/td&gt;</v>
      </c>
      <c r="P514" t="str">
        <f t="shared" ref="P514:P577" si="59">"&lt;td class="""&amp;D514&amp;"sched""&gt;"&amp;C514&amp;"&lt;/td&gt;"</f>
        <v>&lt;td class="SMAsched"&gt;St. Mary's&lt;/td&gt;</v>
      </c>
      <c r="Q514" t="str">
        <f t="shared" ref="Q514:Q577" si="60">"&lt;td&gt;"&amp;E514&amp;" - "&amp;H514&amp;IF(I514&gt;0," "&amp;I514,"")&amp;"&lt;/td&gt;"</f>
        <v>&lt;td&gt;47 - 75&lt;/td&gt;</v>
      </c>
      <c r="R514" t="str">
        <f t="shared" ref="R514:R577" si="61">"&lt;td class="""&amp;G514&amp;"sched""&gt;"&amp;F514&amp;"&lt;/td&gt;"</f>
        <v>&lt;td class="WWCsched"&gt;Westwood&lt;/td&gt;</v>
      </c>
      <c r="S514" t="str">
        <f t="shared" ref="S514:S577" si="62">"&lt;td&gt;"&amp;K514&amp;" "&amp;L514&amp;"&lt;/td&gt; &lt;/tr&gt;"</f>
        <v>&lt;td&gt;WWAC-WAC Tier 1 Quarterfinal 2&lt;/td&gt; &lt;/tr&gt;</v>
      </c>
    </row>
    <row r="515" spans="1:19" x14ac:dyDescent="0.25">
      <c r="A515" s="5">
        <v>42429</v>
      </c>
      <c r="B515" s="6">
        <v>0.6875</v>
      </c>
      <c r="C515" t="s">
        <v>14</v>
      </c>
      <c r="D515" t="s">
        <v>94</v>
      </c>
      <c r="E515">
        <v>26</v>
      </c>
      <c r="F515" t="s">
        <v>23</v>
      </c>
      <c r="G515" t="s">
        <v>80</v>
      </c>
      <c r="H515">
        <v>80</v>
      </c>
      <c r="J515" t="str">
        <f t="shared" si="56"/>
        <v>H</v>
      </c>
      <c r="K515" t="s">
        <v>251</v>
      </c>
      <c r="L515" t="s">
        <v>175</v>
      </c>
      <c r="N515" t="str">
        <f t="shared" si="57"/>
        <v>&lt;tr&gt; &lt;td&gt;Feb. 29&lt;/td&gt;</v>
      </c>
      <c r="O515" t="str">
        <f t="shared" si="58"/>
        <v>&lt;td&gt;4:30 PM&lt;/td&gt;</v>
      </c>
      <c r="P515" t="str">
        <f t="shared" si="59"/>
        <v>&lt;td class="SHCsched"&gt;Sturgeon Heights&lt;/td&gt;</v>
      </c>
      <c r="Q515" t="str">
        <f t="shared" si="60"/>
        <v>&lt;td&gt;26 - 80&lt;/td&gt;</v>
      </c>
      <c r="R515" t="str">
        <f t="shared" si="61"/>
        <v>&lt;td class="VMCsched"&gt;Vincent Massey&lt;/td&gt;</v>
      </c>
      <c r="S515" t="str">
        <f t="shared" si="62"/>
        <v>&lt;td&gt;WWAC-WAC Tier 1 Quarterfinal 3&lt;/td&gt; &lt;/tr&gt;</v>
      </c>
    </row>
    <row r="516" spans="1:19" x14ac:dyDescent="0.25">
      <c r="A516" s="5">
        <v>42429</v>
      </c>
      <c r="B516" s="6">
        <v>0.6875</v>
      </c>
      <c r="C516" t="s">
        <v>24</v>
      </c>
      <c r="D516" t="s">
        <v>82</v>
      </c>
      <c r="E516">
        <v>39</v>
      </c>
      <c r="F516" t="s">
        <v>1</v>
      </c>
      <c r="G516" t="s">
        <v>74</v>
      </c>
      <c r="H516">
        <v>87</v>
      </c>
      <c r="J516" t="str">
        <f t="shared" si="56"/>
        <v>H</v>
      </c>
      <c r="K516" t="s">
        <v>251</v>
      </c>
      <c r="L516" t="s">
        <v>176</v>
      </c>
      <c r="N516" t="str">
        <f t="shared" si="57"/>
        <v>&lt;tr&gt; &lt;td&gt;Feb. 29&lt;/td&gt;</v>
      </c>
      <c r="O516" t="str">
        <f t="shared" si="58"/>
        <v>&lt;td&gt;4:30 PM&lt;/td&gt;</v>
      </c>
      <c r="P516" t="str">
        <f t="shared" si="59"/>
        <v>&lt;td class="DMCIsched"&gt;Daniel McIntyre&lt;/td&gt;</v>
      </c>
      <c r="Q516" t="str">
        <f t="shared" si="60"/>
        <v>&lt;td&gt;39 - 87&lt;/td&gt;</v>
      </c>
      <c r="R516" t="str">
        <f t="shared" si="61"/>
        <v>&lt;td class="OPHSsched"&gt;Oak Park&lt;/td&gt;</v>
      </c>
      <c r="S516" t="str">
        <f t="shared" si="62"/>
        <v>&lt;td&gt;WWAC-WAC Tier 1 Quarterfinal 4&lt;/td&gt; &lt;/tr&gt;</v>
      </c>
    </row>
    <row r="517" spans="1:19" x14ac:dyDescent="0.25">
      <c r="A517" s="5">
        <v>42429</v>
      </c>
      <c r="B517" s="6">
        <v>0.70833333333333337</v>
      </c>
      <c r="C517" t="s">
        <v>26</v>
      </c>
      <c r="D517" t="s">
        <v>86</v>
      </c>
      <c r="E517">
        <v>56</v>
      </c>
      <c r="F517" t="s">
        <v>28</v>
      </c>
      <c r="G517" t="s">
        <v>90</v>
      </c>
      <c r="H517">
        <v>55</v>
      </c>
      <c r="J517" t="str">
        <f t="shared" si="56"/>
        <v>V</v>
      </c>
      <c r="K517" t="s">
        <v>252</v>
      </c>
      <c r="L517" t="s">
        <v>176</v>
      </c>
      <c r="N517" t="str">
        <f t="shared" si="57"/>
        <v>&lt;tr&gt; &lt;td&gt;Feb. 29&lt;/td&gt;</v>
      </c>
      <c r="O517" t="str">
        <f t="shared" si="58"/>
        <v>&lt;td&gt;5:00 PM&lt;/td&gt;</v>
      </c>
      <c r="P517" t="str">
        <f t="shared" si="59"/>
        <v>&lt;td class="GBHSsched"&gt;Gordon Bell&lt;/td&gt;</v>
      </c>
      <c r="Q517" t="str">
        <f t="shared" si="60"/>
        <v>&lt;td&gt;56 - 55&lt;/td&gt;</v>
      </c>
      <c r="R517" t="str">
        <f t="shared" si="61"/>
        <v>&lt;td class="PCIsched"&gt;Portage&lt;/td&gt;</v>
      </c>
      <c r="S517" t="str">
        <f t="shared" si="62"/>
        <v>&lt;td&gt;WWAC-WAC Tier 2 Quarterfinal 4&lt;/td&gt; &lt;/tr&gt;</v>
      </c>
    </row>
    <row r="518" spans="1:19" x14ac:dyDescent="0.25">
      <c r="A518" s="5">
        <v>42429</v>
      </c>
      <c r="B518" s="6">
        <v>0.75</v>
      </c>
      <c r="C518" t="s">
        <v>17</v>
      </c>
      <c r="D518" t="s">
        <v>50</v>
      </c>
      <c r="E518">
        <v>37</v>
      </c>
      <c r="F518" t="s">
        <v>104</v>
      </c>
      <c r="G518" t="s">
        <v>105</v>
      </c>
      <c r="H518">
        <v>28</v>
      </c>
      <c r="J518" t="str">
        <f t="shared" si="56"/>
        <v>V</v>
      </c>
      <c r="K518" t="s">
        <v>233</v>
      </c>
      <c r="L518" t="s">
        <v>173</v>
      </c>
      <c r="N518" t="str">
        <f t="shared" si="57"/>
        <v>&lt;tr&gt; &lt;td&gt;Feb. 29&lt;/td&gt;</v>
      </c>
      <c r="O518" t="str">
        <f t="shared" si="58"/>
        <v>&lt;td&gt;6:00 PM&lt;/td&gt;</v>
      </c>
      <c r="P518" t="str">
        <f t="shared" si="59"/>
        <v>&lt;td class="MMCIsched"&gt;Murdoch MacKay&lt;/td&gt;</v>
      </c>
      <c r="Q518" t="str">
        <f t="shared" si="60"/>
        <v>&lt;td&gt;37 - 28&lt;/td&gt;</v>
      </c>
      <c r="R518" t="str">
        <f t="shared" si="61"/>
        <v>&lt;td class="SCIsched"&gt;Springfield&lt;/td&gt;</v>
      </c>
      <c r="S518" t="str">
        <f t="shared" si="62"/>
        <v>&lt;td&gt;KPAC Tier 2 Quarterfinal 1&lt;/td&gt; &lt;/tr&gt;</v>
      </c>
    </row>
    <row r="519" spans="1:19" x14ac:dyDescent="0.25">
      <c r="A519" s="5">
        <v>42429</v>
      </c>
      <c r="B519" s="6">
        <v>0.75</v>
      </c>
      <c r="C519" t="s">
        <v>19</v>
      </c>
      <c r="D519" t="s">
        <v>56</v>
      </c>
      <c r="E519">
        <v>38</v>
      </c>
      <c r="F519" t="s">
        <v>18</v>
      </c>
      <c r="G519" t="s">
        <v>52</v>
      </c>
      <c r="H519">
        <v>83</v>
      </c>
      <c r="J519" t="str">
        <f t="shared" si="56"/>
        <v>H</v>
      </c>
      <c r="K519" t="s">
        <v>233</v>
      </c>
      <c r="L519" t="s">
        <v>174</v>
      </c>
      <c r="N519" t="str">
        <f t="shared" si="57"/>
        <v>&lt;tr&gt; &lt;td&gt;Feb. 29&lt;/td&gt;</v>
      </c>
      <c r="O519" t="str">
        <f t="shared" si="58"/>
        <v>&lt;td&gt;6:00 PM&lt;/td&gt;</v>
      </c>
      <c r="P519" t="str">
        <f t="shared" si="59"/>
        <v>&lt;td class="TCIsched"&gt;Transcona&lt;/td&gt;</v>
      </c>
      <c r="Q519" t="str">
        <f t="shared" si="60"/>
        <v>&lt;td&gt;38 - 83&lt;/td&gt;</v>
      </c>
      <c r="R519" t="str">
        <f t="shared" si="61"/>
        <v>&lt;td class="RECsched"&gt;River East&lt;/td&gt;</v>
      </c>
      <c r="S519" t="str">
        <f t="shared" si="62"/>
        <v>&lt;td&gt;KPAC Tier 2 Quarterfinal 2&lt;/td&gt; &lt;/tr&gt;</v>
      </c>
    </row>
    <row r="520" spans="1:19" x14ac:dyDescent="0.25">
      <c r="A520" s="5">
        <v>42429</v>
      </c>
      <c r="B520" s="6">
        <v>0.75</v>
      </c>
      <c r="C520" t="s">
        <v>20</v>
      </c>
      <c r="D520" t="s">
        <v>58</v>
      </c>
      <c r="E520">
        <v>22</v>
      </c>
      <c r="F520" t="s">
        <v>7</v>
      </c>
      <c r="G520" t="s">
        <v>7</v>
      </c>
      <c r="H520">
        <v>47</v>
      </c>
      <c r="J520" t="str">
        <f t="shared" si="56"/>
        <v>H</v>
      </c>
      <c r="K520" t="s">
        <v>233</v>
      </c>
      <c r="L520" t="s">
        <v>175</v>
      </c>
      <c r="N520" t="str">
        <f t="shared" si="57"/>
        <v>&lt;tr&gt; &lt;td&gt;Feb. 29&lt;/td&gt;</v>
      </c>
      <c r="O520" t="str">
        <f t="shared" si="58"/>
        <v>&lt;td&gt;6:00 PM&lt;/td&gt;</v>
      </c>
      <c r="P520" t="str">
        <f t="shared" si="59"/>
        <v>&lt;td class="WKCsched"&gt;West Kildonan&lt;/td&gt;</v>
      </c>
      <c r="Q520" t="str">
        <f t="shared" si="60"/>
        <v>&lt;td&gt;22 - 47&lt;/td&gt;</v>
      </c>
      <c r="R520" t="str">
        <f t="shared" si="61"/>
        <v>&lt;td class="MBCIsched"&gt;MBCI&lt;/td&gt;</v>
      </c>
      <c r="S520" t="str">
        <f t="shared" si="62"/>
        <v>&lt;td&gt;KPAC Tier 2 Quarterfinal 3&lt;/td&gt; &lt;/tr&gt;</v>
      </c>
    </row>
    <row r="521" spans="1:19" x14ac:dyDescent="0.25">
      <c r="A521" s="5">
        <v>42429</v>
      </c>
      <c r="B521" s="6">
        <v>0.75</v>
      </c>
      <c r="C521" t="s">
        <v>108</v>
      </c>
      <c r="D521" t="s">
        <v>109</v>
      </c>
      <c r="E521">
        <v>21</v>
      </c>
      <c r="F521" t="s">
        <v>22</v>
      </c>
      <c r="G521" t="s">
        <v>66</v>
      </c>
      <c r="H521">
        <v>47</v>
      </c>
      <c r="J521" t="str">
        <f t="shared" si="56"/>
        <v>H</v>
      </c>
      <c r="K521" t="s">
        <v>763</v>
      </c>
      <c r="L521" t="s">
        <v>173</v>
      </c>
      <c r="N521" t="str">
        <f t="shared" si="57"/>
        <v>&lt;tr&gt; &lt;td&gt;Feb. 29&lt;/td&gt;</v>
      </c>
      <c r="O521" t="str">
        <f t="shared" si="58"/>
        <v>&lt;td&gt;6:00 PM&lt;/td&gt;</v>
      </c>
      <c r="P521" t="str">
        <f t="shared" si="59"/>
        <v>&lt;td class="CJSsched"&gt;Jeanne-Sauv&amp;eacute;&lt;/td&gt;</v>
      </c>
      <c r="Q521" t="str">
        <f t="shared" si="60"/>
        <v>&lt;td&gt;21 - 47&lt;/td&gt;</v>
      </c>
      <c r="R521" t="str">
        <f t="shared" si="61"/>
        <v>&lt;td class="SRSSsched"&gt;Steinbach&lt;/td&gt;</v>
      </c>
      <c r="S521" t="str">
        <f t="shared" si="62"/>
        <v>&lt;td&gt;SCAC Quarterfinal 1&lt;/td&gt; &lt;/tr&gt;</v>
      </c>
    </row>
    <row r="522" spans="1:19" x14ac:dyDescent="0.25">
      <c r="A522" s="5">
        <v>42430</v>
      </c>
      <c r="B522" s="6">
        <v>0.6875</v>
      </c>
      <c r="C522" t="s">
        <v>10</v>
      </c>
      <c r="D522" t="s">
        <v>72</v>
      </c>
      <c r="E522">
        <v>37</v>
      </c>
      <c r="F522" t="s">
        <v>31</v>
      </c>
      <c r="G522" t="s">
        <v>96</v>
      </c>
      <c r="H522">
        <v>90</v>
      </c>
      <c r="J522" t="str">
        <f t="shared" si="56"/>
        <v>H</v>
      </c>
      <c r="K522" t="s">
        <v>252</v>
      </c>
      <c r="L522" t="s">
        <v>179</v>
      </c>
      <c r="N522" t="str">
        <f t="shared" si="57"/>
        <v>&lt;tr&gt; &lt;td&gt;Mar. 1&lt;/td&gt;</v>
      </c>
      <c r="O522" t="str">
        <f t="shared" si="58"/>
        <v>&lt;td&gt;4:30 PM&lt;/td&gt;</v>
      </c>
      <c r="P522" t="str">
        <f t="shared" si="59"/>
        <v>&lt;td class="KHSsched"&gt;Kelvin&lt;/td&gt;</v>
      </c>
      <c r="Q522" t="str">
        <f t="shared" si="60"/>
        <v>&lt;td&gt;37 - 90&lt;/td&gt;</v>
      </c>
      <c r="R522" t="str">
        <f t="shared" si="61"/>
        <v>&lt;td class="TVHSsched"&gt;Tec Voc&lt;/td&gt;</v>
      </c>
      <c r="S522" t="str">
        <f t="shared" si="62"/>
        <v>&lt;td&gt;WWAC-WAC Tier 2 Semifinal 1&lt;/td&gt; &lt;/tr&gt;</v>
      </c>
    </row>
    <row r="523" spans="1:19" x14ac:dyDescent="0.25">
      <c r="A523" s="5">
        <v>42430</v>
      </c>
      <c r="B523" s="6">
        <v>0.6875</v>
      </c>
      <c r="C523" t="s">
        <v>13</v>
      </c>
      <c r="D523" t="s">
        <v>98</v>
      </c>
      <c r="E523">
        <v>44</v>
      </c>
      <c r="F523" t="s">
        <v>9</v>
      </c>
      <c r="G523" t="s">
        <v>76</v>
      </c>
      <c r="H523">
        <v>99</v>
      </c>
      <c r="J523" t="str">
        <f t="shared" si="56"/>
        <v>H</v>
      </c>
      <c r="K523" t="s">
        <v>251</v>
      </c>
      <c r="L523" t="s">
        <v>179</v>
      </c>
      <c r="N523" t="str">
        <f t="shared" si="57"/>
        <v>&lt;tr&gt; &lt;td&gt;Mar. 1&lt;/td&gt;</v>
      </c>
      <c r="O523" t="str">
        <f t="shared" si="58"/>
        <v>&lt;td&gt;4:30 PM&lt;/td&gt;</v>
      </c>
      <c r="P523" t="str">
        <f t="shared" si="59"/>
        <v>&lt;td class="WWCsched"&gt;Westwood&lt;/td&gt;</v>
      </c>
      <c r="Q523" t="str">
        <f t="shared" si="60"/>
        <v>&lt;td&gt;44 - 99&lt;/td&gt;</v>
      </c>
      <c r="R523" t="str">
        <f t="shared" si="61"/>
        <v>&lt;td class="SiHSsched"&gt;Sisler&lt;/td&gt;</v>
      </c>
      <c r="S523" t="str">
        <f t="shared" si="62"/>
        <v>&lt;td&gt;WWAC-WAC Tier 1 Semifinal 1&lt;/td&gt; &lt;/tr&gt;</v>
      </c>
    </row>
    <row r="524" spans="1:19" x14ac:dyDescent="0.25">
      <c r="A524" s="5">
        <v>42431</v>
      </c>
      <c r="B524" s="6">
        <v>0.6875</v>
      </c>
      <c r="C524" t="s">
        <v>26</v>
      </c>
      <c r="D524" t="s">
        <v>86</v>
      </c>
      <c r="E524">
        <v>64</v>
      </c>
      <c r="F524" t="s">
        <v>27</v>
      </c>
      <c r="G524" t="s">
        <v>88</v>
      </c>
      <c r="H524">
        <v>62</v>
      </c>
      <c r="J524" t="str">
        <f t="shared" si="56"/>
        <v>V</v>
      </c>
      <c r="K524" t="s">
        <v>252</v>
      </c>
      <c r="L524" t="s">
        <v>180</v>
      </c>
      <c r="N524" t="str">
        <f t="shared" si="57"/>
        <v>&lt;tr&gt; &lt;td&gt;Mar. 2&lt;/td&gt;</v>
      </c>
      <c r="O524" t="str">
        <f t="shared" si="58"/>
        <v>&lt;td&gt;4:30 PM&lt;/td&gt;</v>
      </c>
      <c r="P524" t="str">
        <f t="shared" si="59"/>
        <v>&lt;td class="GBHSsched"&gt;Gordon Bell&lt;/td&gt;</v>
      </c>
      <c r="Q524" t="str">
        <f t="shared" si="60"/>
        <v>&lt;td&gt;64 - 62&lt;/td&gt;</v>
      </c>
      <c r="R524" t="str">
        <f t="shared" si="61"/>
        <v>&lt;td class="GPHSsched"&gt;Grant Park&lt;/td&gt;</v>
      </c>
      <c r="S524" t="str">
        <f t="shared" si="62"/>
        <v>&lt;td&gt;WWAC-WAC Tier 2 Semifinal 2&lt;/td&gt; &lt;/tr&gt;</v>
      </c>
    </row>
    <row r="525" spans="1:19" x14ac:dyDescent="0.25">
      <c r="A525" s="5">
        <v>42431</v>
      </c>
      <c r="B525" s="6">
        <v>0.6875</v>
      </c>
      <c r="C525" t="s">
        <v>1</v>
      </c>
      <c r="D525" t="s">
        <v>74</v>
      </c>
      <c r="E525">
        <v>38</v>
      </c>
      <c r="F525" t="s">
        <v>23</v>
      </c>
      <c r="G525" t="s">
        <v>80</v>
      </c>
      <c r="H525">
        <v>50</v>
      </c>
      <c r="J525" t="str">
        <f t="shared" si="56"/>
        <v>H</v>
      </c>
      <c r="K525" t="s">
        <v>251</v>
      </c>
      <c r="L525" t="s">
        <v>180</v>
      </c>
      <c r="N525" t="str">
        <f t="shared" si="57"/>
        <v>&lt;tr&gt; &lt;td&gt;Mar. 2&lt;/td&gt;</v>
      </c>
      <c r="O525" t="str">
        <f t="shared" si="58"/>
        <v>&lt;td&gt;4:30 PM&lt;/td&gt;</v>
      </c>
      <c r="P525" t="str">
        <f t="shared" si="59"/>
        <v>&lt;td class="OPHSsched"&gt;Oak Park&lt;/td&gt;</v>
      </c>
      <c r="Q525" t="str">
        <f t="shared" si="60"/>
        <v>&lt;td&gt;38 - 50&lt;/td&gt;</v>
      </c>
      <c r="R525" t="str">
        <f t="shared" si="61"/>
        <v>&lt;td class="VMCsched"&gt;Vincent Massey&lt;/td&gt;</v>
      </c>
      <c r="S525" t="str">
        <f t="shared" si="62"/>
        <v>&lt;td&gt;WWAC-WAC Tier 1 Semifinal 2&lt;/td&gt; &lt;/tr&gt;</v>
      </c>
    </row>
    <row r="526" spans="1:19" x14ac:dyDescent="0.25">
      <c r="A526" s="5">
        <v>42431</v>
      </c>
      <c r="B526" s="6">
        <v>0.75</v>
      </c>
      <c r="C526" t="s">
        <v>12</v>
      </c>
      <c r="D526" t="s">
        <v>54</v>
      </c>
      <c r="E526">
        <v>40</v>
      </c>
      <c r="F526" t="s">
        <v>11</v>
      </c>
      <c r="G526" t="s">
        <v>48</v>
      </c>
      <c r="H526">
        <v>95</v>
      </c>
      <c r="J526" t="str">
        <f t="shared" si="56"/>
        <v>H</v>
      </c>
      <c r="K526" t="s">
        <v>234</v>
      </c>
      <c r="L526" t="s">
        <v>179</v>
      </c>
      <c r="N526" t="str">
        <f t="shared" si="57"/>
        <v>&lt;tr&gt; &lt;td&gt;Mar. 2&lt;/td&gt;</v>
      </c>
      <c r="O526" t="str">
        <f t="shared" si="58"/>
        <v>&lt;td&gt;6:00 PM&lt;/td&gt;</v>
      </c>
      <c r="P526" t="str">
        <f t="shared" si="59"/>
        <v>&lt;td class="LSsched"&gt;Selkirk&lt;/td&gt;</v>
      </c>
      <c r="Q526" t="str">
        <f t="shared" si="60"/>
        <v>&lt;td&gt;40 - 95&lt;/td&gt;</v>
      </c>
      <c r="R526" t="str">
        <f t="shared" si="61"/>
        <v>&lt;td class="MMCsched"&gt;Miles Macdonell&lt;/td&gt;</v>
      </c>
      <c r="S526" t="str">
        <f t="shared" si="62"/>
        <v>&lt;td&gt;KPAC Tier 1 Semifinal 1&lt;/td&gt; &lt;/tr&gt;</v>
      </c>
    </row>
    <row r="527" spans="1:19" x14ac:dyDescent="0.25">
      <c r="A527" s="5">
        <v>42431</v>
      </c>
      <c r="B527" s="6">
        <v>0.75</v>
      </c>
      <c r="C527" t="s">
        <v>17</v>
      </c>
      <c r="D527" t="s">
        <v>50</v>
      </c>
      <c r="E527">
        <v>26</v>
      </c>
      <c r="F527" t="s">
        <v>16</v>
      </c>
      <c r="G527" t="s">
        <v>45</v>
      </c>
      <c r="H527">
        <v>69</v>
      </c>
      <c r="J527" t="str">
        <f t="shared" si="56"/>
        <v>H</v>
      </c>
      <c r="K527" t="s">
        <v>233</v>
      </c>
      <c r="L527" t="s">
        <v>179</v>
      </c>
      <c r="N527" t="str">
        <f t="shared" si="57"/>
        <v>&lt;tr&gt; &lt;td&gt;Mar. 2&lt;/td&gt;</v>
      </c>
      <c r="O527" t="str">
        <f t="shared" si="58"/>
        <v>&lt;td&gt;6:00 PM&lt;/td&gt;</v>
      </c>
      <c r="P527" t="str">
        <f t="shared" si="59"/>
        <v>&lt;td class="MMCIsched"&gt;Murdoch MacKay&lt;/td&gt;</v>
      </c>
      <c r="Q527" t="str">
        <f t="shared" si="60"/>
        <v>&lt;td&gt;26 - 69&lt;/td&gt;</v>
      </c>
      <c r="R527" t="str">
        <f t="shared" si="61"/>
        <v>&lt;td class="MCsched"&gt;Maples&lt;/td&gt;</v>
      </c>
      <c r="S527" t="str">
        <f t="shared" si="62"/>
        <v>&lt;td&gt;KPAC Tier 2 Semifinal 1&lt;/td&gt; &lt;/tr&gt;</v>
      </c>
    </row>
    <row r="528" spans="1:19" x14ac:dyDescent="0.25">
      <c r="A528" s="5">
        <v>42431</v>
      </c>
      <c r="B528" s="6">
        <v>0.75</v>
      </c>
      <c r="C528" t="s">
        <v>162</v>
      </c>
      <c r="D528" t="s">
        <v>164</v>
      </c>
      <c r="E528">
        <v>75</v>
      </c>
      <c r="F528" t="s">
        <v>762</v>
      </c>
      <c r="H528">
        <v>51</v>
      </c>
      <c r="J528" t="str">
        <f t="shared" si="56"/>
        <v>V</v>
      </c>
      <c r="K528" t="s">
        <v>163</v>
      </c>
      <c r="L528" t="s">
        <v>282</v>
      </c>
      <c r="N528" t="str">
        <f t="shared" si="57"/>
        <v>&lt;tr&gt; &lt;td&gt;Mar. 2&lt;/td&gt;</v>
      </c>
      <c r="O528" t="str">
        <f t="shared" si="58"/>
        <v>&lt;td&gt;6:00 PM&lt;/td&gt;</v>
      </c>
      <c r="P528" t="str">
        <f t="shared" si="59"/>
        <v>&lt;td class="GVCsched"&gt;Garden Valley&lt;/td&gt;</v>
      </c>
      <c r="Q528" t="str">
        <f t="shared" si="60"/>
        <v>&lt;td&gt;75 - 51&lt;/td&gt;</v>
      </c>
      <c r="R528" t="str">
        <f t="shared" si="61"/>
        <v>&lt;td class="sched"&gt;Morris&lt;/td&gt;</v>
      </c>
      <c r="S528" t="str">
        <f t="shared" si="62"/>
        <v>&lt;td&gt;Zone 4 Exhibition&lt;/td&gt; &lt;/tr&gt;</v>
      </c>
    </row>
    <row r="529" spans="1:19" x14ac:dyDescent="0.25">
      <c r="A529" s="5">
        <v>42431</v>
      </c>
      <c r="B529" s="6">
        <v>0.75</v>
      </c>
      <c r="C529" t="s">
        <v>21</v>
      </c>
      <c r="D529" t="s">
        <v>64</v>
      </c>
      <c r="E529">
        <v>23</v>
      </c>
      <c r="F529" t="s">
        <v>8</v>
      </c>
      <c r="G529" t="s">
        <v>60</v>
      </c>
      <c r="H529">
        <v>65</v>
      </c>
      <c r="J529" t="str">
        <f t="shared" si="56"/>
        <v>H</v>
      </c>
      <c r="K529" t="s">
        <v>763</v>
      </c>
      <c r="L529" t="s">
        <v>180</v>
      </c>
      <c r="N529" t="str">
        <f t="shared" si="57"/>
        <v>&lt;tr&gt; &lt;td&gt;Mar. 2&lt;/td&gt;</v>
      </c>
      <c r="O529" t="str">
        <f t="shared" si="58"/>
        <v>&lt;td&gt;6:00 PM&lt;/td&gt;</v>
      </c>
      <c r="P529" t="str">
        <f t="shared" si="59"/>
        <v>&lt;td class="JHBsched"&gt;J.H. Bruns&lt;/td&gt;</v>
      </c>
      <c r="Q529" t="str">
        <f t="shared" si="60"/>
        <v>&lt;td&gt;23 - 65&lt;/td&gt;</v>
      </c>
      <c r="R529" t="str">
        <f t="shared" si="61"/>
        <v>&lt;td class="DCIsched"&gt;Dakota&lt;/td&gt;</v>
      </c>
      <c r="S529" t="str">
        <f t="shared" si="62"/>
        <v>&lt;td&gt;SCAC Semifinal 2&lt;/td&gt; &lt;/tr&gt;</v>
      </c>
    </row>
    <row r="530" spans="1:19" x14ac:dyDescent="0.25">
      <c r="A530" s="5">
        <v>42431</v>
      </c>
      <c r="B530" s="6">
        <v>0.75</v>
      </c>
      <c r="C530" t="s">
        <v>7</v>
      </c>
      <c r="D530" t="s">
        <v>7</v>
      </c>
      <c r="E530">
        <v>52</v>
      </c>
      <c r="F530" t="s">
        <v>18</v>
      </c>
      <c r="G530" t="s">
        <v>52</v>
      </c>
      <c r="H530">
        <v>72</v>
      </c>
      <c r="J530" t="str">
        <f t="shared" si="56"/>
        <v>H</v>
      </c>
      <c r="K530" t="s">
        <v>233</v>
      </c>
      <c r="L530" t="s">
        <v>180</v>
      </c>
      <c r="N530" t="str">
        <f t="shared" si="57"/>
        <v>&lt;tr&gt; &lt;td&gt;Mar. 2&lt;/td&gt;</v>
      </c>
      <c r="O530" t="str">
        <f t="shared" si="58"/>
        <v>&lt;td&gt;6:00 PM&lt;/td&gt;</v>
      </c>
      <c r="P530" t="str">
        <f t="shared" si="59"/>
        <v>&lt;td class="MBCIsched"&gt;MBCI&lt;/td&gt;</v>
      </c>
      <c r="Q530" t="str">
        <f t="shared" si="60"/>
        <v>&lt;td&gt;52 - 72&lt;/td&gt;</v>
      </c>
      <c r="R530" t="str">
        <f t="shared" si="61"/>
        <v>&lt;td class="RECsched"&gt;River East&lt;/td&gt;</v>
      </c>
      <c r="S530" t="str">
        <f t="shared" si="62"/>
        <v>&lt;td&gt;KPAC Tier 2 Semifinal 2&lt;/td&gt; &lt;/tr&gt;</v>
      </c>
    </row>
    <row r="531" spans="1:19" x14ac:dyDescent="0.25">
      <c r="A531" s="5">
        <v>42431</v>
      </c>
      <c r="B531" s="6">
        <v>0.77083333333333337</v>
      </c>
      <c r="C531" t="s">
        <v>22</v>
      </c>
      <c r="D531" t="s">
        <v>66</v>
      </c>
      <c r="E531">
        <v>32</v>
      </c>
      <c r="F531" t="s">
        <v>5</v>
      </c>
      <c r="G531" t="s">
        <v>62</v>
      </c>
      <c r="H531">
        <v>80</v>
      </c>
      <c r="J531" t="str">
        <f t="shared" si="56"/>
        <v>H</v>
      </c>
      <c r="K531" t="s">
        <v>763</v>
      </c>
      <c r="L531" t="s">
        <v>179</v>
      </c>
      <c r="N531" t="str">
        <f t="shared" si="57"/>
        <v>&lt;tr&gt; &lt;td&gt;Mar. 2&lt;/td&gt;</v>
      </c>
      <c r="O531" t="str">
        <f t="shared" si="58"/>
        <v>&lt;td&gt;6:30 PM&lt;/td&gt;</v>
      </c>
      <c r="P531" t="str">
        <f t="shared" si="59"/>
        <v>&lt;td class="SRSSsched"&gt;Steinbach&lt;/td&gt;</v>
      </c>
      <c r="Q531" t="str">
        <f t="shared" si="60"/>
        <v>&lt;td&gt;32 - 80&lt;/td&gt;</v>
      </c>
      <c r="R531" t="str">
        <f t="shared" si="61"/>
        <v>&lt;td class="GCIsched"&gt;Glenlawn&lt;/td&gt;</v>
      </c>
      <c r="S531" t="str">
        <f t="shared" si="62"/>
        <v>&lt;td&gt;SCAC Semifinal 1&lt;/td&gt; &lt;/tr&gt;</v>
      </c>
    </row>
    <row r="532" spans="1:19" x14ac:dyDescent="0.25">
      <c r="A532" s="5">
        <v>42431</v>
      </c>
      <c r="B532" s="6">
        <v>0.8125</v>
      </c>
      <c r="C532" t="s">
        <v>2</v>
      </c>
      <c r="D532" t="s">
        <v>43</v>
      </c>
      <c r="E532">
        <v>37</v>
      </c>
      <c r="F532" t="s">
        <v>4</v>
      </c>
      <c r="G532" t="s">
        <v>41</v>
      </c>
      <c r="H532">
        <v>79</v>
      </c>
      <c r="J532" t="str">
        <f t="shared" si="56"/>
        <v>H</v>
      </c>
      <c r="K532" t="s">
        <v>234</v>
      </c>
      <c r="L532" t="s">
        <v>180</v>
      </c>
      <c r="N532" t="str">
        <f t="shared" si="57"/>
        <v>&lt;tr&gt; &lt;td&gt;Mar. 2&lt;/td&gt;</v>
      </c>
      <c r="O532" t="str">
        <f t="shared" si="58"/>
        <v>&lt;td&gt;7:30 PM&lt;/td&gt;</v>
      </c>
      <c r="P532" t="str">
        <f t="shared" si="59"/>
        <v>&lt;td class="KECsched"&gt;Kildonan-East&lt;/td&gt;</v>
      </c>
      <c r="Q532" t="str">
        <f t="shared" si="60"/>
        <v>&lt;td&gt;37 - 79&lt;/td&gt;</v>
      </c>
      <c r="R532" t="str">
        <f t="shared" si="61"/>
        <v>&lt;td class="GCCsched"&gt;Garden City&lt;/td&gt;</v>
      </c>
      <c r="S532" t="str">
        <f t="shared" si="62"/>
        <v>&lt;td&gt;KPAC Tier 1 Semifinal 2&lt;/td&gt; &lt;/tr&gt;</v>
      </c>
    </row>
    <row r="533" spans="1:19" x14ac:dyDescent="0.25">
      <c r="A533" s="5">
        <v>42432</v>
      </c>
      <c r="B533" s="6">
        <v>0.66666666666666663</v>
      </c>
      <c r="C533" t="s">
        <v>162</v>
      </c>
      <c r="D533" t="s">
        <v>164</v>
      </c>
      <c r="E533">
        <v>45</v>
      </c>
      <c r="F533" t="s">
        <v>32</v>
      </c>
      <c r="G533" t="s">
        <v>100</v>
      </c>
      <c r="H533">
        <v>56</v>
      </c>
      <c r="J533" t="str">
        <f t="shared" si="56"/>
        <v>H</v>
      </c>
      <c r="K533" t="s">
        <v>827</v>
      </c>
      <c r="L533" t="s">
        <v>184</v>
      </c>
      <c r="N533" t="str">
        <f t="shared" si="57"/>
        <v>&lt;tr&gt; &lt;td&gt;Mar. 3&lt;/td&gt;</v>
      </c>
      <c r="O533" t="str">
        <f t="shared" si="58"/>
        <v>&lt;td&gt;4:00 PM&lt;/td&gt;</v>
      </c>
      <c r="P533" t="str">
        <f t="shared" si="59"/>
        <v>&lt;td class="GVCsched"&gt;Garden Valley&lt;/td&gt;</v>
      </c>
      <c r="Q533" t="str">
        <f t="shared" si="60"/>
        <v>&lt;td&gt;45 - 56&lt;/td&gt;</v>
      </c>
      <c r="R533" t="str">
        <f t="shared" si="61"/>
        <v>&lt;td class="CPRSsched"&gt;Crocus Plains&lt;/td&gt;</v>
      </c>
      <c r="S533" t="str">
        <f t="shared" si="62"/>
        <v>&lt;td&gt;Zone 4/15 Championship&lt;/td&gt; &lt;/tr&gt;</v>
      </c>
    </row>
    <row r="534" spans="1:19" x14ac:dyDescent="0.25">
      <c r="A534" s="5">
        <v>42432</v>
      </c>
      <c r="B534" s="6">
        <v>0.70833333333333337</v>
      </c>
      <c r="C534" t="s">
        <v>27</v>
      </c>
      <c r="D534" t="s">
        <v>88</v>
      </c>
      <c r="E534">
        <v>47</v>
      </c>
      <c r="F534" t="s">
        <v>10</v>
      </c>
      <c r="G534" t="s">
        <v>72</v>
      </c>
      <c r="H534">
        <v>30</v>
      </c>
      <c r="J534" t="str">
        <f t="shared" si="56"/>
        <v>V</v>
      </c>
      <c r="K534" t="s">
        <v>252</v>
      </c>
      <c r="L534" t="s">
        <v>183</v>
      </c>
      <c r="N534" t="str">
        <f t="shared" si="57"/>
        <v>&lt;tr&gt; &lt;td&gt;Mar. 3&lt;/td&gt;</v>
      </c>
      <c r="O534" t="str">
        <f t="shared" si="58"/>
        <v>&lt;td&gt;5:00 PM&lt;/td&gt;</v>
      </c>
      <c r="P534" t="str">
        <f t="shared" si="59"/>
        <v>&lt;td class="GPHSsched"&gt;Grant Park&lt;/td&gt;</v>
      </c>
      <c r="Q534" t="str">
        <f t="shared" si="60"/>
        <v>&lt;td&gt;47 - 30&lt;/td&gt;</v>
      </c>
      <c r="R534" t="str">
        <f t="shared" si="61"/>
        <v>&lt;td class="KHSsched"&gt;Kelvin&lt;/td&gt;</v>
      </c>
      <c r="S534" t="str">
        <f t="shared" si="62"/>
        <v>&lt;td&gt;WWAC-WAC Tier 2 3rd Place&lt;/td&gt; &lt;/tr&gt;</v>
      </c>
    </row>
    <row r="535" spans="1:19" x14ac:dyDescent="0.25">
      <c r="A535" s="5">
        <v>42432</v>
      </c>
      <c r="B535" s="6">
        <v>0.70833333333333337</v>
      </c>
      <c r="C535" t="s">
        <v>1</v>
      </c>
      <c r="D535" t="s">
        <v>74</v>
      </c>
      <c r="E535">
        <v>53</v>
      </c>
      <c r="F535" t="s">
        <v>13</v>
      </c>
      <c r="G535" t="s">
        <v>98</v>
      </c>
      <c r="H535">
        <v>72</v>
      </c>
      <c r="J535" t="str">
        <f t="shared" si="56"/>
        <v>H</v>
      </c>
      <c r="K535" t="s">
        <v>251</v>
      </c>
      <c r="L535" t="s">
        <v>183</v>
      </c>
      <c r="N535" t="str">
        <f t="shared" si="57"/>
        <v>&lt;tr&gt; &lt;td&gt;Mar. 3&lt;/td&gt;</v>
      </c>
      <c r="O535" t="str">
        <f t="shared" si="58"/>
        <v>&lt;td&gt;5:00 PM&lt;/td&gt;</v>
      </c>
      <c r="P535" t="str">
        <f t="shared" si="59"/>
        <v>&lt;td class="OPHSsched"&gt;Oak Park&lt;/td&gt;</v>
      </c>
      <c r="Q535" t="str">
        <f t="shared" si="60"/>
        <v>&lt;td&gt;53 - 72&lt;/td&gt;</v>
      </c>
      <c r="R535" t="str">
        <f t="shared" si="61"/>
        <v>&lt;td class="WWCsched"&gt;Westwood&lt;/td&gt;</v>
      </c>
      <c r="S535" t="str">
        <f t="shared" si="62"/>
        <v>&lt;td&gt;WWAC-WAC Tier 1 3rd Place&lt;/td&gt; &lt;/tr&gt;</v>
      </c>
    </row>
    <row r="536" spans="1:19" x14ac:dyDescent="0.25">
      <c r="A536" s="5">
        <v>42433</v>
      </c>
      <c r="B536" s="6">
        <v>0.70833333333333337</v>
      </c>
      <c r="C536" t="s">
        <v>26</v>
      </c>
      <c r="D536" t="s">
        <v>86</v>
      </c>
      <c r="E536">
        <v>56</v>
      </c>
      <c r="F536" t="s">
        <v>31</v>
      </c>
      <c r="G536" t="s">
        <v>96</v>
      </c>
      <c r="H536">
        <v>75</v>
      </c>
      <c r="J536" t="str">
        <f t="shared" si="56"/>
        <v>H</v>
      </c>
      <c r="K536" t="s">
        <v>252</v>
      </c>
      <c r="L536" t="s">
        <v>184</v>
      </c>
      <c r="N536" t="str">
        <f t="shared" si="57"/>
        <v>&lt;tr&gt; &lt;td&gt;Mar. 4&lt;/td&gt;</v>
      </c>
      <c r="O536" t="str">
        <f t="shared" si="58"/>
        <v>&lt;td&gt;5:00 PM&lt;/td&gt;</v>
      </c>
      <c r="P536" t="str">
        <f t="shared" si="59"/>
        <v>&lt;td class="GBHSsched"&gt;Gordon Bell&lt;/td&gt;</v>
      </c>
      <c r="Q536" t="str">
        <f t="shared" si="60"/>
        <v>&lt;td&gt;56 - 75&lt;/td&gt;</v>
      </c>
      <c r="R536" t="str">
        <f t="shared" si="61"/>
        <v>&lt;td class="TVHSsched"&gt;Tec Voc&lt;/td&gt;</v>
      </c>
      <c r="S536" t="str">
        <f t="shared" si="62"/>
        <v>&lt;td&gt;WWAC-WAC Tier 2 Championship&lt;/td&gt; &lt;/tr&gt;</v>
      </c>
    </row>
    <row r="537" spans="1:19" x14ac:dyDescent="0.25">
      <c r="A537" s="5">
        <v>42433</v>
      </c>
      <c r="B537" s="6">
        <v>0.70833333333333337</v>
      </c>
      <c r="C537" t="s">
        <v>23</v>
      </c>
      <c r="D537" t="s">
        <v>80</v>
      </c>
      <c r="E537">
        <v>63</v>
      </c>
      <c r="F537" t="s">
        <v>9</v>
      </c>
      <c r="G537" t="s">
        <v>76</v>
      </c>
      <c r="H537">
        <v>97</v>
      </c>
      <c r="J537" t="str">
        <f t="shared" si="56"/>
        <v>H</v>
      </c>
      <c r="K537" t="s">
        <v>251</v>
      </c>
      <c r="L537" t="s">
        <v>184</v>
      </c>
      <c r="N537" t="str">
        <f t="shared" si="57"/>
        <v>&lt;tr&gt; &lt;td&gt;Mar. 4&lt;/td&gt;</v>
      </c>
      <c r="O537" t="str">
        <f t="shared" si="58"/>
        <v>&lt;td&gt;5:00 PM&lt;/td&gt;</v>
      </c>
      <c r="P537" t="str">
        <f t="shared" si="59"/>
        <v>&lt;td class="VMCsched"&gt;Vincent Massey&lt;/td&gt;</v>
      </c>
      <c r="Q537" t="str">
        <f t="shared" si="60"/>
        <v>&lt;td&gt;63 - 97&lt;/td&gt;</v>
      </c>
      <c r="R537" t="str">
        <f t="shared" si="61"/>
        <v>&lt;td class="SiHSsched"&gt;Sisler&lt;/td&gt;</v>
      </c>
      <c r="S537" t="str">
        <f t="shared" si="62"/>
        <v>&lt;td&gt;WWAC-WAC Tier 1 Championship&lt;/td&gt; &lt;/tr&gt;</v>
      </c>
    </row>
    <row r="538" spans="1:19" x14ac:dyDescent="0.25">
      <c r="A538" s="5">
        <v>42433</v>
      </c>
      <c r="B538" s="6">
        <v>0.75</v>
      </c>
      <c r="C538" t="s">
        <v>18</v>
      </c>
      <c r="D538" t="s">
        <v>52</v>
      </c>
      <c r="E538">
        <v>56</v>
      </c>
      <c r="F538" t="s">
        <v>16</v>
      </c>
      <c r="G538" t="s">
        <v>45</v>
      </c>
      <c r="H538">
        <v>81</v>
      </c>
      <c r="J538" t="str">
        <f t="shared" si="56"/>
        <v>H</v>
      </c>
      <c r="K538" t="s">
        <v>233</v>
      </c>
      <c r="L538" t="s">
        <v>184</v>
      </c>
      <c r="N538" t="str">
        <f t="shared" si="57"/>
        <v>&lt;tr&gt; &lt;td&gt;Mar. 4&lt;/td&gt;</v>
      </c>
      <c r="O538" t="str">
        <f t="shared" si="58"/>
        <v>&lt;td&gt;6:00 PM&lt;/td&gt;</v>
      </c>
      <c r="P538" t="str">
        <f t="shared" si="59"/>
        <v>&lt;td class="RECsched"&gt;River East&lt;/td&gt;</v>
      </c>
      <c r="Q538" t="str">
        <f t="shared" si="60"/>
        <v>&lt;td&gt;56 - 81&lt;/td&gt;</v>
      </c>
      <c r="R538" t="str">
        <f t="shared" si="61"/>
        <v>&lt;td class="MCsched"&gt;Maples&lt;/td&gt;</v>
      </c>
      <c r="S538" t="str">
        <f t="shared" si="62"/>
        <v>&lt;td&gt;KPAC Tier 2 Championship&lt;/td&gt; &lt;/tr&gt;</v>
      </c>
    </row>
    <row r="539" spans="1:19" x14ac:dyDescent="0.25">
      <c r="A539" s="5">
        <v>42433</v>
      </c>
      <c r="B539" s="6">
        <v>0.75</v>
      </c>
      <c r="C539" t="s">
        <v>4</v>
      </c>
      <c r="D539" t="s">
        <v>41</v>
      </c>
      <c r="E539">
        <v>69</v>
      </c>
      <c r="F539" t="s">
        <v>11</v>
      </c>
      <c r="G539" t="s">
        <v>48</v>
      </c>
      <c r="H539">
        <v>73</v>
      </c>
      <c r="J539" t="str">
        <f t="shared" si="56"/>
        <v>H</v>
      </c>
      <c r="K539" t="s">
        <v>234</v>
      </c>
      <c r="L539" t="s">
        <v>184</v>
      </c>
      <c r="N539" t="str">
        <f t="shared" si="57"/>
        <v>&lt;tr&gt; &lt;td&gt;Mar. 4&lt;/td&gt;</v>
      </c>
      <c r="O539" t="str">
        <f t="shared" si="58"/>
        <v>&lt;td&gt;6:00 PM&lt;/td&gt;</v>
      </c>
      <c r="P539" t="str">
        <f t="shared" si="59"/>
        <v>&lt;td class="GCCsched"&gt;Garden City&lt;/td&gt;</v>
      </c>
      <c r="Q539" t="str">
        <f t="shared" si="60"/>
        <v>&lt;td&gt;69 - 73&lt;/td&gt;</v>
      </c>
      <c r="R539" t="str">
        <f t="shared" si="61"/>
        <v>&lt;td class="MMCsched"&gt;Miles Macdonell&lt;/td&gt;</v>
      </c>
      <c r="S539" t="str">
        <f t="shared" si="62"/>
        <v>&lt;td&gt;KPAC Tier 1 Championship&lt;/td&gt; &lt;/tr&gt;</v>
      </c>
    </row>
    <row r="540" spans="1:19" x14ac:dyDescent="0.25">
      <c r="A540" s="5">
        <v>42433</v>
      </c>
      <c r="B540" s="6">
        <v>0.75</v>
      </c>
      <c r="C540" t="s">
        <v>8</v>
      </c>
      <c r="D540" t="s">
        <v>60</v>
      </c>
      <c r="E540">
        <v>28</v>
      </c>
      <c r="F540" t="s">
        <v>5</v>
      </c>
      <c r="G540" t="s">
        <v>62</v>
      </c>
      <c r="H540">
        <v>70</v>
      </c>
      <c r="J540" t="str">
        <f t="shared" si="56"/>
        <v>H</v>
      </c>
      <c r="K540" t="s">
        <v>763</v>
      </c>
      <c r="L540" t="s">
        <v>184</v>
      </c>
      <c r="N540" t="str">
        <f t="shared" si="57"/>
        <v>&lt;tr&gt; &lt;td&gt;Mar. 4&lt;/td&gt;</v>
      </c>
      <c r="O540" t="str">
        <f t="shared" si="58"/>
        <v>&lt;td&gt;6:00 PM&lt;/td&gt;</v>
      </c>
      <c r="P540" t="str">
        <f t="shared" si="59"/>
        <v>&lt;td class="DCIsched"&gt;Dakota&lt;/td&gt;</v>
      </c>
      <c r="Q540" t="str">
        <f t="shared" si="60"/>
        <v>&lt;td&gt;28 - 70&lt;/td&gt;</v>
      </c>
      <c r="R540" t="str">
        <f t="shared" si="61"/>
        <v>&lt;td class="GCIsched"&gt;Glenlawn&lt;/td&gt;</v>
      </c>
      <c r="S540" t="str">
        <f t="shared" si="62"/>
        <v>&lt;td&gt;SCAC Championship&lt;/td&gt; &lt;/tr&gt;</v>
      </c>
    </row>
    <row r="541" spans="1:19" x14ac:dyDescent="0.25">
      <c r="A541" s="5">
        <v>42440</v>
      </c>
      <c r="B541" s="6">
        <v>0.58333333333333337</v>
      </c>
      <c r="C541" t="s">
        <v>24</v>
      </c>
      <c r="D541" t="s">
        <v>82</v>
      </c>
      <c r="E541">
        <v>42</v>
      </c>
      <c r="F541" t="s">
        <v>5</v>
      </c>
      <c r="G541" t="s">
        <v>62</v>
      </c>
      <c r="H541">
        <v>80</v>
      </c>
      <c r="J541" t="str">
        <f t="shared" si="56"/>
        <v>H</v>
      </c>
      <c r="K541" t="s">
        <v>829</v>
      </c>
      <c r="L541" t="s">
        <v>232</v>
      </c>
      <c r="N541" t="str">
        <f t="shared" si="57"/>
        <v>&lt;tr&gt; &lt;td&gt;Mar. 11&lt;/td&gt;</v>
      </c>
      <c r="O541" t="str">
        <f t="shared" si="58"/>
        <v>&lt;td&gt;2:00 PM&lt;/td&gt;</v>
      </c>
      <c r="P541" t="str">
        <f t="shared" si="59"/>
        <v>&lt;td class="DMCIsched"&gt;Daniel McIntyre&lt;/td&gt;</v>
      </c>
      <c r="Q541" t="str">
        <f t="shared" si="60"/>
        <v>&lt;td&gt;42 - 80&lt;/td&gt;</v>
      </c>
      <c r="R541" t="str">
        <f t="shared" si="61"/>
        <v>&lt;td class="GCIsched"&gt;Glenlawn&lt;/td&gt;</v>
      </c>
      <c r="S541" t="str">
        <f t="shared" si="62"/>
        <v>&lt;td&gt;AAAA Provincials First Round Game 3&lt;/td&gt; &lt;/tr&gt;</v>
      </c>
    </row>
    <row r="542" spans="1:19" x14ac:dyDescent="0.25">
      <c r="A542" s="5">
        <v>42440</v>
      </c>
      <c r="B542" s="6">
        <v>0.66666666666666663</v>
      </c>
      <c r="C542" t="s">
        <v>8</v>
      </c>
      <c r="D542" t="s">
        <v>60</v>
      </c>
      <c r="E542">
        <v>45</v>
      </c>
      <c r="F542" t="s">
        <v>4</v>
      </c>
      <c r="G542" t="s">
        <v>41</v>
      </c>
      <c r="H542">
        <v>76</v>
      </c>
      <c r="J542" t="str">
        <f t="shared" si="56"/>
        <v>H</v>
      </c>
      <c r="K542" t="s">
        <v>829</v>
      </c>
      <c r="L542" t="s">
        <v>831</v>
      </c>
      <c r="N542" t="str">
        <f t="shared" si="57"/>
        <v>&lt;tr&gt; &lt;td&gt;Mar. 11&lt;/td&gt;</v>
      </c>
      <c r="O542" t="str">
        <f t="shared" si="58"/>
        <v>&lt;td&gt;4:00 PM&lt;/td&gt;</v>
      </c>
      <c r="P542" t="str">
        <f t="shared" si="59"/>
        <v>&lt;td class="DCIsched"&gt;Dakota&lt;/td&gt;</v>
      </c>
      <c r="Q542" t="str">
        <f t="shared" si="60"/>
        <v>&lt;td&gt;45 - 76&lt;/td&gt;</v>
      </c>
      <c r="R542" t="str">
        <f t="shared" si="61"/>
        <v>&lt;td class="GCCsched"&gt;Garden City&lt;/td&gt;</v>
      </c>
      <c r="S542" t="str">
        <f t="shared" si="62"/>
        <v>&lt;td&gt;AAAA Provincials First Round Game 4&lt;/td&gt; &lt;/tr&gt;</v>
      </c>
    </row>
    <row r="543" spans="1:19" x14ac:dyDescent="0.25">
      <c r="A543" s="5">
        <v>42440</v>
      </c>
      <c r="B543" s="6">
        <v>0.75</v>
      </c>
      <c r="C543" t="s">
        <v>32</v>
      </c>
      <c r="D543" t="s">
        <v>100</v>
      </c>
      <c r="E543">
        <v>21</v>
      </c>
      <c r="F543" t="s">
        <v>13</v>
      </c>
      <c r="G543" t="s">
        <v>98</v>
      </c>
      <c r="H543">
        <v>52</v>
      </c>
      <c r="J543" t="str">
        <f t="shared" si="56"/>
        <v>H</v>
      </c>
      <c r="K543" t="s">
        <v>829</v>
      </c>
      <c r="L543" t="s">
        <v>231</v>
      </c>
      <c r="N543" t="str">
        <f t="shared" si="57"/>
        <v>&lt;tr&gt; &lt;td&gt;Mar. 11&lt;/td&gt;</v>
      </c>
      <c r="O543" t="str">
        <f t="shared" si="58"/>
        <v>&lt;td&gt;6:00 PM&lt;/td&gt;</v>
      </c>
      <c r="P543" t="str">
        <f t="shared" si="59"/>
        <v>&lt;td class="CPRSsched"&gt;Crocus Plains&lt;/td&gt;</v>
      </c>
      <c r="Q543" t="str">
        <f t="shared" si="60"/>
        <v>&lt;td&gt;21 - 52&lt;/td&gt;</v>
      </c>
      <c r="R543" t="str">
        <f t="shared" si="61"/>
        <v>&lt;td class="WWCsched"&gt;Westwood&lt;/td&gt;</v>
      </c>
      <c r="S543" t="str">
        <f t="shared" si="62"/>
        <v>&lt;td&gt;AAAA Provincials First Round Game 2&lt;/td&gt; &lt;/tr&gt;</v>
      </c>
    </row>
    <row r="544" spans="1:19" x14ac:dyDescent="0.25">
      <c r="A544" s="5">
        <v>42440</v>
      </c>
      <c r="B544" s="6">
        <v>0.83333333333333337</v>
      </c>
      <c r="C544" t="s">
        <v>111</v>
      </c>
      <c r="D544" t="s">
        <v>112</v>
      </c>
      <c r="E544">
        <v>47</v>
      </c>
      <c r="F544" t="s">
        <v>2</v>
      </c>
      <c r="G544" t="s">
        <v>43</v>
      </c>
      <c r="H544">
        <v>50</v>
      </c>
      <c r="J544" t="str">
        <f t="shared" si="56"/>
        <v>H</v>
      </c>
      <c r="K544" t="s">
        <v>829</v>
      </c>
      <c r="L544" t="s">
        <v>230</v>
      </c>
      <c r="N544" t="str">
        <f t="shared" si="57"/>
        <v>&lt;tr&gt; &lt;td&gt;Mar. 11&lt;/td&gt;</v>
      </c>
      <c r="O544" t="str">
        <f t="shared" si="58"/>
        <v>&lt;td&gt;8:00 PM&lt;/td&gt;</v>
      </c>
      <c r="P544" t="str">
        <f t="shared" si="59"/>
        <v>&lt;td class="SMAsched"&gt;St. Mary's&lt;/td&gt;</v>
      </c>
      <c r="Q544" t="str">
        <f t="shared" si="60"/>
        <v>&lt;td&gt;47 - 50&lt;/td&gt;</v>
      </c>
      <c r="R544" t="str">
        <f t="shared" si="61"/>
        <v>&lt;td class="KECsched"&gt;Kildonan-East&lt;/td&gt;</v>
      </c>
      <c r="S544" t="str">
        <f t="shared" si="62"/>
        <v>&lt;td&gt;AAAA Provincials First Round Game 1&lt;/td&gt; &lt;/tr&gt;</v>
      </c>
    </row>
    <row r="545" spans="1:19" x14ac:dyDescent="0.25">
      <c r="A545" s="5">
        <v>42441</v>
      </c>
      <c r="B545" s="6">
        <v>0.5</v>
      </c>
      <c r="C545" t="s">
        <v>5</v>
      </c>
      <c r="D545" t="s">
        <v>62</v>
      </c>
      <c r="E545">
        <v>41</v>
      </c>
      <c r="F545" t="s">
        <v>23</v>
      </c>
      <c r="G545" t="s">
        <v>80</v>
      </c>
      <c r="H545">
        <v>79</v>
      </c>
      <c r="J545" t="str">
        <f t="shared" si="56"/>
        <v>H</v>
      </c>
      <c r="K545" t="s">
        <v>829</v>
      </c>
      <c r="L545" t="s">
        <v>175</v>
      </c>
      <c r="N545" t="str">
        <f t="shared" si="57"/>
        <v>&lt;tr&gt; &lt;td&gt;Mar. 12&lt;/td&gt;</v>
      </c>
      <c r="O545" t="str">
        <f t="shared" si="58"/>
        <v>&lt;td&gt;12:00 PM&lt;/td&gt;</v>
      </c>
      <c r="P545" t="str">
        <f t="shared" si="59"/>
        <v>&lt;td class="GCIsched"&gt;Glenlawn&lt;/td&gt;</v>
      </c>
      <c r="Q545" t="str">
        <f t="shared" si="60"/>
        <v>&lt;td&gt;41 - 79&lt;/td&gt;</v>
      </c>
      <c r="R545" t="str">
        <f t="shared" si="61"/>
        <v>&lt;td class="VMCsched"&gt;Vincent Massey&lt;/td&gt;</v>
      </c>
      <c r="S545" t="str">
        <f t="shared" si="62"/>
        <v>&lt;td&gt;AAAA Provincials Quarterfinal 3&lt;/td&gt; &lt;/tr&gt;</v>
      </c>
    </row>
    <row r="546" spans="1:19" x14ac:dyDescent="0.25">
      <c r="A546" s="5">
        <v>42441</v>
      </c>
      <c r="B546" s="6">
        <v>0.58333333333333337</v>
      </c>
      <c r="C546" t="s">
        <v>4</v>
      </c>
      <c r="D546" t="s">
        <v>41</v>
      </c>
      <c r="E546">
        <v>78</v>
      </c>
      <c r="F546" t="s">
        <v>11</v>
      </c>
      <c r="G546" t="s">
        <v>48</v>
      </c>
      <c r="H546">
        <v>65</v>
      </c>
      <c r="J546" t="str">
        <f t="shared" si="56"/>
        <v>V</v>
      </c>
      <c r="K546" t="s">
        <v>829</v>
      </c>
      <c r="L546" t="s">
        <v>176</v>
      </c>
      <c r="N546" t="str">
        <f t="shared" si="57"/>
        <v>&lt;tr&gt; &lt;td&gt;Mar. 12&lt;/td&gt;</v>
      </c>
      <c r="O546" t="str">
        <f t="shared" si="58"/>
        <v>&lt;td&gt;2:00 PM&lt;/td&gt;</v>
      </c>
      <c r="P546" t="str">
        <f t="shared" si="59"/>
        <v>&lt;td class="GCCsched"&gt;Garden City&lt;/td&gt;</v>
      </c>
      <c r="Q546" t="str">
        <f t="shared" si="60"/>
        <v>&lt;td&gt;78 - 65&lt;/td&gt;</v>
      </c>
      <c r="R546" t="str">
        <f t="shared" si="61"/>
        <v>&lt;td class="MMCsched"&gt;Miles Macdonell&lt;/td&gt;</v>
      </c>
      <c r="S546" t="str">
        <f t="shared" si="62"/>
        <v>&lt;td&gt;AAAA Provincials Quarterfinal 4&lt;/td&gt; &lt;/tr&gt;</v>
      </c>
    </row>
    <row r="547" spans="1:19" x14ac:dyDescent="0.25">
      <c r="A547" s="5">
        <v>42441</v>
      </c>
      <c r="B547" s="6">
        <v>0.66666666666666663</v>
      </c>
      <c r="C547" t="s">
        <v>13</v>
      </c>
      <c r="D547" t="s">
        <v>98</v>
      </c>
      <c r="E547">
        <v>48</v>
      </c>
      <c r="F547" t="s">
        <v>1</v>
      </c>
      <c r="G547" t="s">
        <v>74</v>
      </c>
      <c r="H547">
        <v>76</v>
      </c>
      <c r="J547" t="str">
        <f t="shared" si="56"/>
        <v>H</v>
      </c>
      <c r="K547" t="s">
        <v>829</v>
      </c>
      <c r="L547" t="s">
        <v>174</v>
      </c>
      <c r="N547" t="str">
        <f t="shared" si="57"/>
        <v>&lt;tr&gt; &lt;td&gt;Mar. 12&lt;/td&gt;</v>
      </c>
      <c r="O547" t="str">
        <f t="shared" si="58"/>
        <v>&lt;td&gt;4:00 PM&lt;/td&gt;</v>
      </c>
      <c r="P547" t="str">
        <f t="shared" si="59"/>
        <v>&lt;td class="WWCsched"&gt;Westwood&lt;/td&gt;</v>
      </c>
      <c r="Q547" t="str">
        <f t="shared" si="60"/>
        <v>&lt;td&gt;48 - 76&lt;/td&gt;</v>
      </c>
      <c r="R547" t="str">
        <f t="shared" si="61"/>
        <v>&lt;td class="OPHSsched"&gt;Oak Park&lt;/td&gt;</v>
      </c>
      <c r="S547" t="str">
        <f t="shared" si="62"/>
        <v>&lt;td&gt;AAAA Provincials Quarterfinal 2&lt;/td&gt; &lt;/tr&gt;</v>
      </c>
    </row>
    <row r="548" spans="1:19" x14ac:dyDescent="0.25">
      <c r="A548" s="5">
        <v>42441</v>
      </c>
      <c r="B548" s="6">
        <v>0.75</v>
      </c>
      <c r="C548" t="s">
        <v>2</v>
      </c>
      <c r="D548" t="s">
        <v>43</v>
      </c>
      <c r="E548">
        <v>32</v>
      </c>
      <c r="F548" t="s">
        <v>9</v>
      </c>
      <c r="G548" t="s">
        <v>76</v>
      </c>
      <c r="H548">
        <v>101</v>
      </c>
      <c r="J548" t="str">
        <f t="shared" si="56"/>
        <v>H</v>
      </c>
      <c r="K548" t="s">
        <v>829</v>
      </c>
      <c r="L548" t="s">
        <v>173</v>
      </c>
      <c r="N548" t="str">
        <f t="shared" si="57"/>
        <v>&lt;tr&gt; &lt;td&gt;Mar. 12&lt;/td&gt;</v>
      </c>
      <c r="O548" t="str">
        <f t="shared" si="58"/>
        <v>&lt;td&gt;6:00 PM&lt;/td&gt;</v>
      </c>
      <c r="P548" t="str">
        <f t="shared" si="59"/>
        <v>&lt;td class="KECsched"&gt;Kildonan-East&lt;/td&gt;</v>
      </c>
      <c r="Q548" t="str">
        <f t="shared" si="60"/>
        <v>&lt;td&gt;32 - 101&lt;/td&gt;</v>
      </c>
      <c r="R548" t="str">
        <f t="shared" si="61"/>
        <v>&lt;td class="SiHSsched"&gt;Sisler&lt;/td&gt;</v>
      </c>
      <c r="S548" t="str">
        <f t="shared" si="62"/>
        <v>&lt;td&gt;AAAA Provincials Quarterfinal 1&lt;/td&gt; &lt;/tr&gt;</v>
      </c>
    </row>
    <row r="549" spans="1:19" x14ac:dyDescent="0.25">
      <c r="A549" s="5">
        <v>42446</v>
      </c>
      <c r="B549" s="6">
        <v>0.75</v>
      </c>
      <c r="C549" t="s">
        <v>1</v>
      </c>
      <c r="D549" t="s">
        <v>74</v>
      </c>
      <c r="F549" t="s">
        <v>9</v>
      </c>
      <c r="G549" t="s">
        <v>76</v>
      </c>
      <c r="J549" t="str">
        <f t="shared" si="56"/>
        <v/>
      </c>
      <c r="K549" t="s">
        <v>829</v>
      </c>
      <c r="L549" t="s">
        <v>179</v>
      </c>
      <c r="N549" t="str">
        <f t="shared" si="57"/>
        <v>&lt;tr&gt; &lt;td&gt;Mar. 17&lt;/td&gt;</v>
      </c>
      <c r="O549" t="str">
        <f t="shared" si="58"/>
        <v>&lt;td&gt;6:00 PM&lt;/td&gt;</v>
      </c>
      <c r="P549" t="str">
        <f t="shared" si="59"/>
        <v>&lt;td class="OPHSsched"&gt;Oak Park&lt;/td&gt;</v>
      </c>
      <c r="Q549" t="str">
        <f t="shared" si="60"/>
        <v>&lt;td&gt; - &lt;/td&gt;</v>
      </c>
      <c r="R549" t="str">
        <f t="shared" si="61"/>
        <v>&lt;td class="SiHSsched"&gt;Sisler&lt;/td&gt;</v>
      </c>
      <c r="S549" t="str">
        <f t="shared" si="62"/>
        <v>&lt;td&gt;AAAA Provincials Semifinal 1&lt;/td&gt; &lt;/tr&gt;</v>
      </c>
    </row>
    <row r="550" spans="1:19" x14ac:dyDescent="0.25">
      <c r="A550" s="5">
        <v>42446</v>
      </c>
      <c r="B550" s="6">
        <v>0.83333333333333337</v>
      </c>
      <c r="C550" t="s">
        <v>4</v>
      </c>
      <c r="D550" t="s">
        <v>41</v>
      </c>
      <c r="F550" t="s">
        <v>23</v>
      </c>
      <c r="G550" t="s">
        <v>80</v>
      </c>
      <c r="J550" t="str">
        <f t="shared" si="56"/>
        <v/>
      </c>
      <c r="K550" t="s">
        <v>829</v>
      </c>
      <c r="L550" t="s">
        <v>180</v>
      </c>
      <c r="N550" t="str">
        <f t="shared" si="57"/>
        <v>&lt;tr&gt; &lt;td&gt;Mar. 17&lt;/td&gt;</v>
      </c>
      <c r="O550" t="str">
        <f t="shared" si="58"/>
        <v>&lt;td&gt;8:00 PM&lt;/td&gt;</v>
      </c>
      <c r="P550" t="str">
        <f t="shared" si="59"/>
        <v>&lt;td class="GCCsched"&gt;Garden City&lt;/td&gt;</v>
      </c>
      <c r="Q550" t="str">
        <f t="shared" si="60"/>
        <v>&lt;td&gt; - &lt;/td&gt;</v>
      </c>
      <c r="R550" t="str">
        <f t="shared" si="61"/>
        <v>&lt;td class="VMCsched"&gt;Vincent Massey&lt;/td&gt;</v>
      </c>
      <c r="S550" t="str">
        <f t="shared" si="62"/>
        <v>&lt;td&gt;AAAA Provincials Semifinal 2&lt;/td&gt; &lt;/tr&gt;</v>
      </c>
    </row>
    <row r="551" spans="1:19" x14ac:dyDescent="0.25">
      <c r="A551" s="5">
        <v>42450</v>
      </c>
      <c r="B551" s="6">
        <v>0.75</v>
      </c>
      <c r="C551" t="s">
        <v>832</v>
      </c>
      <c r="F551" t="s">
        <v>833</v>
      </c>
      <c r="J551" t="str">
        <f t="shared" si="56"/>
        <v/>
      </c>
      <c r="K551" t="s">
        <v>829</v>
      </c>
      <c r="L551" t="s">
        <v>184</v>
      </c>
      <c r="N551" t="str">
        <f t="shared" si="57"/>
        <v>&lt;tr&gt; &lt;td&gt;Mar. 21&lt;/td&gt;</v>
      </c>
      <c r="O551" t="str">
        <f t="shared" si="58"/>
        <v>&lt;td&gt;6:00 PM&lt;/td&gt;</v>
      </c>
      <c r="P551" t="str">
        <f t="shared" si="59"/>
        <v>&lt;td class="sched"&gt;SF2 winner&lt;/td&gt;</v>
      </c>
      <c r="Q551" t="str">
        <f t="shared" si="60"/>
        <v>&lt;td&gt; - &lt;/td&gt;</v>
      </c>
      <c r="R551" t="str">
        <f t="shared" si="61"/>
        <v>&lt;td class="sched"&gt;SF1 winner&lt;/td&gt;</v>
      </c>
      <c r="S551" t="str">
        <f t="shared" si="62"/>
        <v>&lt;td&gt;AAAA Provincials Championship&lt;/td&gt; &lt;/tr&gt;</v>
      </c>
    </row>
    <row r="552" spans="1:19" x14ac:dyDescent="0.25">
      <c r="A552" s="5">
        <v>42551</v>
      </c>
      <c r="B552" s="6" t="s">
        <v>261</v>
      </c>
      <c r="C552" t="s">
        <v>262</v>
      </c>
      <c r="D552" t="s">
        <v>263</v>
      </c>
      <c r="E552" t="s">
        <v>264</v>
      </c>
      <c r="F552" t="s">
        <v>265</v>
      </c>
      <c r="G552" t="s">
        <v>266</v>
      </c>
      <c r="H552" t="s">
        <v>267</v>
      </c>
      <c r="I552" t="s">
        <v>268</v>
      </c>
      <c r="N552" t="str">
        <f t="shared" si="57"/>
        <v>&lt;tr&gt; &lt;td&gt;Jun. 30&lt;/td&gt;</v>
      </c>
      <c r="O552" t="str">
        <f t="shared" si="58"/>
        <v>&lt;td&gt;This&lt;/td&gt;</v>
      </c>
      <c r="P552" t="str">
        <f t="shared" si="59"/>
        <v>&lt;td class="emptysched"&gt;is&lt;/td&gt;</v>
      </c>
      <c r="Q552" t="str">
        <f t="shared" si="60"/>
        <v>&lt;td&gt;to - from others&lt;/td&gt;</v>
      </c>
      <c r="R552" t="str">
        <f t="shared" si="61"/>
        <v>&lt;td class="teamssched"&gt;separate&lt;/td&gt;</v>
      </c>
      <c r="S552" t="str">
        <f t="shared" si="62"/>
        <v>&lt;td&gt; &lt;/td&gt; &lt;/tr&gt;</v>
      </c>
    </row>
    <row r="553" spans="1:19" x14ac:dyDescent="0.25">
      <c r="A553" s="5">
        <v>42760</v>
      </c>
      <c r="B553" s="6">
        <v>0.6875</v>
      </c>
      <c r="C553" t="s">
        <v>171</v>
      </c>
      <c r="E553">
        <v>27</v>
      </c>
      <c r="F553" t="s">
        <v>253</v>
      </c>
      <c r="H553">
        <v>37</v>
      </c>
      <c r="J553" t="str">
        <f t="shared" ref="J553:J584" si="63">IF(H553&gt;E553,"H",IF(E553&gt;H553,"V",""))</f>
        <v>H</v>
      </c>
      <c r="K553" t="s">
        <v>257</v>
      </c>
      <c r="L553" t="s">
        <v>228</v>
      </c>
      <c r="M553" t="s">
        <v>229</v>
      </c>
      <c r="N553" t="str">
        <f t="shared" si="57"/>
        <v>&lt;tr&gt; &lt;td&gt;Jan. 25&lt;/td&gt;</v>
      </c>
      <c r="O553" t="str">
        <f t="shared" si="58"/>
        <v>&lt;td&gt;4:30 PM&lt;/td&gt;</v>
      </c>
      <c r="P553" t="str">
        <f t="shared" si="59"/>
        <v>&lt;td class="sched"&gt;Churchill&lt;/td&gt;</v>
      </c>
      <c r="Q553" t="str">
        <f t="shared" si="60"/>
        <v>&lt;td&gt;27 - 37&lt;/td&gt;</v>
      </c>
      <c r="R553" t="str">
        <f t="shared" si="61"/>
        <v>&lt;td class="sched"&gt;St. James&lt;/td&gt;</v>
      </c>
      <c r="S553" t="str">
        <f t="shared" si="62"/>
        <v>&lt;td&gt;WWAC/WAC Tier 2 Regular Season&lt;/td&gt; &lt;/tr&gt;</v>
      </c>
    </row>
    <row r="554" spans="1:19" x14ac:dyDescent="0.25">
      <c r="A554" s="5">
        <v>42774</v>
      </c>
      <c r="B554" s="6">
        <v>0.6875</v>
      </c>
      <c r="C554" t="s">
        <v>253</v>
      </c>
      <c r="E554">
        <v>45</v>
      </c>
      <c r="F554" t="s">
        <v>218</v>
      </c>
      <c r="H554">
        <v>68</v>
      </c>
      <c r="J554" t="str">
        <f t="shared" si="63"/>
        <v>H</v>
      </c>
      <c r="K554" t="s">
        <v>257</v>
      </c>
      <c r="L554" t="s">
        <v>228</v>
      </c>
      <c r="M554" t="s">
        <v>229</v>
      </c>
      <c r="N554" t="str">
        <f t="shared" si="57"/>
        <v>&lt;tr&gt; &lt;td&gt;Feb. 8&lt;/td&gt;</v>
      </c>
      <c r="O554" t="str">
        <f t="shared" si="58"/>
        <v>&lt;td&gt;4:30 PM&lt;/td&gt;</v>
      </c>
      <c r="P554" t="str">
        <f t="shared" si="59"/>
        <v>&lt;td class="sched"&gt;St. James&lt;/td&gt;</v>
      </c>
      <c r="Q554" t="str">
        <f t="shared" si="60"/>
        <v>&lt;td&gt;45 - 68&lt;/td&gt;</v>
      </c>
      <c r="R554" t="str">
        <f t="shared" si="61"/>
        <v>&lt;td class="sched"&gt;Stonewall&lt;/td&gt;</v>
      </c>
      <c r="S554" t="str">
        <f t="shared" si="62"/>
        <v>&lt;td&gt;WWAC/WAC Tier 2 Regular Season&lt;/td&gt; &lt;/tr&gt;</v>
      </c>
    </row>
    <row r="555" spans="1:19" x14ac:dyDescent="0.25">
      <c r="A555" s="5">
        <v>42788</v>
      </c>
      <c r="B555" s="6">
        <v>0.6875</v>
      </c>
      <c r="C555" t="s">
        <v>218</v>
      </c>
      <c r="E555">
        <v>66</v>
      </c>
      <c r="F555" t="s">
        <v>171</v>
      </c>
      <c r="H555">
        <v>52</v>
      </c>
      <c r="J555" t="str">
        <f t="shared" si="63"/>
        <v>V</v>
      </c>
      <c r="K555" t="s">
        <v>257</v>
      </c>
      <c r="L555" t="s">
        <v>228</v>
      </c>
      <c r="M555" t="s">
        <v>229</v>
      </c>
      <c r="N555" t="str">
        <f t="shared" si="57"/>
        <v>&lt;tr&gt; &lt;td&gt;Feb. 22&lt;/td&gt;</v>
      </c>
      <c r="O555" t="str">
        <f t="shared" si="58"/>
        <v>&lt;td&gt;4:30 PM&lt;/td&gt;</v>
      </c>
      <c r="P555" t="str">
        <f t="shared" si="59"/>
        <v>&lt;td class="sched"&gt;Stonewall&lt;/td&gt;</v>
      </c>
      <c r="Q555" t="str">
        <f t="shared" si="60"/>
        <v>&lt;td&gt;66 - 52&lt;/td&gt;</v>
      </c>
      <c r="R555" t="str">
        <f t="shared" si="61"/>
        <v>&lt;td class="sched"&gt;Churchill&lt;/td&gt;</v>
      </c>
      <c r="S555" t="str">
        <f t="shared" si="62"/>
        <v>&lt;td&gt;WWAC/WAC Tier 2 Regular Season&lt;/td&gt; &lt;/tr&gt;</v>
      </c>
    </row>
    <row r="556" spans="1:19" x14ac:dyDescent="0.25">
      <c r="J556" t="str">
        <f t="shared" si="63"/>
        <v/>
      </c>
      <c r="N556" t="str">
        <f t="shared" si="57"/>
        <v>&lt;tr&gt; &lt;td&gt;Jan. 0&lt;/td&gt;</v>
      </c>
      <c r="O556" t="str">
        <f t="shared" si="58"/>
        <v>&lt;td&gt;&lt;/td&gt;</v>
      </c>
      <c r="P556" t="str">
        <f t="shared" si="59"/>
        <v>&lt;td class="sched"&gt;&lt;/td&gt;</v>
      </c>
      <c r="Q556" t="str">
        <f t="shared" si="60"/>
        <v>&lt;td&gt; - &lt;/td&gt;</v>
      </c>
      <c r="R556" t="str">
        <f t="shared" si="61"/>
        <v>&lt;td class="sched"&gt;&lt;/td&gt;</v>
      </c>
      <c r="S556" t="str">
        <f t="shared" si="62"/>
        <v>&lt;td&gt; &lt;/td&gt; &lt;/tr&gt;</v>
      </c>
    </row>
    <row r="557" spans="1:19" x14ac:dyDescent="0.25">
      <c r="J557" t="str">
        <f t="shared" si="63"/>
        <v/>
      </c>
      <c r="N557" t="str">
        <f t="shared" si="57"/>
        <v>&lt;tr&gt; &lt;td&gt;Jan. 0&lt;/td&gt;</v>
      </c>
      <c r="O557" t="str">
        <f t="shared" si="58"/>
        <v>&lt;td&gt;&lt;/td&gt;</v>
      </c>
      <c r="P557" t="str">
        <f t="shared" si="59"/>
        <v>&lt;td class="sched"&gt;&lt;/td&gt;</v>
      </c>
      <c r="Q557" t="str">
        <f t="shared" si="60"/>
        <v>&lt;td&gt; - &lt;/td&gt;</v>
      </c>
      <c r="R557" t="str">
        <f t="shared" si="61"/>
        <v>&lt;td class="sched"&gt;&lt;/td&gt;</v>
      </c>
      <c r="S557" t="str">
        <f t="shared" si="62"/>
        <v>&lt;td&gt; &lt;/td&gt; &lt;/tr&gt;</v>
      </c>
    </row>
    <row r="558" spans="1:19" x14ac:dyDescent="0.25">
      <c r="J558" t="str">
        <f t="shared" si="63"/>
        <v/>
      </c>
      <c r="N558" t="str">
        <f t="shared" si="57"/>
        <v>&lt;tr&gt; &lt;td&gt;Jan. 0&lt;/td&gt;</v>
      </c>
      <c r="O558" t="str">
        <f t="shared" si="58"/>
        <v>&lt;td&gt;&lt;/td&gt;</v>
      </c>
      <c r="P558" t="str">
        <f t="shared" si="59"/>
        <v>&lt;td class="sched"&gt;&lt;/td&gt;</v>
      </c>
      <c r="Q558" t="str">
        <f t="shared" si="60"/>
        <v>&lt;td&gt; - &lt;/td&gt;</v>
      </c>
      <c r="R558" t="str">
        <f t="shared" si="61"/>
        <v>&lt;td class="sched"&gt;&lt;/td&gt;</v>
      </c>
      <c r="S558" t="str">
        <f t="shared" si="62"/>
        <v>&lt;td&gt; &lt;/td&gt; &lt;/tr&gt;</v>
      </c>
    </row>
    <row r="559" spans="1:19" x14ac:dyDescent="0.25">
      <c r="J559" t="str">
        <f t="shared" si="63"/>
        <v/>
      </c>
      <c r="N559" t="str">
        <f t="shared" si="57"/>
        <v>&lt;tr&gt; &lt;td&gt;Jan. 0&lt;/td&gt;</v>
      </c>
      <c r="O559" t="str">
        <f t="shared" si="58"/>
        <v>&lt;td&gt;&lt;/td&gt;</v>
      </c>
      <c r="P559" t="str">
        <f t="shared" si="59"/>
        <v>&lt;td class="sched"&gt;&lt;/td&gt;</v>
      </c>
      <c r="Q559" t="str">
        <f t="shared" si="60"/>
        <v>&lt;td&gt; - &lt;/td&gt;</v>
      </c>
      <c r="R559" t="str">
        <f t="shared" si="61"/>
        <v>&lt;td class="sched"&gt;&lt;/td&gt;</v>
      </c>
      <c r="S559" t="str">
        <f t="shared" si="62"/>
        <v>&lt;td&gt; &lt;/td&gt; &lt;/tr&gt;</v>
      </c>
    </row>
    <row r="560" spans="1:19" x14ac:dyDescent="0.25">
      <c r="J560" t="str">
        <f t="shared" si="63"/>
        <v/>
      </c>
      <c r="N560" t="str">
        <f t="shared" si="57"/>
        <v>&lt;tr&gt; &lt;td&gt;Jan. 0&lt;/td&gt;</v>
      </c>
      <c r="O560" t="str">
        <f t="shared" si="58"/>
        <v>&lt;td&gt;&lt;/td&gt;</v>
      </c>
      <c r="P560" t="str">
        <f t="shared" si="59"/>
        <v>&lt;td class="sched"&gt;&lt;/td&gt;</v>
      </c>
      <c r="Q560" t="str">
        <f t="shared" si="60"/>
        <v>&lt;td&gt; - &lt;/td&gt;</v>
      </c>
      <c r="R560" t="str">
        <f t="shared" si="61"/>
        <v>&lt;td class="sched"&gt;&lt;/td&gt;</v>
      </c>
      <c r="S560" t="str">
        <f t="shared" si="62"/>
        <v>&lt;td&gt; &lt;/td&gt; &lt;/tr&gt;</v>
      </c>
    </row>
    <row r="561" spans="10:19" x14ac:dyDescent="0.25">
      <c r="J561" t="str">
        <f t="shared" si="63"/>
        <v/>
      </c>
      <c r="N561" t="str">
        <f t="shared" si="57"/>
        <v>&lt;tr&gt; &lt;td&gt;Jan. 0&lt;/td&gt;</v>
      </c>
      <c r="O561" t="str">
        <f t="shared" si="58"/>
        <v>&lt;td&gt;&lt;/td&gt;</v>
      </c>
      <c r="P561" t="str">
        <f t="shared" si="59"/>
        <v>&lt;td class="sched"&gt;&lt;/td&gt;</v>
      </c>
      <c r="Q561" t="str">
        <f t="shared" si="60"/>
        <v>&lt;td&gt; - &lt;/td&gt;</v>
      </c>
      <c r="R561" t="str">
        <f t="shared" si="61"/>
        <v>&lt;td class="sched"&gt;&lt;/td&gt;</v>
      </c>
      <c r="S561" t="str">
        <f t="shared" si="62"/>
        <v>&lt;td&gt; &lt;/td&gt; &lt;/tr&gt;</v>
      </c>
    </row>
    <row r="562" spans="10:19" x14ac:dyDescent="0.25">
      <c r="J562" t="str">
        <f t="shared" si="63"/>
        <v/>
      </c>
      <c r="N562" t="str">
        <f t="shared" si="57"/>
        <v>&lt;tr&gt; &lt;td&gt;Jan. 0&lt;/td&gt;</v>
      </c>
      <c r="O562" t="str">
        <f t="shared" si="58"/>
        <v>&lt;td&gt;&lt;/td&gt;</v>
      </c>
      <c r="P562" t="str">
        <f t="shared" si="59"/>
        <v>&lt;td class="sched"&gt;&lt;/td&gt;</v>
      </c>
      <c r="Q562" t="str">
        <f t="shared" si="60"/>
        <v>&lt;td&gt; - &lt;/td&gt;</v>
      </c>
      <c r="R562" t="str">
        <f t="shared" si="61"/>
        <v>&lt;td class="sched"&gt;&lt;/td&gt;</v>
      </c>
      <c r="S562" t="str">
        <f t="shared" si="62"/>
        <v>&lt;td&gt; &lt;/td&gt; &lt;/tr&gt;</v>
      </c>
    </row>
    <row r="563" spans="10:19" x14ac:dyDescent="0.25">
      <c r="J563" t="str">
        <f t="shared" si="63"/>
        <v/>
      </c>
      <c r="N563" t="str">
        <f t="shared" si="57"/>
        <v>&lt;tr&gt; &lt;td&gt;Jan. 0&lt;/td&gt;</v>
      </c>
      <c r="O563" t="str">
        <f t="shared" si="58"/>
        <v>&lt;td&gt;&lt;/td&gt;</v>
      </c>
      <c r="P563" t="str">
        <f t="shared" si="59"/>
        <v>&lt;td class="sched"&gt;&lt;/td&gt;</v>
      </c>
      <c r="Q563" t="str">
        <f t="shared" si="60"/>
        <v>&lt;td&gt; - &lt;/td&gt;</v>
      </c>
      <c r="R563" t="str">
        <f t="shared" si="61"/>
        <v>&lt;td class="sched"&gt;&lt;/td&gt;</v>
      </c>
      <c r="S563" t="str">
        <f t="shared" si="62"/>
        <v>&lt;td&gt; &lt;/td&gt; &lt;/tr&gt;</v>
      </c>
    </row>
    <row r="564" spans="10:19" x14ac:dyDescent="0.25">
      <c r="J564" t="str">
        <f t="shared" si="63"/>
        <v/>
      </c>
      <c r="N564" t="str">
        <f t="shared" si="57"/>
        <v>&lt;tr&gt; &lt;td&gt;Jan. 0&lt;/td&gt;</v>
      </c>
      <c r="O564" t="str">
        <f t="shared" si="58"/>
        <v>&lt;td&gt;&lt;/td&gt;</v>
      </c>
      <c r="P564" t="str">
        <f t="shared" si="59"/>
        <v>&lt;td class="sched"&gt;&lt;/td&gt;</v>
      </c>
      <c r="Q564" t="str">
        <f t="shared" si="60"/>
        <v>&lt;td&gt; - &lt;/td&gt;</v>
      </c>
      <c r="R564" t="str">
        <f t="shared" si="61"/>
        <v>&lt;td class="sched"&gt;&lt;/td&gt;</v>
      </c>
      <c r="S564" t="str">
        <f t="shared" si="62"/>
        <v>&lt;td&gt; &lt;/td&gt; &lt;/tr&gt;</v>
      </c>
    </row>
    <row r="565" spans="10:19" x14ac:dyDescent="0.25">
      <c r="J565" t="str">
        <f t="shared" si="63"/>
        <v/>
      </c>
      <c r="N565" t="str">
        <f t="shared" si="57"/>
        <v>&lt;tr&gt; &lt;td&gt;Jan. 0&lt;/td&gt;</v>
      </c>
      <c r="O565" t="str">
        <f t="shared" si="58"/>
        <v>&lt;td&gt;&lt;/td&gt;</v>
      </c>
      <c r="P565" t="str">
        <f t="shared" si="59"/>
        <v>&lt;td class="sched"&gt;&lt;/td&gt;</v>
      </c>
      <c r="Q565" t="str">
        <f t="shared" si="60"/>
        <v>&lt;td&gt; - &lt;/td&gt;</v>
      </c>
      <c r="R565" t="str">
        <f t="shared" si="61"/>
        <v>&lt;td class="sched"&gt;&lt;/td&gt;</v>
      </c>
      <c r="S565" t="str">
        <f t="shared" si="62"/>
        <v>&lt;td&gt; &lt;/td&gt; &lt;/tr&gt;</v>
      </c>
    </row>
    <row r="566" spans="10:19" x14ac:dyDescent="0.25">
      <c r="J566" t="str">
        <f t="shared" si="63"/>
        <v/>
      </c>
      <c r="N566" t="str">
        <f t="shared" si="57"/>
        <v>&lt;tr&gt; &lt;td&gt;Jan. 0&lt;/td&gt;</v>
      </c>
      <c r="O566" t="str">
        <f t="shared" si="58"/>
        <v>&lt;td&gt;&lt;/td&gt;</v>
      </c>
      <c r="P566" t="str">
        <f t="shared" si="59"/>
        <v>&lt;td class="sched"&gt;&lt;/td&gt;</v>
      </c>
      <c r="Q566" t="str">
        <f t="shared" si="60"/>
        <v>&lt;td&gt; - &lt;/td&gt;</v>
      </c>
      <c r="R566" t="str">
        <f t="shared" si="61"/>
        <v>&lt;td class="sched"&gt;&lt;/td&gt;</v>
      </c>
      <c r="S566" t="str">
        <f t="shared" si="62"/>
        <v>&lt;td&gt; &lt;/td&gt; &lt;/tr&gt;</v>
      </c>
    </row>
    <row r="567" spans="10:19" x14ac:dyDescent="0.25">
      <c r="J567" t="str">
        <f t="shared" si="63"/>
        <v/>
      </c>
      <c r="N567" t="str">
        <f t="shared" si="57"/>
        <v>&lt;tr&gt; &lt;td&gt;Jan. 0&lt;/td&gt;</v>
      </c>
      <c r="O567" t="str">
        <f t="shared" si="58"/>
        <v>&lt;td&gt;&lt;/td&gt;</v>
      </c>
      <c r="P567" t="str">
        <f t="shared" si="59"/>
        <v>&lt;td class="sched"&gt;&lt;/td&gt;</v>
      </c>
      <c r="Q567" t="str">
        <f t="shared" si="60"/>
        <v>&lt;td&gt; - &lt;/td&gt;</v>
      </c>
      <c r="R567" t="str">
        <f t="shared" si="61"/>
        <v>&lt;td class="sched"&gt;&lt;/td&gt;</v>
      </c>
      <c r="S567" t="str">
        <f t="shared" si="62"/>
        <v>&lt;td&gt; &lt;/td&gt; &lt;/tr&gt;</v>
      </c>
    </row>
    <row r="568" spans="10:19" x14ac:dyDescent="0.25">
      <c r="J568" t="str">
        <f t="shared" si="63"/>
        <v/>
      </c>
      <c r="N568" t="str">
        <f t="shared" si="57"/>
        <v>&lt;tr&gt; &lt;td&gt;Jan. 0&lt;/td&gt;</v>
      </c>
      <c r="O568" t="str">
        <f t="shared" si="58"/>
        <v>&lt;td&gt;&lt;/td&gt;</v>
      </c>
      <c r="P568" t="str">
        <f t="shared" si="59"/>
        <v>&lt;td class="sched"&gt;&lt;/td&gt;</v>
      </c>
      <c r="Q568" t="str">
        <f t="shared" si="60"/>
        <v>&lt;td&gt; - &lt;/td&gt;</v>
      </c>
      <c r="R568" t="str">
        <f t="shared" si="61"/>
        <v>&lt;td class="sched"&gt;&lt;/td&gt;</v>
      </c>
      <c r="S568" t="str">
        <f t="shared" si="62"/>
        <v>&lt;td&gt; &lt;/td&gt; &lt;/tr&gt;</v>
      </c>
    </row>
    <row r="569" spans="10:19" x14ac:dyDescent="0.25">
      <c r="J569" t="str">
        <f t="shared" si="63"/>
        <v/>
      </c>
      <c r="N569" t="str">
        <f t="shared" si="57"/>
        <v>&lt;tr&gt; &lt;td&gt;Jan. 0&lt;/td&gt;</v>
      </c>
      <c r="O569" t="str">
        <f t="shared" si="58"/>
        <v>&lt;td&gt;&lt;/td&gt;</v>
      </c>
      <c r="P569" t="str">
        <f t="shared" si="59"/>
        <v>&lt;td class="sched"&gt;&lt;/td&gt;</v>
      </c>
      <c r="Q569" t="str">
        <f t="shared" si="60"/>
        <v>&lt;td&gt; - &lt;/td&gt;</v>
      </c>
      <c r="R569" t="str">
        <f t="shared" si="61"/>
        <v>&lt;td class="sched"&gt;&lt;/td&gt;</v>
      </c>
      <c r="S569" t="str">
        <f t="shared" si="62"/>
        <v>&lt;td&gt; &lt;/td&gt; &lt;/tr&gt;</v>
      </c>
    </row>
    <row r="570" spans="10:19" x14ac:dyDescent="0.25">
      <c r="J570" t="str">
        <f t="shared" si="63"/>
        <v/>
      </c>
      <c r="N570" t="str">
        <f t="shared" si="57"/>
        <v>&lt;tr&gt; &lt;td&gt;Jan. 0&lt;/td&gt;</v>
      </c>
      <c r="O570" t="str">
        <f t="shared" si="58"/>
        <v>&lt;td&gt;&lt;/td&gt;</v>
      </c>
      <c r="P570" t="str">
        <f t="shared" si="59"/>
        <v>&lt;td class="sched"&gt;&lt;/td&gt;</v>
      </c>
      <c r="Q570" t="str">
        <f t="shared" si="60"/>
        <v>&lt;td&gt; - &lt;/td&gt;</v>
      </c>
      <c r="R570" t="str">
        <f t="shared" si="61"/>
        <v>&lt;td class="sched"&gt;&lt;/td&gt;</v>
      </c>
      <c r="S570" t="str">
        <f t="shared" si="62"/>
        <v>&lt;td&gt; &lt;/td&gt; &lt;/tr&gt;</v>
      </c>
    </row>
    <row r="571" spans="10:19" x14ac:dyDescent="0.25">
      <c r="J571" t="str">
        <f t="shared" si="63"/>
        <v/>
      </c>
      <c r="N571" t="str">
        <f t="shared" si="57"/>
        <v>&lt;tr&gt; &lt;td&gt;Jan. 0&lt;/td&gt;</v>
      </c>
      <c r="O571" t="str">
        <f t="shared" si="58"/>
        <v>&lt;td&gt;&lt;/td&gt;</v>
      </c>
      <c r="P571" t="str">
        <f t="shared" si="59"/>
        <v>&lt;td class="sched"&gt;&lt;/td&gt;</v>
      </c>
      <c r="Q571" t="str">
        <f t="shared" si="60"/>
        <v>&lt;td&gt; - &lt;/td&gt;</v>
      </c>
      <c r="R571" t="str">
        <f t="shared" si="61"/>
        <v>&lt;td class="sched"&gt;&lt;/td&gt;</v>
      </c>
      <c r="S571" t="str">
        <f t="shared" si="62"/>
        <v>&lt;td&gt; &lt;/td&gt; &lt;/tr&gt;</v>
      </c>
    </row>
    <row r="572" spans="10:19" x14ac:dyDescent="0.25">
      <c r="J572" t="str">
        <f t="shared" si="63"/>
        <v/>
      </c>
      <c r="N572" t="str">
        <f t="shared" si="57"/>
        <v>&lt;tr&gt; &lt;td&gt;Jan. 0&lt;/td&gt;</v>
      </c>
      <c r="O572" t="str">
        <f t="shared" si="58"/>
        <v>&lt;td&gt;&lt;/td&gt;</v>
      </c>
      <c r="P572" t="str">
        <f t="shared" si="59"/>
        <v>&lt;td class="sched"&gt;&lt;/td&gt;</v>
      </c>
      <c r="Q572" t="str">
        <f t="shared" si="60"/>
        <v>&lt;td&gt; - &lt;/td&gt;</v>
      </c>
      <c r="R572" t="str">
        <f t="shared" si="61"/>
        <v>&lt;td class="sched"&gt;&lt;/td&gt;</v>
      </c>
      <c r="S572" t="str">
        <f t="shared" si="62"/>
        <v>&lt;td&gt; &lt;/td&gt; &lt;/tr&gt;</v>
      </c>
    </row>
    <row r="573" spans="10:19" x14ac:dyDescent="0.25">
      <c r="J573" t="str">
        <f t="shared" si="63"/>
        <v/>
      </c>
      <c r="N573" t="str">
        <f t="shared" si="57"/>
        <v>&lt;tr&gt; &lt;td&gt;Jan. 0&lt;/td&gt;</v>
      </c>
      <c r="O573" t="str">
        <f t="shared" si="58"/>
        <v>&lt;td&gt;&lt;/td&gt;</v>
      </c>
      <c r="P573" t="str">
        <f t="shared" si="59"/>
        <v>&lt;td class="sched"&gt;&lt;/td&gt;</v>
      </c>
      <c r="Q573" t="str">
        <f t="shared" si="60"/>
        <v>&lt;td&gt; - &lt;/td&gt;</v>
      </c>
      <c r="R573" t="str">
        <f t="shared" si="61"/>
        <v>&lt;td class="sched"&gt;&lt;/td&gt;</v>
      </c>
      <c r="S573" t="str">
        <f t="shared" si="62"/>
        <v>&lt;td&gt; &lt;/td&gt; &lt;/tr&gt;</v>
      </c>
    </row>
    <row r="574" spans="10:19" x14ac:dyDescent="0.25">
      <c r="J574" t="str">
        <f t="shared" si="63"/>
        <v/>
      </c>
      <c r="N574" t="str">
        <f t="shared" si="57"/>
        <v>&lt;tr&gt; &lt;td&gt;Jan. 0&lt;/td&gt;</v>
      </c>
      <c r="O574" t="str">
        <f t="shared" si="58"/>
        <v>&lt;td&gt;&lt;/td&gt;</v>
      </c>
      <c r="P574" t="str">
        <f t="shared" si="59"/>
        <v>&lt;td class="sched"&gt;&lt;/td&gt;</v>
      </c>
      <c r="Q574" t="str">
        <f t="shared" si="60"/>
        <v>&lt;td&gt; - &lt;/td&gt;</v>
      </c>
      <c r="R574" t="str">
        <f t="shared" si="61"/>
        <v>&lt;td class="sched"&gt;&lt;/td&gt;</v>
      </c>
      <c r="S574" t="str">
        <f t="shared" si="62"/>
        <v>&lt;td&gt; &lt;/td&gt; &lt;/tr&gt;</v>
      </c>
    </row>
    <row r="575" spans="10:19" x14ac:dyDescent="0.25">
      <c r="J575" t="str">
        <f t="shared" si="63"/>
        <v/>
      </c>
      <c r="N575" t="str">
        <f t="shared" si="57"/>
        <v>&lt;tr&gt; &lt;td&gt;Jan. 0&lt;/td&gt;</v>
      </c>
      <c r="O575" t="str">
        <f t="shared" si="58"/>
        <v>&lt;td&gt;&lt;/td&gt;</v>
      </c>
      <c r="P575" t="str">
        <f t="shared" si="59"/>
        <v>&lt;td class="sched"&gt;&lt;/td&gt;</v>
      </c>
      <c r="Q575" t="str">
        <f t="shared" si="60"/>
        <v>&lt;td&gt; - &lt;/td&gt;</v>
      </c>
      <c r="R575" t="str">
        <f t="shared" si="61"/>
        <v>&lt;td class="sched"&gt;&lt;/td&gt;</v>
      </c>
      <c r="S575" t="str">
        <f t="shared" si="62"/>
        <v>&lt;td&gt; &lt;/td&gt; &lt;/tr&gt;</v>
      </c>
    </row>
    <row r="576" spans="10:19" x14ac:dyDescent="0.25">
      <c r="J576" t="str">
        <f t="shared" si="63"/>
        <v/>
      </c>
      <c r="N576" t="str">
        <f t="shared" si="57"/>
        <v>&lt;tr&gt; &lt;td&gt;Jan. 0&lt;/td&gt;</v>
      </c>
      <c r="O576" t="str">
        <f t="shared" si="58"/>
        <v>&lt;td&gt;&lt;/td&gt;</v>
      </c>
      <c r="P576" t="str">
        <f t="shared" si="59"/>
        <v>&lt;td class="sched"&gt;&lt;/td&gt;</v>
      </c>
      <c r="Q576" t="str">
        <f t="shared" si="60"/>
        <v>&lt;td&gt; - &lt;/td&gt;</v>
      </c>
      <c r="R576" t="str">
        <f t="shared" si="61"/>
        <v>&lt;td class="sched"&gt;&lt;/td&gt;</v>
      </c>
      <c r="S576" t="str">
        <f t="shared" si="62"/>
        <v>&lt;td&gt; &lt;/td&gt; &lt;/tr&gt;</v>
      </c>
    </row>
    <row r="577" spans="10:19" x14ac:dyDescent="0.25">
      <c r="J577" t="str">
        <f t="shared" si="63"/>
        <v/>
      </c>
      <c r="N577" t="str">
        <f t="shared" si="57"/>
        <v>&lt;tr&gt; &lt;td&gt;Jan. 0&lt;/td&gt;</v>
      </c>
      <c r="O577" t="str">
        <f t="shared" si="58"/>
        <v>&lt;td&gt;&lt;/td&gt;</v>
      </c>
      <c r="P577" t="str">
        <f t="shared" si="59"/>
        <v>&lt;td class="sched"&gt;&lt;/td&gt;</v>
      </c>
      <c r="Q577" t="str">
        <f t="shared" si="60"/>
        <v>&lt;td&gt; - &lt;/td&gt;</v>
      </c>
      <c r="R577" t="str">
        <f t="shared" si="61"/>
        <v>&lt;td class="sched"&gt;&lt;/td&gt;</v>
      </c>
      <c r="S577" t="str">
        <f t="shared" si="62"/>
        <v>&lt;td&gt; &lt;/td&gt; &lt;/tr&gt;</v>
      </c>
    </row>
    <row r="578" spans="10:19" x14ac:dyDescent="0.25">
      <c r="J578" t="str">
        <f t="shared" si="63"/>
        <v/>
      </c>
      <c r="N578" t="str">
        <f t="shared" ref="N578:N623" si="64">"&lt;tr&gt; &lt;td&gt;"&amp;TEXT(A578,"MMM. D")&amp;"&lt;/td&gt;"</f>
        <v>&lt;tr&gt; &lt;td&gt;Jan. 0&lt;/td&gt;</v>
      </c>
      <c r="O578" t="str">
        <f t="shared" ref="O578:O623" si="65">"&lt;td&gt;"&amp;IF(B578&gt;0,TEXT(B578,"H:MM AM/PM"),"")&amp;"&lt;/td&gt;"</f>
        <v>&lt;td&gt;&lt;/td&gt;</v>
      </c>
      <c r="P578" t="str">
        <f t="shared" ref="P578:P623" si="66">"&lt;td class="""&amp;D578&amp;"sched""&gt;"&amp;C578&amp;"&lt;/td&gt;"</f>
        <v>&lt;td class="sched"&gt;&lt;/td&gt;</v>
      </c>
      <c r="Q578" t="str">
        <f t="shared" ref="Q578:Q623" si="67">"&lt;td&gt;"&amp;E578&amp;" - "&amp;H578&amp;IF(I578&gt;0," "&amp;I578,"")&amp;"&lt;/td&gt;"</f>
        <v>&lt;td&gt; - &lt;/td&gt;</v>
      </c>
      <c r="R578" t="str">
        <f t="shared" ref="R578:R623" si="68">"&lt;td class="""&amp;G578&amp;"sched""&gt;"&amp;F578&amp;"&lt;/td&gt;"</f>
        <v>&lt;td class="sched"&gt;&lt;/td&gt;</v>
      </c>
      <c r="S578" t="str">
        <f t="shared" ref="S578:S623" si="69">"&lt;td&gt;"&amp;K578&amp;" "&amp;L578&amp;"&lt;/td&gt; &lt;/tr&gt;"</f>
        <v>&lt;td&gt; &lt;/td&gt; &lt;/tr&gt;</v>
      </c>
    </row>
    <row r="579" spans="10:19" x14ac:dyDescent="0.25">
      <c r="J579" t="str">
        <f t="shared" si="63"/>
        <v/>
      </c>
      <c r="N579" t="str">
        <f t="shared" si="64"/>
        <v>&lt;tr&gt; &lt;td&gt;Jan. 0&lt;/td&gt;</v>
      </c>
      <c r="O579" t="str">
        <f t="shared" si="65"/>
        <v>&lt;td&gt;&lt;/td&gt;</v>
      </c>
      <c r="P579" t="str">
        <f t="shared" si="66"/>
        <v>&lt;td class="sched"&gt;&lt;/td&gt;</v>
      </c>
      <c r="Q579" t="str">
        <f t="shared" si="67"/>
        <v>&lt;td&gt; - &lt;/td&gt;</v>
      </c>
      <c r="R579" t="str">
        <f t="shared" si="68"/>
        <v>&lt;td class="sched"&gt;&lt;/td&gt;</v>
      </c>
      <c r="S579" t="str">
        <f t="shared" si="69"/>
        <v>&lt;td&gt; &lt;/td&gt; &lt;/tr&gt;</v>
      </c>
    </row>
    <row r="580" spans="10:19" x14ac:dyDescent="0.25">
      <c r="J580" t="str">
        <f t="shared" si="63"/>
        <v/>
      </c>
      <c r="N580" t="str">
        <f t="shared" si="64"/>
        <v>&lt;tr&gt; &lt;td&gt;Jan. 0&lt;/td&gt;</v>
      </c>
      <c r="O580" t="str">
        <f t="shared" si="65"/>
        <v>&lt;td&gt;&lt;/td&gt;</v>
      </c>
      <c r="P580" t="str">
        <f t="shared" si="66"/>
        <v>&lt;td class="sched"&gt;&lt;/td&gt;</v>
      </c>
      <c r="Q580" t="str">
        <f t="shared" si="67"/>
        <v>&lt;td&gt; - &lt;/td&gt;</v>
      </c>
      <c r="R580" t="str">
        <f t="shared" si="68"/>
        <v>&lt;td class="sched"&gt;&lt;/td&gt;</v>
      </c>
      <c r="S580" t="str">
        <f t="shared" si="69"/>
        <v>&lt;td&gt; &lt;/td&gt; &lt;/tr&gt;</v>
      </c>
    </row>
    <row r="581" spans="10:19" x14ac:dyDescent="0.25">
      <c r="J581" t="str">
        <f t="shared" si="63"/>
        <v/>
      </c>
      <c r="N581" t="str">
        <f t="shared" si="64"/>
        <v>&lt;tr&gt; &lt;td&gt;Jan. 0&lt;/td&gt;</v>
      </c>
      <c r="O581" t="str">
        <f t="shared" si="65"/>
        <v>&lt;td&gt;&lt;/td&gt;</v>
      </c>
      <c r="P581" t="str">
        <f t="shared" si="66"/>
        <v>&lt;td class="sched"&gt;&lt;/td&gt;</v>
      </c>
      <c r="Q581" t="str">
        <f t="shared" si="67"/>
        <v>&lt;td&gt; - &lt;/td&gt;</v>
      </c>
      <c r="R581" t="str">
        <f t="shared" si="68"/>
        <v>&lt;td class="sched"&gt;&lt;/td&gt;</v>
      </c>
      <c r="S581" t="str">
        <f t="shared" si="69"/>
        <v>&lt;td&gt; &lt;/td&gt; &lt;/tr&gt;</v>
      </c>
    </row>
    <row r="582" spans="10:19" x14ac:dyDescent="0.25">
      <c r="J582" t="str">
        <f t="shared" si="63"/>
        <v/>
      </c>
      <c r="N582" t="str">
        <f t="shared" si="64"/>
        <v>&lt;tr&gt; &lt;td&gt;Jan. 0&lt;/td&gt;</v>
      </c>
      <c r="O582" t="str">
        <f t="shared" si="65"/>
        <v>&lt;td&gt;&lt;/td&gt;</v>
      </c>
      <c r="P582" t="str">
        <f t="shared" si="66"/>
        <v>&lt;td class="sched"&gt;&lt;/td&gt;</v>
      </c>
      <c r="Q582" t="str">
        <f t="shared" si="67"/>
        <v>&lt;td&gt; - &lt;/td&gt;</v>
      </c>
      <c r="R582" t="str">
        <f t="shared" si="68"/>
        <v>&lt;td class="sched"&gt;&lt;/td&gt;</v>
      </c>
      <c r="S582" t="str">
        <f t="shared" si="69"/>
        <v>&lt;td&gt; &lt;/td&gt; &lt;/tr&gt;</v>
      </c>
    </row>
    <row r="583" spans="10:19" x14ac:dyDescent="0.25">
      <c r="J583" t="str">
        <f t="shared" si="63"/>
        <v/>
      </c>
      <c r="N583" t="str">
        <f t="shared" si="64"/>
        <v>&lt;tr&gt; &lt;td&gt;Jan. 0&lt;/td&gt;</v>
      </c>
      <c r="O583" t="str">
        <f t="shared" si="65"/>
        <v>&lt;td&gt;&lt;/td&gt;</v>
      </c>
      <c r="P583" t="str">
        <f t="shared" si="66"/>
        <v>&lt;td class="sched"&gt;&lt;/td&gt;</v>
      </c>
      <c r="Q583" t="str">
        <f t="shared" si="67"/>
        <v>&lt;td&gt; - &lt;/td&gt;</v>
      </c>
      <c r="R583" t="str">
        <f t="shared" si="68"/>
        <v>&lt;td class="sched"&gt;&lt;/td&gt;</v>
      </c>
      <c r="S583" t="str">
        <f t="shared" si="69"/>
        <v>&lt;td&gt; &lt;/td&gt; &lt;/tr&gt;</v>
      </c>
    </row>
    <row r="584" spans="10:19" x14ac:dyDescent="0.25">
      <c r="J584" t="str">
        <f t="shared" si="63"/>
        <v/>
      </c>
      <c r="N584" t="str">
        <f t="shared" si="64"/>
        <v>&lt;tr&gt; &lt;td&gt;Jan. 0&lt;/td&gt;</v>
      </c>
      <c r="O584" t="str">
        <f t="shared" si="65"/>
        <v>&lt;td&gt;&lt;/td&gt;</v>
      </c>
      <c r="P584" t="str">
        <f t="shared" si="66"/>
        <v>&lt;td class="sched"&gt;&lt;/td&gt;</v>
      </c>
      <c r="Q584" t="str">
        <f t="shared" si="67"/>
        <v>&lt;td&gt; - &lt;/td&gt;</v>
      </c>
      <c r="R584" t="str">
        <f t="shared" si="68"/>
        <v>&lt;td class="sched"&gt;&lt;/td&gt;</v>
      </c>
      <c r="S584" t="str">
        <f t="shared" si="69"/>
        <v>&lt;td&gt; &lt;/td&gt; &lt;/tr&gt;</v>
      </c>
    </row>
    <row r="585" spans="10:19" x14ac:dyDescent="0.25">
      <c r="J585" t="str">
        <f t="shared" ref="J585:J616" si="70">IF(H585&gt;E585,"H",IF(E585&gt;H585,"V",""))</f>
        <v/>
      </c>
      <c r="N585" t="str">
        <f t="shared" si="64"/>
        <v>&lt;tr&gt; &lt;td&gt;Jan. 0&lt;/td&gt;</v>
      </c>
      <c r="O585" t="str">
        <f t="shared" si="65"/>
        <v>&lt;td&gt;&lt;/td&gt;</v>
      </c>
      <c r="P585" t="str">
        <f t="shared" si="66"/>
        <v>&lt;td class="sched"&gt;&lt;/td&gt;</v>
      </c>
      <c r="Q585" t="str">
        <f t="shared" si="67"/>
        <v>&lt;td&gt; - &lt;/td&gt;</v>
      </c>
      <c r="R585" t="str">
        <f t="shared" si="68"/>
        <v>&lt;td class="sched"&gt;&lt;/td&gt;</v>
      </c>
      <c r="S585" t="str">
        <f t="shared" si="69"/>
        <v>&lt;td&gt; &lt;/td&gt; &lt;/tr&gt;</v>
      </c>
    </row>
    <row r="586" spans="10:19" x14ac:dyDescent="0.25">
      <c r="J586" t="str">
        <f t="shared" si="70"/>
        <v/>
      </c>
      <c r="N586" t="str">
        <f t="shared" si="64"/>
        <v>&lt;tr&gt; &lt;td&gt;Jan. 0&lt;/td&gt;</v>
      </c>
      <c r="O586" t="str">
        <f t="shared" si="65"/>
        <v>&lt;td&gt;&lt;/td&gt;</v>
      </c>
      <c r="P586" t="str">
        <f t="shared" si="66"/>
        <v>&lt;td class="sched"&gt;&lt;/td&gt;</v>
      </c>
      <c r="Q586" t="str">
        <f t="shared" si="67"/>
        <v>&lt;td&gt; - &lt;/td&gt;</v>
      </c>
      <c r="R586" t="str">
        <f t="shared" si="68"/>
        <v>&lt;td class="sched"&gt;&lt;/td&gt;</v>
      </c>
      <c r="S586" t="str">
        <f t="shared" si="69"/>
        <v>&lt;td&gt; &lt;/td&gt; &lt;/tr&gt;</v>
      </c>
    </row>
    <row r="587" spans="10:19" x14ac:dyDescent="0.25">
      <c r="J587" t="str">
        <f t="shared" si="70"/>
        <v/>
      </c>
      <c r="N587" t="str">
        <f t="shared" si="64"/>
        <v>&lt;tr&gt; &lt;td&gt;Jan. 0&lt;/td&gt;</v>
      </c>
      <c r="O587" t="str">
        <f t="shared" si="65"/>
        <v>&lt;td&gt;&lt;/td&gt;</v>
      </c>
      <c r="P587" t="str">
        <f t="shared" si="66"/>
        <v>&lt;td class="sched"&gt;&lt;/td&gt;</v>
      </c>
      <c r="Q587" t="str">
        <f t="shared" si="67"/>
        <v>&lt;td&gt; - &lt;/td&gt;</v>
      </c>
      <c r="R587" t="str">
        <f t="shared" si="68"/>
        <v>&lt;td class="sched"&gt;&lt;/td&gt;</v>
      </c>
      <c r="S587" t="str">
        <f t="shared" si="69"/>
        <v>&lt;td&gt; &lt;/td&gt; &lt;/tr&gt;</v>
      </c>
    </row>
    <row r="588" spans="10:19" x14ac:dyDescent="0.25">
      <c r="J588" t="str">
        <f t="shared" si="70"/>
        <v/>
      </c>
      <c r="N588" t="str">
        <f t="shared" si="64"/>
        <v>&lt;tr&gt; &lt;td&gt;Jan. 0&lt;/td&gt;</v>
      </c>
      <c r="O588" t="str">
        <f t="shared" si="65"/>
        <v>&lt;td&gt;&lt;/td&gt;</v>
      </c>
      <c r="P588" t="str">
        <f t="shared" si="66"/>
        <v>&lt;td class="sched"&gt;&lt;/td&gt;</v>
      </c>
      <c r="Q588" t="str">
        <f t="shared" si="67"/>
        <v>&lt;td&gt; - &lt;/td&gt;</v>
      </c>
      <c r="R588" t="str">
        <f t="shared" si="68"/>
        <v>&lt;td class="sched"&gt;&lt;/td&gt;</v>
      </c>
      <c r="S588" t="str">
        <f t="shared" si="69"/>
        <v>&lt;td&gt; &lt;/td&gt; &lt;/tr&gt;</v>
      </c>
    </row>
    <row r="589" spans="10:19" x14ac:dyDescent="0.25">
      <c r="J589" t="str">
        <f t="shared" si="70"/>
        <v/>
      </c>
      <c r="N589" t="str">
        <f t="shared" si="64"/>
        <v>&lt;tr&gt; &lt;td&gt;Jan. 0&lt;/td&gt;</v>
      </c>
      <c r="O589" t="str">
        <f t="shared" si="65"/>
        <v>&lt;td&gt;&lt;/td&gt;</v>
      </c>
      <c r="P589" t="str">
        <f t="shared" si="66"/>
        <v>&lt;td class="sched"&gt;&lt;/td&gt;</v>
      </c>
      <c r="Q589" t="str">
        <f t="shared" si="67"/>
        <v>&lt;td&gt; - &lt;/td&gt;</v>
      </c>
      <c r="R589" t="str">
        <f t="shared" si="68"/>
        <v>&lt;td class="sched"&gt;&lt;/td&gt;</v>
      </c>
      <c r="S589" t="str">
        <f t="shared" si="69"/>
        <v>&lt;td&gt; &lt;/td&gt; &lt;/tr&gt;</v>
      </c>
    </row>
    <row r="590" spans="10:19" x14ac:dyDescent="0.25">
      <c r="J590" t="str">
        <f t="shared" si="70"/>
        <v/>
      </c>
      <c r="N590" t="str">
        <f t="shared" si="64"/>
        <v>&lt;tr&gt; &lt;td&gt;Jan. 0&lt;/td&gt;</v>
      </c>
      <c r="O590" t="str">
        <f t="shared" si="65"/>
        <v>&lt;td&gt;&lt;/td&gt;</v>
      </c>
      <c r="P590" t="str">
        <f t="shared" si="66"/>
        <v>&lt;td class="sched"&gt;&lt;/td&gt;</v>
      </c>
      <c r="Q590" t="str">
        <f t="shared" si="67"/>
        <v>&lt;td&gt; - &lt;/td&gt;</v>
      </c>
      <c r="R590" t="str">
        <f t="shared" si="68"/>
        <v>&lt;td class="sched"&gt;&lt;/td&gt;</v>
      </c>
      <c r="S590" t="str">
        <f t="shared" si="69"/>
        <v>&lt;td&gt; &lt;/td&gt; &lt;/tr&gt;</v>
      </c>
    </row>
    <row r="591" spans="10:19" x14ac:dyDescent="0.25">
      <c r="J591" t="str">
        <f t="shared" si="70"/>
        <v/>
      </c>
      <c r="N591" t="str">
        <f t="shared" si="64"/>
        <v>&lt;tr&gt; &lt;td&gt;Jan. 0&lt;/td&gt;</v>
      </c>
      <c r="O591" t="str">
        <f t="shared" si="65"/>
        <v>&lt;td&gt;&lt;/td&gt;</v>
      </c>
      <c r="P591" t="str">
        <f t="shared" si="66"/>
        <v>&lt;td class="sched"&gt;&lt;/td&gt;</v>
      </c>
      <c r="Q591" t="str">
        <f t="shared" si="67"/>
        <v>&lt;td&gt; - &lt;/td&gt;</v>
      </c>
      <c r="R591" t="str">
        <f t="shared" si="68"/>
        <v>&lt;td class="sched"&gt;&lt;/td&gt;</v>
      </c>
      <c r="S591" t="str">
        <f t="shared" si="69"/>
        <v>&lt;td&gt; &lt;/td&gt; &lt;/tr&gt;</v>
      </c>
    </row>
    <row r="592" spans="10:19" x14ac:dyDescent="0.25">
      <c r="J592" t="str">
        <f t="shared" si="70"/>
        <v/>
      </c>
      <c r="N592" t="str">
        <f t="shared" si="64"/>
        <v>&lt;tr&gt; &lt;td&gt;Jan. 0&lt;/td&gt;</v>
      </c>
      <c r="O592" t="str">
        <f t="shared" si="65"/>
        <v>&lt;td&gt;&lt;/td&gt;</v>
      </c>
      <c r="P592" t="str">
        <f t="shared" si="66"/>
        <v>&lt;td class="sched"&gt;&lt;/td&gt;</v>
      </c>
      <c r="Q592" t="str">
        <f t="shared" si="67"/>
        <v>&lt;td&gt; - &lt;/td&gt;</v>
      </c>
      <c r="R592" t="str">
        <f t="shared" si="68"/>
        <v>&lt;td class="sched"&gt;&lt;/td&gt;</v>
      </c>
      <c r="S592" t="str">
        <f t="shared" si="69"/>
        <v>&lt;td&gt; &lt;/td&gt; &lt;/tr&gt;</v>
      </c>
    </row>
    <row r="593" spans="10:19" x14ac:dyDescent="0.25">
      <c r="J593" t="str">
        <f t="shared" si="70"/>
        <v/>
      </c>
      <c r="N593" t="str">
        <f t="shared" si="64"/>
        <v>&lt;tr&gt; &lt;td&gt;Jan. 0&lt;/td&gt;</v>
      </c>
      <c r="O593" t="str">
        <f t="shared" si="65"/>
        <v>&lt;td&gt;&lt;/td&gt;</v>
      </c>
      <c r="P593" t="str">
        <f t="shared" si="66"/>
        <v>&lt;td class="sched"&gt;&lt;/td&gt;</v>
      </c>
      <c r="Q593" t="str">
        <f t="shared" si="67"/>
        <v>&lt;td&gt; - &lt;/td&gt;</v>
      </c>
      <c r="R593" t="str">
        <f t="shared" si="68"/>
        <v>&lt;td class="sched"&gt;&lt;/td&gt;</v>
      </c>
      <c r="S593" t="str">
        <f t="shared" si="69"/>
        <v>&lt;td&gt; &lt;/td&gt; &lt;/tr&gt;</v>
      </c>
    </row>
    <row r="594" spans="10:19" x14ac:dyDescent="0.25">
      <c r="J594" t="str">
        <f t="shared" si="70"/>
        <v/>
      </c>
      <c r="N594" t="str">
        <f t="shared" si="64"/>
        <v>&lt;tr&gt; &lt;td&gt;Jan. 0&lt;/td&gt;</v>
      </c>
      <c r="O594" t="str">
        <f t="shared" si="65"/>
        <v>&lt;td&gt;&lt;/td&gt;</v>
      </c>
      <c r="P594" t="str">
        <f t="shared" si="66"/>
        <v>&lt;td class="sched"&gt;&lt;/td&gt;</v>
      </c>
      <c r="Q594" t="str">
        <f t="shared" si="67"/>
        <v>&lt;td&gt; - &lt;/td&gt;</v>
      </c>
      <c r="R594" t="str">
        <f t="shared" si="68"/>
        <v>&lt;td class="sched"&gt;&lt;/td&gt;</v>
      </c>
      <c r="S594" t="str">
        <f t="shared" si="69"/>
        <v>&lt;td&gt; &lt;/td&gt; &lt;/tr&gt;</v>
      </c>
    </row>
    <row r="595" spans="10:19" x14ac:dyDescent="0.25">
      <c r="J595" t="str">
        <f t="shared" si="70"/>
        <v/>
      </c>
      <c r="N595" t="str">
        <f t="shared" si="64"/>
        <v>&lt;tr&gt; &lt;td&gt;Jan. 0&lt;/td&gt;</v>
      </c>
      <c r="O595" t="str">
        <f t="shared" si="65"/>
        <v>&lt;td&gt;&lt;/td&gt;</v>
      </c>
      <c r="P595" t="str">
        <f t="shared" si="66"/>
        <v>&lt;td class="sched"&gt;&lt;/td&gt;</v>
      </c>
      <c r="Q595" t="str">
        <f t="shared" si="67"/>
        <v>&lt;td&gt; - &lt;/td&gt;</v>
      </c>
      <c r="R595" t="str">
        <f t="shared" si="68"/>
        <v>&lt;td class="sched"&gt;&lt;/td&gt;</v>
      </c>
      <c r="S595" t="str">
        <f t="shared" si="69"/>
        <v>&lt;td&gt; &lt;/td&gt; &lt;/tr&gt;</v>
      </c>
    </row>
    <row r="596" spans="10:19" x14ac:dyDescent="0.25">
      <c r="J596" t="str">
        <f t="shared" si="70"/>
        <v/>
      </c>
      <c r="N596" t="str">
        <f t="shared" si="64"/>
        <v>&lt;tr&gt; &lt;td&gt;Jan. 0&lt;/td&gt;</v>
      </c>
      <c r="O596" t="str">
        <f t="shared" si="65"/>
        <v>&lt;td&gt;&lt;/td&gt;</v>
      </c>
      <c r="P596" t="str">
        <f t="shared" si="66"/>
        <v>&lt;td class="sched"&gt;&lt;/td&gt;</v>
      </c>
      <c r="Q596" t="str">
        <f t="shared" si="67"/>
        <v>&lt;td&gt; - &lt;/td&gt;</v>
      </c>
      <c r="R596" t="str">
        <f t="shared" si="68"/>
        <v>&lt;td class="sched"&gt;&lt;/td&gt;</v>
      </c>
      <c r="S596" t="str">
        <f t="shared" si="69"/>
        <v>&lt;td&gt; &lt;/td&gt; &lt;/tr&gt;</v>
      </c>
    </row>
    <row r="597" spans="10:19" x14ac:dyDescent="0.25">
      <c r="J597" t="str">
        <f t="shared" si="70"/>
        <v/>
      </c>
      <c r="N597" t="str">
        <f t="shared" si="64"/>
        <v>&lt;tr&gt; &lt;td&gt;Jan. 0&lt;/td&gt;</v>
      </c>
      <c r="O597" t="str">
        <f t="shared" si="65"/>
        <v>&lt;td&gt;&lt;/td&gt;</v>
      </c>
      <c r="P597" t="str">
        <f t="shared" si="66"/>
        <v>&lt;td class="sched"&gt;&lt;/td&gt;</v>
      </c>
      <c r="Q597" t="str">
        <f t="shared" si="67"/>
        <v>&lt;td&gt; - &lt;/td&gt;</v>
      </c>
      <c r="R597" t="str">
        <f t="shared" si="68"/>
        <v>&lt;td class="sched"&gt;&lt;/td&gt;</v>
      </c>
      <c r="S597" t="str">
        <f t="shared" si="69"/>
        <v>&lt;td&gt; &lt;/td&gt; &lt;/tr&gt;</v>
      </c>
    </row>
    <row r="598" spans="10:19" x14ac:dyDescent="0.25">
      <c r="J598" t="str">
        <f t="shared" si="70"/>
        <v/>
      </c>
      <c r="N598" t="str">
        <f t="shared" si="64"/>
        <v>&lt;tr&gt; &lt;td&gt;Jan. 0&lt;/td&gt;</v>
      </c>
      <c r="O598" t="str">
        <f t="shared" si="65"/>
        <v>&lt;td&gt;&lt;/td&gt;</v>
      </c>
      <c r="P598" t="str">
        <f t="shared" si="66"/>
        <v>&lt;td class="sched"&gt;&lt;/td&gt;</v>
      </c>
      <c r="Q598" t="str">
        <f t="shared" si="67"/>
        <v>&lt;td&gt; - &lt;/td&gt;</v>
      </c>
      <c r="R598" t="str">
        <f t="shared" si="68"/>
        <v>&lt;td class="sched"&gt;&lt;/td&gt;</v>
      </c>
      <c r="S598" t="str">
        <f t="shared" si="69"/>
        <v>&lt;td&gt; &lt;/td&gt; &lt;/tr&gt;</v>
      </c>
    </row>
    <row r="599" spans="10:19" x14ac:dyDescent="0.25">
      <c r="J599" t="str">
        <f t="shared" si="70"/>
        <v/>
      </c>
      <c r="N599" t="str">
        <f t="shared" si="64"/>
        <v>&lt;tr&gt; &lt;td&gt;Jan. 0&lt;/td&gt;</v>
      </c>
      <c r="O599" t="str">
        <f t="shared" si="65"/>
        <v>&lt;td&gt;&lt;/td&gt;</v>
      </c>
      <c r="P599" t="str">
        <f t="shared" si="66"/>
        <v>&lt;td class="sched"&gt;&lt;/td&gt;</v>
      </c>
      <c r="Q599" t="str">
        <f t="shared" si="67"/>
        <v>&lt;td&gt; - &lt;/td&gt;</v>
      </c>
      <c r="R599" t="str">
        <f t="shared" si="68"/>
        <v>&lt;td class="sched"&gt;&lt;/td&gt;</v>
      </c>
      <c r="S599" t="str">
        <f t="shared" si="69"/>
        <v>&lt;td&gt; &lt;/td&gt; &lt;/tr&gt;</v>
      </c>
    </row>
    <row r="600" spans="10:19" x14ac:dyDescent="0.25">
      <c r="J600" t="str">
        <f t="shared" si="70"/>
        <v/>
      </c>
      <c r="N600" t="str">
        <f t="shared" si="64"/>
        <v>&lt;tr&gt; &lt;td&gt;Jan. 0&lt;/td&gt;</v>
      </c>
      <c r="O600" t="str">
        <f t="shared" si="65"/>
        <v>&lt;td&gt;&lt;/td&gt;</v>
      </c>
      <c r="P600" t="str">
        <f t="shared" si="66"/>
        <v>&lt;td class="sched"&gt;&lt;/td&gt;</v>
      </c>
      <c r="Q600" t="str">
        <f t="shared" si="67"/>
        <v>&lt;td&gt; - &lt;/td&gt;</v>
      </c>
      <c r="R600" t="str">
        <f t="shared" si="68"/>
        <v>&lt;td class="sched"&gt;&lt;/td&gt;</v>
      </c>
      <c r="S600" t="str">
        <f t="shared" si="69"/>
        <v>&lt;td&gt; &lt;/td&gt; &lt;/tr&gt;</v>
      </c>
    </row>
    <row r="601" spans="10:19" x14ac:dyDescent="0.25">
      <c r="J601" t="str">
        <f t="shared" si="70"/>
        <v/>
      </c>
      <c r="N601" t="str">
        <f t="shared" si="64"/>
        <v>&lt;tr&gt; &lt;td&gt;Jan. 0&lt;/td&gt;</v>
      </c>
      <c r="O601" t="str">
        <f t="shared" si="65"/>
        <v>&lt;td&gt;&lt;/td&gt;</v>
      </c>
      <c r="P601" t="str">
        <f t="shared" si="66"/>
        <v>&lt;td class="sched"&gt;&lt;/td&gt;</v>
      </c>
      <c r="Q601" t="str">
        <f t="shared" si="67"/>
        <v>&lt;td&gt; - &lt;/td&gt;</v>
      </c>
      <c r="R601" t="str">
        <f t="shared" si="68"/>
        <v>&lt;td class="sched"&gt;&lt;/td&gt;</v>
      </c>
      <c r="S601" t="str">
        <f t="shared" si="69"/>
        <v>&lt;td&gt; &lt;/td&gt; &lt;/tr&gt;</v>
      </c>
    </row>
    <row r="602" spans="10:19" x14ac:dyDescent="0.25">
      <c r="J602" t="str">
        <f t="shared" si="70"/>
        <v/>
      </c>
      <c r="N602" t="str">
        <f t="shared" si="64"/>
        <v>&lt;tr&gt; &lt;td&gt;Jan. 0&lt;/td&gt;</v>
      </c>
      <c r="O602" t="str">
        <f t="shared" si="65"/>
        <v>&lt;td&gt;&lt;/td&gt;</v>
      </c>
      <c r="P602" t="str">
        <f t="shared" si="66"/>
        <v>&lt;td class="sched"&gt;&lt;/td&gt;</v>
      </c>
      <c r="Q602" t="str">
        <f t="shared" si="67"/>
        <v>&lt;td&gt; - &lt;/td&gt;</v>
      </c>
      <c r="R602" t="str">
        <f t="shared" si="68"/>
        <v>&lt;td class="sched"&gt;&lt;/td&gt;</v>
      </c>
      <c r="S602" t="str">
        <f t="shared" si="69"/>
        <v>&lt;td&gt; &lt;/td&gt; &lt;/tr&gt;</v>
      </c>
    </row>
    <row r="603" spans="10:19" x14ac:dyDescent="0.25">
      <c r="J603" t="str">
        <f t="shared" si="70"/>
        <v/>
      </c>
      <c r="N603" t="str">
        <f t="shared" si="64"/>
        <v>&lt;tr&gt; &lt;td&gt;Jan. 0&lt;/td&gt;</v>
      </c>
      <c r="O603" t="str">
        <f t="shared" si="65"/>
        <v>&lt;td&gt;&lt;/td&gt;</v>
      </c>
      <c r="P603" t="str">
        <f t="shared" si="66"/>
        <v>&lt;td class="sched"&gt;&lt;/td&gt;</v>
      </c>
      <c r="Q603" t="str">
        <f t="shared" si="67"/>
        <v>&lt;td&gt; - &lt;/td&gt;</v>
      </c>
      <c r="R603" t="str">
        <f t="shared" si="68"/>
        <v>&lt;td class="sched"&gt;&lt;/td&gt;</v>
      </c>
      <c r="S603" t="str">
        <f t="shared" si="69"/>
        <v>&lt;td&gt; &lt;/td&gt; &lt;/tr&gt;</v>
      </c>
    </row>
    <row r="604" spans="10:19" x14ac:dyDescent="0.25">
      <c r="J604" t="str">
        <f t="shared" si="70"/>
        <v/>
      </c>
      <c r="N604" t="str">
        <f t="shared" si="64"/>
        <v>&lt;tr&gt; &lt;td&gt;Jan. 0&lt;/td&gt;</v>
      </c>
      <c r="O604" t="str">
        <f t="shared" si="65"/>
        <v>&lt;td&gt;&lt;/td&gt;</v>
      </c>
      <c r="P604" t="str">
        <f t="shared" si="66"/>
        <v>&lt;td class="sched"&gt;&lt;/td&gt;</v>
      </c>
      <c r="Q604" t="str">
        <f t="shared" si="67"/>
        <v>&lt;td&gt; - &lt;/td&gt;</v>
      </c>
      <c r="R604" t="str">
        <f t="shared" si="68"/>
        <v>&lt;td class="sched"&gt;&lt;/td&gt;</v>
      </c>
      <c r="S604" t="str">
        <f t="shared" si="69"/>
        <v>&lt;td&gt; &lt;/td&gt; &lt;/tr&gt;</v>
      </c>
    </row>
    <row r="605" spans="10:19" x14ac:dyDescent="0.25">
      <c r="J605" t="str">
        <f t="shared" si="70"/>
        <v/>
      </c>
      <c r="N605" t="str">
        <f t="shared" si="64"/>
        <v>&lt;tr&gt; &lt;td&gt;Jan. 0&lt;/td&gt;</v>
      </c>
      <c r="O605" t="str">
        <f t="shared" si="65"/>
        <v>&lt;td&gt;&lt;/td&gt;</v>
      </c>
      <c r="P605" t="str">
        <f t="shared" si="66"/>
        <v>&lt;td class="sched"&gt;&lt;/td&gt;</v>
      </c>
      <c r="Q605" t="str">
        <f t="shared" si="67"/>
        <v>&lt;td&gt; - &lt;/td&gt;</v>
      </c>
      <c r="R605" t="str">
        <f t="shared" si="68"/>
        <v>&lt;td class="sched"&gt;&lt;/td&gt;</v>
      </c>
      <c r="S605" t="str">
        <f t="shared" si="69"/>
        <v>&lt;td&gt; &lt;/td&gt; &lt;/tr&gt;</v>
      </c>
    </row>
    <row r="606" spans="10:19" x14ac:dyDescent="0.25">
      <c r="J606" t="str">
        <f t="shared" si="70"/>
        <v/>
      </c>
      <c r="N606" t="str">
        <f t="shared" si="64"/>
        <v>&lt;tr&gt; &lt;td&gt;Jan. 0&lt;/td&gt;</v>
      </c>
      <c r="O606" t="str">
        <f t="shared" si="65"/>
        <v>&lt;td&gt;&lt;/td&gt;</v>
      </c>
      <c r="P606" t="str">
        <f t="shared" si="66"/>
        <v>&lt;td class="sched"&gt;&lt;/td&gt;</v>
      </c>
      <c r="Q606" t="str">
        <f t="shared" si="67"/>
        <v>&lt;td&gt; - &lt;/td&gt;</v>
      </c>
      <c r="R606" t="str">
        <f t="shared" si="68"/>
        <v>&lt;td class="sched"&gt;&lt;/td&gt;</v>
      </c>
      <c r="S606" t="str">
        <f t="shared" si="69"/>
        <v>&lt;td&gt; &lt;/td&gt; &lt;/tr&gt;</v>
      </c>
    </row>
    <row r="607" spans="10:19" x14ac:dyDescent="0.25">
      <c r="J607" t="str">
        <f t="shared" si="70"/>
        <v/>
      </c>
      <c r="N607" t="str">
        <f t="shared" si="64"/>
        <v>&lt;tr&gt; &lt;td&gt;Jan. 0&lt;/td&gt;</v>
      </c>
      <c r="O607" t="str">
        <f t="shared" si="65"/>
        <v>&lt;td&gt;&lt;/td&gt;</v>
      </c>
      <c r="P607" t="str">
        <f t="shared" si="66"/>
        <v>&lt;td class="sched"&gt;&lt;/td&gt;</v>
      </c>
      <c r="Q607" t="str">
        <f t="shared" si="67"/>
        <v>&lt;td&gt; - &lt;/td&gt;</v>
      </c>
      <c r="R607" t="str">
        <f t="shared" si="68"/>
        <v>&lt;td class="sched"&gt;&lt;/td&gt;</v>
      </c>
      <c r="S607" t="str">
        <f t="shared" si="69"/>
        <v>&lt;td&gt; &lt;/td&gt; &lt;/tr&gt;</v>
      </c>
    </row>
    <row r="608" spans="10:19" x14ac:dyDescent="0.25">
      <c r="J608" t="str">
        <f t="shared" si="70"/>
        <v/>
      </c>
      <c r="N608" t="str">
        <f t="shared" si="64"/>
        <v>&lt;tr&gt; &lt;td&gt;Jan. 0&lt;/td&gt;</v>
      </c>
      <c r="O608" t="str">
        <f t="shared" si="65"/>
        <v>&lt;td&gt;&lt;/td&gt;</v>
      </c>
      <c r="P608" t="str">
        <f t="shared" si="66"/>
        <v>&lt;td class="sched"&gt;&lt;/td&gt;</v>
      </c>
      <c r="Q608" t="str">
        <f t="shared" si="67"/>
        <v>&lt;td&gt; - &lt;/td&gt;</v>
      </c>
      <c r="R608" t="str">
        <f t="shared" si="68"/>
        <v>&lt;td class="sched"&gt;&lt;/td&gt;</v>
      </c>
      <c r="S608" t="str">
        <f t="shared" si="69"/>
        <v>&lt;td&gt; &lt;/td&gt; &lt;/tr&gt;</v>
      </c>
    </row>
    <row r="609" spans="10:19" x14ac:dyDescent="0.25">
      <c r="J609" t="str">
        <f t="shared" si="70"/>
        <v/>
      </c>
      <c r="N609" t="str">
        <f t="shared" si="64"/>
        <v>&lt;tr&gt; &lt;td&gt;Jan. 0&lt;/td&gt;</v>
      </c>
      <c r="O609" t="str">
        <f t="shared" si="65"/>
        <v>&lt;td&gt;&lt;/td&gt;</v>
      </c>
      <c r="P609" t="str">
        <f t="shared" si="66"/>
        <v>&lt;td class="sched"&gt;&lt;/td&gt;</v>
      </c>
      <c r="Q609" t="str">
        <f t="shared" si="67"/>
        <v>&lt;td&gt; - &lt;/td&gt;</v>
      </c>
      <c r="R609" t="str">
        <f t="shared" si="68"/>
        <v>&lt;td class="sched"&gt;&lt;/td&gt;</v>
      </c>
      <c r="S609" t="str">
        <f t="shared" si="69"/>
        <v>&lt;td&gt; &lt;/td&gt; &lt;/tr&gt;</v>
      </c>
    </row>
    <row r="610" spans="10:19" x14ac:dyDescent="0.25">
      <c r="J610" t="str">
        <f t="shared" si="70"/>
        <v/>
      </c>
      <c r="N610" t="str">
        <f t="shared" si="64"/>
        <v>&lt;tr&gt; &lt;td&gt;Jan. 0&lt;/td&gt;</v>
      </c>
      <c r="O610" t="str">
        <f t="shared" si="65"/>
        <v>&lt;td&gt;&lt;/td&gt;</v>
      </c>
      <c r="P610" t="str">
        <f t="shared" si="66"/>
        <v>&lt;td class="sched"&gt;&lt;/td&gt;</v>
      </c>
      <c r="Q610" t="str">
        <f t="shared" si="67"/>
        <v>&lt;td&gt; - &lt;/td&gt;</v>
      </c>
      <c r="R610" t="str">
        <f t="shared" si="68"/>
        <v>&lt;td class="sched"&gt;&lt;/td&gt;</v>
      </c>
      <c r="S610" t="str">
        <f t="shared" si="69"/>
        <v>&lt;td&gt; &lt;/td&gt; &lt;/tr&gt;</v>
      </c>
    </row>
    <row r="611" spans="10:19" x14ac:dyDescent="0.25">
      <c r="J611" t="str">
        <f t="shared" si="70"/>
        <v/>
      </c>
      <c r="N611" t="str">
        <f t="shared" si="64"/>
        <v>&lt;tr&gt; &lt;td&gt;Jan. 0&lt;/td&gt;</v>
      </c>
      <c r="O611" t="str">
        <f t="shared" si="65"/>
        <v>&lt;td&gt;&lt;/td&gt;</v>
      </c>
      <c r="P611" t="str">
        <f t="shared" si="66"/>
        <v>&lt;td class="sched"&gt;&lt;/td&gt;</v>
      </c>
      <c r="Q611" t="str">
        <f t="shared" si="67"/>
        <v>&lt;td&gt; - &lt;/td&gt;</v>
      </c>
      <c r="R611" t="str">
        <f t="shared" si="68"/>
        <v>&lt;td class="sched"&gt;&lt;/td&gt;</v>
      </c>
      <c r="S611" t="str">
        <f t="shared" si="69"/>
        <v>&lt;td&gt; &lt;/td&gt; &lt;/tr&gt;</v>
      </c>
    </row>
    <row r="612" spans="10:19" x14ac:dyDescent="0.25">
      <c r="J612" t="str">
        <f t="shared" si="70"/>
        <v/>
      </c>
      <c r="N612" t="str">
        <f t="shared" si="64"/>
        <v>&lt;tr&gt; &lt;td&gt;Jan. 0&lt;/td&gt;</v>
      </c>
      <c r="O612" t="str">
        <f t="shared" si="65"/>
        <v>&lt;td&gt;&lt;/td&gt;</v>
      </c>
      <c r="P612" t="str">
        <f t="shared" si="66"/>
        <v>&lt;td class="sched"&gt;&lt;/td&gt;</v>
      </c>
      <c r="Q612" t="str">
        <f t="shared" si="67"/>
        <v>&lt;td&gt; - &lt;/td&gt;</v>
      </c>
      <c r="R612" t="str">
        <f t="shared" si="68"/>
        <v>&lt;td class="sched"&gt;&lt;/td&gt;</v>
      </c>
      <c r="S612" t="str">
        <f t="shared" si="69"/>
        <v>&lt;td&gt; &lt;/td&gt; &lt;/tr&gt;</v>
      </c>
    </row>
    <row r="613" spans="10:19" x14ac:dyDescent="0.25">
      <c r="J613" t="str">
        <f t="shared" si="70"/>
        <v/>
      </c>
      <c r="N613" t="str">
        <f t="shared" si="64"/>
        <v>&lt;tr&gt; &lt;td&gt;Jan. 0&lt;/td&gt;</v>
      </c>
      <c r="O613" t="str">
        <f t="shared" si="65"/>
        <v>&lt;td&gt;&lt;/td&gt;</v>
      </c>
      <c r="P613" t="str">
        <f t="shared" si="66"/>
        <v>&lt;td class="sched"&gt;&lt;/td&gt;</v>
      </c>
      <c r="Q613" t="str">
        <f t="shared" si="67"/>
        <v>&lt;td&gt; - &lt;/td&gt;</v>
      </c>
      <c r="R613" t="str">
        <f t="shared" si="68"/>
        <v>&lt;td class="sched"&gt;&lt;/td&gt;</v>
      </c>
      <c r="S613" t="str">
        <f t="shared" si="69"/>
        <v>&lt;td&gt; &lt;/td&gt; &lt;/tr&gt;</v>
      </c>
    </row>
    <row r="614" spans="10:19" x14ac:dyDescent="0.25">
      <c r="J614" t="str">
        <f t="shared" si="70"/>
        <v/>
      </c>
      <c r="N614" t="str">
        <f t="shared" si="64"/>
        <v>&lt;tr&gt; &lt;td&gt;Jan. 0&lt;/td&gt;</v>
      </c>
      <c r="O614" t="str">
        <f t="shared" si="65"/>
        <v>&lt;td&gt;&lt;/td&gt;</v>
      </c>
      <c r="P614" t="str">
        <f t="shared" si="66"/>
        <v>&lt;td class="sched"&gt;&lt;/td&gt;</v>
      </c>
      <c r="Q614" t="str">
        <f t="shared" si="67"/>
        <v>&lt;td&gt; - &lt;/td&gt;</v>
      </c>
      <c r="R614" t="str">
        <f t="shared" si="68"/>
        <v>&lt;td class="sched"&gt;&lt;/td&gt;</v>
      </c>
      <c r="S614" t="str">
        <f t="shared" si="69"/>
        <v>&lt;td&gt; &lt;/td&gt; &lt;/tr&gt;</v>
      </c>
    </row>
    <row r="615" spans="10:19" x14ac:dyDescent="0.25">
      <c r="J615" t="str">
        <f t="shared" si="70"/>
        <v/>
      </c>
      <c r="N615" t="str">
        <f t="shared" si="64"/>
        <v>&lt;tr&gt; &lt;td&gt;Jan. 0&lt;/td&gt;</v>
      </c>
      <c r="O615" t="str">
        <f t="shared" si="65"/>
        <v>&lt;td&gt;&lt;/td&gt;</v>
      </c>
      <c r="P615" t="str">
        <f t="shared" si="66"/>
        <v>&lt;td class="sched"&gt;&lt;/td&gt;</v>
      </c>
      <c r="Q615" t="str">
        <f t="shared" si="67"/>
        <v>&lt;td&gt; - &lt;/td&gt;</v>
      </c>
      <c r="R615" t="str">
        <f t="shared" si="68"/>
        <v>&lt;td class="sched"&gt;&lt;/td&gt;</v>
      </c>
      <c r="S615" t="str">
        <f t="shared" si="69"/>
        <v>&lt;td&gt; &lt;/td&gt; &lt;/tr&gt;</v>
      </c>
    </row>
    <row r="616" spans="10:19" x14ac:dyDescent="0.25">
      <c r="J616" t="str">
        <f t="shared" si="70"/>
        <v/>
      </c>
      <c r="N616" t="str">
        <f t="shared" si="64"/>
        <v>&lt;tr&gt; &lt;td&gt;Jan. 0&lt;/td&gt;</v>
      </c>
      <c r="O616" t="str">
        <f t="shared" si="65"/>
        <v>&lt;td&gt;&lt;/td&gt;</v>
      </c>
      <c r="P616" t="str">
        <f t="shared" si="66"/>
        <v>&lt;td class="sched"&gt;&lt;/td&gt;</v>
      </c>
      <c r="Q616" t="str">
        <f t="shared" si="67"/>
        <v>&lt;td&gt; - &lt;/td&gt;</v>
      </c>
      <c r="R616" t="str">
        <f t="shared" si="68"/>
        <v>&lt;td class="sched"&gt;&lt;/td&gt;</v>
      </c>
      <c r="S616" t="str">
        <f t="shared" si="69"/>
        <v>&lt;td&gt; &lt;/td&gt; &lt;/tr&gt;</v>
      </c>
    </row>
    <row r="617" spans="10:19" x14ac:dyDescent="0.25">
      <c r="J617" t="str">
        <f t="shared" ref="J617:J623" si="71">IF(H617&gt;E617,"H",IF(E617&gt;H617,"V",""))</f>
        <v/>
      </c>
      <c r="N617" t="str">
        <f t="shared" si="64"/>
        <v>&lt;tr&gt; &lt;td&gt;Jan. 0&lt;/td&gt;</v>
      </c>
      <c r="O617" t="str">
        <f t="shared" si="65"/>
        <v>&lt;td&gt;&lt;/td&gt;</v>
      </c>
      <c r="P617" t="str">
        <f t="shared" si="66"/>
        <v>&lt;td class="sched"&gt;&lt;/td&gt;</v>
      </c>
      <c r="Q617" t="str">
        <f t="shared" si="67"/>
        <v>&lt;td&gt; - &lt;/td&gt;</v>
      </c>
      <c r="R617" t="str">
        <f t="shared" si="68"/>
        <v>&lt;td class="sched"&gt;&lt;/td&gt;</v>
      </c>
      <c r="S617" t="str">
        <f t="shared" si="69"/>
        <v>&lt;td&gt; &lt;/td&gt; &lt;/tr&gt;</v>
      </c>
    </row>
    <row r="618" spans="10:19" x14ac:dyDescent="0.25">
      <c r="J618" t="str">
        <f t="shared" si="71"/>
        <v/>
      </c>
      <c r="N618" t="str">
        <f t="shared" si="64"/>
        <v>&lt;tr&gt; &lt;td&gt;Jan. 0&lt;/td&gt;</v>
      </c>
      <c r="O618" t="str">
        <f t="shared" si="65"/>
        <v>&lt;td&gt;&lt;/td&gt;</v>
      </c>
      <c r="P618" t="str">
        <f t="shared" si="66"/>
        <v>&lt;td class="sched"&gt;&lt;/td&gt;</v>
      </c>
      <c r="Q618" t="str">
        <f t="shared" si="67"/>
        <v>&lt;td&gt; - &lt;/td&gt;</v>
      </c>
      <c r="R618" t="str">
        <f t="shared" si="68"/>
        <v>&lt;td class="sched"&gt;&lt;/td&gt;</v>
      </c>
      <c r="S618" t="str">
        <f t="shared" si="69"/>
        <v>&lt;td&gt; &lt;/td&gt; &lt;/tr&gt;</v>
      </c>
    </row>
    <row r="619" spans="10:19" x14ac:dyDescent="0.25">
      <c r="J619" t="str">
        <f t="shared" si="71"/>
        <v/>
      </c>
      <c r="N619" t="str">
        <f t="shared" si="64"/>
        <v>&lt;tr&gt; &lt;td&gt;Jan. 0&lt;/td&gt;</v>
      </c>
      <c r="O619" t="str">
        <f t="shared" si="65"/>
        <v>&lt;td&gt;&lt;/td&gt;</v>
      </c>
      <c r="P619" t="str">
        <f t="shared" si="66"/>
        <v>&lt;td class="sched"&gt;&lt;/td&gt;</v>
      </c>
      <c r="Q619" t="str">
        <f t="shared" si="67"/>
        <v>&lt;td&gt; - &lt;/td&gt;</v>
      </c>
      <c r="R619" t="str">
        <f t="shared" si="68"/>
        <v>&lt;td class="sched"&gt;&lt;/td&gt;</v>
      </c>
      <c r="S619" t="str">
        <f t="shared" si="69"/>
        <v>&lt;td&gt; &lt;/td&gt; &lt;/tr&gt;</v>
      </c>
    </row>
    <row r="620" spans="10:19" x14ac:dyDescent="0.25">
      <c r="J620" t="str">
        <f t="shared" si="71"/>
        <v/>
      </c>
      <c r="N620" t="str">
        <f t="shared" si="64"/>
        <v>&lt;tr&gt; &lt;td&gt;Jan. 0&lt;/td&gt;</v>
      </c>
      <c r="O620" t="str">
        <f t="shared" si="65"/>
        <v>&lt;td&gt;&lt;/td&gt;</v>
      </c>
      <c r="P620" t="str">
        <f t="shared" si="66"/>
        <v>&lt;td class="sched"&gt;&lt;/td&gt;</v>
      </c>
      <c r="Q620" t="str">
        <f t="shared" si="67"/>
        <v>&lt;td&gt; - &lt;/td&gt;</v>
      </c>
      <c r="R620" t="str">
        <f t="shared" si="68"/>
        <v>&lt;td class="sched"&gt;&lt;/td&gt;</v>
      </c>
      <c r="S620" t="str">
        <f t="shared" si="69"/>
        <v>&lt;td&gt; &lt;/td&gt; &lt;/tr&gt;</v>
      </c>
    </row>
    <row r="621" spans="10:19" x14ac:dyDescent="0.25">
      <c r="J621" t="str">
        <f t="shared" si="71"/>
        <v/>
      </c>
      <c r="N621" t="str">
        <f t="shared" si="64"/>
        <v>&lt;tr&gt; &lt;td&gt;Jan. 0&lt;/td&gt;</v>
      </c>
      <c r="O621" t="str">
        <f t="shared" si="65"/>
        <v>&lt;td&gt;&lt;/td&gt;</v>
      </c>
      <c r="P621" t="str">
        <f t="shared" si="66"/>
        <v>&lt;td class="sched"&gt;&lt;/td&gt;</v>
      </c>
      <c r="Q621" t="str">
        <f t="shared" si="67"/>
        <v>&lt;td&gt; - &lt;/td&gt;</v>
      </c>
      <c r="R621" t="str">
        <f t="shared" si="68"/>
        <v>&lt;td class="sched"&gt;&lt;/td&gt;</v>
      </c>
      <c r="S621" t="str">
        <f t="shared" si="69"/>
        <v>&lt;td&gt; &lt;/td&gt; &lt;/tr&gt;</v>
      </c>
    </row>
    <row r="622" spans="10:19" x14ac:dyDescent="0.25">
      <c r="J622" t="str">
        <f t="shared" si="71"/>
        <v/>
      </c>
      <c r="N622" t="str">
        <f t="shared" si="64"/>
        <v>&lt;tr&gt; &lt;td&gt;Jan. 0&lt;/td&gt;</v>
      </c>
      <c r="O622" t="str">
        <f t="shared" si="65"/>
        <v>&lt;td&gt;&lt;/td&gt;</v>
      </c>
      <c r="P622" t="str">
        <f t="shared" si="66"/>
        <v>&lt;td class="sched"&gt;&lt;/td&gt;</v>
      </c>
      <c r="Q622" t="str">
        <f t="shared" si="67"/>
        <v>&lt;td&gt; - &lt;/td&gt;</v>
      </c>
      <c r="R622" t="str">
        <f t="shared" si="68"/>
        <v>&lt;td class="sched"&gt;&lt;/td&gt;</v>
      </c>
      <c r="S622" t="str">
        <f t="shared" si="69"/>
        <v>&lt;td&gt; &lt;/td&gt; &lt;/tr&gt;</v>
      </c>
    </row>
    <row r="623" spans="10:19" x14ac:dyDescent="0.25">
      <c r="J623" t="str">
        <f t="shared" si="71"/>
        <v/>
      </c>
      <c r="N623" t="str">
        <f t="shared" si="64"/>
        <v>&lt;tr&gt; &lt;td&gt;Jan. 0&lt;/td&gt;</v>
      </c>
      <c r="O623" t="str">
        <f t="shared" si="65"/>
        <v>&lt;td&gt;&lt;/td&gt;</v>
      </c>
      <c r="P623" t="str">
        <f t="shared" si="66"/>
        <v>&lt;td class="sched"&gt;&lt;/td&gt;</v>
      </c>
      <c r="Q623" t="str">
        <f t="shared" si="67"/>
        <v>&lt;td&gt; - &lt;/td&gt;</v>
      </c>
      <c r="R623" t="str">
        <f t="shared" si="68"/>
        <v>&lt;td class="sched"&gt;&lt;/td&gt;</v>
      </c>
      <c r="S623" t="str">
        <f t="shared" si="69"/>
        <v>&lt;td&gt; &lt;/td&gt; &lt;/tr&gt;</v>
      </c>
    </row>
  </sheetData>
  <sortState ref="A2:T623">
    <sortCondition ref="A2:A623"/>
    <sortCondition ref="B2:B623"/>
  </sortState>
  <conditionalFormatting sqref="A1:A74 A76:A77 A79:A425 A431:A479 A523:A529 A532:A540 A484:A510 A544 A556:A1048576">
    <cfRule type="cellIs" dxfId="19" priority="26" operator="equal">
      <formula>$T$1</formula>
    </cfRule>
    <cfRule type="cellIs" dxfId="18" priority="27" operator="lessThan">
      <formula>$T$1</formula>
    </cfRule>
  </conditionalFormatting>
  <conditionalFormatting sqref="A75">
    <cfRule type="cellIs" dxfId="17" priority="21" operator="equal">
      <formula>$T$1</formula>
    </cfRule>
    <cfRule type="cellIs" dxfId="16" priority="22" operator="lessThan">
      <formula>$T$1</formula>
    </cfRule>
  </conditionalFormatting>
  <conditionalFormatting sqref="A78">
    <cfRule type="cellIs" dxfId="15" priority="19" operator="equal">
      <formula>$T$1</formula>
    </cfRule>
    <cfRule type="cellIs" dxfId="14" priority="20" operator="lessThan">
      <formula>$T$1</formula>
    </cfRule>
  </conditionalFormatting>
  <conditionalFormatting sqref="A426:A428">
    <cfRule type="cellIs" dxfId="13" priority="15" operator="equal">
      <formula>$T$1</formula>
    </cfRule>
    <cfRule type="cellIs" dxfId="12" priority="16" operator="lessThan">
      <formula>$T$1</formula>
    </cfRule>
  </conditionalFormatting>
  <conditionalFormatting sqref="A429:A430">
    <cfRule type="cellIs" dxfId="11" priority="13" operator="equal">
      <formula>$T$1</formula>
    </cfRule>
    <cfRule type="cellIs" dxfId="10" priority="14" operator="lessThan">
      <formula>$T$1</formula>
    </cfRule>
  </conditionalFormatting>
  <conditionalFormatting sqref="A480:A483">
    <cfRule type="cellIs" dxfId="9" priority="11" operator="equal">
      <formula>$T$1</formula>
    </cfRule>
    <cfRule type="cellIs" dxfId="8" priority="12" operator="lessThan">
      <formula>$T$1</formula>
    </cfRule>
  </conditionalFormatting>
  <conditionalFormatting sqref="A511:A522">
    <cfRule type="cellIs" dxfId="7" priority="9" operator="equal">
      <formula>$T$1</formula>
    </cfRule>
    <cfRule type="cellIs" dxfId="6" priority="10" operator="lessThan">
      <formula>$T$1</formula>
    </cfRule>
  </conditionalFormatting>
  <conditionalFormatting sqref="A530:A531">
    <cfRule type="cellIs" dxfId="5" priority="5" operator="equal">
      <formula>$T$1</formula>
    </cfRule>
    <cfRule type="cellIs" dxfId="4" priority="6" operator="lessThan">
      <formula>$T$1</formula>
    </cfRule>
  </conditionalFormatting>
  <conditionalFormatting sqref="A541:A543">
    <cfRule type="cellIs" dxfId="3" priority="3" operator="equal">
      <formula>$T$1</formula>
    </cfRule>
    <cfRule type="cellIs" dxfId="2" priority="4" operator="lessThan">
      <formula>$T$1</formula>
    </cfRule>
  </conditionalFormatting>
  <conditionalFormatting sqref="A545:A555">
    <cfRule type="cellIs" dxfId="1" priority="1" operator="equal">
      <formula>$T$1</formula>
    </cfRule>
    <cfRule type="cellIs" dxfId="0" priority="2" operator="lessThan">
      <formula>$T$1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62"/>
  <sheetViews>
    <sheetView workbookViewId="0">
      <pane ySplit="1" topLeftCell="A314" activePane="bottomLeft" state="frozen"/>
      <selection pane="bottomLeft" activeCell="W2" sqref="W2:W332"/>
    </sheetView>
  </sheetViews>
  <sheetFormatPr defaultRowHeight="15" x14ac:dyDescent="0.25"/>
  <cols>
    <col min="1" max="1" width="3" style="10" bestFit="1" customWidth="1"/>
    <col min="2" max="2" width="26.140625" style="12" bestFit="1" customWidth="1"/>
    <col min="3" max="3" width="3" style="12" bestFit="1" customWidth="1"/>
    <col min="4" max="4" width="5" style="12" bestFit="1" customWidth="1"/>
    <col min="5" max="5" width="4.5703125" style="12" bestFit="1" customWidth="1"/>
    <col min="6" max="6" width="4.85546875" style="12" bestFit="1" customWidth="1"/>
    <col min="7" max="7" width="4.42578125" style="12" bestFit="1" customWidth="1"/>
    <col min="8" max="8" width="4.7109375" style="12" bestFit="1" customWidth="1"/>
    <col min="9" max="9" width="4.28515625" style="12" bestFit="1" customWidth="1"/>
    <col min="10" max="10" width="4.140625" style="16" bestFit="1" customWidth="1"/>
    <col min="11" max="11" width="4.7109375" style="12" bestFit="1" customWidth="1"/>
    <col min="12" max="12" width="4.5703125" style="12" bestFit="1" customWidth="1"/>
    <col min="13" max="13" width="4" style="16" bestFit="1" customWidth="1"/>
    <col min="14" max="14" width="3.140625" style="12" bestFit="1" customWidth="1"/>
    <col min="15" max="15" width="4.28515625" style="12" bestFit="1" customWidth="1"/>
    <col min="16" max="16" width="3.42578125" style="12" bestFit="1" customWidth="1"/>
    <col min="17" max="17" width="3.140625" style="12" bestFit="1" customWidth="1"/>
    <col min="18" max="18" width="4" style="12" bestFit="1" customWidth="1"/>
    <col min="19" max="19" width="3.5703125" style="16" bestFit="1" customWidth="1"/>
    <col min="20" max="20" width="4.7109375" style="12" bestFit="1" customWidth="1"/>
    <col min="21" max="21" width="5.85546875" style="12" bestFit="1" customWidth="1"/>
    <col min="22" max="22" width="9.140625" style="16"/>
    <col min="23" max="23" width="1.7109375" style="12" customWidth="1"/>
  </cols>
  <sheetData>
    <row r="1" spans="1:23" x14ac:dyDescent="0.25">
      <c r="A1" s="10" t="s">
        <v>115</v>
      </c>
      <c r="B1" s="10" t="s">
        <v>116</v>
      </c>
      <c r="C1" s="10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 t="s">
        <v>122</v>
      </c>
      <c r="I1" s="11" t="s">
        <v>123</v>
      </c>
      <c r="J1" s="15" t="s">
        <v>124</v>
      </c>
      <c r="K1" s="10" t="s">
        <v>125</v>
      </c>
      <c r="L1" s="10" t="s">
        <v>126</v>
      </c>
      <c r="M1" s="15" t="s">
        <v>127</v>
      </c>
      <c r="N1" s="10" t="s">
        <v>128</v>
      </c>
      <c r="O1" s="10" t="s">
        <v>129</v>
      </c>
      <c r="P1" s="10" t="s">
        <v>130</v>
      </c>
      <c r="Q1" s="10" t="s">
        <v>131</v>
      </c>
      <c r="R1" s="10" t="s">
        <v>132</v>
      </c>
      <c r="S1" s="15" t="s">
        <v>133</v>
      </c>
      <c r="T1" s="10" t="s">
        <v>134</v>
      </c>
      <c r="U1" s="10" t="s">
        <v>0</v>
      </c>
    </row>
    <row r="2" spans="1:23" x14ac:dyDescent="0.25">
      <c r="A2" s="10">
        <v>10</v>
      </c>
      <c r="B2" s="12" t="s">
        <v>350</v>
      </c>
      <c r="C2" s="12">
        <v>14</v>
      </c>
      <c r="D2" s="12">
        <v>103</v>
      </c>
      <c r="E2" s="12">
        <v>246</v>
      </c>
      <c r="F2" s="12">
        <v>16</v>
      </c>
      <c r="G2" s="12">
        <v>60</v>
      </c>
      <c r="H2" s="12">
        <v>50</v>
      </c>
      <c r="I2" s="12">
        <v>74</v>
      </c>
      <c r="J2" s="16">
        <f t="shared" ref="J2:J65" si="0">D2*2+F2+H2</f>
        <v>272</v>
      </c>
      <c r="K2" s="12">
        <v>16</v>
      </c>
      <c r="L2" s="12">
        <v>83</v>
      </c>
      <c r="M2" s="16">
        <f t="shared" ref="M2:M65" si="1">K2+L2</f>
        <v>99</v>
      </c>
      <c r="N2" s="12">
        <v>15</v>
      </c>
      <c r="O2" s="12">
        <v>31</v>
      </c>
      <c r="P2" s="12">
        <v>56</v>
      </c>
      <c r="Q2" s="12">
        <v>1</v>
      </c>
      <c r="R2" s="12">
        <v>28</v>
      </c>
      <c r="S2" s="16">
        <v>0</v>
      </c>
      <c r="T2" s="12">
        <v>511</v>
      </c>
      <c r="U2" s="12" t="s">
        <v>60</v>
      </c>
      <c r="W2" s="10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&lt;tr&gt;&lt;td&gt;Redeemed Kabashiki&lt;/td&gt;&lt;td&gt;DCI&lt;/td&gt;&lt;td&gt;14&lt;/td&gt;&lt;td&gt;272&lt;/td&gt;&lt;td&gt;19.429&lt;/td&gt;&lt;td&gt;103&lt;/td&gt;&lt;td&gt;246&lt;/td&gt;&lt;td&gt;0.419&lt;/td&gt;&lt;td&gt;16&lt;/td&gt;&lt;td&gt;60&lt;/td&gt;&lt;td&gt;0.267&lt;/td&gt;&lt;td&gt;50&lt;/td&gt;&lt;td&gt;74&lt;/td&gt;&lt;td&gt;0.676&lt;/td&gt;&lt;td&gt;16&lt;/td&gt;&lt;td&gt;83&lt;/td&gt;&lt;td&gt;99&lt;/td&gt;&lt;td&gt;7.071&lt;/td&gt;&lt;td&gt;31&lt;/td&gt;&lt;td&gt;2.214&lt;/td&gt;&lt;td&gt;28&lt;/td&gt;&lt;td&gt;2.000&lt;/td&gt;&lt;td&gt;1&lt;/td&gt;&lt;td&gt;0.071&lt;/td&gt;&lt;/tr&gt;</v>
      </c>
    </row>
    <row r="3" spans="1:23" x14ac:dyDescent="0.25">
      <c r="A3" s="10">
        <v>9</v>
      </c>
      <c r="B3" s="12" t="s">
        <v>327</v>
      </c>
      <c r="C3" s="12">
        <v>11</v>
      </c>
      <c r="D3" s="12">
        <v>96</v>
      </c>
      <c r="E3" s="12">
        <v>234</v>
      </c>
      <c r="F3" s="12">
        <v>30</v>
      </c>
      <c r="G3" s="12">
        <v>90</v>
      </c>
      <c r="H3" s="12">
        <v>33</v>
      </c>
      <c r="I3" s="12">
        <v>53</v>
      </c>
      <c r="J3" s="16">
        <f t="shared" si="0"/>
        <v>255</v>
      </c>
      <c r="K3" s="12">
        <v>19</v>
      </c>
      <c r="L3" s="12">
        <v>72</v>
      </c>
      <c r="M3" s="16">
        <f t="shared" si="1"/>
        <v>91</v>
      </c>
      <c r="N3" s="12">
        <v>20</v>
      </c>
      <c r="O3" s="12">
        <v>22</v>
      </c>
      <c r="P3" s="12">
        <v>16</v>
      </c>
      <c r="Q3" s="12">
        <v>24</v>
      </c>
      <c r="R3" s="12">
        <v>17</v>
      </c>
      <c r="S3" s="16">
        <v>0</v>
      </c>
      <c r="T3" s="12">
        <v>389</v>
      </c>
      <c r="U3" s="12" t="s">
        <v>41</v>
      </c>
      <c r="W3" s="10" t="str">
        <f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&lt;tr&gt;&lt;td&gt;Trezon Morcilla&lt;/td&gt;&lt;td&gt;GCC&lt;/td&gt;&lt;td&gt;11&lt;/td&gt;&lt;td&gt;255&lt;/td&gt;&lt;td&gt;23.182&lt;/td&gt;&lt;td&gt;96&lt;/td&gt;&lt;td&gt;234&lt;/td&gt;&lt;td&gt;0.410&lt;/td&gt;&lt;td&gt;30&lt;/td&gt;&lt;td&gt;90&lt;/td&gt;&lt;td&gt;0.333&lt;/td&gt;&lt;td&gt;33&lt;/td&gt;&lt;td&gt;53&lt;/td&gt;&lt;td&gt;0.623&lt;/td&gt;&lt;td&gt;19&lt;/td&gt;&lt;td&gt;72&lt;/td&gt;&lt;td&gt;91&lt;/td&gt;&lt;td&gt;8.273&lt;/td&gt;&lt;td&gt;22&lt;/td&gt;&lt;td&gt;2.000&lt;/td&gt;&lt;td&gt;17&lt;/td&gt;&lt;td&gt;1.545&lt;/td&gt;&lt;td&gt;24&lt;/td&gt;&lt;td&gt;2.182&lt;/td&gt;&lt;/tr&gt;</v>
      </c>
    </row>
    <row r="4" spans="1:23" x14ac:dyDescent="0.25">
      <c r="A4" s="10">
        <v>6</v>
      </c>
      <c r="B4" s="12" t="s">
        <v>399</v>
      </c>
      <c r="C4" s="12">
        <v>12</v>
      </c>
      <c r="D4" s="12">
        <v>78</v>
      </c>
      <c r="E4" s="12">
        <v>235</v>
      </c>
      <c r="F4" s="12">
        <v>30</v>
      </c>
      <c r="G4" s="12">
        <v>100</v>
      </c>
      <c r="H4" s="12">
        <v>33</v>
      </c>
      <c r="I4" s="12">
        <v>44</v>
      </c>
      <c r="J4" s="16">
        <f t="shared" si="0"/>
        <v>219</v>
      </c>
      <c r="K4" s="12">
        <v>34</v>
      </c>
      <c r="L4" s="12">
        <v>80</v>
      </c>
      <c r="M4" s="16">
        <f t="shared" si="1"/>
        <v>114</v>
      </c>
      <c r="N4" s="12">
        <v>29</v>
      </c>
      <c r="O4" s="12">
        <v>43</v>
      </c>
      <c r="P4" s="12">
        <v>44</v>
      </c>
      <c r="Q4" s="12">
        <v>10</v>
      </c>
      <c r="R4" s="12">
        <v>50</v>
      </c>
      <c r="S4" s="16">
        <v>0</v>
      </c>
      <c r="T4" s="12">
        <v>425</v>
      </c>
      <c r="U4" s="12" t="s">
        <v>45</v>
      </c>
      <c r="W4" s="10" t="str">
        <f t="shared" ref="W4:W71" si="2">"&lt;tr&gt;&lt;td&gt;"&amp;B4&amp;"&lt;/td&gt;&lt;td&gt;"&amp;U4&amp;"&lt;/td&gt;&lt;td&gt;"&amp;C4&amp;"&lt;/td&gt;&lt;td&gt;"&amp;J4&amp;"&lt;/td&gt;&lt;td&gt;"&amp;IF(OR(C4=0,J4=0),"0.000",IF(ROUND(J4/C4,3)=1,"1.000",TEXT(ROUND(J4/C4,3),"0.000")))&amp;"&lt;/td&gt;&lt;td&gt;"&amp;D4&amp;"&lt;/td&gt;&lt;td&gt;"&amp;E4&amp;"&lt;/td&gt;&lt;td&gt;"&amp;IF(OR(D4=0,E4=0),"0.000",IF(ROUND(D4/E4,3)=1,"1.000",TEXT(ROUND(D4/E4,3),"0.000")))&amp;"&lt;/td&gt;&lt;td&gt;"&amp;F4&amp;"&lt;/td&gt;&lt;td&gt;"&amp;G4&amp;"&lt;/td&gt;&lt;td&gt;"&amp;IF(OR(F4=0,G4=0),"0.000",IF(ROUND(F4/G4,3)=1,"1.000",TEXT(ROUND(F4/G4,3),"0.000")))&amp;"&lt;/td&gt;&lt;td&gt;"&amp;H4&amp;"&lt;/td&gt;&lt;td&gt;"&amp;I4&amp;"&lt;/td&gt;&lt;td&gt;"&amp;IF(OR(H4=0,I4=0),"0.000",IF(ROUND(H4/I4,3)=1,"1.000",TEXT(ROUND(H4/I4,3),"0.000")))&amp;"&lt;/td&gt;&lt;td&gt;"&amp;K4&amp;"&lt;/td&gt;&lt;td&gt;"&amp;L4&amp;"&lt;/td&gt;&lt;td&gt;"&amp;M4&amp;"&lt;/td&gt;&lt;td&gt;"&amp;IF(OR(M4=0,C4=0),"0.000",IF(ROUND(M4/C4,3)=1,"1.000",TEXT(ROUND(M4/C4,3),"0.000")))&amp;"&lt;/td&gt;&lt;td&gt;"&amp;O4&amp;"&lt;/td&gt;&lt;td&gt;"&amp;IF(OR(O4=0,C4=0),"0.000",IF(ROUND(O4/C4,3)=1,"1.000",TEXT(ROUND(O4/C4,3),"0.000")))&amp;"&lt;/td&gt;&lt;td&gt;"&amp;R4&amp;"&lt;/td&gt;&lt;td&gt;"&amp;IF(OR(R4=0,C4=0),"0.000",IF(ROUND(R4/C4,3)=1,"1.000",TEXT(ROUND(R4/C4,3),"0.000")))&amp;"&lt;/td&gt;&lt;td&gt;"&amp;Q4&amp;"&lt;/td&gt;&lt;td&gt;"&amp;IF(OR(Q4=0,C4=0),"0.000",IF(ROUND(Q4/C4,3)=1,"1.000",TEXT(ROUND(Q4/C4,3),"0.000")))&amp;"&lt;/td&gt;&lt;/tr&gt;"</f>
        <v>&lt;tr&gt;&lt;td&gt;Eric Braganza&lt;/td&gt;&lt;td&gt;MC&lt;/td&gt;&lt;td&gt;12&lt;/td&gt;&lt;td&gt;219&lt;/td&gt;&lt;td&gt;18.250&lt;/td&gt;&lt;td&gt;78&lt;/td&gt;&lt;td&gt;235&lt;/td&gt;&lt;td&gt;0.332&lt;/td&gt;&lt;td&gt;30&lt;/td&gt;&lt;td&gt;100&lt;/td&gt;&lt;td&gt;0.300&lt;/td&gt;&lt;td&gt;33&lt;/td&gt;&lt;td&gt;44&lt;/td&gt;&lt;td&gt;0.750&lt;/td&gt;&lt;td&gt;34&lt;/td&gt;&lt;td&gt;80&lt;/td&gt;&lt;td&gt;114&lt;/td&gt;&lt;td&gt;9.500&lt;/td&gt;&lt;td&gt;43&lt;/td&gt;&lt;td&gt;3.583&lt;/td&gt;&lt;td&gt;50&lt;/td&gt;&lt;td&gt;4.167&lt;/td&gt;&lt;td&gt;10&lt;/td&gt;&lt;td&gt;0.833&lt;/td&gt;&lt;/tr&gt;</v>
      </c>
    </row>
    <row r="5" spans="1:23" x14ac:dyDescent="0.25">
      <c r="A5" s="10">
        <v>15</v>
      </c>
      <c r="B5" s="12" t="s">
        <v>331</v>
      </c>
      <c r="C5" s="12">
        <v>11</v>
      </c>
      <c r="D5" s="12">
        <v>86</v>
      </c>
      <c r="E5" s="12">
        <v>192</v>
      </c>
      <c r="F5" s="12">
        <v>11</v>
      </c>
      <c r="G5" s="12">
        <v>59</v>
      </c>
      <c r="H5" s="12">
        <v>29</v>
      </c>
      <c r="I5" s="12">
        <v>40</v>
      </c>
      <c r="J5" s="16">
        <f t="shared" si="0"/>
        <v>212</v>
      </c>
      <c r="K5" s="12">
        <v>25</v>
      </c>
      <c r="L5" s="12">
        <v>95</v>
      </c>
      <c r="M5" s="16">
        <f t="shared" si="1"/>
        <v>120</v>
      </c>
      <c r="N5" s="12">
        <v>36</v>
      </c>
      <c r="O5" s="12">
        <v>58</v>
      </c>
      <c r="P5" s="12">
        <v>46</v>
      </c>
      <c r="Q5" s="12">
        <v>6</v>
      </c>
      <c r="R5" s="12">
        <v>41</v>
      </c>
      <c r="S5" s="16">
        <v>0</v>
      </c>
      <c r="T5" s="12">
        <v>337</v>
      </c>
      <c r="U5" s="12" t="s">
        <v>41</v>
      </c>
      <c r="W5" s="10" t="str">
        <f t="shared" si="2"/>
        <v>&lt;tr&gt;&lt;td&gt;Marcel Arruda-Welch&lt;/td&gt;&lt;td&gt;GCC&lt;/td&gt;&lt;td&gt;11&lt;/td&gt;&lt;td&gt;212&lt;/td&gt;&lt;td&gt;19.273&lt;/td&gt;&lt;td&gt;86&lt;/td&gt;&lt;td&gt;192&lt;/td&gt;&lt;td&gt;0.448&lt;/td&gt;&lt;td&gt;11&lt;/td&gt;&lt;td&gt;59&lt;/td&gt;&lt;td&gt;0.186&lt;/td&gt;&lt;td&gt;29&lt;/td&gt;&lt;td&gt;40&lt;/td&gt;&lt;td&gt;0.725&lt;/td&gt;&lt;td&gt;25&lt;/td&gt;&lt;td&gt;95&lt;/td&gt;&lt;td&gt;120&lt;/td&gt;&lt;td&gt;10.909&lt;/td&gt;&lt;td&gt;58&lt;/td&gt;&lt;td&gt;5.273&lt;/td&gt;&lt;td&gt;41&lt;/td&gt;&lt;td&gt;3.727&lt;/td&gt;&lt;td&gt;6&lt;/td&gt;&lt;td&gt;0.545&lt;/td&gt;&lt;/tr&gt;</v>
      </c>
    </row>
    <row r="6" spans="1:23" x14ac:dyDescent="0.25">
      <c r="A6" s="10">
        <v>9</v>
      </c>
      <c r="B6" s="12" t="s">
        <v>312</v>
      </c>
      <c r="C6" s="12">
        <v>8</v>
      </c>
      <c r="D6" s="12">
        <v>85</v>
      </c>
      <c r="E6" s="12">
        <v>177</v>
      </c>
      <c r="F6" s="12">
        <v>23</v>
      </c>
      <c r="G6" s="12">
        <v>53</v>
      </c>
      <c r="H6" s="12">
        <v>19</v>
      </c>
      <c r="I6" s="12">
        <v>23</v>
      </c>
      <c r="J6" s="16">
        <f t="shared" si="0"/>
        <v>212</v>
      </c>
      <c r="K6" s="12">
        <v>36</v>
      </c>
      <c r="L6" s="12">
        <v>38</v>
      </c>
      <c r="M6" s="16">
        <f t="shared" si="1"/>
        <v>74</v>
      </c>
      <c r="N6" s="12">
        <v>20</v>
      </c>
      <c r="O6" s="12">
        <v>13</v>
      </c>
      <c r="P6" s="12">
        <v>22</v>
      </c>
      <c r="Q6" s="12">
        <v>2</v>
      </c>
      <c r="R6" s="12">
        <v>19</v>
      </c>
      <c r="S6" s="16">
        <v>0</v>
      </c>
      <c r="T6" s="12">
        <v>245</v>
      </c>
      <c r="U6" s="12" t="s">
        <v>74</v>
      </c>
      <c r="W6" s="10" t="str">
        <f t="shared" si="2"/>
        <v>&lt;tr&gt;&lt;td&gt;Jerome Wuidar&lt;/td&gt;&lt;td&gt;OPHS&lt;/td&gt;&lt;td&gt;8&lt;/td&gt;&lt;td&gt;212&lt;/td&gt;&lt;td&gt;26.500&lt;/td&gt;&lt;td&gt;85&lt;/td&gt;&lt;td&gt;177&lt;/td&gt;&lt;td&gt;0.480&lt;/td&gt;&lt;td&gt;23&lt;/td&gt;&lt;td&gt;53&lt;/td&gt;&lt;td&gt;0.434&lt;/td&gt;&lt;td&gt;19&lt;/td&gt;&lt;td&gt;23&lt;/td&gt;&lt;td&gt;0.826&lt;/td&gt;&lt;td&gt;36&lt;/td&gt;&lt;td&gt;38&lt;/td&gt;&lt;td&gt;74&lt;/td&gt;&lt;td&gt;9.250&lt;/td&gt;&lt;td&gt;13&lt;/td&gt;&lt;td&gt;1.625&lt;/td&gt;&lt;td&gt;19&lt;/td&gt;&lt;td&gt;2.375&lt;/td&gt;&lt;td&gt;2&lt;/td&gt;&lt;td&gt;0.250&lt;/td&gt;&lt;/tr&gt;</v>
      </c>
    </row>
    <row r="7" spans="1:23" x14ac:dyDescent="0.25">
      <c r="A7" s="10">
        <v>10</v>
      </c>
      <c r="B7" s="12" t="s">
        <v>520</v>
      </c>
      <c r="C7" s="12">
        <v>15</v>
      </c>
      <c r="D7" s="12">
        <v>80</v>
      </c>
      <c r="E7" s="12">
        <v>234</v>
      </c>
      <c r="F7" s="12">
        <v>16</v>
      </c>
      <c r="G7" s="12">
        <v>71</v>
      </c>
      <c r="H7" s="12">
        <v>26</v>
      </c>
      <c r="I7" s="12">
        <v>45</v>
      </c>
      <c r="J7" s="16">
        <f t="shared" si="0"/>
        <v>202</v>
      </c>
      <c r="K7" s="12">
        <v>33</v>
      </c>
      <c r="L7" s="12">
        <v>81</v>
      </c>
      <c r="M7" s="16">
        <f t="shared" si="1"/>
        <v>114</v>
      </c>
      <c r="N7" s="12">
        <v>29</v>
      </c>
      <c r="O7" s="12">
        <v>34</v>
      </c>
      <c r="P7" s="12">
        <v>77</v>
      </c>
      <c r="Q7" s="12">
        <v>4</v>
      </c>
      <c r="R7" s="12">
        <v>34</v>
      </c>
      <c r="S7" s="16">
        <v>0</v>
      </c>
      <c r="T7" s="12">
        <v>460</v>
      </c>
      <c r="U7" s="12" t="s">
        <v>62</v>
      </c>
      <c r="W7" s="10" t="str">
        <f t="shared" si="2"/>
        <v>&lt;tr&gt;&lt;td&gt;Shane Jaggard&lt;/td&gt;&lt;td&gt;GCI&lt;/td&gt;&lt;td&gt;15&lt;/td&gt;&lt;td&gt;202&lt;/td&gt;&lt;td&gt;13.467&lt;/td&gt;&lt;td&gt;80&lt;/td&gt;&lt;td&gt;234&lt;/td&gt;&lt;td&gt;0.342&lt;/td&gt;&lt;td&gt;16&lt;/td&gt;&lt;td&gt;71&lt;/td&gt;&lt;td&gt;0.225&lt;/td&gt;&lt;td&gt;26&lt;/td&gt;&lt;td&gt;45&lt;/td&gt;&lt;td&gt;0.578&lt;/td&gt;&lt;td&gt;33&lt;/td&gt;&lt;td&gt;81&lt;/td&gt;&lt;td&gt;114&lt;/td&gt;&lt;td&gt;7.600&lt;/td&gt;&lt;td&gt;34&lt;/td&gt;&lt;td&gt;2.267&lt;/td&gt;&lt;td&gt;34&lt;/td&gt;&lt;td&gt;2.267&lt;/td&gt;&lt;td&gt;4&lt;/td&gt;&lt;td&gt;0.267&lt;/td&gt;&lt;/tr&gt;</v>
      </c>
    </row>
    <row r="8" spans="1:23" x14ac:dyDescent="0.25">
      <c r="A8" s="10">
        <v>5</v>
      </c>
      <c r="B8" s="12" t="s">
        <v>545</v>
      </c>
      <c r="C8" s="12">
        <v>11</v>
      </c>
      <c r="D8" s="12">
        <v>84</v>
      </c>
      <c r="E8" s="12">
        <v>185</v>
      </c>
      <c r="F8" s="12">
        <v>11</v>
      </c>
      <c r="G8" s="12">
        <v>49</v>
      </c>
      <c r="H8" s="12">
        <v>21</v>
      </c>
      <c r="I8" s="12">
        <v>34</v>
      </c>
      <c r="J8" s="16">
        <f t="shared" si="0"/>
        <v>200</v>
      </c>
      <c r="K8" s="12">
        <v>28</v>
      </c>
      <c r="L8" s="12">
        <v>74</v>
      </c>
      <c r="M8" s="16">
        <f t="shared" si="1"/>
        <v>102</v>
      </c>
      <c r="N8" s="12">
        <v>22</v>
      </c>
      <c r="O8" s="12">
        <v>47</v>
      </c>
      <c r="P8" s="12">
        <v>46</v>
      </c>
      <c r="Q8" s="12">
        <v>1</v>
      </c>
      <c r="R8" s="12">
        <v>30</v>
      </c>
      <c r="S8" s="16">
        <v>0</v>
      </c>
      <c r="T8" s="12">
        <v>380</v>
      </c>
      <c r="U8" s="12" t="s">
        <v>540</v>
      </c>
      <c r="W8" s="10" t="str">
        <f t="shared" si="2"/>
        <v>&lt;tr&gt;&lt;td&gt;Sandeep Brar&lt;/td&gt;&lt;td&gt;SJR&lt;/td&gt;&lt;td&gt;11&lt;/td&gt;&lt;td&gt;200&lt;/td&gt;&lt;td&gt;18.182&lt;/td&gt;&lt;td&gt;84&lt;/td&gt;&lt;td&gt;185&lt;/td&gt;&lt;td&gt;0.454&lt;/td&gt;&lt;td&gt;11&lt;/td&gt;&lt;td&gt;49&lt;/td&gt;&lt;td&gt;0.224&lt;/td&gt;&lt;td&gt;21&lt;/td&gt;&lt;td&gt;34&lt;/td&gt;&lt;td&gt;0.618&lt;/td&gt;&lt;td&gt;28&lt;/td&gt;&lt;td&gt;74&lt;/td&gt;&lt;td&gt;102&lt;/td&gt;&lt;td&gt;9.273&lt;/td&gt;&lt;td&gt;47&lt;/td&gt;&lt;td&gt;4.273&lt;/td&gt;&lt;td&gt;30&lt;/td&gt;&lt;td&gt;2.727&lt;/td&gt;&lt;td&gt;1&lt;/td&gt;&lt;td&gt;0.091&lt;/td&gt;&lt;/tr&gt;</v>
      </c>
    </row>
    <row r="9" spans="1:23" x14ac:dyDescent="0.25">
      <c r="A9" s="10">
        <v>1</v>
      </c>
      <c r="B9" s="12" t="s">
        <v>758</v>
      </c>
      <c r="C9" s="12">
        <v>14</v>
      </c>
      <c r="D9" s="12">
        <v>72</v>
      </c>
      <c r="E9" s="12">
        <v>167</v>
      </c>
      <c r="F9" s="12">
        <v>7</v>
      </c>
      <c r="G9" s="12">
        <v>23</v>
      </c>
      <c r="H9" s="12">
        <v>22</v>
      </c>
      <c r="I9" s="12">
        <v>40</v>
      </c>
      <c r="J9" s="16">
        <f t="shared" si="0"/>
        <v>173</v>
      </c>
      <c r="K9" s="12">
        <v>36</v>
      </c>
      <c r="L9" s="12">
        <v>58</v>
      </c>
      <c r="M9" s="16">
        <f t="shared" si="1"/>
        <v>94</v>
      </c>
      <c r="N9" s="12">
        <v>32</v>
      </c>
      <c r="O9" s="12">
        <v>39</v>
      </c>
      <c r="P9" s="12">
        <v>83</v>
      </c>
      <c r="Q9" s="12">
        <v>4</v>
      </c>
      <c r="R9" s="12">
        <v>67</v>
      </c>
      <c r="S9" s="16">
        <v>0</v>
      </c>
      <c r="T9" s="12">
        <v>492</v>
      </c>
      <c r="U9" s="12" t="s">
        <v>7</v>
      </c>
      <c r="W9" s="10" t="str">
        <f t="shared" si="2"/>
        <v>&lt;tr&gt;&lt;td&gt;Balraj Hothi&lt;/td&gt;&lt;td&gt;MBCI&lt;/td&gt;&lt;td&gt;14&lt;/td&gt;&lt;td&gt;173&lt;/td&gt;&lt;td&gt;12.357&lt;/td&gt;&lt;td&gt;72&lt;/td&gt;&lt;td&gt;167&lt;/td&gt;&lt;td&gt;0.431&lt;/td&gt;&lt;td&gt;7&lt;/td&gt;&lt;td&gt;23&lt;/td&gt;&lt;td&gt;0.304&lt;/td&gt;&lt;td&gt;22&lt;/td&gt;&lt;td&gt;40&lt;/td&gt;&lt;td&gt;0.550&lt;/td&gt;&lt;td&gt;36&lt;/td&gt;&lt;td&gt;58&lt;/td&gt;&lt;td&gt;94&lt;/td&gt;&lt;td&gt;6.714&lt;/td&gt;&lt;td&gt;39&lt;/td&gt;&lt;td&gt;2.786&lt;/td&gt;&lt;td&gt;67&lt;/td&gt;&lt;td&gt;4.786&lt;/td&gt;&lt;td&gt;4&lt;/td&gt;&lt;td&gt;0.286&lt;/td&gt;&lt;/tr&gt;</v>
      </c>
    </row>
    <row r="10" spans="1:23" x14ac:dyDescent="0.25">
      <c r="A10" s="10">
        <v>3</v>
      </c>
      <c r="B10" s="12" t="s">
        <v>505</v>
      </c>
      <c r="C10" s="12">
        <v>13</v>
      </c>
      <c r="D10" s="12">
        <v>60</v>
      </c>
      <c r="E10" s="12">
        <v>171</v>
      </c>
      <c r="F10" s="12">
        <v>17</v>
      </c>
      <c r="G10" s="12">
        <v>72</v>
      </c>
      <c r="H10" s="12">
        <v>36</v>
      </c>
      <c r="I10" s="12">
        <v>59</v>
      </c>
      <c r="J10" s="16">
        <f t="shared" si="0"/>
        <v>173</v>
      </c>
      <c r="K10" s="12">
        <v>33</v>
      </c>
      <c r="L10" s="12">
        <v>98</v>
      </c>
      <c r="M10" s="16">
        <f t="shared" si="1"/>
        <v>131</v>
      </c>
      <c r="N10" s="12">
        <v>25</v>
      </c>
      <c r="O10" s="12">
        <v>27</v>
      </c>
      <c r="P10" s="12">
        <v>99</v>
      </c>
      <c r="Q10" s="12">
        <v>10</v>
      </c>
      <c r="R10" s="12">
        <v>16</v>
      </c>
      <c r="S10" s="16">
        <v>0</v>
      </c>
      <c r="T10" s="12">
        <v>438</v>
      </c>
      <c r="U10" s="12" t="s">
        <v>7</v>
      </c>
      <c r="W10" s="10" t="str">
        <f t="shared" si="2"/>
        <v>&lt;tr&gt;&lt;td&gt;Michael Rempel Boschman&lt;/td&gt;&lt;td&gt;MBCI&lt;/td&gt;&lt;td&gt;13&lt;/td&gt;&lt;td&gt;173&lt;/td&gt;&lt;td&gt;13.308&lt;/td&gt;&lt;td&gt;60&lt;/td&gt;&lt;td&gt;171&lt;/td&gt;&lt;td&gt;0.351&lt;/td&gt;&lt;td&gt;17&lt;/td&gt;&lt;td&gt;72&lt;/td&gt;&lt;td&gt;0.236&lt;/td&gt;&lt;td&gt;36&lt;/td&gt;&lt;td&gt;59&lt;/td&gt;&lt;td&gt;0.610&lt;/td&gt;&lt;td&gt;33&lt;/td&gt;&lt;td&gt;98&lt;/td&gt;&lt;td&gt;131&lt;/td&gt;&lt;td&gt;10.077&lt;/td&gt;&lt;td&gt;27&lt;/td&gt;&lt;td&gt;2.077&lt;/td&gt;&lt;td&gt;16&lt;/td&gt;&lt;td&gt;1.231&lt;/td&gt;&lt;td&gt;10&lt;/td&gt;&lt;td&gt;0.769&lt;/td&gt;&lt;/tr&gt;</v>
      </c>
    </row>
    <row r="11" spans="1:23" x14ac:dyDescent="0.25">
      <c r="A11" s="10">
        <v>6</v>
      </c>
      <c r="B11" s="12" t="s">
        <v>309</v>
      </c>
      <c r="C11" s="12">
        <v>8</v>
      </c>
      <c r="D11" s="12">
        <v>67</v>
      </c>
      <c r="E11" s="12">
        <v>159</v>
      </c>
      <c r="F11" s="12">
        <v>4</v>
      </c>
      <c r="G11" s="12">
        <v>24</v>
      </c>
      <c r="H11" s="12">
        <v>33</v>
      </c>
      <c r="I11" s="12">
        <v>45</v>
      </c>
      <c r="J11" s="16">
        <f t="shared" si="0"/>
        <v>171</v>
      </c>
      <c r="K11" s="12">
        <v>43</v>
      </c>
      <c r="L11" s="12">
        <v>78</v>
      </c>
      <c r="M11" s="16">
        <f t="shared" si="1"/>
        <v>121</v>
      </c>
      <c r="N11" s="12">
        <v>15</v>
      </c>
      <c r="O11" s="12">
        <v>33</v>
      </c>
      <c r="P11" s="12">
        <v>39</v>
      </c>
      <c r="Q11" s="12">
        <v>11</v>
      </c>
      <c r="R11" s="12">
        <v>30</v>
      </c>
      <c r="S11" s="16">
        <v>0</v>
      </c>
      <c r="T11" s="12">
        <v>265</v>
      </c>
      <c r="U11" s="12" t="s">
        <v>74</v>
      </c>
      <c r="W11" s="10" t="str">
        <f t="shared" si="2"/>
        <v>&lt;tr&gt;&lt;td&gt;Wyatt Tait&lt;/td&gt;&lt;td&gt;OPHS&lt;/td&gt;&lt;td&gt;8&lt;/td&gt;&lt;td&gt;171&lt;/td&gt;&lt;td&gt;21.375&lt;/td&gt;&lt;td&gt;67&lt;/td&gt;&lt;td&gt;159&lt;/td&gt;&lt;td&gt;0.421&lt;/td&gt;&lt;td&gt;4&lt;/td&gt;&lt;td&gt;24&lt;/td&gt;&lt;td&gt;0.167&lt;/td&gt;&lt;td&gt;33&lt;/td&gt;&lt;td&gt;45&lt;/td&gt;&lt;td&gt;0.733&lt;/td&gt;&lt;td&gt;43&lt;/td&gt;&lt;td&gt;78&lt;/td&gt;&lt;td&gt;121&lt;/td&gt;&lt;td&gt;15.125&lt;/td&gt;&lt;td&gt;33&lt;/td&gt;&lt;td&gt;4.125&lt;/td&gt;&lt;td&gt;30&lt;/td&gt;&lt;td&gt;3.750&lt;/td&gt;&lt;td&gt;11&lt;/td&gt;&lt;td&gt;1.375&lt;/td&gt;&lt;/tr&gt;</v>
      </c>
    </row>
    <row r="12" spans="1:23" x14ac:dyDescent="0.25">
      <c r="A12" s="10">
        <v>15</v>
      </c>
      <c r="B12" s="12" t="s">
        <v>406</v>
      </c>
      <c r="C12" s="12">
        <v>12</v>
      </c>
      <c r="D12" s="12">
        <v>66</v>
      </c>
      <c r="E12" s="12">
        <v>144</v>
      </c>
      <c r="F12" s="12">
        <v>24</v>
      </c>
      <c r="G12" s="12">
        <v>60</v>
      </c>
      <c r="H12" s="12">
        <v>10</v>
      </c>
      <c r="I12" s="12">
        <v>11</v>
      </c>
      <c r="J12" s="16">
        <f t="shared" si="0"/>
        <v>166</v>
      </c>
      <c r="K12" s="12">
        <v>23</v>
      </c>
      <c r="L12" s="12">
        <v>47</v>
      </c>
      <c r="M12" s="16">
        <f t="shared" si="1"/>
        <v>70</v>
      </c>
      <c r="N12" s="12">
        <v>15</v>
      </c>
      <c r="O12" s="12">
        <v>15</v>
      </c>
      <c r="P12" s="12">
        <v>19</v>
      </c>
      <c r="Q12" s="12">
        <v>8</v>
      </c>
      <c r="R12" s="12">
        <v>7</v>
      </c>
      <c r="S12" s="16">
        <v>0</v>
      </c>
      <c r="T12" s="12">
        <v>358</v>
      </c>
      <c r="U12" s="12" t="s">
        <v>45</v>
      </c>
      <c r="W12" s="10" t="str">
        <f t="shared" si="2"/>
        <v>&lt;tr&gt;&lt;td&gt;Tiernan Marshall&lt;/td&gt;&lt;td&gt;MC&lt;/td&gt;&lt;td&gt;12&lt;/td&gt;&lt;td&gt;166&lt;/td&gt;&lt;td&gt;13.833&lt;/td&gt;&lt;td&gt;66&lt;/td&gt;&lt;td&gt;144&lt;/td&gt;&lt;td&gt;0.458&lt;/td&gt;&lt;td&gt;24&lt;/td&gt;&lt;td&gt;60&lt;/td&gt;&lt;td&gt;0.400&lt;/td&gt;&lt;td&gt;10&lt;/td&gt;&lt;td&gt;11&lt;/td&gt;&lt;td&gt;0.909&lt;/td&gt;&lt;td&gt;23&lt;/td&gt;&lt;td&gt;47&lt;/td&gt;&lt;td&gt;70&lt;/td&gt;&lt;td&gt;5.833&lt;/td&gt;&lt;td&gt;15&lt;/td&gt;&lt;td&gt;1.250&lt;/td&gt;&lt;td&gt;7&lt;/td&gt;&lt;td&gt;0.583&lt;/td&gt;&lt;td&gt;8&lt;/td&gt;&lt;td&gt;0.667&lt;/td&gt;&lt;/tr&gt;</v>
      </c>
    </row>
    <row r="13" spans="1:23" x14ac:dyDescent="0.25">
      <c r="A13" s="10">
        <v>10</v>
      </c>
      <c r="B13" s="12" t="s">
        <v>756</v>
      </c>
      <c r="C13" s="12">
        <v>8</v>
      </c>
      <c r="D13" s="12">
        <v>57</v>
      </c>
      <c r="E13" s="12">
        <v>176</v>
      </c>
      <c r="F13" s="12">
        <v>9</v>
      </c>
      <c r="G13" s="12">
        <v>33</v>
      </c>
      <c r="H13" s="12">
        <v>38</v>
      </c>
      <c r="I13" s="12">
        <v>57</v>
      </c>
      <c r="J13" s="16">
        <f t="shared" si="0"/>
        <v>161</v>
      </c>
      <c r="K13" s="12">
        <v>31</v>
      </c>
      <c r="L13" s="12">
        <v>73</v>
      </c>
      <c r="M13" s="16">
        <f t="shared" si="1"/>
        <v>104</v>
      </c>
      <c r="N13" s="12">
        <v>21</v>
      </c>
      <c r="O13" s="12">
        <v>5</v>
      </c>
      <c r="P13" s="12">
        <v>35</v>
      </c>
      <c r="Q13" s="12">
        <v>2</v>
      </c>
      <c r="R13" s="12">
        <v>19</v>
      </c>
      <c r="S13" s="16">
        <v>0</v>
      </c>
      <c r="T13" s="12">
        <v>256</v>
      </c>
      <c r="U13" s="12" t="s">
        <v>7</v>
      </c>
      <c r="W13" s="10" t="str">
        <f t="shared" si="2"/>
        <v>&lt;tr&gt;&lt;td&gt;Alex Stefanko&lt;/td&gt;&lt;td&gt;MBCI&lt;/td&gt;&lt;td&gt;8&lt;/td&gt;&lt;td&gt;161&lt;/td&gt;&lt;td&gt;20.125&lt;/td&gt;&lt;td&gt;57&lt;/td&gt;&lt;td&gt;176&lt;/td&gt;&lt;td&gt;0.324&lt;/td&gt;&lt;td&gt;9&lt;/td&gt;&lt;td&gt;33&lt;/td&gt;&lt;td&gt;0.273&lt;/td&gt;&lt;td&gt;38&lt;/td&gt;&lt;td&gt;57&lt;/td&gt;&lt;td&gt;0.667&lt;/td&gt;&lt;td&gt;31&lt;/td&gt;&lt;td&gt;73&lt;/td&gt;&lt;td&gt;104&lt;/td&gt;&lt;td&gt;13.000&lt;/td&gt;&lt;td&gt;5&lt;/td&gt;&lt;td&gt;0.625&lt;/td&gt;&lt;td&gt;19&lt;/td&gt;&lt;td&gt;2.375&lt;/td&gt;&lt;td&gt;2&lt;/td&gt;&lt;td&gt;0.250&lt;/td&gt;&lt;/tr&gt;</v>
      </c>
    </row>
    <row r="14" spans="1:23" x14ac:dyDescent="0.25">
      <c r="A14" s="10">
        <v>14</v>
      </c>
      <c r="B14" s="12" t="s">
        <v>446</v>
      </c>
      <c r="C14" s="12">
        <v>11</v>
      </c>
      <c r="D14" s="12">
        <v>63</v>
      </c>
      <c r="E14" s="12">
        <v>143</v>
      </c>
      <c r="F14" s="12">
        <v>0</v>
      </c>
      <c r="G14" s="12">
        <v>2</v>
      </c>
      <c r="H14" s="12">
        <v>29</v>
      </c>
      <c r="I14" s="12">
        <v>47</v>
      </c>
      <c r="J14" s="16">
        <f t="shared" si="0"/>
        <v>155</v>
      </c>
      <c r="K14" s="12">
        <v>33</v>
      </c>
      <c r="L14" s="12">
        <v>55</v>
      </c>
      <c r="M14" s="16">
        <f t="shared" si="1"/>
        <v>88</v>
      </c>
      <c r="N14" s="12">
        <v>32</v>
      </c>
      <c r="O14" s="12">
        <v>9</v>
      </c>
      <c r="P14" s="12">
        <v>23</v>
      </c>
      <c r="Q14" s="12">
        <v>6</v>
      </c>
      <c r="R14" s="12">
        <v>4</v>
      </c>
      <c r="S14" s="16">
        <v>0</v>
      </c>
      <c r="T14" s="12">
        <v>330</v>
      </c>
      <c r="U14" s="12" t="s">
        <v>80</v>
      </c>
      <c r="W14" s="10" t="str">
        <f t="shared" si="2"/>
        <v>&lt;tr&gt;&lt;td&gt;Bryden Bukich&lt;/td&gt;&lt;td&gt;VMC&lt;/td&gt;&lt;td&gt;11&lt;/td&gt;&lt;td&gt;155&lt;/td&gt;&lt;td&gt;14.091&lt;/td&gt;&lt;td&gt;63&lt;/td&gt;&lt;td&gt;143&lt;/td&gt;&lt;td&gt;0.441&lt;/td&gt;&lt;td&gt;0&lt;/td&gt;&lt;td&gt;2&lt;/td&gt;&lt;td&gt;0.000&lt;/td&gt;&lt;td&gt;29&lt;/td&gt;&lt;td&gt;47&lt;/td&gt;&lt;td&gt;0.617&lt;/td&gt;&lt;td&gt;33&lt;/td&gt;&lt;td&gt;55&lt;/td&gt;&lt;td&gt;88&lt;/td&gt;&lt;td&gt;8.000&lt;/td&gt;&lt;td&gt;9&lt;/td&gt;&lt;td&gt;0.818&lt;/td&gt;&lt;td&gt;4&lt;/td&gt;&lt;td&gt;0.364&lt;/td&gt;&lt;td&gt;6&lt;/td&gt;&lt;td&gt;0.545&lt;/td&gt;&lt;/tr&gt;</v>
      </c>
    </row>
    <row r="15" spans="1:23" x14ac:dyDescent="0.25">
      <c r="A15" s="10">
        <v>10</v>
      </c>
      <c r="B15" s="12" t="s">
        <v>548</v>
      </c>
      <c r="C15" s="12">
        <v>11</v>
      </c>
      <c r="D15" s="12">
        <v>54</v>
      </c>
      <c r="E15" s="12">
        <v>156</v>
      </c>
      <c r="F15" s="12">
        <v>21</v>
      </c>
      <c r="G15" s="12">
        <v>79</v>
      </c>
      <c r="H15" s="12">
        <v>14</v>
      </c>
      <c r="I15" s="12">
        <v>20</v>
      </c>
      <c r="J15" s="16">
        <f t="shared" si="0"/>
        <v>143</v>
      </c>
      <c r="K15" s="12">
        <v>13</v>
      </c>
      <c r="L15" s="12">
        <v>76</v>
      </c>
      <c r="M15" s="16">
        <f t="shared" si="1"/>
        <v>89</v>
      </c>
      <c r="N15" s="12">
        <v>24</v>
      </c>
      <c r="O15" s="12">
        <v>21</v>
      </c>
      <c r="P15" s="12">
        <v>30</v>
      </c>
      <c r="Q15" s="12">
        <v>4</v>
      </c>
      <c r="R15" s="12">
        <v>13</v>
      </c>
      <c r="S15" s="16">
        <v>0</v>
      </c>
      <c r="T15" s="12">
        <v>370</v>
      </c>
      <c r="U15" s="12" t="s">
        <v>540</v>
      </c>
      <c r="W15" s="10" t="str">
        <f t="shared" si="2"/>
        <v>&lt;tr&gt;&lt;td&gt;Jagman Brar&lt;/td&gt;&lt;td&gt;SJR&lt;/td&gt;&lt;td&gt;11&lt;/td&gt;&lt;td&gt;143&lt;/td&gt;&lt;td&gt;13.000&lt;/td&gt;&lt;td&gt;54&lt;/td&gt;&lt;td&gt;156&lt;/td&gt;&lt;td&gt;0.346&lt;/td&gt;&lt;td&gt;21&lt;/td&gt;&lt;td&gt;79&lt;/td&gt;&lt;td&gt;0.266&lt;/td&gt;&lt;td&gt;14&lt;/td&gt;&lt;td&gt;20&lt;/td&gt;&lt;td&gt;0.700&lt;/td&gt;&lt;td&gt;13&lt;/td&gt;&lt;td&gt;76&lt;/td&gt;&lt;td&gt;89&lt;/td&gt;&lt;td&gt;8.091&lt;/td&gt;&lt;td&gt;21&lt;/td&gt;&lt;td&gt;1.909&lt;/td&gt;&lt;td&gt;13&lt;/td&gt;&lt;td&gt;1.182&lt;/td&gt;&lt;td&gt;4&lt;/td&gt;&lt;td&gt;0.364&lt;/td&gt;&lt;/tr&gt;</v>
      </c>
    </row>
    <row r="16" spans="1:23" x14ac:dyDescent="0.25">
      <c r="A16" s="10">
        <v>7</v>
      </c>
      <c r="B16" s="12" t="s">
        <v>518</v>
      </c>
      <c r="C16" s="12">
        <v>9</v>
      </c>
      <c r="D16" s="12">
        <v>55</v>
      </c>
      <c r="E16" s="12">
        <v>134</v>
      </c>
      <c r="F16" s="12">
        <v>5</v>
      </c>
      <c r="G16" s="12">
        <v>25</v>
      </c>
      <c r="H16" s="12">
        <v>25</v>
      </c>
      <c r="I16" s="12">
        <v>40</v>
      </c>
      <c r="J16" s="16">
        <f t="shared" si="0"/>
        <v>140</v>
      </c>
      <c r="K16" s="12">
        <v>21</v>
      </c>
      <c r="L16" s="12">
        <v>60</v>
      </c>
      <c r="M16" s="16">
        <f t="shared" si="1"/>
        <v>81</v>
      </c>
      <c r="N16" s="12">
        <v>13</v>
      </c>
      <c r="O16" s="12">
        <v>21</v>
      </c>
      <c r="P16" s="12">
        <v>21</v>
      </c>
      <c r="Q16" s="12">
        <v>11</v>
      </c>
      <c r="R16" s="12">
        <v>16</v>
      </c>
      <c r="S16" s="16">
        <v>0</v>
      </c>
      <c r="T16" s="12">
        <v>297</v>
      </c>
      <c r="U16" s="12" t="s">
        <v>62</v>
      </c>
      <c r="W16" s="10" t="str">
        <f t="shared" si="2"/>
        <v>&lt;tr&gt;&lt;td&gt;Daniel Thiessen&lt;/td&gt;&lt;td&gt;GCI&lt;/td&gt;&lt;td&gt;9&lt;/td&gt;&lt;td&gt;140&lt;/td&gt;&lt;td&gt;15.556&lt;/td&gt;&lt;td&gt;55&lt;/td&gt;&lt;td&gt;134&lt;/td&gt;&lt;td&gt;0.410&lt;/td&gt;&lt;td&gt;5&lt;/td&gt;&lt;td&gt;25&lt;/td&gt;&lt;td&gt;0.200&lt;/td&gt;&lt;td&gt;25&lt;/td&gt;&lt;td&gt;40&lt;/td&gt;&lt;td&gt;0.625&lt;/td&gt;&lt;td&gt;21&lt;/td&gt;&lt;td&gt;60&lt;/td&gt;&lt;td&gt;81&lt;/td&gt;&lt;td&gt;9.000&lt;/td&gt;&lt;td&gt;21&lt;/td&gt;&lt;td&gt;2.333&lt;/td&gt;&lt;td&gt;16&lt;/td&gt;&lt;td&gt;1.778&lt;/td&gt;&lt;td&gt;11&lt;/td&gt;&lt;td&gt;1.222&lt;/td&gt;&lt;/tr&gt;</v>
      </c>
    </row>
    <row r="17" spans="1:23" x14ac:dyDescent="0.25">
      <c r="A17" s="10">
        <v>4</v>
      </c>
      <c r="B17" s="12" t="s">
        <v>344</v>
      </c>
      <c r="C17" s="12">
        <v>14</v>
      </c>
      <c r="D17" s="12">
        <v>49</v>
      </c>
      <c r="E17" s="12">
        <v>151</v>
      </c>
      <c r="F17" s="12">
        <v>36</v>
      </c>
      <c r="G17" s="12">
        <v>111</v>
      </c>
      <c r="H17" s="12">
        <v>4</v>
      </c>
      <c r="I17" s="12">
        <v>14</v>
      </c>
      <c r="J17" s="16">
        <f t="shared" si="0"/>
        <v>138</v>
      </c>
      <c r="K17" s="12">
        <v>6</v>
      </c>
      <c r="L17" s="12">
        <v>40</v>
      </c>
      <c r="M17" s="16">
        <f t="shared" si="1"/>
        <v>46</v>
      </c>
      <c r="N17" s="12">
        <v>24</v>
      </c>
      <c r="O17" s="12">
        <v>15</v>
      </c>
      <c r="P17" s="12">
        <v>17</v>
      </c>
      <c r="Q17" s="12">
        <v>2</v>
      </c>
      <c r="R17" s="12">
        <v>17</v>
      </c>
      <c r="S17" s="16">
        <v>0</v>
      </c>
      <c r="T17" s="12">
        <v>295</v>
      </c>
      <c r="U17" s="12" t="s">
        <v>60</v>
      </c>
      <c r="W17" s="10" t="str">
        <f t="shared" si="2"/>
        <v>&lt;tr&gt;&lt;td&gt;Hanny Meskel&lt;/td&gt;&lt;td&gt;DCI&lt;/td&gt;&lt;td&gt;14&lt;/td&gt;&lt;td&gt;138&lt;/td&gt;&lt;td&gt;9.857&lt;/td&gt;&lt;td&gt;49&lt;/td&gt;&lt;td&gt;151&lt;/td&gt;&lt;td&gt;0.325&lt;/td&gt;&lt;td&gt;36&lt;/td&gt;&lt;td&gt;111&lt;/td&gt;&lt;td&gt;0.324&lt;/td&gt;&lt;td&gt;4&lt;/td&gt;&lt;td&gt;14&lt;/td&gt;&lt;td&gt;0.286&lt;/td&gt;&lt;td&gt;6&lt;/td&gt;&lt;td&gt;40&lt;/td&gt;&lt;td&gt;46&lt;/td&gt;&lt;td&gt;3.286&lt;/td&gt;&lt;td&gt;15&lt;/td&gt;&lt;td&gt;1.071&lt;/td&gt;&lt;td&gt;17&lt;/td&gt;&lt;td&gt;1.214&lt;/td&gt;&lt;td&gt;2&lt;/td&gt;&lt;td&gt;0.143&lt;/td&gt;&lt;/tr&gt;</v>
      </c>
    </row>
    <row r="18" spans="1:23" x14ac:dyDescent="0.25">
      <c r="A18" s="10">
        <v>3</v>
      </c>
      <c r="B18" s="12" t="s">
        <v>515</v>
      </c>
      <c r="C18" s="12">
        <v>15</v>
      </c>
      <c r="D18" s="12">
        <v>43</v>
      </c>
      <c r="E18" s="12">
        <v>127</v>
      </c>
      <c r="F18" s="12">
        <v>28</v>
      </c>
      <c r="G18" s="12">
        <v>65</v>
      </c>
      <c r="H18" s="12">
        <v>21</v>
      </c>
      <c r="I18" s="12">
        <v>29</v>
      </c>
      <c r="J18" s="16">
        <f t="shared" si="0"/>
        <v>135</v>
      </c>
      <c r="K18" s="12">
        <v>14</v>
      </c>
      <c r="L18" s="12">
        <v>41</v>
      </c>
      <c r="M18" s="16">
        <f t="shared" si="1"/>
        <v>55</v>
      </c>
      <c r="N18" s="12">
        <v>26</v>
      </c>
      <c r="O18" s="12">
        <v>13</v>
      </c>
      <c r="P18" s="12">
        <v>35</v>
      </c>
      <c r="Q18" s="12">
        <v>14</v>
      </c>
      <c r="R18" s="12">
        <v>18</v>
      </c>
      <c r="S18" s="16">
        <v>0</v>
      </c>
      <c r="T18" s="12">
        <v>362</v>
      </c>
      <c r="U18" s="12" t="s">
        <v>62</v>
      </c>
      <c r="W18" s="10" t="str">
        <f t="shared" si="2"/>
        <v>&lt;tr&gt;&lt;td&gt;Emmanuel Thomas&lt;/td&gt;&lt;td&gt;GCI&lt;/td&gt;&lt;td&gt;15&lt;/td&gt;&lt;td&gt;135&lt;/td&gt;&lt;td&gt;9.000&lt;/td&gt;&lt;td&gt;43&lt;/td&gt;&lt;td&gt;127&lt;/td&gt;&lt;td&gt;0.339&lt;/td&gt;&lt;td&gt;28&lt;/td&gt;&lt;td&gt;65&lt;/td&gt;&lt;td&gt;0.431&lt;/td&gt;&lt;td&gt;21&lt;/td&gt;&lt;td&gt;29&lt;/td&gt;&lt;td&gt;0.724&lt;/td&gt;&lt;td&gt;14&lt;/td&gt;&lt;td&gt;41&lt;/td&gt;&lt;td&gt;55&lt;/td&gt;&lt;td&gt;3.667&lt;/td&gt;&lt;td&gt;13&lt;/td&gt;&lt;td&gt;0.867&lt;/td&gt;&lt;td&gt;18&lt;/td&gt;&lt;td&gt;1.200&lt;/td&gt;&lt;td&gt;14&lt;/td&gt;&lt;td&gt;0.933&lt;/td&gt;&lt;/tr&gt;</v>
      </c>
    </row>
    <row r="19" spans="1:23" x14ac:dyDescent="0.25">
      <c r="A19" s="10">
        <v>12</v>
      </c>
      <c r="B19" s="12" t="s">
        <v>403</v>
      </c>
      <c r="C19" s="12">
        <v>11</v>
      </c>
      <c r="D19" s="12">
        <v>46</v>
      </c>
      <c r="E19" s="12">
        <v>116</v>
      </c>
      <c r="F19" s="12">
        <v>17</v>
      </c>
      <c r="G19" s="12">
        <v>45</v>
      </c>
      <c r="H19" s="12">
        <v>26</v>
      </c>
      <c r="I19" s="12">
        <v>51</v>
      </c>
      <c r="J19" s="16">
        <f t="shared" si="0"/>
        <v>135</v>
      </c>
      <c r="K19" s="12">
        <v>21</v>
      </c>
      <c r="L19" s="12">
        <v>30</v>
      </c>
      <c r="M19" s="16">
        <f t="shared" si="1"/>
        <v>51</v>
      </c>
      <c r="N19" s="12">
        <v>20</v>
      </c>
      <c r="O19" s="12">
        <v>17</v>
      </c>
      <c r="P19" s="12">
        <v>27</v>
      </c>
      <c r="Q19" s="12">
        <v>0</v>
      </c>
      <c r="R19" s="12">
        <v>13</v>
      </c>
      <c r="S19" s="16">
        <v>0</v>
      </c>
      <c r="T19" s="12">
        <v>365</v>
      </c>
      <c r="U19" s="12" t="s">
        <v>45</v>
      </c>
      <c r="W19" s="10" t="str">
        <f t="shared" si="2"/>
        <v>&lt;tr&gt;&lt;td&gt;Brian Casimiro&lt;/td&gt;&lt;td&gt;MC&lt;/td&gt;&lt;td&gt;11&lt;/td&gt;&lt;td&gt;135&lt;/td&gt;&lt;td&gt;12.273&lt;/td&gt;&lt;td&gt;46&lt;/td&gt;&lt;td&gt;116&lt;/td&gt;&lt;td&gt;0.397&lt;/td&gt;&lt;td&gt;17&lt;/td&gt;&lt;td&gt;45&lt;/td&gt;&lt;td&gt;0.378&lt;/td&gt;&lt;td&gt;26&lt;/td&gt;&lt;td&gt;51&lt;/td&gt;&lt;td&gt;0.510&lt;/td&gt;&lt;td&gt;21&lt;/td&gt;&lt;td&gt;30&lt;/td&gt;&lt;td&gt;51&lt;/td&gt;&lt;td&gt;4.636&lt;/td&gt;&lt;td&gt;17&lt;/td&gt;&lt;td&gt;1.545&lt;/td&gt;&lt;td&gt;13&lt;/td&gt;&lt;td&gt;1.182&lt;/td&gt;&lt;td&gt;0&lt;/td&gt;&lt;td&gt;0.000&lt;/td&gt;&lt;/tr&gt;</v>
      </c>
    </row>
    <row r="20" spans="1:23" x14ac:dyDescent="0.25">
      <c r="A20" s="10">
        <v>7</v>
      </c>
      <c r="B20" s="12" t="s">
        <v>508</v>
      </c>
      <c r="C20" s="12">
        <v>14</v>
      </c>
      <c r="D20" s="12">
        <v>54</v>
      </c>
      <c r="E20" s="12">
        <v>130</v>
      </c>
      <c r="F20" s="12">
        <v>3</v>
      </c>
      <c r="G20" s="12">
        <v>6</v>
      </c>
      <c r="H20" s="12">
        <v>23</v>
      </c>
      <c r="I20" s="12">
        <v>37</v>
      </c>
      <c r="J20" s="16">
        <f t="shared" si="0"/>
        <v>134</v>
      </c>
      <c r="K20" s="12">
        <v>32</v>
      </c>
      <c r="L20" s="12">
        <v>51</v>
      </c>
      <c r="M20" s="16">
        <f t="shared" si="1"/>
        <v>83</v>
      </c>
      <c r="N20" s="12">
        <v>29</v>
      </c>
      <c r="O20" s="12">
        <v>2</v>
      </c>
      <c r="P20" s="12">
        <v>16</v>
      </c>
      <c r="Q20" s="12">
        <v>10</v>
      </c>
      <c r="R20" s="12">
        <v>17</v>
      </c>
      <c r="S20" s="16">
        <v>0</v>
      </c>
      <c r="T20" s="12">
        <v>277</v>
      </c>
      <c r="U20" s="12" t="s">
        <v>7</v>
      </c>
      <c r="W20" s="10" t="str">
        <f t="shared" si="2"/>
        <v>&lt;tr&gt;&lt;td&gt;Brandon Dyck&lt;/td&gt;&lt;td&gt;MBCI&lt;/td&gt;&lt;td&gt;14&lt;/td&gt;&lt;td&gt;134&lt;/td&gt;&lt;td&gt;9.571&lt;/td&gt;&lt;td&gt;54&lt;/td&gt;&lt;td&gt;130&lt;/td&gt;&lt;td&gt;0.415&lt;/td&gt;&lt;td&gt;3&lt;/td&gt;&lt;td&gt;6&lt;/td&gt;&lt;td&gt;0.500&lt;/td&gt;&lt;td&gt;23&lt;/td&gt;&lt;td&gt;37&lt;/td&gt;&lt;td&gt;0.622&lt;/td&gt;&lt;td&gt;32&lt;/td&gt;&lt;td&gt;51&lt;/td&gt;&lt;td&gt;83&lt;/td&gt;&lt;td&gt;5.929&lt;/td&gt;&lt;td&gt;2&lt;/td&gt;&lt;td&gt;0.143&lt;/td&gt;&lt;td&gt;17&lt;/td&gt;&lt;td&gt;1.214&lt;/td&gt;&lt;td&gt;10&lt;/td&gt;&lt;td&gt;0.714&lt;/td&gt;&lt;/tr&gt;</v>
      </c>
    </row>
    <row r="21" spans="1:23" x14ac:dyDescent="0.25">
      <c r="A21" s="13">
        <v>3</v>
      </c>
      <c r="B21" s="12" t="s">
        <v>544</v>
      </c>
      <c r="C21" s="12">
        <v>11</v>
      </c>
      <c r="D21" s="12">
        <v>57</v>
      </c>
      <c r="E21" s="12">
        <v>108</v>
      </c>
      <c r="F21" s="12">
        <v>1</v>
      </c>
      <c r="G21" s="12">
        <v>14</v>
      </c>
      <c r="H21" s="12">
        <v>15</v>
      </c>
      <c r="I21" s="12">
        <v>22</v>
      </c>
      <c r="J21" s="16">
        <f t="shared" si="0"/>
        <v>130</v>
      </c>
      <c r="K21" s="12">
        <v>18</v>
      </c>
      <c r="L21" s="12">
        <v>30</v>
      </c>
      <c r="M21" s="16">
        <f t="shared" si="1"/>
        <v>48</v>
      </c>
      <c r="N21" s="12">
        <v>18</v>
      </c>
      <c r="O21" s="12">
        <v>8</v>
      </c>
      <c r="P21" s="12">
        <v>33</v>
      </c>
      <c r="Q21" s="12">
        <v>3</v>
      </c>
      <c r="R21" s="12">
        <v>28</v>
      </c>
      <c r="S21" s="16">
        <v>0</v>
      </c>
      <c r="T21" s="12">
        <v>317</v>
      </c>
      <c r="U21" s="12" t="s">
        <v>540</v>
      </c>
      <c r="W21" s="10" t="str">
        <f t="shared" si="2"/>
        <v>&lt;tr&gt;&lt;td&gt;Ryan Eisbrenner&lt;/td&gt;&lt;td&gt;SJR&lt;/td&gt;&lt;td&gt;11&lt;/td&gt;&lt;td&gt;130&lt;/td&gt;&lt;td&gt;11.818&lt;/td&gt;&lt;td&gt;57&lt;/td&gt;&lt;td&gt;108&lt;/td&gt;&lt;td&gt;0.528&lt;/td&gt;&lt;td&gt;1&lt;/td&gt;&lt;td&gt;14&lt;/td&gt;&lt;td&gt;0.071&lt;/td&gt;&lt;td&gt;15&lt;/td&gt;&lt;td&gt;22&lt;/td&gt;&lt;td&gt;0.682&lt;/td&gt;&lt;td&gt;18&lt;/td&gt;&lt;td&gt;30&lt;/td&gt;&lt;td&gt;48&lt;/td&gt;&lt;td&gt;4.364&lt;/td&gt;&lt;td&gt;8&lt;/td&gt;&lt;td&gt;0.727&lt;/td&gt;&lt;td&gt;28&lt;/td&gt;&lt;td&gt;2.545&lt;/td&gt;&lt;td&gt;3&lt;/td&gt;&lt;td&gt;0.273&lt;/td&gt;&lt;/tr&gt;</v>
      </c>
    </row>
    <row r="22" spans="1:23" x14ac:dyDescent="0.25">
      <c r="A22" s="10">
        <v>2</v>
      </c>
      <c r="B22" s="12" t="s">
        <v>543</v>
      </c>
      <c r="C22" s="12">
        <v>11</v>
      </c>
      <c r="D22" s="12">
        <v>49</v>
      </c>
      <c r="E22" s="12">
        <v>115</v>
      </c>
      <c r="F22" s="12">
        <v>4</v>
      </c>
      <c r="G22" s="12">
        <v>35</v>
      </c>
      <c r="H22" s="12">
        <v>24</v>
      </c>
      <c r="I22" s="12">
        <v>33</v>
      </c>
      <c r="J22" s="16">
        <f t="shared" si="0"/>
        <v>126</v>
      </c>
      <c r="K22" s="12">
        <v>13</v>
      </c>
      <c r="L22" s="12">
        <v>43</v>
      </c>
      <c r="M22" s="16">
        <f t="shared" si="1"/>
        <v>56</v>
      </c>
      <c r="N22" s="12">
        <v>21</v>
      </c>
      <c r="O22" s="12">
        <v>12</v>
      </c>
      <c r="P22" s="12">
        <v>47</v>
      </c>
      <c r="Q22" s="12">
        <v>4</v>
      </c>
      <c r="R22" s="12">
        <v>14</v>
      </c>
      <c r="S22" s="16">
        <v>0</v>
      </c>
      <c r="T22" s="12">
        <v>358</v>
      </c>
      <c r="U22" s="12" t="s">
        <v>540</v>
      </c>
      <c r="W22" s="10" t="str">
        <f t="shared" si="2"/>
        <v>&lt;tr&gt;&lt;td&gt;Anoush Sepheri&lt;/td&gt;&lt;td&gt;SJR&lt;/td&gt;&lt;td&gt;11&lt;/td&gt;&lt;td&gt;126&lt;/td&gt;&lt;td&gt;11.455&lt;/td&gt;&lt;td&gt;49&lt;/td&gt;&lt;td&gt;115&lt;/td&gt;&lt;td&gt;0.426&lt;/td&gt;&lt;td&gt;4&lt;/td&gt;&lt;td&gt;35&lt;/td&gt;&lt;td&gt;0.114&lt;/td&gt;&lt;td&gt;24&lt;/td&gt;&lt;td&gt;33&lt;/td&gt;&lt;td&gt;0.727&lt;/td&gt;&lt;td&gt;13&lt;/td&gt;&lt;td&gt;43&lt;/td&gt;&lt;td&gt;56&lt;/td&gt;&lt;td&gt;5.091&lt;/td&gt;&lt;td&gt;12&lt;/td&gt;&lt;td&gt;1.091&lt;/td&gt;&lt;td&gt;14&lt;/td&gt;&lt;td&gt;1.273&lt;/td&gt;&lt;td&gt;4&lt;/td&gt;&lt;td&gt;0.364&lt;/td&gt;&lt;/tr&gt;</v>
      </c>
    </row>
    <row r="23" spans="1:23" x14ac:dyDescent="0.25">
      <c r="A23" s="10">
        <v>5</v>
      </c>
      <c r="B23" s="12" t="s">
        <v>363</v>
      </c>
      <c r="C23" s="12">
        <v>6</v>
      </c>
      <c r="D23" s="12">
        <v>41</v>
      </c>
      <c r="E23" s="12">
        <v>96</v>
      </c>
      <c r="F23" s="12">
        <v>17</v>
      </c>
      <c r="G23" s="12">
        <v>42</v>
      </c>
      <c r="H23" s="12">
        <v>24</v>
      </c>
      <c r="I23" s="12">
        <v>34</v>
      </c>
      <c r="J23" s="16">
        <f t="shared" si="0"/>
        <v>123</v>
      </c>
      <c r="K23" s="12">
        <v>3</v>
      </c>
      <c r="L23" s="12">
        <v>10</v>
      </c>
      <c r="M23" s="16">
        <f t="shared" si="1"/>
        <v>13</v>
      </c>
      <c r="N23" s="12">
        <v>5</v>
      </c>
      <c r="O23" s="12">
        <v>17</v>
      </c>
      <c r="P23" s="12">
        <v>27</v>
      </c>
      <c r="Q23" s="12">
        <v>1</v>
      </c>
      <c r="R23" s="12">
        <v>11</v>
      </c>
      <c r="S23" s="16">
        <v>0</v>
      </c>
      <c r="T23" s="12">
        <v>150</v>
      </c>
      <c r="U23" s="12" t="s">
        <v>100</v>
      </c>
      <c r="W23" s="10" t="str">
        <f t="shared" si="2"/>
        <v>&lt;tr&gt;&lt;td&gt;Mike Olive&lt;/td&gt;&lt;td&gt;CPRS&lt;/td&gt;&lt;td&gt;6&lt;/td&gt;&lt;td&gt;123&lt;/td&gt;&lt;td&gt;20.500&lt;/td&gt;&lt;td&gt;41&lt;/td&gt;&lt;td&gt;96&lt;/td&gt;&lt;td&gt;0.427&lt;/td&gt;&lt;td&gt;17&lt;/td&gt;&lt;td&gt;42&lt;/td&gt;&lt;td&gt;0.405&lt;/td&gt;&lt;td&gt;24&lt;/td&gt;&lt;td&gt;34&lt;/td&gt;&lt;td&gt;0.706&lt;/td&gt;&lt;td&gt;3&lt;/td&gt;&lt;td&gt;10&lt;/td&gt;&lt;td&gt;13&lt;/td&gt;&lt;td&gt;2.167&lt;/td&gt;&lt;td&gt;17&lt;/td&gt;&lt;td&gt;2.833&lt;/td&gt;&lt;td&gt;11&lt;/td&gt;&lt;td&gt;1.833&lt;/td&gt;&lt;td&gt;1&lt;/td&gt;&lt;td&gt;0.167&lt;/td&gt;&lt;/tr&gt;</v>
      </c>
    </row>
    <row r="24" spans="1:23" x14ac:dyDescent="0.25">
      <c r="A24" s="10">
        <v>5</v>
      </c>
      <c r="B24" s="12" t="s">
        <v>516</v>
      </c>
      <c r="C24" s="12">
        <v>15</v>
      </c>
      <c r="D24" s="12">
        <v>45</v>
      </c>
      <c r="E24" s="12">
        <v>127</v>
      </c>
      <c r="F24" s="12">
        <v>7</v>
      </c>
      <c r="G24" s="12">
        <v>32</v>
      </c>
      <c r="H24" s="12">
        <v>23</v>
      </c>
      <c r="I24" s="12">
        <v>44</v>
      </c>
      <c r="J24" s="16">
        <f t="shared" si="0"/>
        <v>120</v>
      </c>
      <c r="K24" s="12">
        <v>17</v>
      </c>
      <c r="L24" s="12">
        <v>56</v>
      </c>
      <c r="M24" s="16">
        <f t="shared" si="1"/>
        <v>73</v>
      </c>
      <c r="N24" s="12">
        <v>16</v>
      </c>
      <c r="O24" s="12">
        <v>63</v>
      </c>
      <c r="P24" s="12">
        <v>62</v>
      </c>
      <c r="Q24" s="12">
        <v>3</v>
      </c>
      <c r="R24" s="12">
        <v>26</v>
      </c>
      <c r="S24" s="16">
        <v>0</v>
      </c>
      <c r="T24" s="12">
        <v>523</v>
      </c>
      <c r="U24" s="12" t="s">
        <v>62</v>
      </c>
      <c r="W24" s="10" t="str">
        <f t="shared" si="2"/>
        <v>&lt;tr&gt;&lt;td&gt;Sam Greenberg&lt;/td&gt;&lt;td&gt;GCI&lt;/td&gt;&lt;td&gt;15&lt;/td&gt;&lt;td&gt;120&lt;/td&gt;&lt;td&gt;8.000&lt;/td&gt;&lt;td&gt;45&lt;/td&gt;&lt;td&gt;127&lt;/td&gt;&lt;td&gt;0.354&lt;/td&gt;&lt;td&gt;7&lt;/td&gt;&lt;td&gt;32&lt;/td&gt;&lt;td&gt;0.219&lt;/td&gt;&lt;td&gt;23&lt;/td&gt;&lt;td&gt;44&lt;/td&gt;&lt;td&gt;0.523&lt;/td&gt;&lt;td&gt;17&lt;/td&gt;&lt;td&gt;56&lt;/td&gt;&lt;td&gt;73&lt;/td&gt;&lt;td&gt;4.867&lt;/td&gt;&lt;td&gt;63&lt;/td&gt;&lt;td&gt;4.200&lt;/td&gt;&lt;td&gt;26&lt;/td&gt;&lt;td&gt;1.733&lt;/td&gt;&lt;td&gt;3&lt;/td&gt;&lt;td&gt;0.200&lt;/td&gt;&lt;/tr&gt;</v>
      </c>
    </row>
    <row r="25" spans="1:23" x14ac:dyDescent="0.25">
      <c r="A25" s="10">
        <v>5</v>
      </c>
      <c r="B25" s="12" t="s">
        <v>398</v>
      </c>
      <c r="C25" s="12">
        <v>9</v>
      </c>
      <c r="D25" s="12">
        <v>39</v>
      </c>
      <c r="E25" s="12">
        <v>91</v>
      </c>
      <c r="F25" s="12">
        <v>10</v>
      </c>
      <c r="G25" s="12">
        <v>29</v>
      </c>
      <c r="H25" s="12">
        <v>32</v>
      </c>
      <c r="I25" s="12">
        <v>43</v>
      </c>
      <c r="J25" s="16">
        <f t="shared" si="0"/>
        <v>120</v>
      </c>
      <c r="K25" s="12">
        <v>8</v>
      </c>
      <c r="L25" s="12">
        <v>21</v>
      </c>
      <c r="M25" s="16">
        <f t="shared" si="1"/>
        <v>29</v>
      </c>
      <c r="N25" s="12">
        <v>31</v>
      </c>
      <c r="O25" s="12">
        <v>20</v>
      </c>
      <c r="P25" s="12">
        <v>19</v>
      </c>
      <c r="Q25" s="12">
        <v>1</v>
      </c>
      <c r="R25" s="12">
        <v>13</v>
      </c>
      <c r="S25" s="16">
        <v>0</v>
      </c>
      <c r="T25" s="12">
        <v>243</v>
      </c>
      <c r="U25" s="12" t="s">
        <v>45</v>
      </c>
      <c r="W25" s="10" t="str">
        <f t="shared" si="2"/>
        <v>&lt;tr&gt;&lt;td&gt;Miles Lisan&lt;/td&gt;&lt;td&gt;MC&lt;/td&gt;&lt;td&gt;9&lt;/td&gt;&lt;td&gt;120&lt;/td&gt;&lt;td&gt;13.333&lt;/td&gt;&lt;td&gt;39&lt;/td&gt;&lt;td&gt;91&lt;/td&gt;&lt;td&gt;0.429&lt;/td&gt;&lt;td&gt;10&lt;/td&gt;&lt;td&gt;29&lt;/td&gt;&lt;td&gt;0.345&lt;/td&gt;&lt;td&gt;32&lt;/td&gt;&lt;td&gt;43&lt;/td&gt;&lt;td&gt;0.744&lt;/td&gt;&lt;td&gt;8&lt;/td&gt;&lt;td&gt;21&lt;/td&gt;&lt;td&gt;29&lt;/td&gt;&lt;td&gt;3.222&lt;/td&gt;&lt;td&gt;20&lt;/td&gt;&lt;td&gt;2.222&lt;/td&gt;&lt;td&gt;13&lt;/td&gt;&lt;td&gt;1.444&lt;/td&gt;&lt;td&gt;1&lt;/td&gt;&lt;td&gt;0.111&lt;/td&gt;&lt;/tr&gt;</v>
      </c>
    </row>
    <row r="26" spans="1:23" x14ac:dyDescent="0.25">
      <c r="A26" s="10">
        <v>1</v>
      </c>
      <c r="B26" s="12" t="s">
        <v>433</v>
      </c>
      <c r="C26" s="12">
        <v>11</v>
      </c>
      <c r="D26" s="12">
        <v>45</v>
      </c>
      <c r="E26" s="12">
        <v>103</v>
      </c>
      <c r="F26" s="12">
        <v>4</v>
      </c>
      <c r="G26" s="12">
        <v>19</v>
      </c>
      <c r="H26" s="12">
        <v>25</v>
      </c>
      <c r="I26" s="12">
        <v>37</v>
      </c>
      <c r="J26" s="16">
        <f t="shared" si="0"/>
        <v>119</v>
      </c>
      <c r="K26" s="12">
        <v>29</v>
      </c>
      <c r="L26" s="12">
        <v>27</v>
      </c>
      <c r="M26" s="16">
        <f t="shared" si="1"/>
        <v>56</v>
      </c>
      <c r="N26" s="12">
        <v>27</v>
      </c>
      <c r="O26" s="12">
        <v>19</v>
      </c>
      <c r="P26" s="12">
        <v>26</v>
      </c>
      <c r="Q26" s="12">
        <v>0</v>
      </c>
      <c r="R26" s="12">
        <v>16</v>
      </c>
      <c r="S26" s="16">
        <v>0</v>
      </c>
      <c r="T26" s="12">
        <v>290</v>
      </c>
      <c r="U26" s="12" t="s">
        <v>80</v>
      </c>
      <c r="W26" s="10" t="str">
        <f t="shared" si="2"/>
        <v>&lt;tr&gt;&lt;td&gt;Taylor Templeton&lt;/td&gt;&lt;td&gt;VMC&lt;/td&gt;&lt;td&gt;11&lt;/td&gt;&lt;td&gt;119&lt;/td&gt;&lt;td&gt;10.818&lt;/td&gt;&lt;td&gt;45&lt;/td&gt;&lt;td&gt;103&lt;/td&gt;&lt;td&gt;0.437&lt;/td&gt;&lt;td&gt;4&lt;/td&gt;&lt;td&gt;19&lt;/td&gt;&lt;td&gt;0.211&lt;/td&gt;&lt;td&gt;25&lt;/td&gt;&lt;td&gt;37&lt;/td&gt;&lt;td&gt;0.676&lt;/td&gt;&lt;td&gt;29&lt;/td&gt;&lt;td&gt;27&lt;/td&gt;&lt;td&gt;56&lt;/td&gt;&lt;td&gt;5.091&lt;/td&gt;&lt;td&gt;19&lt;/td&gt;&lt;td&gt;1.727&lt;/td&gt;&lt;td&gt;16&lt;/td&gt;&lt;td&gt;1.455&lt;/td&gt;&lt;td&gt;0&lt;/td&gt;&lt;td&gt;0.000&lt;/td&gt;&lt;/tr&gt;</v>
      </c>
    </row>
    <row r="27" spans="1:23" x14ac:dyDescent="0.25">
      <c r="A27" s="10">
        <v>8</v>
      </c>
      <c r="B27" s="12" t="s">
        <v>693</v>
      </c>
      <c r="C27" s="12">
        <v>9</v>
      </c>
      <c r="D27" s="12">
        <v>48</v>
      </c>
      <c r="E27" s="12">
        <v>136</v>
      </c>
      <c r="F27" s="12">
        <v>6</v>
      </c>
      <c r="G27" s="12">
        <v>24</v>
      </c>
      <c r="H27" s="12">
        <v>13</v>
      </c>
      <c r="I27" s="12">
        <v>20</v>
      </c>
      <c r="J27" s="16">
        <f t="shared" si="0"/>
        <v>115</v>
      </c>
      <c r="K27" s="12">
        <v>14</v>
      </c>
      <c r="L27" s="12">
        <v>34</v>
      </c>
      <c r="M27" s="16">
        <f t="shared" si="1"/>
        <v>48</v>
      </c>
      <c r="N27" s="12">
        <v>13</v>
      </c>
      <c r="O27" s="12">
        <v>12</v>
      </c>
      <c r="P27" s="12">
        <v>22</v>
      </c>
      <c r="Q27" s="12">
        <v>2</v>
      </c>
      <c r="R27" s="12">
        <v>14</v>
      </c>
      <c r="S27" s="16">
        <v>0</v>
      </c>
      <c r="T27" s="12">
        <v>249</v>
      </c>
      <c r="U27" s="12" t="s">
        <v>78</v>
      </c>
      <c r="W27" s="10" t="str">
        <f t="shared" si="2"/>
        <v>&lt;tr&gt;&lt;td&gt;Ryan Johnson&lt;/td&gt;&lt;td&gt;SPHS&lt;/td&gt;&lt;td&gt;9&lt;/td&gt;&lt;td&gt;115&lt;/td&gt;&lt;td&gt;12.778&lt;/td&gt;&lt;td&gt;48&lt;/td&gt;&lt;td&gt;136&lt;/td&gt;&lt;td&gt;0.353&lt;/td&gt;&lt;td&gt;6&lt;/td&gt;&lt;td&gt;24&lt;/td&gt;&lt;td&gt;0.250&lt;/td&gt;&lt;td&gt;13&lt;/td&gt;&lt;td&gt;20&lt;/td&gt;&lt;td&gt;0.650&lt;/td&gt;&lt;td&gt;14&lt;/td&gt;&lt;td&gt;34&lt;/td&gt;&lt;td&gt;48&lt;/td&gt;&lt;td&gt;5.333&lt;/td&gt;&lt;td&gt;12&lt;/td&gt;&lt;td&gt;1.333&lt;/td&gt;&lt;td&gt;14&lt;/td&gt;&lt;td&gt;1.556&lt;/td&gt;&lt;td&gt;2&lt;/td&gt;&lt;td&gt;0.222&lt;/td&gt;&lt;/tr&gt;</v>
      </c>
    </row>
    <row r="28" spans="1:23" x14ac:dyDescent="0.25">
      <c r="A28" s="10">
        <v>22</v>
      </c>
      <c r="B28" s="12" t="s">
        <v>417</v>
      </c>
      <c r="C28" s="12">
        <v>8</v>
      </c>
      <c r="D28" s="12">
        <v>41</v>
      </c>
      <c r="E28" s="12">
        <v>92</v>
      </c>
      <c r="F28" s="12">
        <v>5</v>
      </c>
      <c r="G28" s="12">
        <v>24</v>
      </c>
      <c r="H28" s="12">
        <v>25</v>
      </c>
      <c r="I28" s="12">
        <v>34</v>
      </c>
      <c r="J28" s="16">
        <f t="shared" si="0"/>
        <v>112</v>
      </c>
      <c r="K28" s="12">
        <v>26</v>
      </c>
      <c r="L28" s="12">
        <v>46</v>
      </c>
      <c r="M28" s="16">
        <f t="shared" si="1"/>
        <v>72</v>
      </c>
      <c r="N28" s="12">
        <v>19</v>
      </c>
      <c r="O28" s="12">
        <v>8</v>
      </c>
      <c r="P28" s="12">
        <v>16</v>
      </c>
      <c r="Q28" s="12">
        <v>8</v>
      </c>
      <c r="R28" s="12">
        <v>16</v>
      </c>
      <c r="S28" s="16">
        <v>0</v>
      </c>
      <c r="T28" s="12">
        <v>183</v>
      </c>
      <c r="U28" s="12" t="s">
        <v>43</v>
      </c>
      <c r="W28" s="10" t="str">
        <f t="shared" si="2"/>
        <v>&lt;tr&gt;&lt;td&gt;David Mugugu&lt;/td&gt;&lt;td&gt;KEC&lt;/td&gt;&lt;td&gt;8&lt;/td&gt;&lt;td&gt;112&lt;/td&gt;&lt;td&gt;14.000&lt;/td&gt;&lt;td&gt;41&lt;/td&gt;&lt;td&gt;92&lt;/td&gt;&lt;td&gt;0.446&lt;/td&gt;&lt;td&gt;5&lt;/td&gt;&lt;td&gt;24&lt;/td&gt;&lt;td&gt;0.208&lt;/td&gt;&lt;td&gt;25&lt;/td&gt;&lt;td&gt;34&lt;/td&gt;&lt;td&gt;0.735&lt;/td&gt;&lt;td&gt;26&lt;/td&gt;&lt;td&gt;46&lt;/td&gt;&lt;td&gt;72&lt;/td&gt;&lt;td&gt;9.000&lt;/td&gt;&lt;td&gt;8&lt;/td&gt;&lt;td&gt;1.000&lt;/td&gt;&lt;td&gt;16&lt;/td&gt;&lt;td&gt;2.000&lt;/td&gt;&lt;td&gt;8&lt;/td&gt;&lt;td&gt;1.000&lt;/td&gt;&lt;/tr&gt;</v>
      </c>
    </row>
    <row r="29" spans="1:23" x14ac:dyDescent="0.25">
      <c r="A29" s="10">
        <v>10</v>
      </c>
      <c r="B29" s="12" t="s">
        <v>373</v>
      </c>
      <c r="C29" s="12">
        <v>7</v>
      </c>
      <c r="D29" s="12">
        <v>50</v>
      </c>
      <c r="E29" s="12">
        <v>113</v>
      </c>
      <c r="F29" s="12">
        <v>5</v>
      </c>
      <c r="G29" s="12">
        <v>14</v>
      </c>
      <c r="H29" s="12">
        <v>7</v>
      </c>
      <c r="I29" s="12">
        <v>13</v>
      </c>
      <c r="J29" s="16">
        <f t="shared" si="0"/>
        <v>112</v>
      </c>
      <c r="K29" s="12">
        <v>38</v>
      </c>
      <c r="L29" s="12">
        <v>51</v>
      </c>
      <c r="M29" s="16">
        <f t="shared" si="1"/>
        <v>89</v>
      </c>
      <c r="N29" s="12">
        <v>20</v>
      </c>
      <c r="O29" s="12">
        <v>18</v>
      </c>
      <c r="P29" s="12">
        <v>31</v>
      </c>
      <c r="Q29" s="12">
        <v>4</v>
      </c>
      <c r="R29" s="12">
        <v>18</v>
      </c>
      <c r="S29" s="16">
        <v>0</v>
      </c>
      <c r="T29" s="12">
        <v>190</v>
      </c>
      <c r="U29" s="12" t="s">
        <v>72</v>
      </c>
      <c r="W29" s="10" t="str">
        <f t="shared" si="2"/>
        <v>&lt;tr&gt;&lt;td&gt;Tristan Francis&lt;/td&gt;&lt;td&gt;KHS&lt;/td&gt;&lt;td&gt;7&lt;/td&gt;&lt;td&gt;112&lt;/td&gt;&lt;td&gt;16.000&lt;/td&gt;&lt;td&gt;50&lt;/td&gt;&lt;td&gt;113&lt;/td&gt;&lt;td&gt;0.442&lt;/td&gt;&lt;td&gt;5&lt;/td&gt;&lt;td&gt;14&lt;/td&gt;&lt;td&gt;0.357&lt;/td&gt;&lt;td&gt;7&lt;/td&gt;&lt;td&gt;13&lt;/td&gt;&lt;td&gt;0.538&lt;/td&gt;&lt;td&gt;38&lt;/td&gt;&lt;td&gt;51&lt;/td&gt;&lt;td&gt;89&lt;/td&gt;&lt;td&gt;12.714&lt;/td&gt;&lt;td&gt;18&lt;/td&gt;&lt;td&gt;2.571&lt;/td&gt;&lt;td&gt;18&lt;/td&gt;&lt;td&gt;2.571&lt;/td&gt;&lt;td&gt;4&lt;/td&gt;&lt;td&gt;0.571&lt;/td&gt;&lt;/tr&gt;</v>
      </c>
    </row>
    <row r="30" spans="1:23" x14ac:dyDescent="0.25">
      <c r="A30" s="10">
        <v>4</v>
      </c>
      <c r="B30" s="12" t="s">
        <v>362</v>
      </c>
      <c r="C30" s="12">
        <v>6</v>
      </c>
      <c r="D30" s="12">
        <v>38</v>
      </c>
      <c r="E30" s="12">
        <v>84</v>
      </c>
      <c r="F30" s="12">
        <v>17</v>
      </c>
      <c r="G30" s="12">
        <v>49</v>
      </c>
      <c r="H30" s="12">
        <v>19</v>
      </c>
      <c r="I30" s="12">
        <v>24</v>
      </c>
      <c r="J30" s="16">
        <f t="shared" si="0"/>
        <v>112</v>
      </c>
      <c r="K30" s="12">
        <v>3</v>
      </c>
      <c r="L30" s="12">
        <v>18</v>
      </c>
      <c r="M30" s="16">
        <f t="shared" si="1"/>
        <v>21</v>
      </c>
      <c r="N30" s="12">
        <v>9</v>
      </c>
      <c r="O30" s="12">
        <v>6</v>
      </c>
      <c r="P30" s="12">
        <v>18</v>
      </c>
      <c r="Q30" s="12">
        <v>2</v>
      </c>
      <c r="R30" s="12">
        <v>14</v>
      </c>
      <c r="S30" s="16">
        <v>0</v>
      </c>
      <c r="T30" s="12">
        <v>152</v>
      </c>
      <c r="U30" s="12" t="s">
        <v>100</v>
      </c>
      <c r="W30" s="10" t="str">
        <f t="shared" si="2"/>
        <v>&lt;tr&gt;&lt;td&gt;Riley Schaus&lt;/td&gt;&lt;td&gt;CPRS&lt;/td&gt;&lt;td&gt;6&lt;/td&gt;&lt;td&gt;112&lt;/td&gt;&lt;td&gt;18.667&lt;/td&gt;&lt;td&gt;38&lt;/td&gt;&lt;td&gt;84&lt;/td&gt;&lt;td&gt;0.452&lt;/td&gt;&lt;td&gt;17&lt;/td&gt;&lt;td&gt;49&lt;/td&gt;&lt;td&gt;0.347&lt;/td&gt;&lt;td&gt;19&lt;/td&gt;&lt;td&gt;24&lt;/td&gt;&lt;td&gt;0.792&lt;/td&gt;&lt;td&gt;3&lt;/td&gt;&lt;td&gt;18&lt;/td&gt;&lt;td&gt;21&lt;/td&gt;&lt;td&gt;3.500&lt;/td&gt;&lt;td&gt;6&lt;/td&gt;&lt;td&gt;1.000&lt;/td&gt;&lt;td&gt;14&lt;/td&gt;&lt;td&gt;2.333&lt;/td&gt;&lt;td&gt;2&lt;/td&gt;&lt;td&gt;0.333&lt;/td&gt;&lt;/tr&gt;</v>
      </c>
    </row>
    <row r="31" spans="1:23" x14ac:dyDescent="0.25">
      <c r="A31" s="10">
        <v>23</v>
      </c>
      <c r="B31" s="12" t="s">
        <v>430</v>
      </c>
      <c r="C31" s="12">
        <v>5</v>
      </c>
      <c r="D31" s="12">
        <v>44</v>
      </c>
      <c r="E31" s="12">
        <v>108</v>
      </c>
      <c r="F31" s="12">
        <v>10</v>
      </c>
      <c r="G31" s="12">
        <v>34</v>
      </c>
      <c r="H31" s="12">
        <v>11</v>
      </c>
      <c r="I31" s="12">
        <v>16</v>
      </c>
      <c r="J31" s="16">
        <f t="shared" si="0"/>
        <v>109</v>
      </c>
      <c r="K31" s="12">
        <v>13</v>
      </c>
      <c r="L31" s="12">
        <v>42</v>
      </c>
      <c r="M31" s="16">
        <f t="shared" si="1"/>
        <v>55</v>
      </c>
      <c r="N31" s="12">
        <v>13</v>
      </c>
      <c r="O31" s="12">
        <v>4</v>
      </c>
      <c r="P31" s="12">
        <v>17</v>
      </c>
      <c r="Q31" s="12">
        <v>10</v>
      </c>
      <c r="R31" s="12">
        <v>22</v>
      </c>
      <c r="S31" s="16">
        <v>0</v>
      </c>
      <c r="T31" s="12">
        <v>156</v>
      </c>
      <c r="U31" s="12" t="s">
        <v>66</v>
      </c>
      <c r="W31" s="10" t="str">
        <f t="shared" si="2"/>
        <v>&lt;tr&gt;&lt;td&gt;Eric Loeppky&lt;/td&gt;&lt;td&gt;SRSS&lt;/td&gt;&lt;td&gt;5&lt;/td&gt;&lt;td&gt;109&lt;/td&gt;&lt;td&gt;21.800&lt;/td&gt;&lt;td&gt;44&lt;/td&gt;&lt;td&gt;108&lt;/td&gt;&lt;td&gt;0.407&lt;/td&gt;&lt;td&gt;10&lt;/td&gt;&lt;td&gt;34&lt;/td&gt;&lt;td&gt;0.294&lt;/td&gt;&lt;td&gt;11&lt;/td&gt;&lt;td&gt;16&lt;/td&gt;&lt;td&gt;0.688&lt;/td&gt;&lt;td&gt;13&lt;/td&gt;&lt;td&gt;42&lt;/td&gt;&lt;td&gt;55&lt;/td&gt;&lt;td&gt;11.000&lt;/td&gt;&lt;td&gt;4&lt;/td&gt;&lt;td&gt;0.800&lt;/td&gt;&lt;td&gt;22&lt;/td&gt;&lt;td&gt;4.400&lt;/td&gt;&lt;td&gt;10&lt;/td&gt;&lt;td&gt;2.000&lt;/td&gt;&lt;/tr&gt;</v>
      </c>
    </row>
    <row r="32" spans="1:23" x14ac:dyDescent="0.25">
      <c r="A32" s="10">
        <v>7</v>
      </c>
      <c r="B32" s="12" t="s">
        <v>326</v>
      </c>
      <c r="C32" s="12">
        <v>11</v>
      </c>
      <c r="D32" s="12">
        <v>43</v>
      </c>
      <c r="E32" s="12">
        <v>128</v>
      </c>
      <c r="F32" s="12">
        <v>17</v>
      </c>
      <c r="G32" s="12">
        <v>53</v>
      </c>
      <c r="H32" s="12">
        <v>4</v>
      </c>
      <c r="I32" s="12">
        <v>5</v>
      </c>
      <c r="J32" s="16">
        <f t="shared" si="0"/>
        <v>107</v>
      </c>
      <c r="K32" s="12">
        <v>29</v>
      </c>
      <c r="L32" s="12">
        <v>34</v>
      </c>
      <c r="M32" s="16">
        <f t="shared" si="1"/>
        <v>63</v>
      </c>
      <c r="N32" s="12">
        <v>28</v>
      </c>
      <c r="O32" s="12">
        <v>22</v>
      </c>
      <c r="P32" s="12">
        <v>18</v>
      </c>
      <c r="Q32" s="12">
        <v>1</v>
      </c>
      <c r="R32" s="12">
        <v>12</v>
      </c>
      <c r="S32" s="16">
        <v>0</v>
      </c>
      <c r="T32" s="12">
        <v>367</v>
      </c>
      <c r="U32" s="12" t="s">
        <v>41</v>
      </c>
      <c r="W32" s="10" t="str">
        <f t="shared" si="2"/>
        <v>&lt;tr&gt;&lt;td&gt;Cole Penner&lt;/td&gt;&lt;td&gt;GCC&lt;/td&gt;&lt;td&gt;11&lt;/td&gt;&lt;td&gt;107&lt;/td&gt;&lt;td&gt;9.727&lt;/td&gt;&lt;td&gt;43&lt;/td&gt;&lt;td&gt;128&lt;/td&gt;&lt;td&gt;0.336&lt;/td&gt;&lt;td&gt;17&lt;/td&gt;&lt;td&gt;53&lt;/td&gt;&lt;td&gt;0.321&lt;/td&gt;&lt;td&gt;4&lt;/td&gt;&lt;td&gt;5&lt;/td&gt;&lt;td&gt;0.800&lt;/td&gt;&lt;td&gt;29&lt;/td&gt;&lt;td&gt;34&lt;/td&gt;&lt;td&gt;63&lt;/td&gt;&lt;td&gt;5.727&lt;/td&gt;&lt;td&gt;22&lt;/td&gt;&lt;td&gt;2.000&lt;/td&gt;&lt;td&gt;12&lt;/td&gt;&lt;td&gt;1.091&lt;/td&gt;&lt;td&gt;1&lt;/td&gt;&lt;td&gt;0.091&lt;/td&gt;&lt;/tr&gt;</v>
      </c>
    </row>
    <row r="33" spans="1:23" x14ac:dyDescent="0.25">
      <c r="A33" s="10">
        <v>16</v>
      </c>
      <c r="B33" s="12" t="s">
        <v>356</v>
      </c>
      <c r="C33" s="12">
        <v>13</v>
      </c>
      <c r="D33" s="12">
        <v>40</v>
      </c>
      <c r="E33" s="12">
        <v>125</v>
      </c>
      <c r="F33" s="12">
        <v>2</v>
      </c>
      <c r="G33" s="12">
        <v>17</v>
      </c>
      <c r="H33" s="12">
        <v>24</v>
      </c>
      <c r="I33" s="12">
        <v>42</v>
      </c>
      <c r="J33" s="16">
        <f t="shared" si="0"/>
        <v>106</v>
      </c>
      <c r="K33" s="12">
        <v>46</v>
      </c>
      <c r="L33" s="12">
        <v>68</v>
      </c>
      <c r="M33" s="16">
        <f t="shared" si="1"/>
        <v>114</v>
      </c>
      <c r="N33" s="12">
        <v>24</v>
      </c>
      <c r="O33" s="12">
        <v>14</v>
      </c>
      <c r="P33" s="12">
        <v>38</v>
      </c>
      <c r="Q33" s="12">
        <v>8</v>
      </c>
      <c r="R33" s="12">
        <v>19</v>
      </c>
      <c r="S33" s="16">
        <v>0</v>
      </c>
      <c r="T33" s="12">
        <v>378</v>
      </c>
      <c r="U33" s="12" t="s">
        <v>60</v>
      </c>
      <c r="W33" s="10" t="str">
        <f t="shared" si="2"/>
        <v>&lt;tr&gt;&lt;td&gt;Dini Ahmed&lt;/td&gt;&lt;td&gt;DCI&lt;/td&gt;&lt;td&gt;13&lt;/td&gt;&lt;td&gt;106&lt;/td&gt;&lt;td&gt;8.154&lt;/td&gt;&lt;td&gt;40&lt;/td&gt;&lt;td&gt;125&lt;/td&gt;&lt;td&gt;0.320&lt;/td&gt;&lt;td&gt;2&lt;/td&gt;&lt;td&gt;17&lt;/td&gt;&lt;td&gt;0.118&lt;/td&gt;&lt;td&gt;24&lt;/td&gt;&lt;td&gt;42&lt;/td&gt;&lt;td&gt;0.571&lt;/td&gt;&lt;td&gt;46&lt;/td&gt;&lt;td&gt;68&lt;/td&gt;&lt;td&gt;114&lt;/td&gt;&lt;td&gt;8.769&lt;/td&gt;&lt;td&gt;14&lt;/td&gt;&lt;td&gt;1.077&lt;/td&gt;&lt;td&gt;19&lt;/td&gt;&lt;td&gt;1.462&lt;/td&gt;&lt;td&gt;8&lt;/td&gt;&lt;td&gt;0.615&lt;/td&gt;&lt;/tr&gt;</v>
      </c>
    </row>
    <row r="34" spans="1:23" x14ac:dyDescent="0.25">
      <c r="A34" s="10">
        <v>10</v>
      </c>
      <c r="B34" s="12" t="s">
        <v>442</v>
      </c>
      <c r="C34" s="12">
        <v>9</v>
      </c>
      <c r="D34" s="12">
        <v>41</v>
      </c>
      <c r="E34" s="12">
        <v>119</v>
      </c>
      <c r="F34" s="12">
        <v>19</v>
      </c>
      <c r="G34" s="12">
        <v>63</v>
      </c>
      <c r="H34" s="12">
        <v>5</v>
      </c>
      <c r="I34" s="12">
        <v>7</v>
      </c>
      <c r="J34" s="16">
        <f t="shared" si="0"/>
        <v>106</v>
      </c>
      <c r="K34" s="12">
        <v>4</v>
      </c>
      <c r="L34" s="12">
        <v>43</v>
      </c>
      <c r="M34" s="16">
        <f t="shared" si="1"/>
        <v>47</v>
      </c>
      <c r="N34" s="12">
        <v>17</v>
      </c>
      <c r="O34" s="12">
        <v>12</v>
      </c>
      <c r="P34" s="12">
        <v>23</v>
      </c>
      <c r="Q34" s="12">
        <v>0</v>
      </c>
      <c r="R34" s="12">
        <v>16</v>
      </c>
      <c r="S34" s="16">
        <v>0</v>
      </c>
      <c r="T34" s="12">
        <v>229</v>
      </c>
      <c r="U34" s="12" t="s">
        <v>80</v>
      </c>
      <c r="W34" s="10" t="str">
        <f t="shared" si="2"/>
        <v>&lt;tr&gt;&lt;td&gt;Tim Guillou&lt;/td&gt;&lt;td&gt;VMC&lt;/td&gt;&lt;td&gt;9&lt;/td&gt;&lt;td&gt;106&lt;/td&gt;&lt;td&gt;11.778&lt;/td&gt;&lt;td&gt;41&lt;/td&gt;&lt;td&gt;119&lt;/td&gt;&lt;td&gt;0.345&lt;/td&gt;&lt;td&gt;19&lt;/td&gt;&lt;td&gt;63&lt;/td&gt;&lt;td&gt;0.302&lt;/td&gt;&lt;td&gt;5&lt;/td&gt;&lt;td&gt;7&lt;/td&gt;&lt;td&gt;0.714&lt;/td&gt;&lt;td&gt;4&lt;/td&gt;&lt;td&gt;43&lt;/td&gt;&lt;td&gt;47&lt;/td&gt;&lt;td&gt;5.222&lt;/td&gt;&lt;td&gt;12&lt;/td&gt;&lt;td&gt;1.333&lt;/td&gt;&lt;td&gt;16&lt;/td&gt;&lt;td&gt;1.778&lt;/td&gt;&lt;td&gt;0&lt;/td&gt;&lt;td&gt;0.000&lt;/td&gt;&lt;/tr&gt;</v>
      </c>
    </row>
    <row r="35" spans="1:23" x14ac:dyDescent="0.25">
      <c r="A35" s="10">
        <v>14</v>
      </c>
      <c r="B35" s="12" t="s">
        <v>699</v>
      </c>
      <c r="C35" s="12">
        <v>9</v>
      </c>
      <c r="D35" s="12">
        <v>37</v>
      </c>
      <c r="E35" s="12">
        <v>104</v>
      </c>
      <c r="F35" s="12">
        <v>7</v>
      </c>
      <c r="G35" s="12">
        <v>23</v>
      </c>
      <c r="H35" s="12">
        <v>24</v>
      </c>
      <c r="I35" s="12">
        <v>37</v>
      </c>
      <c r="J35" s="16">
        <f t="shared" si="0"/>
        <v>105</v>
      </c>
      <c r="K35" s="12">
        <v>25</v>
      </c>
      <c r="L35" s="12">
        <v>39</v>
      </c>
      <c r="M35" s="16">
        <f t="shared" si="1"/>
        <v>64</v>
      </c>
      <c r="N35" s="12">
        <v>21</v>
      </c>
      <c r="O35" s="12">
        <v>14</v>
      </c>
      <c r="P35" s="12">
        <v>15</v>
      </c>
      <c r="Q35" s="12">
        <v>8</v>
      </c>
      <c r="R35" s="12">
        <v>23</v>
      </c>
      <c r="S35" s="16">
        <v>0</v>
      </c>
      <c r="T35" s="12">
        <v>221</v>
      </c>
      <c r="U35" s="12" t="s">
        <v>78</v>
      </c>
      <c r="W35" s="10" t="str">
        <f t="shared" si="2"/>
        <v>&lt;tr&gt;&lt;td&gt;Ethan Cardinal&lt;/td&gt;&lt;td&gt;SPHS&lt;/td&gt;&lt;td&gt;9&lt;/td&gt;&lt;td&gt;105&lt;/td&gt;&lt;td&gt;11.667&lt;/td&gt;&lt;td&gt;37&lt;/td&gt;&lt;td&gt;104&lt;/td&gt;&lt;td&gt;0.356&lt;/td&gt;&lt;td&gt;7&lt;/td&gt;&lt;td&gt;23&lt;/td&gt;&lt;td&gt;0.304&lt;/td&gt;&lt;td&gt;24&lt;/td&gt;&lt;td&gt;37&lt;/td&gt;&lt;td&gt;0.649&lt;/td&gt;&lt;td&gt;25&lt;/td&gt;&lt;td&gt;39&lt;/td&gt;&lt;td&gt;64&lt;/td&gt;&lt;td&gt;7.111&lt;/td&gt;&lt;td&gt;14&lt;/td&gt;&lt;td&gt;1.556&lt;/td&gt;&lt;td&gt;23&lt;/td&gt;&lt;td&gt;2.556&lt;/td&gt;&lt;td&gt;8&lt;/td&gt;&lt;td&gt;0.889&lt;/td&gt;&lt;/tr&gt;</v>
      </c>
    </row>
    <row r="36" spans="1:23" x14ac:dyDescent="0.25">
      <c r="A36" s="10">
        <v>6</v>
      </c>
      <c r="B36" s="12" t="s">
        <v>546</v>
      </c>
      <c r="C36" s="12">
        <v>8</v>
      </c>
      <c r="D36" s="12">
        <v>41</v>
      </c>
      <c r="E36" s="12">
        <v>111</v>
      </c>
      <c r="F36" s="12">
        <v>4</v>
      </c>
      <c r="G36" s="12">
        <v>17</v>
      </c>
      <c r="H36" s="12">
        <v>19</v>
      </c>
      <c r="I36" s="12">
        <v>41</v>
      </c>
      <c r="J36" s="16">
        <f t="shared" si="0"/>
        <v>105</v>
      </c>
      <c r="K36" s="12">
        <v>22</v>
      </c>
      <c r="L36" s="12">
        <v>52</v>
      </c>
      <c r="M36" s="16">
        <f t="shared" si="1"/>
        <v>74</v>
      </c>
      <c r="N36" s="12">
        <v>24</v>
      </c>
      <c r="O36" s="12">
        <v>4</v>
      </c>
      <c r="P36" s="12">
        <v>20</v>
      </c>
      <c r="Q36" s="12">
        <v>11</v>
      </c>
      <c r="R36" s="12">
        <v>10</v>
      </c>
      <c r="S36" s="16">
        <v>0</v>
      </c>
      <c r="T36" s="12">
        <v>229</v>
      </c>
      <c r="U36" s="12" t="s">
        <v>540</v>
      </c>
      <c r="W36" s="10" t="str">
        <f t="shared" si="2"/>
        <v>&lt;tr&gt;&lt;td&gt;Manny Wood&lt;/td&gt;&lt;td&gt;SJR&lt;/td&gt;&lt;td&gt;8&lt;/td&gt;&lt;td&gt;105&lt;/td&gt;&lt;td&gt;13.125&lt;/td&gt;&lt;td&gt;41&lt;/td&gt;&lt;td&gt;111&lt;/td&gt;&lt;td&gt;0.369&lt;/td&gt;&lt;td&gt;4&lt;/td&gt;&lt;td&gt;17&lt;/td&gt;&lt;td&gt;0.235&lt;/td&gt;&lt;td&gt;19&lt;/td&gt;&lt;td&gt;41&lt;/td&gt;&lt;td&gt;0.463&lt;/td&gt;&lt;td&gt;22&lt;/td&gt;&lt;td&gt;52&lt;/td&gt;&lt;td&gt;74&lt;/td&gt;&lt;td&gt;9.250&lt;/td&gt;&lt;td&gt;4&lt;/td&gt;&lt;td&gt;0.500&lt;/td&gt;&lt;td&gt;10&lt;/td&gt;&lt;td&gt;1.250&lt;/td&gt;&lt;td&gt;11&lt;/td&gt;&lt;td&gt;1.375&lt;/td&gt;&lt;/tr&gt;</v>
      </c>
    </row>
    <row r="37" spans="1:23" x14ac:dyDescent="0.25">
      <c r="A37" s="10">
        <v>5</v>
      </c>
      <c r="B37" s="12" t="s">
        <v>335</v>
      </c>
      <c r="C37" s="12">
        <v>5</v>
      </c>
      <c r="D37" s="12">
        <v>36</v>
      </c>
      <c r="E37" s="12">
        <v>88</v>
      </c>
      <c r="F37" s="12">
        <v>22</v>
      </c>
      <c r="G37" s="12">
        <v>54</v>
      </c>
      <c r="H37" s="12">
        <v>7</v>
      </c>
      <c r="I37" s="12">
        <v>8</v>
      </c>
      <c r="J37" s="16">
        <f t="shared" si="0"/>
        <v>101</v>
      </c>
      <c r="K37" s="12">
        <v>11</v>
      </c>
      <c r="L37" s="12">
        <v>20</v>
      </c>
      <c r="M37" s="16">
        <f t="shared" si="1"/>
        <v>31</v>
      </c>
      <c r="N37" s="12">
        <v>13</v>
      </c>
      <c r="O37" s="12">
        <v>10</v>
      </c>
      <c r="P37" s="12">
        <v>12</v>
      </c>
      <c r="Q37" s="12">
        <v>0</v>
      </c>
      <c r="R37" s="12">
        <v>18</v>
      </c>
      <c r="S37" s="16">
        <v>0</v>
      </c>
      <c r="T37" s="12">
        <v>129</v>
      </c>
      <c r="U37" s="12" t="s">
        <v>92</v>
      </c>
      <c r="W37" s="10" t="str">
        <f t="shared" si="2"/>
        <v>&lt;tr&gt;&lt;td&gt;Mathew Hebert&lt;/td&gt;&lt;td&gt;SJHS&lt;/td&gt;&lt;td&gt;5&lt;/td&gt;&lt;td&gt;101&lt;/td&gt;&lt;td&gt;20.200&lt;/td&gt;&lt;td&gt;36&lt;/td&gt;&lt;td&gt;88&lt;/td&gt;&lt;td&gt;0.409&lt;/td&gt;&lt;td&gt;22&lt;/td&gt;&lt;td&gt;54&lt;/td&gt;&lt;td&gt;0.407&lt;/td&gt;&lt;td&gt;7&lt;/td&gt;&lt;td&gt;8&lt;/td&gt;&lt;td&gt;0.875&lt;/td&gt;&lt;td&gt;11&lt;/td&gt;&lt;td&gt;20&lt;/td&gt;&lt;td&gt;31&lt;/td&gt;&lt;td&gt;6.200&lt;/td&gt;&lt;td&gt;10&lt;/td&gt;&lt;td&gt;2.000&lt;/td&gt;&lt;td&gt;18&lt;/td&gt;&lt;td&gt;3.600&lt;/td&gt;&lt;td&gt;0&lt;/td&gt;&lt;td&gt;0.000&lt;/td&gt;&lt;/tr&gt;</v>
      </c>
    </row>
    <row r="38" spans="1:23" x14ac:dyDescent="0.25">
      <c r="A38" s="10">
        <v>13</v>
      </c>
      <c r="B38" s="12" t="s">
        <v>445</v>
      </c>
      <c r="C38" s="12">
        <v>8</v>
      </c>
      <c r="D38" s="12">
        <v>43</v>
      </c>
      <c r="E38" s="12">
        <v>86</v>
      </c>
      <c r="F38" s="12">
        <v>0</v>
      </c>
      <c r="G38" s="12">
        <v>1</v>
      </c>
      <c r="H38" s="12">
        <v>13</v>
      </c>
      <c r="I38" s="12">
        <v>20</v>
      </c>
      <c r="J38" s="16">
        <f t="shared" si="0"/>
        <v>99</v>
      </c>
      <c r="K38" s="12">
        <v>31</v>
      </c>
      <c r="L38" s="12">
        <v>33</v>
      </c>
      <c r="M38" s="16">
        <f t="shared" si="1"/>
        <v>64</v>
      </c>
      <c r="N38" s="12">
        <v>26</v>
      </c>
      <c r="O38" s="12">
        <v>7</v>
      </c>
      <c r="P38" s="12">
        <v>18</v>
      </c>
      <c r="Q38" s="12">
        <v>11</v>
      </c>
      <c r="R38" s="12">
        <v>6</v>
      </c>
      <c r="S38" s="16">
        <v>0</v>
      </c>
      <c r="T38" s="12">
        <v>235</v>
      </c>
      <c r="U38" s="12" t="s">
        <v>80</v>
      </c>
      <c r="W38" s="10" t="str">
        <f t="shared" si="2"/>
        <v>&lt;tr&gt;&lt;td&gt;Julian Burtniak&lt;/td&gt;&lt;td&gt;VMC&lt;/td&gt;&lt;td&gt;8&lt;/td&gt;&lt;td&gt;99&lt;/td&gt;&lt;td&gt;12.375&lt;/td&gt;&lt;td&gt;43&lt;/td&gt;&lt;td&gt;86&lt;/td&gt;&lt;td&gt;0.500&lt;/td&gt;&lt;td&gt;0&lt;/td&gt;&lt;td&gt;1&lt;/td&gt;&lt;td&gt;0.000&lt;/td&gt;&lt;td&gt;13&lt;/td&gt;&lt;td&gt;20&lt;/td&gt;&lt;td&gt;0.650&lt;/td&gt;&lt;td&gt;31&lt;/td&gt;&lt;td&gt;33&lt;/td&gt;&lt;td&gt;64&lt;/td&gt;&lt;td&gt;8.000&lt;/td&gt;&lt;td&gt;7&lt;/td&gt;&lt;td&gt;0.875&lt;/td&gt;&lt;td&gt;6&lt;/td&gt;&lt;td&gt;0.750&lt;/td&gt;&lt;td&gt;11&lt;/td&gt;&lt;td&gt;1.375&lt;/td&gt;&lt;/tr&gt;</v>
      </c>
    </row>
    <row r="39" spans="1:23" x14ac:dyDescent="0.25">
      <c r="A39" s="10">
        <v>28</v>
      </c>
      <c r="B39" s="12" t="s">
        <v>525</v>
      </c>
      <c r="C39" s="12">
        <v>12</v>
      </c>
      <c r="D39" s="12">
        <v>43</v>
      </c>
      <c r="E39" s="12">
        <v>98</v>
      </c>
      <c r="F39" s="12">
        <v>0</v>
      </c>
      <c r="G39" s="12">
        <v>7</v>
      </c>
      <c r="H39" s="12">
        <v>12</v>
      </c>
      <c r="I39" s="12">
        <v>19</v>
      </c>
      <c r="J39" s="16">
        <f t="shared" si="0"/>
        <v>98</v>
      </c>
      <c r="K39" s="12">
        <v>33</v>
      </c>
      <c r="L39" s="12">
        <v>41</v>
      </c>
      <c r="M39" s="16">
        <f t="shared" si="1"/>
        <v>74</v>
      </c>
      <c r="N39" s="12">
        <v>18</v>
      </c>
      <c r="O39" s="12">
        <v>3</v>
      </c>
      <c r="P39" s="12">
        <v>31</v>
      </c>
      <c r="Q39" s="12">
        <v>2</v>
      </c>
      <c r="R39" s="12">
        <v>7</v>
      </c>
      <c r="S39" s="16">
        <v>0</v>
      </c>
      <c r="T39" s="12">
        <v>268</v>
      </c>
      <c r="U39" s="12" t="s">
        <v>62</v>
      </c>
      <c r="W39" s="10" t="str">
        <f t="shared" si="2"/>
        <v>&lt;tr&gt;&lt;td&gt;Alan Leung&lt;/td&gt;&lt;td&gt;GCI&lt;/td&gt;&lt;td&gt;12&lt;/td&gt;&lt;td&gt;98&lt;/td&gt;&lt;td&gt;8.167&lt;/td&gt;&lt;td&gt;43&lt;/td&gt;&lt;td&gt;98&lt;/td&gt;&lt;td&gt;0.439&lt;/td&gt;&lt;td&gt;0&lt;/td&gt;&lt;td&gt;7&lt;/td&gt;&lt;td&gt;0.000&lt;/td&gt;&lt;td&gt;12&lt;/td&gt;&lt;td&gt;19&lt;/td&gt;&lt;td&gt;0.632&lt;/td&gt;&lt;td&gt;33&lt;/td&gt;&lt;td&gt;41&lt;/td&gt;&lt;td&gt;74&lt;/td&gt;&lt;td&gt;6.167&lt;/td&gt;&lt;td&gt;3&lt;/td&gt;&lt;td&gt;0.250&lt;/td&gt;&lt;td&gt;7&lt;/td&gt;&lt;td&gt;0.583&lt;/td&gt;&lt;td&gt;2&lt;/td&gt;&lt;td&gt;0.167&lt;/td&gt;&lt;/tr&gt;</v>
      </c>
    </row>
    <row r="40" spans="1:23" x14ac:dyDescent="0.25">
      <c r="A40" s="10">
        <v>9</v>
      </c>
      <c r="B40" s="12" t="s">
        <v>349</v>
      </c>
      <c r="C40" s="12">
        <v>10</v>
      </c>
      <c r="D40" s="12">
        <v>39</v>
      </c>
      <c r="E40" s="12">
        <v>100</v>
      </c>
      <c r="F40" s="12">
        <v>7</v>
      </c>
      <c r="G40" s="12">
        <v>25</v>
      </c>
      <c r="H40" s="12">
        <v>12</v>
      </c>
      <c r="I40" s="12">
        <v>13</v>
      </c>
      <c r="J40" s="16">
        <f t="shared" si="0"/>
        <v>97</v>
      </c>
      <c r="K40" s="12">
        <v>20</v>
      </c>
      <c r="L40" s="12">
        <v>50</v>
      </c>
      <c r="M40" s="16">
        <f t="shared" si="1"/>
        <v>70</v>
      </c>
      <c r="N40" s="12">
        <v>19</v>
      </c>
      <c r="O40" s="12">
        <v>18</v>
      </c>
      <c r="P40" s="12">
        <v>24</v>
      </c>
      <c r="Q40" s="12">
        <v>10</v>
      </c>
      <c r="R40" s="12">
        <v>8</v>
      </c>
      <c r="S40" s="16">
        <v>0</v>
      </c>
      <c r="T40" s="12">
        <v>234</v>
      </c>
      <c r="U40" s="12" t="s">
        <v>60</v>
      </c>
      <c r="W40" s="10" t="str">
        <f t="shared" si="2"/>
        <v>&lt;tr&gt;&lt;td&gt;Colby Kyliuk&lt;/td&gt;&lt;td&gt;DCI&lt;/td&gt;&lt;td&gt;10&lt;/td&gt;&lt;td&gt;97&lt;/td&gt;&lt;td&gt;9.700&lt;/td&gt;&lt;td&gt;39&lt;/td&gt;&lt;td&gt;100&lt;/td&gt;&lt;td&gt;0.390&lt;/td&gt;&lt;td&gt;7&lt;/td&gt;&lt;td&gt;25&lt;/td&gt;&lt;td&gt;0.280&lt;/td&gt;&lt;td&gt;12&lt;/td&gt;&lt;td&gt;13&lt;/td&gt;&lt;td&gt;0.923&lt;/td&gt;&lt;td&gt;20&lt;/td&gt;&lt;td&gt;50&lt;/td&gt;&lt;td&gt;70&lt;/td&gt;&lt;td&gt;7.000&lt;/td&gt;&lt;td&gt;18&lt;/td&gt;&lt;td&gt;1.800&lt;/td&gt;&lt;td&gt;8&lt;/td&gt;&lt;td&gt;0.800&lt;/td&gt;&lt;td&gt;10&lt;/td&gt;&lt;td&gt;1.000&lt;/td&gt;&lt;/tr&gt;</v>
      </c>
    </row>
    <row r="41" spans="1:23" x14ac:dyDescent="0.25">
      <c r="A41" s="10">
        <v>1</v>
      </c>
      <c r="B41" s="12" t="s">
        <v>306</v>
      </c>
      <c r="C41" s="12">
        <v>8</v>
      </c>
      <c r="D41" s="12">
        <v>36</v>
      </c>
      <c r="E41" s="12">
        <v>83</v>
      </c>
      <c r="F41" s="12">
        <v>23</v>
      </c>
      <c r="G41" s="12">
        <v>64</v>
      </c>
      <c r="H41" s="12">
        <v>2</v>
      </c>
      <c r="I41" s="12">
        <v>3</v>
      </c>
      <c r="J41" s="16">
        <f t="shared" si="0"/>
        <v>97</v>
      </c>
      <c r="K41" s="12">
        <v>2</v>
      </c>
      <c r="L41" s="12">
        <v>14</v>
      </c>
      <c r="M41" s="16">
        <f t="shared" si="1"/>
        <v>16</v>
      </c>
      <c r="N41" s="12">
        <v>9</v>
      </c>
      <c r="O41" s="12">
        <v>14</v>
      </c>
      <c r="P41" s="12">
        <v>23</v>
      </c>
      <c r="Q41" s="12">
        <v>0</v>
      </c>
      <c r="R41" s="12">
        <v>12</v>
      </c>
      <c r="S41" s="16">
        <v>0</v>
      </c>
      <c r="T41" s="12">
        <v>238</v>
      </c>
      <c r="U41" s="12" t="s">
        <v>74</v>
      </c>
      <c r="W41" s="10" t="str">
        <f t="shared" si="2"/>
        <v>&lt;tr&gt;&lt;td&gt;Cam MacNeil&lt;/td&gt;&lt;td&gt;OPHS&lt;/td&gt;&lt;td&gt;8&lt;/td&gt;&lt;td&gt;97&lt;/td&gt;&lt;td&gt;12.125&lt;/td&gt;&lt;td&gt;36&lt;/td&gt;&lt;td&gt;83&lt;/td&gt;&lt;td&gt;0.434&lt;/td&gt;&lt;td&gt;23&lt;/td&gt;&lt;td&gt;64&lt;/td&gt;&lt;td&gt;0.359&lt;/td&gt;&lt;td&gt;2&lt;/td&gt;&lt;td&gt;3&lt;/td&gt;&lt;td&gt;0.667&lt;/td&gt;&lt;td&gt;2&lt;/td&gt;&lt;td&gt;14&lt;/td&gt;&lt;td&gt;16&lt;/td&gt;&lt;td&gt;2.000&lt;/td&gt;&lt;td&gt;14&lt;/td&gt;&lt;td&gt;1.750&lt;/td&gt;&lt;td&gt;12&lt;/td&gt;&lt;td&gt;1.500&lt;/td&gt;&lt;td&gt;0&lt;/td&gt;&lt;td&gt;0.000&lt;/td&gt;&lt;/tr&gt;</v>
      </c>
    </row>
    <row r="42" spans="1:23" x14ac:dyDescent="0.25">
      <c r="A42" s="10">
        <v>11</v>
      </c>
      <c r="B42" s="12" t="s">
        <v>490</v>
      </c>
      <c r="C42" s="12">
        <v>8</v>
      </c>
      <c r="D42" s="12">
        <v>35</v>
      </c>
      <c r="E42" s="12">
        <v>122</v>
      </c>
      <c r="F42" s="12">
        <v>1</v>
      </c>
      <c r="G42" s="12">
        <v>12</v>
      </c>
      <c r="H42" s="12">
        <v>26</v>
      </c>
      <c r="I42" s="12">
        <v>42</v>
      </c>
      <c r="J42" s="16">
        <f t="shared" si="0"/>
        <v>97</v>
      </c>
      <c r="K42" s="12">
        <v>34</v>
      </c>
      <c r="L42" s="12">
        <v>47</v>
      </c>
      <c r="M42" s="16">
        <f t="shared" si="1"/>
        <v>81</v>
      </c>
      <c r="N42" s="12">
        <v>19</v>
      </c>
      <c r="O42" s="12">
        <v>11</v>
      </c>
      <c r="P42" s="12">
        <v>26</v>
      </c>
      <c r="Q42" s="12">
        <v>1</v>
      </c>
      <c r="R42" s="12">
        <v>22</v>
      </c>
      <c r="S42" s="16">
        <v>0</v>
      </c>
      <c r="T42" s="12">
        <v>273</v>
      </c>
      <c r="U42" s="12" t="s">
        <v>48</v>
      </c>
      <c r="W42" s="10" t="str">
        <f t="shared" si="2"/>
        <v>&lt;tr&gt;&lt;td&gt;Nicholas Blandford&lt;/td&gt;&lt;td&gt;MMC&lt;/td&gt;&lt;td&gt;8&lt;/td&gt;&lt;td&gt;97&lt;/td&gt;&lt;td&gt;12.125&lt;/td&gt;&lt;td&gt;35&lt;/td&gt;&lt;td&gt;122&lt;/td&gt;&lt;td&gt;0.287&lt;/td&gt;&lt;td&gt;1&lt;/td&gt;&lt;td&gt;12&lt;/td&gt;&lt;td&gt;0.083&lt;/td&gt;&lt;td&gt;26&lt;/td&gt;&lt;td&gt;42&lt;/td&gt;&lt;td&gt;0.619&lt;/td&gt;&lt;td&gt;34&lt;/td&gt;&lt;td&gt;47&lt;/td&gt;&lt;td&gt;81&lt;/td&gt;&lt;td&gt;10.125&lt;/td&gt;&lt;td&gt;11&lt;/td&gt;&lt;td&gt;1.375&lt;/td&gt;&lt;td&gt;22&lt;/td&gt;&lt;td&gt;2.750&lt;/td&gt;&lt;td&gt;1&lt;/td&gt;&lt;td&gt;0.125&lt;/td&gt;&lt;/tr&gt;</v>
      </c>
    </row>
    <row r="43" spans="1:23" x14ac:dyDescent="0.25">
      <c r="A43" s="10">
        <v>6</v>
      </c>
      <c r="B43" s="12" t="s">
        <v>531</v>
      </c>
      <c r="C43" s="12">
        <v>8</v>
      </c>
      <c r="D43" s="12">
        <v>41</v>
      </c>
      <c r="E43" s="12">
        <v>86</v>
      </c>
      <c r="F43" s="12">
        <v>3</v>
      </c>
      <c r="G43" s="12">
        <v>8</v>
      </c>
      <c r="H43" s="12">
        <v>11</v>
      </c>
      <c r="I43" s="12">
        <v>23</v>
      </c>
      <c r="J43" s="16">
        <f t="shared" si="0"/>
        <v>96</v>
      </c>
      <c r="K43" s="12">
        <v>27</v>
      </c>
      <c r="L43" s="12">
        <v>40</v>
      </c>
      <c r="M43" s="16">
        <f t="shared" si="1"/>
        <v>67</v>
      </c>
      <c r="N43" s="12">
        <v>15</v>
      </c>
      <c r="O43" s="12">
        <v>16</v>
      </c>
      <c r="P43" s="12">
        <v>28</v>
      </c>
      <c r="Q43" s="12">
        <v>1</v>
      </c>
      <c r="R43" s="12">
        <v>19</v>
      </c>
      <c r="S43" s="16">
        <v>0</v>
      </c>
      <c r="T43" s="12">
        <v>229</v>
      </c>
      <c r="U43" s="12" t="s">
        <v>68</v>
      </c>
      <c r="W43" s="10" t="str">
        <f t="shared" si="2"/>
        <v>&lt;tr&gt;&lt;td&gt;Jaden Harms&lt;/td&gt;&lt;td&gt;FRC&lt;/td&gt;&lt;td&gt;8&lt;/td&gt;&lt;td&gt;96&lt;/td&gt;&lt;td&gt;12.000&lt;/td&gt;&lt;td&gt;41&lt;/td&gt;&lt;td&gt;86&lt;/td&gt;&lt;td&gt;0.477&lt;/td&gt;&lt;td&gt;3&lt;/td&gt;&lt;td&gt;8&lt;/td&gt;&lt;td&gt;0.375&lt;/td&gt;&lt;td&gt;11&lt;/td&gt;&lt;td&gt;23&lt;/td&gt;&lt;td&gt;0.478&lt;/td&gt;&lt;td&gt;27&lt;/td&gt;&lt;td&gt;40&lt;/td&gt;&lt;td&gt;67&lt;/td&gt;&lt;td&gt;8.375&lt;/td&gt;&lt;td&gt;16&lt;/td&gt;&lt;td&gt;2.000&lt;/td&gt;&lt;td&gt;19&lt;/td&gt;&lt;td&gt;2.375&lt;/td&gt;&lt;td&gt;1&lt;/td&gt;&lt;td&gt;0.125&lt;/td&gt;&lt;/tr&gt;</v>
      </c>
    </row>
    <row r="44" spans="1:23" x14ac:dyDescent="0.25">
      <c r="A44" s="10">
        <v>34</v>
      </c>
      <c r="B44" s="12" t="s">
        <v>502</v>
      </c>
      <c r="C44" s="12">
        <v>8</v>
      </c>
      <c r="D44" s="12">
        <v>33</v>
      </c>
      <c r="E44" s="12">
        <v>90</v>
      </c>
      <c r="F44" s="12">
        <v>14</v>
      </c>
      <c r="G44" s="12">
        <v>50</v>
      </c>
      <c r="H44" s="12">
        <v>15</v>
      </c>
      <c r="I44" s="12">
        <v>23</v>
      </c>
      <c r="J44" s="16">
        <f t="shared" si="0"/>
        <v>95</v>
      </c>
      <c r="K44" s="12">
        <v>16</v>
      </c>
      <c r="L44" s="12">
        <v>32</v>
      </c>
      <c r="M44" s="16">
        <f t="shared" si="1"/>
        <v>48</v>
      </c>
      <c r="N44" s="12">
        <v>17</v>
      </c>
      <c r="O44" s="12">
        <v>4</v>
      </c>
      <c r="P44" s="12">
        <v>24</v>
      </c>
      <c r="Q44" s="12">
        <v>0</v>
      </c>
      <c r="R44" s="12">
        <v>9</v>
      </c>
      <c r="S44" s="16">
        <v>0</v>
      </c>
      <c r="T44" s="12">
        <v>177</v>
      </c>
      <c r="U44" s="12" t="s">
        <v>52</v>
      </c>
      <c r="W44" s="10" t="str">
        <f t="shared" si="2"/>
        <v>&lt;tr&gt;&lt;td&gt;Adam Rush&lt;/td&gt;&lt;td&gt;REC&lt;/td&gt;&lt;td&gt;8&lt;/td&gt;&lt;td&gt;95&lt;/td&gt;&lt;td&gt;11.875&lt;/td&gt;&lt;td&gt;33&lt;/td&gt;&lt;td&gt;90&lt;/td&gt;&lt;td&gt;0.367&lt;/td&gt;&lt;td&gt;14&lt;/td&gt;&lt;td&gt;50&lt;/td&gt;&lt;td&gt;0.280&lt;/td&gt;&lt;td&gt;15&lt;/td&gt;&lt;td&gt;23&lt;/td&gt;&lt;td&gt;0.652&lt;/td&gt;&lt;td&gt;16&lt;/td&gt;&lt;td&gt;32&lt;/td&gt;&lt;td&gt;48&lt;/td&gt;&lt;td&gt;6.000&lt;/td&gt;&lt;td&gt;4&lt;/td&gt;&lt;td&gt;0.500&lt;/td&gt;&lt;td&gt;9&lt;/td&gt;&lt;td&gt;1.125&lt;/td&gt;&lt;td&gt;0&lt;/td&gt;&lt;td&gt;0.000&lt;/td&gt;&lt;/tr&gt;</v>
      </c>
    </row>
    <row r="45" spans="1:23" x14ac:dyDescent="0.25">
      <c r="A45" s="10">
        <v>10</v>
      </c>
      <c r="B45" s="12" t="s">
        <v>535</v>
      </c>
      <c r="C45" s="12">
        <v>8</v>
      </c>
      <c r="D45" s="12">
        <v>35</v>
      </c>
      <c r="E45" s="12">
        <v>101</v>
      </c>
      <c r="F45" s="12">
        <v>7</v>
      </c>
      <c r="G45" s="12">
        <v>31</v>
      </c>
      <c r="H45" s="12">
        <v>17</v>
      </c>
      <c r="I45" s="12">
        <v>22</v>
      </c>
      <c r="J45" s="16">
        <f t="shared" si="0"/>
        <v>94</v>
      </c>
      <c r="K45" s="12">
        <v>19</v>
      </c>
      <c r="L45" s="12">
        <v>31</v>
      </c>
      <c r="M45" s="16">
        <f t="shared" si="1"/>
        <v>50</v>
      </c>
      <c r="N45" s="12">
        <v>10</v>
      </c>
      <c r="O45" s="12">
        <v>11</v>
      </c>
      <c r="P45" s="12">
        <v>30</v>
      </c>
      <c r="Q45" s="12">
        <v>5</v>
      </c>
      <c r="R45" s="12">
        <v>8</v>
      </c>
      <c r="S45" s="16">
        <v>0</v>
      </c>
      <c r="T45" s="12">
        <v>215</v>
      </c>
      <c r="U45" s="12" t="s">
        <v>68</v>
      </c>
      <c r="W45" s="10" t="str">
        <f t="shared" si="2"/>
        <v>&lt;tr&gt;&lt;td&gt;Rodney Mutaasa&lt;/td&gt;&lt;td&gt;FRC&lt;/td&gt;&lt;td&gt;8&lt;/td&gt;&lt;td&gt;94&lt;/td&gt;&lt;td&gt;11.750&lt;/td&gt;&lt;td&gt;35&lt;/td&gt;&lt;td&gt;101&lt;/td&gt;&lt;td&gt;0.347&lt;/td&gt;&lt;td&gt;7&lt;/td&gt;&lt;td&gt;31&lt;/td&gt;&lt;td&gt;0.226&lt;/td&gt;&lt;td&gt;17&lt;/td&gt;&lt;td&gt;22&lt;/td&gt;&lt;td&gt;0.773&lt;/td&gt;&lt;td&gt;19&lt;/td&gt;&lt;td&gt;31&lt;/td&gt;&lt;td&gt;50&lt;/td&gt;&lt;td&gt;6.250&lt;/td&gt;&lt;td&gt;11&lt;/td&gt;&lt;td&gt;1.375&lt;/td&gt;&lt;td&gt;8&lt;/td&gt;&lt;td&gt;1.000&lt;/td&gt;&lt;td&gt;5&lt;/td&gt;&lt;td&gt;0.625&lt;/td&gt;&lt;/tr&gt;</v>
      </c>
    </row>
    <row r="46" spans="1:23" x14ac:dyDescent="0.25">
      <c r="A46" s="10">
        <v>23</v>
      </c>
      <c r="B46" s="12" t="s">
        <v>382</v>
      </c>
      <c r="C46" s="12">
        <v>8</v>
      </c>
      <c r="D46" s="12">
        <v>27</v>
      </c>
      <c r="E46" s="12">
        <v>83</v>
      </c>
      <c r="F46" s="12">
        <v>6</v>
      </c>
      <c r="G46" s="12">
        <v>30</v>
      </c>
      <c r="H46" s="12">
        <v>33</v>
      </c>
      <c r="I46" s="12">
        <v>44</v>
      </c>
      <c r="J46" s="16">
        <f t="shared" si="0"/>
        <v>93</v>
      </c>
      <c r="K46" s="12">
        <v>12</v>
      </c>
      <c r="L46" s="12">
        <v>36</v>
      </c>
      <c r="M46" s="16">
        <f t="shared" si="1"/>
        <v>48</v>
      </c>
      <c r="N46" s="12">
        <v>13</v>
      </c>
      <c r="O46" s="12">
        <v>10</v>
      </c>
      <c r="P46" s="12">
        <v>20</v>
      </c>
      <c r="Q46" s="12">
        <v>2</v>
      </c>
      <c r="R46" s="12">
        <v>18</v>
      </c>
      <c r="S46" s="16">
        <v>0</v>
      </c>
      <c r="T46" s="12">
        <v>198</v>
      </c>
      <c r="U46" s="12" t="s">
        <v>72</v>
      </c>
      <c r="W46" s="10" t="str">
        <f t="shared" si="2"/>
        <v>&lt;tr&gt;&lt;td&gt;Nicolas Kasmik&lt;/td&gt;&lt;td&gt;KHS&lt;/td&gt;&lt;td&gt;8&lt;/td&gt;&lt;td&gt;93&lt;/td&gt;&lt;td&gt;11.625&lt;/td&gt;&lt;td&gt;27&lt;/td&gt;&lt;td&gt;83&lt;/td&gt;&lt;td&gt;0.325&lt;/td&gt;&lt;td&gt;6&lt;/td&gt;&lt;td&gt;30&lt;/td&gt;&lt;td&gt;0.200&lt;/td&gt;&lt;td&gt;33&lt;/td&gt;&lt;td&gt;44&lt;/td&gt;&lt;td&gt;0.750&lt;/td&gt;&lt;td&gt;12&lt;/td&gt;&lt;td&gt;36&lt;/td&gt;&lt;td&gt;48&lt;/td&gt;&lt;td&gt;6.000&lt;/td&gt;&lt;td&gt;10&lt;/td&gt;&lt;td&gt;1.250&lt;/td&gt;&lt;td&gt;18&lt;/td&gt;&lt;td&gt;2.250&lt;/td&gt;&lt;td&gt;2&lt;/td&gt;&lt;td&gt;0.250&lt;/td&gt;&lt;/tr&gt;</v>
      </c>
    </row>
    <row r="47" spans="1:23" x14ac:dyDescent="0.25">
      <c r="A47" s="10">
        <v>14</v>
      </c>
      <c r="B47" s="12" t="s">
        <v>498</v>
      </c>
      <c r="C47" s="12">
        <v>8</v>
      </c>
      <c r="D47" s="12">
        <v>33</v>
      </c>
      <c r="E47" s="12">
        <v>73</v>
      </c>
      <c r="F47" s="12">
        <v>0</v>
      </c>
      <c r="G47" s="12">
        <v>1</v>
      </c>
      <c r="H47" s="12">
        <v>27</v>
      </c>
      <c r="I47" s="12">
        <v>55</v>
      </c>
      <c r="J47" s="16">
        <f t="shared" si="0"/>
        <v>93</v>
      </c>
      <c r="K47" s="12">
        <v>37</v>
      </c>
      <c r="L47" s="12">
        <v>56</v>
      </c>
      <c r="M47" s="16">
        <f t="shared" si="1"/>
        <v>93</v>
      </c>
      <c r="N47" s="12">
        <v>15</v>
      </c>
      <c r="O47" s="12">
        <v>7</v>
      </c>
      <c r="P47" s="12">
        <v>13</v>
      </c>
      <c r="Q47" s="12">
        <v>13</v>
      </c>
      <c r="R47" s="12">
        <v>8</v>
      </c>
      <c r="S47" s="16">
        <v>0</v>
      </c>
      <c r="T47" s="12">
        <v>210</v>
      </c>
      <c r="U47" s="12" t="s">
        <v>52</v>
      </c>
      <c r="W47" s="10" t="str">
        <f t="shared" si="2"/>
        <v>&lt;tr&gt;&lt;td&gt;Dolapo Ogungbemi&lt;/td&gt;&lt;td&gt;REC&lt;/td&gt;&lt;td&gt;8&lt;/td&gt;&lt;td&gt;93&lt;/td&gt;&lt;td&gt;11.625&lt;/td&gt;&lt;td&gt;33&lt;/td&gt;&lt;td&gt;73&lt;/td&gt;&lt;td&gt;0.452&lt;/td&gt;&lt;td&gt;0&lt;/td&gt;&lt;td&gt;1&lt;/td&gt;&lt;td&gt;0.000&lt;/td&gt;&lt;td&gt;27&lt;/td&gt;&lt;td&gt;55&lt;/td&gt;&lt;td&gt;0.491&lt;/td&gt;&lt;td&gt;37&lt;/td&gt;&lt;td&gt;56&lt;/td&gt;&lt;td&gt;93&lt;/td&gt;&lt;td&gt;11.625&lt;/td&gt;&lt;td&gt;7&lt;/td&gt;&lt;td&gt;0.875&lt;/td&gt;&lt;td&gt;8&lt;/td&gt;&lt;td&gt;1.000&lt;/td&gt;&lt;td&gt;13&lt;/td&gt;&lt;td&gt;1.625&lt;/td&gt;&lt;/tr&gt;</v>
      </c>
    </row>
    <row r="48" spans="1:23" x14ac:dyDescent="0.25">
      <c r="A48" s="10">
        <v>8</v>
      </c>
      <c r="B48" s="12" t="s">
        <v>679</v>
      </c>
      <c r="C48" s="12">
        <v>7</v>
      </c>
      <c r="D48" s="12">
        <v>33</v>
      </c>
      <c r="E48" s="12">
        <v>96</v>
      </c>
      <c r="F48" s="12">
        <v>14</v>
      </c>
      <c r="G48" s="12">
        <v>49</v>
      </c>
      <c r="H48" s="12">
        <v>13</v>
      </c>
      <c r="I48" s="12">
        <v>25</v>
      </c>
      <c r="J48" s="16">
        <f t="shared" si="0"/>
        <v>93</v>
      </c>
      <c r="K48" s="12">
        <v>14</v>
      </c>
      <c r="L48" s="12">
        <v>18</v>
      </c>
      <c r="M48" s="16">
        <f t="shared" si="1"/>
        <v>32</v>
      </c>
      <c r="N48" s="12">
        <v>18</v>
      </c>
      <c r="O48" s="12">
        <v>6</v>
      </c>
      <c r="P48" s="12">
        <v>23</v>
      </c>
      <c r="Q48" s="12">
        <v>6</v>
      </c>
      <c r="R48" s="12">
        <v>10</v>
      </c>
      <c r="S48" s="16">
        <v>0</v>
      </c>
      <c r="T48" s="12">
        <v>137</v>
      </c>
      <c r="U48" s="12" t="s">
        <v>82</v>
      </c>
      <c r="W48" s="10" t="str">
        <f t="shared" si="2"/>
        <v>&lt;tr&gt;&lt;td&gt;Keishawn Mitchell&lt;/td&gt;&lt;td&gt;DMCI&lt;/td&gt;&lt;td&gt;7&lt;/td&gt;&lt;td&gt;93&lt;/td&gt;&lt;td&gt;13.286&lt;/td&gt;&lt;td&gt;33&lt;/td&gt;&lt;td&gt;96&lt;/td&gt;&lt;td&gt;0.344&lt;/td&gt;&lt;td&gt;14&lt;/td&gt;&lt;td&gt;49&lt;/td&gt;&lt;td&gt;0.286&lt;/td&gt;&lt;td&gt;13&lt;/td&gt;&lt;td&gt;25&lt;/td&gt;&lt;td&gt;0.520&lt;/td&gt;&lt;td&gt;14&lt;/td&gt;&lt;td&gt;18&lt;/td&gt;&lt;td&gt;32&lt;/td&gt;&lt;td&gt;4.571&lt;/td&gt;&lt;td&gt;6&lt;/td&gt;&lt;td&gt;0.857&lt;/td&gt;&lt;td&gt;10&lt;/td&gt;&lt;td&gt;1.429&lt;/td&gt;&lt;td&gt;6&lt;/td&gt;&lt;td&gt;0.857&lt;/td&gt;&lt;/tr&gt;</v>
      </c>
    </row>
    <row r="49" spans="1:23" x14ac:dyDescent="0.25">
      <c r="A49" s="10">
        <v>5</v>
      </c>
      <c r="B49" s="12" t="s">
        <v>676</v>
      </c>
      <c r="C49" s="12">
        <v>7</v>
      </c>
      <c r="D49" s="12">
        <v>36</v>
      </c>
      <c r="E49" s="12">
        <v>81</v>
      </c>
      <c r="F49" s="12">
        <v>12</v>
      </c>
      <c r="G49" s="12">
        <v>30</v>
      </c>
      <c r="H49" s="12">
        <v>8</v>
      </c>
      <c r="I49" s="12">
        <v>9</v>
      </c>
      <c r="J49" s="16">
        <f t="shared" si="0"/>
        <v>92</v>
      </c>
      <c r="K49" s="12">
        <v>21</v>
      </c>
      <c r="L49" s="12">
        <v>32</v>
      </c>
      <c r="M49" s="16">
        <f t="shared" si="1"/>
        <v>53</v>
      </c>
      <c r="N49" s="12">
        <v>20</v>
      </c>
      <c r="O49" s="12">
        <v>16</v>
      </c>
      <c r="P49" s="12">
        <v>23</v>
      </c>
      <c r="Q49" s="12">
        <v>2</v>
      </c>
      <c r="R49" s="12">
        <v>13</v>
      </c>
      <c r="S49" s="16">
        <v>0</v>
      </c>
      <c r="T49" s="12">
        <v>198</v>
      </c>
      <c r="U49" s="12" t="s">
        <v>82</v>
      </c>
      <c r="W49" s="10" t="str">
        <f t="shared" si="2"/>
        <v>&lt;tr&gt;&lt;td&gt;Bryan Cabigao&lt;/td&gt;&lt;td&gt;DMCI&lt;/td&gt;&lt;td&gt;7&lt;/td&gt;&lt;td&gt;92&lt;/td&gt;&lt;td&gt;13.143&lt;/td&gt;&lt;td&gt;36&lt;/td&gt;&lt;td&gt;81&lt;/td&gt;&lt;td&gt;0.444&lt;/td&gt;&lt;td&gt;12&lt;/td&gt;&lt;td&gt;30&lt;/td&gt;&lt;td&gt;0.400&lt;/td&gt;&lt;td&gt;8&lt;/td&gt;&lt;td&gt;9&lt;/td&gt;&lt;td&gt;0.889&lt;/td&gt;&lt;td&gt;21&lt;/td&gt;&lt;td&gt;32&lt;/td&gt;&lt;td&gt;53&lt;/td&gt;&lt;td&gt;7.571&lt;/td&gt;&lt;td&gt;16&lt;/td&gt;&lt;td&gt;2.286&lt;/td&gt;&lt;td&gt;13&lt;/td&gt;&lt;td&gt;1.857&lt;/td&gt;&lt;td&gt;2&lt;/td&gt;&lt;td&gt;0.286&lt;/td&gt;&lt;/tr&gt;</v>
      </c>
    </row>
    <row r="50" spans="1:23" x14ac:dyDescent="0.25">
      <c r="A50" s="10">
        <v>30</v>
      </c>
      <c r="B50" s="12" t="s">
        <v>493</v>
      </c>
      <c r="C50" s="12">
        <v>8</v>
      </c>
      <c r="D50" s="12">
        <v>34</v>
      </c>
      <c r="E50" s="12">
        <v>116</v>
      </c>
      <c r="F50" s="12">
        <v>6</v>
      </c>
      <c r="G50" s="12">
        <v>36</v>
      </c>
      <c r="H50" s="12">
        <v>17</v>
      </c>
      <c r="I50" s="12">
        <v>27</v>
      </c>
      <c r="J50" s="16">
        <f t="shared" si="0"/>
        <v>91</v>
      </c>
      <c r="K50" s="12">
        <v>4</v>
      </c>
      <c r="L50" s="12">
        <v>27</v>
      </c>
      <c r="M50" s="16">
        <f t="shared" si="1"/>
        <v>31</v>
      </c>
      <c r="N50" s="12">
        <v>18</v>
      </c>
      <c r="O50" s="12">
        <v>15</v>
      </c>
      <c r="P50" s="12">
        <v>41</v>
      </c>
      <c r="Q50" s="12">
        <v>0</v>
      </c>
      <c r="R50" s="12">
        <v>19</v>
      </c>
      <c r="S50" s="16">
        <v>0</v>
      </c>
      <c r="T50" s="12">
        <v>257</v>
      </c>
      <c r="U50" s="12" t="s">
        <v>48</v>
      </c>
      <c r="W50" s="10" t="str">
        <f t="shared" si="2"/>
        <v>&lt;tr&gt;&lt;td&gt;Colin Schroeder&lt;/td&gt;&lt;td&gt;MMC&lt;/td&gt;&lt;td&gt;8&lt;/td&gt;&lt;td&gt;91&lt;/td&gt;&lt;td&gt;11.375&lt;/td&gt;&lt;td&gt;34&lt;/td&gt;&lt;td&gt;116&lt;/td&gt;&lt;td&gt;0.293&lt;/td&gt;&lt;td&gt;6&lt;/td&gt;&lt;td&gt;36&lt;/td&gt;&lt;td&gt;0.167&lt;/td&gt;&lt;td&gt;17&lt;/td&gt;&lt;td&gt;27&lt;/td&gt;&lt;td&gt;0.630&lt;/td&gt;&lt;td&gt;4&lt;/td&gt;&lt;td&gt;27&lt;/td&gt;&lt;td&gt;31&lt;/td&gt;&lt;td&gt;3.875&lt;/td&gt;&lt;td&gt;15&lt;/td&gt;&lt;td&gt;1.875&lt;/td&gt;&lt;td&gt;19&lt;/td&gt;&lt;td&gt;2.375&lt;/td&gt;&lt;td&gt;0&lt;/td&gt;&lt;td&gt;0.000&lt;/td&gt;&lt;/tr&gt;</v>
      </c>
    </row>
    <row r="51" spans="1:23" x14ac:dyDescent="0.25">
      <c r="A51" s="13">
        <v>14</v>
      </c>
      <c r="B51" s="12" t="s">
        <v>354</v>
      </c>
      <c r="C51" s="12">
        <v>14</v>
      </c>
      <c r="D51" s="12">
        <v>30</v>
      </c>
      <c r="E51" s="12">
        <v>75</v>
      </c>
      <c r="F51" s="12">
        <v>15</v>
      </c>
      <c r="G51" s="12">
        <v>32</v>
      </c>
      <c r="H51" s="12">
        <v>15</v>
      </c>
      <c r="I51" s="12">
        <v>22</v>
      </c>
      <c r="J51" s="16">
        <f t="shared" si="0"/>
        <v>90</v>
      </c>
      <c r="K51" s="12">
        <v>21</v>
      </c>
      <c r="L51" s="12">
        <v>37</v>
      </c>
      <c r="M51" s="16">
        <f t="shared" si="1"/>
        <v>58</v>
      </c>
      <c r="N51" s="12">
        <v>18</v>
      </c>
      <c r="O51" s="12">
        <v>15</v>
      </c>
      <c r="P51" s="12">
        <v>40</v>
      </c>
      <c r="Q51" s="12">
        <v>0</v>
      </c>
      <c r="R51" s="12">
        <v>20</v>
      </c>
      <c r="S51" s="16">
        <v>0</v>
      </c>
      <c r="T51" s="12">
        <v>340</v>
      </c>
      <c r="U51" s="12" t="s">
        <v>60</v>
      </c>
      <c r="W51" s="10" t="str">
        <f t="shared" si="2"/>
        <v>&lt;tr&gt;&lt;td&gt;Matt Klysh&lt;/td&gt;&lt;td&gt;DCI&lt;/td&gt;&lt;td&gt;14&lt;/td&gt;&lt;td&gt;90&lt;/td&gt;&lt;td&gt;6.429&lt;/td&gt;&lt;td&gt;30&lt;/td&gt;&lt;td&gt;75&lt;/td&gt;&lt;td&gt;0.400&lt;/td&gt;&lt;td&gt;15&lt;/td&gt;&lt;td&gt;32&lt;/td&gt;&lt;td&gt;0.469&lt;/td&gt;&lt;td&gt;15&lt;/td&gt;&lt;td&gt;22&lt;/td&gt;&lt;td&gt;0.682&lt;/td&gt;&lt;td&gt;21&lt;/td&gt;&lt;td&gt;37&lt;/td&gt;&lt;td&gt;58&lt;/td&gt;&lt;td&gt;4.143&lt;/td&gt;&lt;td&gt;15&lt;/td&gt;&lt;td&gt;1.071&lt;/td&gt;&lt;td&gt;20&lt;/td&gt;&lt;td&gt;1.429&lt;/td&gt;&lt;td&gt;0&lt;/td&gt;&lt;td&gt;0.000&lt;/td&gt;&lt;/tr&gt;</v>
      </c>
    </row>
    <row r="52" spans="1:23" x14ac:dyDescent="0.25">
      <c r="A52" s="10">
        <v>13</v>
      </c>
      <c r="B52" s="12" t="s">
        <v>549</v>
      </c>
      <c r="C52" s="12">
        <v>11</v>
      </c>
      <c r="D52" s="12">
        <v>42</v>
      </c>
      <c r="E52" s="12">
        <v>91</v>
      </c>
      <c r="F52" s="12">
        <v>0</v>
      </c>
      <c r="G52" s="12">
        <v>2</v>
      </c>
      <c r="H52" s="12">
        <v>5</v>
      </c>
      <c r="I52" s="12">
        <v>14</v>
      </c>
      <c r="J52" s="16">
        <f t="shared" si="0"/>
        <v>89</v>
      </c>
      <c r="K52" s="12">
        <v>28</v>
      </c>
      <c r="L52" s="12">
        <v>41</v>
      </c>
      <c r="M52" s="16">
        <f t="shared" si="1"/>
        <v>69</v>
      </c>
      <c r="N52" s="12">
        <v>28</v>
      </c>
      <c r="O52" s="12">
        <v>6</v>
      </c>
      <c r="P52" s="12">
        <v>24</v>
      </c>
      <c r="Q52" s="12">
        <v>0</v>
      </c>
      <c r="R52" s="12">
        <v>12</v>
      </c>
      <c r="S52" s="16">
        <v>0</v>
      </c>
      <c r="T52" s="12">
        <v>292</v>
      </c>
      <c r="U52" s="12" t="s">
        <v>540</v>
      </c>
      <c r="W52" s="10" t="str">
        <f t="shared" si="2"/>
        <v>&lt;tr&gt;&lt;td&gt;Vaelan Sriranjan&lt;/td&gt;&lt;td&gt;SJR&lt;/td&gt;&lt;td&gt;11&lt;/td&gt;&lt;td&gt;89&lt;/td&gt;&lt;td&gt;8.091&lt;/td&gt;&lt;td&gt;42&lt;/td&gt;&lt;td&gt;91&lt;/td&gt;&lt;td&gt;0.462&lt;/td&gt;&lt;td&gt;0&lt;/td&gt;&lt;td&gt;2&lt;/td&gt;&lt;td&gt;0.000&lt;/td&gt;&lt;td&gt;5&lt;/td&gt;&lt;td&gt;14&lt;/td&gt;&lt;td&gt;0.357&lt;/td&gt;&lt;td&gt;28&lt;/td&gt;&lt;td&gt;41&lt;/td&gt;&lt;td&gt;69&lt;/td&gt;&lt;td&gt;6.273&lt;/td&gt;&lt;td&gt;6&lt;/td&gt;&lt;td&gt;0.545&lt;/td&gt;&lt;td&gt;12&lt;/td&gt;&lt;td&gt;1.091&lt;/td&gt;&lt;td&gt;0&lt;/td&gt;&lt;td&gt;0.000&lt;/td&gt;&lt;/tr&gt;</v>
      </c>
    </row>
    <row r="53" spans="1:23" x14ac:dyDescent="0.25">
      <c r="A53" s="10">
        <v>11</v>
      </c>
      <c r="B53" s="12" t="s">
        <v>536</v>
      </c>
      <c r="C53" s="12">
        <v>8</v>
      </c>
      <c r="D53" s="12">
        <v>31</v>
      </c>
      <c r="E53" s="12">
        <v>74</v>
      </c>
      <c r="F53" s="12">
        <v>9</v>
      </c>
      <c r="G53" s="12">
        <v>29</v>
      </c>
      <c r="H53" s="12">
        <v>18</v>
      </c>
      <c r="I53" s="12">
        <v>28</v>
      </c>
      <c r="J53" s="16">
        <f t="shared" si="0"/>
        <v>89</v>
      </c>
      <c r="K53" s="12">
        <v>13</v>
      </c>
      <c r="L53" s="12">
        <v>34</v>
      </c>
      <c r="M53" s="16">
        <f t="shared" si="1"/>
        <v>47</v>
      </c>
      <c r="N53" s="12">
        <v>19</v>
      </c>
      <c r="O53" s="12">
        <v>7</v>
      </c>
      <c r="P53" s="12">
        <v>18</v>
      </c>
      <c r="Q53" s="12">
        <v>1</v>
      </c>
      <c r="R53" s="12">
        <v>2</v>
      </c>
      <c r="S53" s="16">
        <v>0</v>
      </c>
      <c r="T53" s="12">
        <v>163</v>
      </c>
      <c r="U53" s="12" t="s">
        <v>68</v>
      </c>
      <c r="W53" s="10" t="str">
        <f t="shared" si="2"/>
        <v>&lt;tr&gt;&lt;td&gt;Nick Bueno&lt;/td&gt;&lt;td&gt;FRC&lt;/td&gt;&lt;td&gt;8&lt;/td&gt;&lt;td&gt;89&lt;/td&gt;&lt;td&gt;11.125&lt;/td&gt;&lt;td&gt;31&lt;/td&gt;&lt;td&gt;74&lt;/td&gt;&lt;td&gt;0.419&lt;/td&gt;&lt;td&gt;9&lt;/td&gt;&lt;td&gt;29&lt;/td&gt;&lt;td&gt;0.310&lt;/td&gt;&lt;td&gt;18&lt;/td&gt;&lt;td&gt;28&lt;/td&gt;&lt;td&gt;0.643&lt;/td&gt;&lt;td&gt;13&lt;/td&gt;&lt;td&gt;34&lt;/td&gt;&lt;td&gt;47&lt;/td&gt;&lt;td&gt;5.875&lt;/td&gt;&lt;td&gt;7&lt;/td&gt;&lt;td&gt;0.875&lt;/td&gt;&lt;td&gt;2&lt;/td&gt;&lt;td&gt;0.250&lt;/td&gt;&lt;td&gt;1&lt;/td&gt;&lt;td&gt;0.125&lt;/td&gt;&lt;/tr&gt;</v>
      </c>
    </row>
    <row r="54" spans="1:23" x14ac:dyDescent="0.25">
      <c r="A54" s="10">
        <v>4</v>
      </c>
      <c r="B54" s="12" t="s">
        <v>689</v>
      </c>
      <c r="C54" s="12">
        <v>9</v>
      </c>
      <c r="D54" s="12">
        <v>32</v>
      </c>
      <c r="E54" s="12">
        <v>92</v>
      </c>
      <c r="F54" s="12">
        <v>18</v>
      </c>
      <c r="G54" s="12">
        <v>55</v>
      </c>
      <c r="H54" s="12">
        <v>6</v>
      </c>
      <c r="I54" s="12">
        <v>10</v>
      </c>
      <c r="J54" s="16">
        <f t="shared" si="0"/>
        <v>88</v>
      </c>
      <c r="K54" s="12">
        <v>8</v>
      </c>
      <c r="L54" s="12">
        <v>28</v>
      </c>
      <c r="M54" s="16">
        <f t="shared" si="1"/>
        <v>36</v>
      </c>
      <c r="N54" s="12">
        <v>14</v>
      </c>
      <c r="O54" s="12">
        <v>11</v>
      </c>
      <c r="P54" s="12">
        <v>12</v>
      </c>
      <c r="Q54" s="12">
        <v>2</v>
      </c>
      <c r="R54" s="12">
        <v>13</v>
      </c>
      <c r="S54" s="16">
        <v>0</v>
      </c>
      <c r="T54" s="12">
        <v>225</v>
      </c>
      <c r="U54" s="12" t="s">
        <v>78</v>
      </c>
      <c r="W54" s="10" t="str">
        <f t="shared" si="2"/>
        <v>&lt;tr&gt;&lt;td&gt;Nick Laping&lt;/td&gt;&lt;td&gt;SPHS&lt;/td&gt;&lt;td&gt;9&lt;/td&gt;&lt;td&gt;88&lt;/td&gt;&lt;td&gt;9.778&lt;/td&gt;&lt;td&gt;32&lt;/td&gt;&lt;td&gt;92&lt;/td&gt;&lt;td&gt;0.348&lt;/td&gt;&lt;td&gt;18&lt;/td&gt;&lt;td&gt;55&lt;/td&gt;&lt;td&gt;0.327&lt;/td&gt;&lt;td&gt;6&lt;/td&gt;&lt;td&gt;10&lt;/td&gt;&lt;td&gt;0.600&lt;/td&gt;&lt;td&gt;8&lt;/td&gt;&lt;td&gt;28&lt;/td&gt;&lt;td&gt;36&lt;/td&gt;&lt;td&gt;4.000&lt;/td&gt;&lt;td&gt;11&lt;/td&gt;&lt;td&gt;1.222&lt;/td&gt;&lt;td&gt;13&lt;/td&gt;&lt;td&gt;1.444&lt;/td&gt;&lt;td&gt;2&lt;/td&gt;&lt;td&gt;0.222&lt;/td&gt;&lt;/tr&gt;</v>
      </c>
    </row>
    <row r="55" spans="1:23" x14ac:dyDescent="0.25">
      <c r="A55" s="10">
        <v>16</v>
      </c>
      <c r="B55" s="12" t="s">
        <v>671</v>
      </c>
      <c r="C55" s="12">
        <v>7</v>
      </c>
      <c r="D55" s="12">
        <v>33</v>
      </c>
      <c r="E55" s="12">
        <v>68</v>
      </c>
      <c r="F55" s="12">
        <v>6</v>
      </c>
      <c r="G55" s="12">
        <v>18</v>
      </c>
      <c r="H55" s="12">
        <v>16</v>
      </c>
      <c r="I55" s="12">
        <v>25</v>
      </c>
      <c r="J55" s="16">
        <f t="shared" si="0"/>
        <v>88</v>
      </c>
      <c r="K55" s="12">
        <v>14</v>
      </c>
      <c r="L55" s="12">
        <v>32</v>
      </c>
      <c r="M55" s="16">
        <f t="shared" si="1"/>
        <v>46</v>
      </c>
      <c r="N55" s="12">
        <v>22</v>
      </c>
      <c r="O55" s="12">
        <v>10</v>
      </c>
      <c r="P55" s="12">
        <v>19</v>
      </c>
      <c r="Q55" s="12">
        <v>10</v>
      </c>
      <c r="R55" s="12">
        <v>14</v>
      </c>
      <c r="S55" s="16">
        <v>0</v>
      </c>
      <c r="T55" s="12">
        <v>190</v>
      </c>
      <c r="U55" s="12" t="s">
        <v>45</v>
      </c>
      <c r="W55" s="10" t="str">
        <f t="shared" si="2"/>
        <v>&lt;tr&gt;&lt;td&gt;Cole Lacap&lt;/td&gt;&lt;td&gt;MC&lt;/td&gt;&lt;td&gt;7&lt;/td&gt;&lt;td&gt;88&lt;/td&gt;&lt;td&gt;12.571&lt;/td&gt;&lt;td&gt;33&lt;/td&gt;&lt;td&gt;68&lt;/td&gt;&lt;td&gt;0.485&lt;/td&gt;&lt;td&gt;6&lt;/td&gt;&lt;td&gt;18&lt;/td&gt;&lt;td&gt;0.333&lt;/td&gt;&lt;td&gt;16&lt;/td&gt;&lt;td&gt;25&lt;/td&gt;&lt;td&gt;0.640&lt;/td&gt;&lt;td&gt;14&lt;/td&gt;&lt;td&gt;32&lt;/td&gt;&lt;td&gt;46&lt;/td&gt;&lt;td&gt;6.571&lt;/td&gt;&lt;td&gt;10&lt;/td&gt;&lt;td&gt;1.429&lt;/td&gt;&lt;td&gt;14&lt;/td&gt;&lt;td&gt;2.000&lt;/td&gt;&lt;td&gt;10&lt;/td&gt;&lt;td&gt;1.429&lt;/td&gt;&lt;/tr&gt;</v>
      </c>
    </row>
    <row r="56" spans="1:23" x14ac:dyDescent="0.25">
      <c r="A56" s="10">
        <v>19</v>
      </c>
      <c r="B56" s="12" t="s">
        <v>358</v>
      </c>
      <c r="C56" s="12">
        <v>14</v>
      </c>
      <c r="D56" s="12">
        <v>38</v>
      </c>
      <c r="E56" s="12">
        <v>95</v>
      </c>
      <c r="F56" s="12">
        <v>1</v>
      </c>
      <c r="G56" s="12">
        <v>9</v>
      </c>
      <c r="H56" s="12">
        <v>9</v>
      </c>
      <c r="I56" s="12">
        <v>20</v>
      </c>
      <c r="J56" s="16">
        <f t="shared" si="0"/>
        <v>86</v>
      </c>
      <c r="K56" s="12">
        <v>27</v>
      </c>
      <c r="L56" s="12">
        <v>42</v>
      </c>
      <c r="M56" s="16">
        <f t="shared" si="1"/>
        <v>69</v>
      </c>
      <c r="N56" s="12">
        <v>29</v>
      </c>
      <c r="O56" s="12">
        <v>11</v>
      </c>
      <c r="P56" s="12">
        <v>21</v>
      </c>
      <c r="Q56" s="12">
        <v>10</v>
      </c>
      <c r="R56" s="12">
        <v>4</v>
      </c>
      <c r="S56" s="16">
        <v>0</v>
      </c>
      <c r="T56" s="12">
        <v>266</v>
      </c>
      <c r="U56" s="12" t="s">
        <v>60</v>
      </c>
      <c r="W56" s="10" t="str">
        <f t="shared" si="2"/>
        <v>&lt;tr&gt;&lt;td&gt;Zeru Kindie&lt;/td&gt;&lt;td&gt;DCI&lt;/td&gt;&lt;td&gt;14&lt;/td&gt;&lt;td&gt;86&lt;/td&gt;&lt;td&gt;6.143&lt;/td&gt;&lt;td&gt;38&lt;/td&gt;&lt;td&gt;95&lt;/td&gt;&lt;td&gt;0.400&lt;/td&gt;&lt;td&gt;1&lt;/td&gt;&lt;td&gt;9&lt;/td&gt;&lt;td&gt;0.111&lt;/td&gt;&lt;td&gt;9&lt;/td&gt;&lt;td&gt;20&lt;/td&gt;&lt;td&gt;0.450&lt;/td&gt;&lt;td&gt;27&lt;/td&gt;&lt;td&gt;42&lt;/td&gt;&lt;td&gt;69&lt;/td&gt;&lt;td&gt;4.929&lt;/td&gt;&lt;td&gt;11&lt;/td&gt;&lt;td&gt;0.786&lt;/td&gt;&lt;td&gt;4&lt;/td&gt;&lt;td&gt;0.286&lt;/td&gt;&lt;td&gt;10&lt;/td&gt;&lt;td&gt;0.714&lt;/td&gt;&lt;/tr&gt;</v>
      </c>
    </row>
    <row r="57" spans="1:23" x14ac:dyDescent="0.25">
      <c r="A57" s="10">
        <v>9</v>
      </c>
      <c r="B57" s="12" t="s">
        <v>694</v>
      </c>
      <c r="C57" s="12">
        <v>9</v>
      </c>
      <c r="D57" s="12">
        <v>35</v>
      </c>
      <c r="E57" s="12">
        <v>119</v>
      </c>
      <c r="F57" s="12">
        <v>4</v>
      </c>
      <c r="G57" s="12">
        <v>24</v>
      </c>
      <c r="H57" s="12">
        <v>12</v>
      </c>
      <c r="I57" s="12">
        <v>18</v>
      </c>
      <c r="J57" s="16">
        <f t="shared" si="0"/>
        <v>86</v>
      </c>
      <c r="K57" s="12">
        <v>37</v>
      </c>
      <c r="L57" s="12">
        <v>41</v>
      </c>
      <c r="M57" s="16">
        <f t="shared" si="1"/>
        <v>78</v>
      </c>
      <c r="N57" s="12">
        <v>23</v>
      </c>
      <c r="O57" s="12">
        <v>7</v>
      </c>
      <c r="P57" s="12">
        <v>24</v>
      </c>
      <c r="Q57" s="12">
        <v>10</v>
      </c>
      <c r="R57" s="12">
        <v>12</v>
      </c>
      <c r="S57" s="16">
        <v>0</v>
      </c>
      <c r="T57" s="12">
        <v>206</v>
      </c>
      <c r="U57" s="12" t="s">
        <v>78</v>
      </c>
      <c r="W57" s="10" t="str">
        <f t="shared" si="2"/>
        <v>&lt;tr&gt;&lt;td&gt;Joel Adu Quaye&lt;/td&gt;&lt;td&gt;SPHS&lt;/td&gt;&lt;td&gt;9&lt;/td&gt;&lt;td&gt;86&lt;/td&gt;&lt;td&gt;9.556&lt;/td&gt;&lt;td&gt;35&lt;/td&gt;&lt;td&gt;119&lt;/td&gt;&lt;td&gt;0.294&lt;/td&gt;&lt;td&gt;4&lt;/td&gt;&lt;td&gt;24&lt;/td&gt;&lt;td&gt;0.167&lt;/td&gt;&lt;td&gt;12&lt;/td&gt;&lt;td&gt;18&lt;/td&gt;&lt;td&gt;0.667&lt;/td&gt;&lt;td&gt;37&lt;/td&gt;&lt;td&gt;41&lt;/td&gt;&lt;td&gt;78&lt;/td&gt;&lt;td&gt;8.667&lt;/td&gt;&lt;td&gt;7&lt;/td&gt;&lt;td&gt;0.778&lt;/td&gt;&lt;td&gt;12&lt;/td&gt;&lt;td&gt;1.333&lt;/td&gt;&lt;td&gt;10&lt;/td&gt;&lt;td&gt;1.111&lt;/td&gt;&lt;/tr&gt;</v>
      </c>
    </row>
    <row r="58" spans="1:23" x14ac:dyDescent="0.25">
      <c r="A58" s="10">
        <v>2</v>
      </c>
      <c r="B58" s="12" t="s">
        <v>408</v>
      </c>
      <c r="C58" s="12">
        <v>8</v>
      </c>
      <c r="D58" s="12">
        <v>31</v>
      </c>
      <c r="E58" s="12">
        <v>75</v>
      </c>
      <c r="F58" s="12">
        <v>16</v>
      </c>
      <c r="G58" s="12">
        <v>41</v>
      </c>
      <c r="H58" s="12">
        <v>8</v>
      </c>
      <c r="I58" s="12">
        <v>11</v>
      </c>
      <c r="J58" s="16">
        <f t="shared" si="0"/>
        <v>86</v>
      </c>
      <c r="K58" s="12">
        <v>9</v>
      </c>
      <c r="L58" s="12">
        <v>21</v>
      </c>
      <c r="M58" s="16">
        <f t="shared" si="1"/>
        <v>30</v>
      </c>
      <c r="N58" s="12">
        <v>13</v>
      </c>
      <c r="O58" s="12">
        <v>10</v>
      </c>
      <c r="P58" s="12">
        <v>16</v>
      </c>
      <c r="Q58" s="12">
        <v>2</v>
      </c>
      <c r="R58" s="12">
        <v>15</v>
      </c>
      <c r="S58" s="16">
        <v>0</v>
      </c>
      <c r="T58" s="12">
        <v>184</v>
      </c>
      <c r="U58" s="12" t="s">
        <v>43</v>
      </c>
      <c r="W58" s="10" t="str">
        <f t="shared" si="2"/>
        <v>&lt;tr&gt;&lt;td&gt;Matthew Peters&lt;/td&gt;&lt;td&gt;KEC&lt;/td&gt;&lt;td&gt;8&lt;/td&gt;&lt;td&gt;86&lt;/td&gt;&lt;td&gt;10.750&lt;/td&gt;&lt;td&gt;31&lt;/td&gt;&lt;td&gt;75&lt;/td&gt;&lt;td&gt;0.413&lt;/td&gt;&lt;td&gt;16&lt;/td&gt;&lt;td&gt;41&lt;/td&gt;&lt;td&gt;0.390&lt;/td&gt;&lt;td&gt;8&lt;/td&gt;&lt;td&gt;11&lt;/td&gt;&lt;td&gt;0.727&lt;/td&gt;&lt;td&gt;9&lt;/td&gt;&lt;td&gt;21&lt;/td&gt;&lt;td&gt;30&lt;/td&gt;&lt;td&gt;3.750&lt;/td&gt;&lt;td&gt;10&lt;/td&gt;&lt;td&gt;1.250&lt;/td&gt;&lt;td&gt;15&lt;/td&gt;&lt;td&gt;1.875&lt;/td&gt;&lt;td&gt;2&lt;/td&gt;&lt;td&gt;0.250&lt;/td&gt;&lt;/tr&gt;</v>
      </c>
    </row>
    <row r="59" spans="1:23" x14ac:dyDescent="0.25">
      <c r="A59" s="10">
        <v>1</v>
      </c>
      <c r="B59" s="12" t="s">
        <v>321</v>
      </c>
      <c r="C59" s="12">
        <v>11</v>
      </c>
      <c r="D59" s="12">
        <v>33</v>
      </c>
      <c r="E59" s="12">
        <v>72</v>
      </c>
      <c r="F59" s="12">
        <v>11</v>
      </c>
      <c r="G59" s="12">
        <v>22</v>
      </c>
      <c r="H59" s="12">
        <v>8</v>
      </c>
      <c r="I59" s="12">
        <v>13</v>
      </c>
      <c r="J59" s="16">
        <f t="shared" si="0"/>
        <v>85</v>
      </c>
      <c r="K59" s="12">
        <v>12</v>
      </c>
      <c r="L59" s="12">
        <v>33</v>
      </c>
      <c r="M59" s="16">
        <f t="shared" si="1"/>
        <v>45</v>
      </c>
      <c r="N59" s="12">
        <v>12</v>
      </c>
      <c r="O59" s="12">
        <v>38</v>
      </c>
      <c r="P59" s="12">
        <v>15</v>
      </c>
      <c r="Q59" s="12">
        <v>4</v>
      </c>
      <c r="R59" s="12">
        <v>31</v>
      </c>
      <c r="S59" s="16">
        <v>0</v>
      </c>
      <c r="T59" s="12">
        <v>255</v>
      </c>
      <c r="U59" s="12" t="s">
        <v>41</v>
      </c>
      <c r="W59" s="10" t="str">
        <f t="shared" si="2"/>
        <v>&lt;tr&gt;&lt;td&gt;Christian De Leon&lt;/td&gt;&lt;td&gt;GCC&lt;/td&gt;&lt;td&gt;11&lt;/td&gt;&lt;td&gt;85&lt;/td&gt;&lt;td&gt;7.727&lt;/td&gt;&lt;td&gt;33&lt;/td&gt;&lt;td&gt;72&lt;/td&gt;&lt;td&gt;0.458&lt;/td&gt;&lt;td&gt;11&lt;/td&gt;&lt;td&gt;22&lt;/td&gt;&lt;td&gt;0.500&lt;/td&gt;&lt;td&gt;8&lt;/td&gt;&lt;td&gt;13&lt;/td&gt;&lt;td&gt;0.615&lt;/td&gt;&lt;td&gt;12&lt;/td&gt;&lt;td&gt;33&lt;/td&gt;&lt;td&gt;45&lt;/td&gt;&lt;td&gt;4.091&lt;/td&gt;&lt;td&gt;38&lt;/td&gt;&lt;td&gt;3.455&lt;/td&gt;&lt;td&gt;31&lt;/td&gt;&lt;td&gt;2.818&lt;/td&gt;&lt;td&gt;4&lt;/td&gt;&lt;td&gt;0.364&lt;/td&gt;&lt;/tr&gt;</v>
      </c>
    </row>
    <row r="60" spans="1:23" x14ac:dyDescent="0.25">
      <c r="A60" s="10">
        <v>12</v>
      </c>
      <c r="B60" s="12" t="s">
        <v>315</v>
      </c>
      <c r="C60" s="12">
        <v>8</v>
      </c>
      <c r="D60" s="12">
        <v>29</v>
      </c>
      <c r="E60" s="12">
        <v>77</v>
      </c>
      <c r="F60" s="12">
        <v>18</v>
      </c>
      <c r="G60" s="12">
        <v>57</v>
      </c>
      <c r="H60" s="12">
        <v>8</v>
      </c>
      <c r="I60" s="12">
        <v>11</v>
      </c>
      <c r="J60" s="16">
        <f t="shared" si="0"/>
        <v>84</v>
      </c>
      <c r="K60" s="12">
        <v>5</v>
      </c>
      <c r="L60" s="12">
        <v>35</v>
      </c>
      <c r="M60" s="16">
        <f t="shared" si="1"/>
        <v>40</v>
      </c>
      <c r="N60" s="12">
        <v>19</v>
      </c>
      <c r="O60" s="12">
        <v>10</v>
      </c>
      <c r="P60" s="12">
        <v>15</v>
      </c>
      <c r="Q60" s="12">
        <v>0</v>
      </c>
      <c r="R60" s="12">
        <v>19</v>
      </c>
      <c r="S60" s="16">
        <v>0</v>
      </c>
      <c r="T60" s="12">
        <v>246</v>
      </c>
      <c r="U60" s="12" t="s">
        <v>74</v>
      </c>
      <c r="W60" s="10" t="str">
        <f t="shared" si="2"/>
        <v>&lt;tr&gt;&lt;td&gt;Chris Chang&lt;/td&gt;&lt;td&gt;OPHS&lt;/td&gt;&lt;td&gt;8&lt;/td&gt;&lt;td&gt;84&lt;/td&gt;&lt;td&gt;10.500&lt;/td&gt;&lt;td&gt;29&lt;/td&gt;&lt;td&gt;77&lt;/td&gt;&lt;td&gt;0.377&lt;/td&gt;&lt;td&gt;18&lt;/td&gt;&lt;td&gt;57&lt;/td&gt;&lt;td&gt;0.316&lt;/td&gt;&lt;td&gt;8&lt;/td&gt;&lt;td&gt;11&lt;/td&gt;&lt;td&gt;0.727&lt;/td&gt;&lt;td&gt;5&lt;/td&gt;&lt;td&gt;35&lt;/td&gt;&lt;td&gt;40&lt;/td&gt;&lt;td&gt;5.000&lt;/td&gt;&lt;td&gt;10&lt;/td&gt;&lt;td&gt;1.250&lt;/td&gt;&lt;td&gt;19&lt;/td&gt;&lt;td&gt;2.375&lt;/td&gt;&lt;td&gt;0&lt;/td&gt;&lt;td&gt;0.000&lt;/td&gt;&lt;/tr&gt;</v>
      </c>
    </row>
    <row r="61" spans="1:23" x14ac:dyDescent="0.25">
      <c r="A61" s="10">
        <v>6</v>
      </c>
      <c r="B61" s="12" t="s">
        <v>325</v>
      </c>
      <c r="C61" s="12">
        <v>10</v>
      </c>
      <c r="D61" s="12">
        <v>29</v>
      </c>
      <c r="E61" s="12">
        <v>82</v>
      </c>
      <c r="F61" s="12">
        <v>12</v>
      </c>
      <c r="G61" s="12">
        <v>43</v>
      </c>
      <c r="H61" s="12">
        <v>12</v>
      </c>
      <c r="I61" s="12">
        <v>20</v>
      </c>
      <c r="J61" s="16">
        <f t="shared" si="0"/>
        <v>82</v>
      </c>
      <c r="K61" s="12">
        <v>13</v>
      </c>
      <c r="L61" s="12">
        <v>56</v>
      </c>
      <c r="M61" s="16">
        <f t="shared" si="1"/>
        <v>69</v>
      </c>
      <c r="N61" s="12">
        <v>22</v>
      </c>
      <c r="O61" s="12">
        <v>10</v>
      </c>
      <c r="P61" s="12">
        <v>5</v>
      </c>
      <c r="Q61" s="12">
        <v>1</v>
      </c>
      <c r="R61" s="12">
        <v>18</v>
      </c>
      <c r="S61" s="16">
        <v>0</v>
      </c>
      <c r="T61" s="12">
        <v>311</v>
      </c>
      <c r="U61" s="12" t="s">
        <v>41</v>
      </c>
      <c r="W61" s="10" t="str">
        <f t="shared" si="2"/>
        <v>&lt;tr&gt;&lt;td&gt;Dylan Tagle&lt;/td&gt;&lt;td&gt;GCC&lt;/td&gt;&lt;td&gt;10&lt;/td&gt;&lt;td&gt;82&lt;/td&gt;&lt;td&gt;8.200&lt;/td&gt;&lt;td&gt;29&lt;/td&gt;&lt;td&gt;82&lt;/td&gt;&lt;td&gt;0.354&lt;/td&gt;&lt;td&gt;12&lt;/td&gt;&lt;td&gt;43&lt;/td&gt;&lt;td&gt;0.279&lt;/td&gt;&lt;td&gt;12&lt;/td&gt;&lt;td&gt;20&lt;/td&gt;&lt;td&gt;0.600&lt;/td&gt;&lt;td&gt;13&lt;/td&gt;&lt;td&gt;56&lt;/td&gt;&lt;td&gt;69&lt;/td&gt;&lt;td&gt;6.900&lt;/td&gt;&lt;td&gt;10&lt;/td&gt;&lt;td&gt;1.000&lt;/td&gt;&lt;td&gt;18&lt;/td&gt;&lt;td&gt;1.800&lt;/td&gt;&lt;td&gt;1&lt;/td&gt;&lt;td&gt;0.100&lt;/td&gt;&lt;/tr&gt;</v>
      </c>
    </row>
    <row r="62" spans="1:23" x14ac:dyDescent="0.25">
      <c r="A62" s="10">
        <v>23</v>
      </c>
      <c r="B62" s="12" t="s">
        <v>512</v>
      </c>
      <c r="C62" s="12">
        <v>10</v>
      </c>
      <c r="D62" s="12">
        <v>29</v>
      </c>
      <c r="E62" s="12">
        <v>95</v>
      </c>
      <c r="F62" s="12">
        <v>18</v>
      </c>
      <c r="G62" s="12">
        <v>65</v>
      </c>
      <c r="H62" s="12">
        <v>4</v>
      </c>
      <c r="I62" s="12">
        <v>5</v>
      </c>
      <c r="J62" s="16">
        <f t="shared" si="0"/>
        <v>80</v>
      </c>
      <c r="K62" s="12">
        <v>1</v>
      </c>
      <c r="L62" s="12">
        <v>13</v>
      </c>
      <c r="M62" s="16">
        <f t="shared" si="1"/>
        <v>14</v>
      </c>
      <c r="N62" s="12">
        <v>19</v>
      </c>
      <c r="O62" s="12">
        <v>6</v>
      </c>
      <c r="P62" s="12">
        <v>20</v>
      </c>
      <c r="Q62" s="12">
        <v>0</v>
      </c>
      <c r="R62" s="12">
        <v>8</v>
      </c>
      <c r="S62" s="16">
        <v>0</v>
      </c>
      <c r="T62" s="12">
        <v>188</v>
      </c>
      <c r="U62" s="12" t="s">
        <v>7</v>
      </c>
      <c r="W62" s="10" t="str">
        <f t="shared" si="2"/>
        <v>&lt;tr&gt;&lt;td&gt;Tim Roller&lt;/td&gt;&lt;td&gt;MBCI&lt;/td&gt;&lt;td&gt;10&lt;/td&gt;&lt;td&gt;80&lt;/td&gt;&lt;td&gt;8.000&lt;/td&gt;&lt;td&gt;29&lt;/td&gt;&lt;td&gt;95&lt;/td&gt;&lt;td&gt;0.305&lt;/td&gt;&lt;td&gt;18&lt;/td&gt;&lt;td&gt;65&lt;/td&gt;&lt;td&gt;0.277&lt;/td&gt;&lt;td&gt;4&lt;/td&gt;&lt;td&gt;5&lt;/td&gt;&lt;td&gt;0.800&lt;/td&gt;&lt;td&gt;1&lt;/td&gt;&lt;td&gt;13&lt;/td&gt;&lt;td&gt;14&lt;/td&gt;&lt;td&gt;1.400&lt;/td&gt;&lt;td&gt;6&lt;/td&gt;&lt;td&gt;0.600&lt;/td&gt;&lt;td&gt;8&lt;/td&gt;&lt;td&gt;0.800&lt;/td&gt;&lt;td&gt;0&lt;/td&gt;&lt;td&gt;0.000&lt;/td&gt;&lt;/tr&gt;</v>
      </c>
    </row>
    <row r="63" spans="1:23" x14ac:dyDescent="0.25">
      <c r="A63" s="10">
        <v>11</v>
      </c>
      <c r="B63" s="12" t="s">
        <v>521</v>
      </c>
      <c r="C63" s="12">
        <v>14</v>
      </c>
      <c r="D63" s="12">
        <v>27</v>
      </c>
      <c r="E63" s="12">
        <v>100</v>
      </c>
      <c r="F63" s="12">
        <v>21</v>
      </c>
      <c r="G63" s="12">
        <v>76</v>
      </c>
      <c r="H63" s="12">
        <v>4</v>
      </c>
      <c r="I63" s="12">
        <v>12</v>
      </c>
      <c r="J63" s="16">
        <f t="shared" si="0"/>
        <v>79</v>
      </c>
      <c r="K63" s="12">
        <v>7</v>
      </c>
      <c r="L63" s="12">
        <v>20</v>
      </c>
      <c r="M63" s="16">
        <f t="shared" si="1"/>
        <v>27</v>
      </c>
      <c r="N63" s="12">
        <v>15</v>
      </c>
      <c r="O63" s="12">
        <v>7</v>
      </c>
      <c r="P63" s="12">
        <v>27</v>
      </c>
      <c r="Q63" s="12">
        <v>0</v>
      </c>
      <c r="R63" s="12">
        <v>10</v>
      </c>
      <c r="S63" s="16">
        <v>0</v>
      </c>
      <c r="T63" s="12">
        <v>218</v>
      </c>
      <c r="U63" s="12" t="s">
        <v>62</v>
      </c>
      <c r="W63" s="10" t="str">
        <f t="shared" si="2"/>
        <v>&lt;tr&gt;&lt;td&gt;Steven Cross&lt;/td&gt;&lt;td&gt;GCI&lt;/td&gt;&lt;td&gt;14&lt;/td&gt;&lt;td&gt;79&lt;/td&gt;&lt;td&gt;5.643&lt;/td&gt;&lt;td&gt;27&lt;/td&gt;&lt;td&gt;100&lt;/td&gt;&lt;td&gt;0.270&lt;/td&gt;&lt;td&gt;21&lt;/td&gt;&lt;td&gt;76&lt;/td&gt;&lt;td&gt;0.276&lt;/td&gt;&lt;td&gt;4&lt;/td&gt;&lt;td&gt;12&lt;/td&gt;&lt;td&gt;0.333&lt;/td&gt;&lt;td&gt;7&lt;/td&gt;&lt;td&gt;20&lt;/td&gt;&lt;td&gt;27&lt;/td&gt;&lt;td&gt;1.929&lt;/td&gt;&lt;td&gt;7&lt;/td&gt;&lt;td&gt;0.500&lt;/td&gt;&lt;td&gt;10&lt;/td&gt;&lt;td&gt;0.714&lt;/td&gt;&lt;td&gt;0&lt;/td&gt;&lt;td&gt;0.000&lt;/td&gt;&lt;/tr&gt;</v>
      </c>
    </row>
    <row r="64" spans="1:23" x14ac:dyDescent="0.25">
      <c r="A64" s="10">
        <v>21</v>
      </c>
      <c r="B64" s="12" t="s">
        <v>492</v>
      </c>
      <c r="C64" s="12">
        <v>8</v>
      </c>
      <c r="D64" s="12">
        <v>31</v>
      </c>
      <c r="E64" s="12">
        <v>91</v>
      </c>
      <c r="F64" s="12">
        <v>7</v>
      </c>
      <c r="G64" s="12">
        <v>39</v>
      </c>
      <c r="H64" s="12">
        <v>10</v>
      </c>
      <c r="I64" s="12">
        <v>15</v>
      </c>
      <c r="J64" s="16">
        <f t="shared" si="0"/>
        <v>79</v>
      </c>
      <c r="K64" s="12">
        <v>27</v>
      </c>
      <c r="L64" s="12">
        <v>21</v>
      </c>
      <c r="M64" s="16">
        <f t="shared" si="1"/>
        <v>48</v>
      </c>
      <c r="N64" s="12">
        <v>13</v>
      </c>
      <c r="O64" s="12">
        <v>8</v>
      </c>
      <c r="P64" s="12">
        <v>25</v>
      </c>
      <c r="Q64" s="12">
        <v>1</v>
      </c>
      <c r="R64" s="12">
        <v>20</v>
      </c>
      <c r="S64" s="16">
        <v>0</v>
      </c>
      <c r="T64" s="12">
        <v>225</v>
      </c>
      <c r="U64" s="12" t="s">
        <v>48</v>
      </c>
      <c r="W64" s="10" t="str">
        <f t="shared" si="2"/>
        <v>&lt;tr&gt;&lt;td&gt;Bamelak Tadele&lt;/td&gt;&lt;td&gt;MMC&lt;/td&gt;&lt;td&gt;8&lt;/td&gt;&lt;td&gt;79&lt;/td&gt;&lt;td&gt;9.875&lt;/td&gt;&lt;td&gt;31&lt;/td&gt;&lt;td&gt;91&lt;/td&gt;&lt;td&gt;0.341&lt;/td&gt;&lt;td&gt;7&lt;/td&gt;&lt;td&gt;39&lt;/td&gt;&lt;td&gt;0.179&lt;/td&gt;&lt;td&gt;10&lt;/td&gt;&lt;td&gt;15&lt;/td&gt;&lt;td&gt;0.667&lt;/td&gt;&lt;td&gt;27&lt;/td&gt;&lt;td&gt;21&lt;/td&gt;&lt;td&gt;48&lt;/td&gt;&lt;td&gt;6.000&lt;/td&gt;&lt;td&gt;8&lt;/td&gt;&lt;td&gt;1.000&lt;/td&gt;&lt;td&gt;20&lt;/td&gt;&lt;td&gt;2.500&lt;/td&gt;&lt;td&gt;1&lt;/td&gt;&lt;td&gt;0.125&lt;/td&gt;&lt;/tr&gt;</v>
      </c>
    </row>
    <row r="65" spans="1:23" x14ac:dyDescent="0.25">
      <c r="A65" s="10">
        <v>4</v>
      </c>
      <c r="B65" s="12" t="s">
        <v>675</v>
      </c>
      <c r="C65" s="12">
        <v>7</v>
      </c>
      <c r="D65" s="12">
        <v>29</v>
      </c>
      <c r="E65" s="12">
        <v>76</v>
      </c>
      <c r="F65" s="12">
        <v>10</v>
      </c>
      <c r="G65" s="12">
        <v>19</v>
      </c>
      <c r="H65" s="12">
        <v>11</v>
      </c>
      <c r="I65" s="12">
        <v>15</v>
      </c>
      <c r="J65" s="16">
        <f t="shared" si="0"/>
        <v>79</v>
      </c>
      <c r="K65" s="12">
        <v>11</v>
      </c>
      <c r="L65" s="12">
        <v>18</v>
      </c>
      <c r="M65" s="16">
        <f t="shared" si="1"/>
        <v>29</v>
      </c>
      <c r="N65" s="12">
        <v>13</v>
      </c>
      <c r="O65" s="12">
        <v>13</v>
      </c>
      <c r="P65" s="12">
        <v>19</v>
      </c>
      <c r="Q65" s="12">
        <v>0</v>
      </c>
      <c r="R65" s="12">
        <v>6</v>
      </c>
      <c r="S65" s="16">
        <v>0</v>
      </c>
      <c r="T65" s="12">
        <v>172</v>
      </c>
      <c r="U65" s="12" t="s">
        <v>82</v>
      </c>
      <c r="W65" s="10" t="str">
        <f t="shared" si="2"/>
        <v>&lt;tr&gt;&lt;td&gt;Trevor Tran&lt;/td&gt;&lt;td&gt;DMCI&lt;/td&gt;&lt;td&gt;7&lt;/td&gt;&lt;td&gt;79&lt;/td&gt;&lt;td&gt;11.286&lt;/td&gt;&lt;td&gt;29&lt;/td&gt;&lt;td&gt;76&lt;/td&gt;&lt;td&gt;0.382&lt;/td&gt;&lt;td&gt;10&lt;/td&gt;&lt;td&gt;19&lt;/td&gt;&lt;td&gt;0.526&lt;/td&gt;&lt;td&gt;11&lt;/td&gt;&lt;td&gt;15&lt;/td&gt;&lt;td&gt;0.733&lt;/td&gt;&lt;td&gt;11&lt;/td&gt;&lt;td&gt;18&lt;/td&gt;&lt;td&gt;29&lt;/td&gt;&lt;td&gt;4.143&lt;/td&gt;&lt;td&gt;13&lt;/td&gt;&lt;td&gt;1.857&lt;/td&gt;&lt;td&gt;6&lt;/td&gt;&lt;td&gt;0.857&lt;/td&gt;&lt;td&gt;0&lt;/td&gt;&lt;td&gt;0.000&lt;/td&gt;&lt;/tr&gt;</v>
      </c>
    </row>
    <row r="66" spans="1:23" x14ac:dyDescent="0.25">
      <c r="A66" s="10">
        <v>7</v>
      </c>
      <c r="B66" s="12" t="s">
        <v>400</v>
      </c>
      <c r="C66" s="12">
        <v>12</v>
      </c>
      <c r="D66" s="12">
        <v>24</v>
      </c>
      <c r="E66" s="12">
        <v>77</v>
      </c>
      <c r="F66" s="12">
        <v>14</v>
      </c>
      <c r="G66" s="12">
        <v>45</v>
      </c>
      <c r="H66" s="12">
        <v>14</v>
      </c>
      <c r="I66" s="12">
        <v>22</v>
      </c>
      <c r="J66" s="16">
        <f t="shared" ref="J66:J129" si="3">D66*2+F66+H66</f>
        <v>76</v>
      </c>
      <c r="K66" s="12">
        <v>11</v>
      </c>
      <c r="L66" s="12">
        <v>30</v>
      </c>
      <c r="M66" s="16">
        <f t="shared" ref="M66:M129" si="4">K66+L66</f>
        <v>41</v>
      </c>
      <c r="N66" s="12">
        <v>19</v>
      </c>
      <c r="O66" s="12">
        <v>14</v>
      </c>
      <c r="P66" s="12">
        <v>24</v>
      </c>
      <c r="Q66" s="12">
        <v>0</v>
      </c>
      <c r="R66" s="12">
        <v>14</v>
      </c>
      <c r="S66" s="16">
        <v>0</v>
      </c>
      <c r="T66" s="12">
        <v>218</v>
      </c>
      <c r="U66" s="12" t="s">
        <v>45</v>
      </c>
      <c r="W66" s="10" t="str">
        <f t="shared" si="2"/>
        <v>&lt;tr&gt;&lt;td&gt;Mike Grivicic&lt;/td&gt;&lt;td&gt;MC&lt;/td&gt;&lt;td&gt;12&lt;/td&gt;&lt;td&gt;76&lt;/td&gt;&lt;td&gt;6.333&lt;/td&gt;&lt;td&gt;24&lt;/td&gt;&lt;td&gt;77&lt;/td&gt;&lt;td&gt;0.312&lt;/td&gt;&lt;td&gt;14&lt;/td&gt;&lt;td&gt;45&lt;/td&gt;&lt;td&gt;0.311&lt;/td&gt;&lt;td&gt;14&lt;/td&gt;&lt;td&gt;22&lt;/td&gt;&lt;td&gt;0.636&lt;/td&gt;&lt;td&gt;11&lt;/td&gt;&lt;td&gt;30&lt;/td&gt;&lt;td&gt;41&lt;/td&gt;&lt;td&gt;3.417&lt;/td&gt;&lt;td&gt;14&lt;/td&gt;&lt;td&gt;1.167&lt;/td&gt;&lt;td&gt;14&lt;/td&gt;&lt;td&gt;1.167&lt;/td&gt;&lt;td&gt;0&lt;/td&gt;&lt;td&gt;0.000&lt;/td&gt;&lt;/tr&gt;</v>
      </c>
    </row>
    <row r="67" spans="1:23" x14ac:dyDescent="0.25">
      <c r="A67" s="10">
        <v>8</v>
      </c>
      <c r="B67" s="12" t="s">
        <v>348</v>
      </c>
      <c r="C67" s="12">
        <v>14</v>
      </c>
      <c r="D67" s="12">
        <v>26</v>
      </c>
      <c r="E67" s="12">
        <v>65</v>
      </c>
      <c r="F67" s="12">
        <v>21</v>
      </c>
      <c r="G67" s="12">
        <v>52</v>
      </c>
      <c r="H67" s="12">
        <v>1</v>
      </c>
      <c r="I67" s="12">
        <v>4</v>
      </c>
      <c r="J67" s="16">
        <f t="shared" si="3"/>
        <v>74</v>
      </c>
      <c r="K67" s="12">
        <v>9</v>
      </c>
      <c r="L67" s="12">
        <v>24</v>
      </c>
      <c r="M67" s="16">
        <f t="shared" si="4"/>
        <v>33</v>
      </c>
      <c r="N67" s="12">
        <v>8</v>
      </c>
      <c r="O67" s="12">
        <v>15</v>
      </c>
      <c r="P67" s="12">
        <v>24</v>
      </c>
      <c r="Q67" s="12">
        <v>0</v>
      </c>
      <c r="R67" s="12">
        <v>15</v>
      </c>
      <c r="S67" s="16">
        <v>0</v>
      </c>
      <c r="T67" s="12">
        <v>284</v>
      </c>
      <c r="U67" s="12" t="s">
        <v>60</v>
      </c>
      <c r="W67" s="10" t="str">
        <f t="shared" si="2"/>
        <v>&lt;tr&gt;&lt;td&gt;Kelvin Liang&lt;/td&gt;&lt;td&gt;DCI&lt;/td&gt;&lt;td&gt;14&lt;/td&gt;&lt;td&gt;74&lt;/td&gt;&lt;td&gt;5.286&lt;/td&gt;&lt;td&gt;26&lt;/td&gt;&lt;td&gt;65&lt;/td&gt;&lt;td&gt;0.400&lt;/td&gt;&lt;td&gt;21&lt;/td&gt;&lt;td&gt;52&lt;/td&gt;&lt;td&gt;0.404&lt;/td&gt;&lt;td&gt;1&lt;/td&gt;&lt;td&gt;4&lt;/td&gt;&lt;td&gt;0.250&lt;/td&gt;&lt;td&gt;9&lt;/td&gt;&lt;td&gt;24&lt;/td&gt;&lt;td&gt;33&lt;/td&gt;&lt;td&gt;2.357&lt;/td&gt;&lt;td&gt;15&lt;/td&gt;&lt;td&gt;1.071&lt;/td&gt;&lt;td&gt;15&lt;/td&gt;&lt;td&gt;1.071&lt;/td&gt;&lt;td&gt;0&lt;/td&gt;&lt;td&gt;0.000&lt;/td&gt;&lt;/tr&gt;</v>
      </c>
    </row>
    <row r="68" spans="1:23" x14ac:dyDescent="0.25">
      <c r="A68" s="10">
        <v>11</v>
      </c>
      <c r="B68" s="12" t="s">
        <v>328</v>
      </c>
      <c r="C68" s="12">
        <v>11</v>
      </c>
      <c r="D68" s="12">
        <v>33</v>
      </c>
      <c r="E68" s="12">
        <v>66</v>
      </c>
      <c r="F68" s="12">
        <v>3</v>
      </c>
      <c r="G68" s="12">
        <v>14</v>
      </c>
      <c r="H68" s="12">
        <v>5</v>
      </c>
      <c r="I68" s="12">
        <v>11</v>
      </c>
      <c r="J68" s="16">
        <f t="shared" si="3"/>
        <v>74</v>
      </c>
      <c r="K68" s="12">
        <v>11</v>
      </c>
      <c r="L68" s="12">
        <v>14</v>
      </c>
      <c r="M68" s="16">
        <f t="shared" si="4"/>
        <v>25</v>
      </c>
      <c r="N68" s="12">
        <v>18</v>
      </c>
      <c r="O68" s="12">
        <v>9</v>
      </c>
      <c r="P68" s="12">
        <v>11</v>
      </c>
      <c r="Q68" s="12">
        <v>2</v>
      </c>
      <c r="R68" s="12">
        <v>19</v>
      </c>
      <c r="S68" s="16">
        <v>0</v>
      </c>
      <c r="T68" s="12">
        <v>194</v>
      </c>
      <c r="U68" s="12" t="s">
        <v>41</v>
      </c>
      <c r="W68" s="10" t="str">
        <f t="shared" si="2"/>
        <v>&lt;tr&gt;&lt;td&gt;Miguel Guevarra&lt;/td&gt;&lt;td&gt;GCC&lt;/td&gt;&lt;td&gt;11&lt;/td&gt;&lt;td&gt;74&lt;/td&gt;&lt;td&gt;6.727&lt;/td&gt;&lt;td&gt;33&lt;/td&gt;&lt;td&gt;66&lt;/td&gt;&lt;td&gt;0.500&lt;/td&gt;&lt;td&gt;3&lt;/td&gt;&lt;td&gt;14&lt;/td&gt;&lt;td&gt;0.214&lt;/td&gt;&lt;td&gt;5&lt;/td&gt;&lt;td&gt;11&lt;/td&gt;&lt;td&gt;0.455&lt;/td&gt;&lt;td&gt;11&lt;/td&gt;&lt;td&gt;14&lt;/td&gt;&lt;td&gt;25&lt;/td&gt;&lt;td&gt;2.273&lt;/td&gt;&lt;td&gt;9&lt;/td&gt;&lt;td&gt;0.818&lt;/td&gt;&lt;td&gt;19&lt;/td&gt;&lt;td&gt;1.727&lt;/td&gt;&lt;td&gt;2&lt;/td&gt;&lt;td&gt;0.182&lt;/td&gt;&lt;/tr&gt;</v>
      </c>
    </row>
    <row r="69" spans="1:23" x14ac:dyDescent="0.25">
      <c r="A69" s="10">
        <v>14</v>
      </c>
      <c r="B69" s="12" t="s">
        <v>377</v>
      </c>
      <c r="C69" s="12">
        <v>8</v>
      </c>
      <c r="D69" s="12">
        <v>25</v>
      </c>
      <c r="E69" s="12">
        <v>63</v>
      </c>
      <c r="F69" s="12">
        <v>10</v>
      </c>
      <c r="G69" s="12">
        <v>31</v>
      </c>
      <c r="H69" s="12">
        <v>14</v>
      </c>
      <c r="I69" s="12">
        <v>26</v>
      </c>
      <c r="J69" s="16">
        <f t="shared" si="3"/>
        <v>74</v>
      </c>
      <c r="K69" s="12">
        <v>7</v>
      </c>
      <c r="L69" s="12">
        <v>23</v>
      </c>
      <c r="M69" s="16">
        <f t="shared" si="4"/>
        <v>30</v>
      </c>
      <c r="N69" s="12">
        <v>22</v>
      </c>
      <c r="O69" s="12">
        <v>4</v>
      </c>
      <c r="P69" s="12">
        <v>20</v>
      </c>
      <c r="Q69" s="12">
        <v>1</v>
      </c>
      <c r="R69" s="12">
        <v>8</v>
      </c>
      <c r="S69" s="16">
        <v>0</v>
      </c>
      <c r="T69" s="12">
        <v>153</v>
      </c>
      <c r="U69" s="12" t="s">
        <v>72</v>
      </c>
      <c r="W69" s="10" t="str">
        <f t="shared" si="2"/>
        <v>&lt;tr&gt;&lt;td&gt;Mehr Rakhshani&lt;/td&gt;&lt;td&gt;KHS&lt;/td&gt;&lt;td&gt;8&lt;/td&gt;&lt;td&gt;74&lt;/td&gt;&lt;td&gt;9.250&lt;/td&gt;&lt;td&gt;25&lt;/td&gt;&lt;td&gt;63&lt;/td&gt;&lt;td&gt;0.397&lt;/td&gt;&lt;td&gt;10&lt;/td&gt;&lt;td&gt;31&lt;/td&gt;&lt;td&gt;0.323&lt;/td&gt;&lt;td&gt;14&lt;/td&gt;&lt;td&gt;26&lt;/td&gt;&lt;td&gt;0.538&lt;/td&gt;&lt;td&gt;7&lt;/td&gt;&lt;td&gt;23&lt;/td&gt;&lt;td&gt;30&lt;/td&gt;&lt;td&gt;3.750&lt;/td&gt;&lt;td&gt;4&lt;/td&gt;&lt;td&gt;0.500&lt;/td&gt;&lt;td&gt;8&lt;/td&gt;&lt;td&gt;1.000&lt;/td&gt;&lt;td&gt;1&lt;/td&gt;&lt;td&gt;0.125&lt;/td&gt;&lt;/tr&gt;</v>
      </c>
    </row>
    <row r="70" spans="1:23" x14ac:dyDescent="0.25">
      <c r="A70" s="10">
        <v>5</v>
      </c>
      <c r="B70" s="12" t="s">
        <v>411</v>
      </c>
      <c r="C70" s="12">
        <v>7</v>
      </c>
      <c r="D70" s="12">
        <v>27</v>
      </c>
      <c r="E70" s="12">
        <v>68</v>
      </c>
      <c r="F70" s="12">
        <v>10</v>
      </c>
      <c r="G70" s="12">
        <v>28</v>
      </c>
      <c r="H70" s="12">
        <v>9</v>
      </c>
      <c r="I70" s="12">
        <v>12</v>
      </c>
      <c r="J70" s="16">
        <f t="shared" si="3"/>
        <v>73</v>
      </c>
      <c r="K70" s="12">
        <v>11</v>
      </c>
      <c r="L70" s="12">
        <v>24</v>
      </c>
      <c r="M70" s="16">
        <f t="shared" si="4"/>
        <v>35</v>
      </c>
      <c r="N70" s="12">
        <v>9</v>
      </c>
      <c r="O70" s="12">
        <v>11</v>
      </c>
      <c r="P70" s="12">
        <v>19</v>
      </c>
      <c r="Q70" s="12">
        <v>2</v>
      </c>
      <c r="R70" s="12">
        <v>8</v>
      </c>
      <c r="S70" s="16">
        <v>0</v>
      </c>
      <c r="T70" s="12">
        <v>165</v>
      </c>
      <c r="U70" s="12" t="s">
        <v>43</v>
      </c>
      <c r="W70" s="10" t="str">
        <f t="shared" si="2"/>
        <v>&lt;tr&gt;&lt;td&gt;Rouj Malok&lt;/td&gt;&lt;td&gt;KEC&lt;/td&gt;&lt;td&gt;7&lt;/td&gt;&lt;td&gt;73&lt;/td&gt;&lt;td&gt;10.429&lt;/td&gt;&lt;td&gt;27&lt;/td&gt;&lt;td&gt;68&lt;/td&gt;&lt;td&gt;0.397&lt;/td&gt;&lt;td&gt;10&lt;/td&gt;&lt;td&gt;28&lt;/td&gt;&lt;td&gt;0.357&lt;/td&gt;&lt;td&gt;9&lt;/td&gt;&lt;td&gt;12&lt;/td&gt;&lt;td&gt;0.750&lt;/td&gt;&lt;td&gt;11&lt;/td&gt;&lt;td&gt;24&lt;/td&gt;&lt;td&gt;35&lt;/td&gt;&lt;td&gt;5.000&lt;/td&gt;&lt;td&gt;11&lt;/td&gt;&lt;td&gt;1.571&lt;/td&gt;&lt;td&gt;8&lt;/td&gt;&lt;td&gt;1.143&lt;/td&gt;&lt;td&gt;2&lt;/td&gt;&lt;td&gt;0.286&lt;/td&gt;&lt;/tr&gt;</v>
      </c>
    </row>
    <row r="71" spans="1:23" x14ac:dyDescent="0.25">
      <c r="A71" s="10">
        <v>2</v>
      </c>
      <c r="B71" s="12" t="s">
        <v>332</v>
      </c>
      <c r="C71" s="12">
        <v>5</v>
      </c>
      <c r="D71" s="12">
        <v>27</v>
      </c>
      <c r="E71" s="12">
        <v>50</v>
      </c>
      <c r="F71" s="12">
        <v>2</v>
      </c>
      <c r="G71" s="12">
        <v>5</v>
      </c>
      <c r="H71" s="12">
        <v>17</v>
      </c>
      <c r="I71" s="12">
        <v>29</v>
      </c>
      <c r="J71" s="16">
        <f t="shared" si="3"/>
        <v>73</v>
      </c>
      <c r="K71" s="12">
        <v>15</v>
      </c>
      <c r="L71" s="12">
        <v>13</v>
      </c>
      <c r="M71" s="16">
        <f t="shared" si="4"/>
        <v>28</v>
      </c>
      <c r="N71" s="12">
        <v>8</v>
      </c>
      <c r="O71" s="12">
        <v>14</v>
      </c>
      <c r="P71" s="12">
        <v>23</v>
      </c>
      <c r="Q71" s="12">
        <v>0</v>
      </c>
      <c r="R71" s="12">
        <v>20</v>
      </c>
      <c r="S71" s="16">
        <v>0</v>
      </c>
      <c r="T71" s="12">
        <v>116</v>
      </c>
      <c r="U71" s="12" t="s">
        <v>92</v>
      </c>
      <c r="W71" s="10" t="str">
        <f t="shared" si="2"/>
        <v>&lt;tr&gt;&lt;td&gt;Brian Carmona&lt;/td&gt;&lt;td&gt;SJHS&lt;/td&gt;&lt;td&gt;5&lt;/td&gt;&lt;td&gt;73&lt;/td&gt;&lt;td&gt;14.600&lt;/td&gt;&lt;td&gt;27&lt;/td&gt;&lt;td&gt;50&lt;/td&gt;&lt;td&gt;0.540&lt;/td&gt;&lt;td&gt;2&lt;/td&gt;&lt;td&gt;5&lt;/td&gt;&lt;td&gt;0.400&lt;/td&gt;&lt;td&gt;17&lt;/td&gt;&lt;td&gt;29&lt;/td&gt;&lt;td&gt;0.586&lt;/td&gt;&lt;td&gt;15&lt;/td&gt;&lt;td&gt;13&lt;/td&gt;&lt;td&gt;28&lt;/td&gt;&lt;td&gt;5.600&lt;/td&gt;&lt;td&gt;14&lt;/td&gt;&lt;td&gt;2.800&lt;/td&gt;&lt;td&gt;20&lt;/td&gt;&lt;td&gt;4.000&lt;/td&gt;&lt;td&gt;0&lt;/td&gt;&lt;td&gt;0.000&lt;/td&gt;&lt;/tr&gt;</v>
      </c>
    </row>
    <row r="72" spans="1:23" x14ac:dyDescent="0.25">
      <c r="A72" s="10">
        <v>10</v>
      </c>
      <c r="B72" s="12" t="s">
        <v>709</v>
      </c>
      <c r="C72" s="12">
        <v>3</v>
      </c>
      <c r="D72" s="12">
        <v>33</v>
      </c>
      <c r="E72" s="12">
        <v>62</v>
      </c>
      <c r="F72" s="12">
        <v>5</v>
      </c>
      <c r="G72" s="12">
        <v>13</v>
      </c>
      <c r="H72" s="12">
        <v>2</v>
      </c>
      <c r="I72" s="12">
        <v>6</v>
      </c>
      <c r="J72" s="16">
        <f t="shared" si="3"/>
        <v>73</v>
      </c>
      <c r="K72" s="12">
        <v>9</v>
      </c>
      <c r="L72" s="12">
        <v>18</v>
      </c>
      <c r="M72" s="16">
        <f t="shared" si="4"/>
        <v>27</v>
      </c>
      <c r="N72" s="12">
        <v>7</v>
      </c>
      <c r="O72" s="12">
        <v>9</v>
      </c>
      <c r="P72" s="12">
        <v>10</v>
      </c>
      <c r="Q72" s="12">
        <v>1</v>
      </c>
      <c r="R72" s="12">
        <v>10</v>
      </c>
      <c r="S72" s="16">
        <v>0</v>
      </c>
      <c r="T72" s="12">
        <v>90</v>
      </c>
      <c r="U72" s="12" t="s">
        <v>70</v>
      </c>
      <c r="W72" s="10" t="str">
        <f t="shared" ref="W72:W137" si="5">"&lt;tr&gt;&lt;td&gt;"&amp;B72&amp;"&lt;/td&gt;&lt;td&gt;"&amp;U72&amp;"&lt;/td&gt;&lt;td&gt;"&amp;C72&amp;"&lt;/td&gt;&lt;td&gt;"&amp;J72&amp;"&lt;/td&gt;&lt;td&gt;"&amp;IF(OR(C72=0,J72=0),"0.000",IF(ROUND(J72/C72,3)=1,"1.000",TEXT(ROUND(J72/C72,3),"0.000")))&amp;"&lt;/td&gt;&lt;td&gt;"&amp;D72&amp;"&lt;/td&gt;&lt;td&gt;"&amp;E72&amp;"&lt;/td&gt;&lt;td&gt;"&amp;IF(OR(D72=0,E72=0),"0.000",IF(ROUND(D72/E72,3)=1,"1.000",TEXT(ROUND(D72/E72,3),"0.000")))&amp;"&lt;/td&gt;&lt;td&gt;"&amp;F72&amp;"&lt;/td&gt;&lt;td&gt;"&amp;G72&amp;"&lt;/td&gt;&lt;td&gt;"&amp;IF(OR(F72=0,G72=0),"0.000",IF(ROUND(F72/G72,3)=1,"1.000",TEXT(ROUND(F72/G72,3),"0.000")))&amp;"&lt;/td&gt;&lt;td&gt;"&amp;H72&amp;"&lt;/td&gt;&lt;td&gt;"&amp;I72&amp;"&lt;/td&gt;&lt;td&gt;"&amp;IF(OR(H72=0,I72=0),"0.000",IF(ROUND(H72/I72,3)=1,"1.000",TEXT(ROUND(H72/I72,3),"0.000")))&amp;"&lt;/td&gt;&lt;td&gt;"&amp;K72&amp;"&lt;/td&gt;&lt;td&gt;"&amp;L72&amp;"&lt;/td&gt;&lt;td&gt;"&amp;M72&amp;"&lt;/td&gt;&lt;td&gt;"&amp;IF(OR(M72=0,C72=0),"0.000",IF(ROUND(M72/C72,3)=1,"1.000",TEXT(ROUND(M72/C72,3),"0.000")))&amp;"&lt;/td&gt;&lt;td&gt;"&amp;O72&amp;"&lt;/td&gt;&lt;td&gt;"&amp;IF(OR(O72=0,C72=0),"0.000",IF(ROUND(O72/C72,3)=1,"1.000",TEXT(ROUND(O72/C72,3),"0.000")))&amp;"&lt;/td&gt;&lt;td&gt;"&amp;R72&amp;"&lt;/td&gt;&lt;td&gt;"&amp;IF(OR(R72=0,C72=0),"0.000",IF(ROUND(R72/C72,3)=1,"1.000",TEXT(ROUND(R72/C72,3),"0.000")))&amp;"&lt;/td&gt;&lt;td&gt;"&amp;Q72&amp;"&lt;/td&gt;&lt;td&gt;"&amp;IF(OR(Q72=0,C72=0),"0.000",IF(ROUND(Q72/C72,3)=1,"1.000",TEXT(ROUND(Q72/C72,3),"0.000")))&amp;"&lt;/td&gt;&lt;/tr&gt;"</f>
        <v>&lt;tr&gt;&lt;td&gt;Riki Zimbakov&lt;/td&gt;&lt;td&gt;JTC&lt;/td&gt;&lt;td&gt;3&lt;/td&gt;&lt;td&gt;73&lt;/td&gt;&lt;td&gt;24.333&lt;/td&gt;&lt;td&gt;33&lt;/td&gt;&lt;td&gt;62&lt;/td&gt;&lt;td&gt;0.532&lt;/td&gt;&lt;td&gt;5&lt;/td&gt;&lt;td&gt;13&lt;/td&gt;&lt;td&gt;0.385&lt;/td&gt;&lt;td&gt;2&lt;/td&gt;&lt;td&gt;6&lt;/td&gt;&lt;td&gt;0.333&lt;/td&gt;&lt;td&gt;9&lt;/td&gt;&lt;td&gt;18&lt;/td&gt;&lt;td&gt;27&lt;/td&gt;&lt;td&gt;9.000&lt;/td&gt;&lt;td&gt;9&lt;/td&gt;&lt;td&gt;3.000&lt;/td&gt;&lt;td&gt;10&lt;/td&gt;&lt;td&gt;3.333&lt;/td&gt;&lt;td&gt;1&lt;/td&gt;&lt;td&gt;0.333&lt;/td&gt;&lt;/tr&gt;</v>
      </c>
    </row>
    <row r="73" spans="1:23" x14ac:dyDescent="0.25">
      <c r="A73" s="10">
        <v>11</v>
      </c>
      <c r="B73" s="12" t="s">
        <v>443</v>
      </c>
      <c r="C73" s="12">
        <v>11</v>
      </c>
      <c r="D73" s="12">
        <v>26</v>
      </c>
      <c r="E73" s="12">
        <v>80</v>
      </c>
      <c r="F73" s="12">
        <v>5</v>
      </c>
      <c r="G73" s="12">
        <v>20</v>
      </c>
      <c r="H73" s="12">
        <v>15</v>
      </c>
      <c r="I73" s="12">
        <v>24</v>
      </c>
      <c r="J73" s="16">
        <f t="shared" si="3"/>
        <v>72</v>
      </c>
      <c r="K73" s="12">
        <v>26</v>
      </c>
      <c r="L73" s="12">
        <v>31</v>
      </c>
      <c r="M73" s="16">
        <f t="shared" si="4"/>
        <v>57</v>
      </c>
      <c r="N73" s="12">
        <v>31</v>
      </c>
      <c r="O73" s="12">
        <v>21</v>
      </c>
      <c r="P73" s="12">
        <v>28</v>
      </c>
      <c r="Q73" s="12">
        <v>3</v>
      </c>
      <c r="R73" s="12">
        <v>24</v>
      </c>
      <c r="S73" s="16">
        <v>0</v>
      </c>
      <c r="T73" s="12">
        <v>255</v>
      </c>
      <c r="U73" s="12" t="s">
        <v>80</v>
      </c>
      <c r="W73" s="10" t="str">
        <f t="shared" si="5"/>
        <v>&lt;tr&gt;&lt;td&gt;Andreas Dueck&lt;/td&gt;&lt;td&gt;VMC&lt;/td&gt;&lt;td&gt;11&lt;/td&gt;&lt;td&gt;72&lt;/td&gt;&lt;td&gt;6.545&lt;/td&gt;&lt;td&gt;26&lt;/td&gt;&lt;td&gt;80&lt;/td&gt;&lt;td&gt;0.325&lt;/td&gt;&lt;td&gt;5&lt;/td&gt;&lt;td&gt;20&lt;/td&gt;&lt;td&gt;0.250&lt;/td&gt;&lt;td&gt;15&lt;/td&gt;&lt;td&gt;24&lt;/td&gt;&lt;td&gt;0.625&lt;/td&gt;&lt;td&gt;26&lt;/td&gt;&lt;td&gt;31&lt;/td&gt;&lt;td&gt;57&lt;/td&gt;&lt;td&gt;5.182&lt;/td&gt;&lt;td&gt;21&lt;/td&gt;&lt;td&gt;1.909&lt;/td&gt;&lt;td&gt;24&lt;/td&gt;&lt;td&gt;2.182&lt;/td&gt;&lt;td&gt;3&lt;/td&gt;&lt;td&gt;0.273&lt;/td&gt;&lt;/tr&gt;</v>
      </c>
    </row>
    <row r="74" spans="1:23" x14ac:dyDescent="0.25">
      <c r="A74" s="10">
        <v>13</v>
      </c>
      <c r="B74" s="12" t="s">
        <v>698</v>
      </c>
      <c r="C74" s="12">
        <v>6</v>
      </c>
      <c r="D74" s="12">
        <v>33</v>
      </c>
      <c r="E74" s="12">
        <v>72</v>
      </c>
      <c r="F74" s="12">
        <v>0</v>
      </c>
      <c r="G74" s="12">
        <v>0</v>
      </c>
      <c r="H74" s="12">
        <v>4</v>
      </c>
      <c r="I74" s="12">
        <v>10</v>
      </c>
      <c r="J74" s="16">
        <f t="shared" si="3"/>
        <v>70</v>
      </c>
      <c r="K74" s="12">
        <v>34</v>
      </c>
      <c r="L74" s="12">
        <v>36</v>
      </c>
      <c r="M74" s="16">
        <f t="shared" si="4"/>
        <v>70</v>
      </c>
      <c r="N74" s="12">
        <v>12</v>
      </c>
      <c r="O74" s="12">
        <v>6</v>
      </c>
      <c r="P74" s="12">
        <v>12</v>
      </c>
      <c r="Q74" s="12">
        <v>11</v>
      </c>
      <c r="R74" s="12">
        <v>7</v>
      </c>
      <c r="S74" s="16">
        <v>0</v>
      </c>
      <c r="T74" s="12">
        <v>164</v>
      </c>
      <c r="U74" s="12" t="s">
        <v>78</v>
      </c>
      <c r="W74" s="10" t="str">
        <f t="shared" si="5"/>
        <v>&lt;tr&gt;&lt;td&gt;Cam O'Hara&lt;/td&gt;&lt;td&gt;SPHS&lt;/td&gt;&lt;td&gt;6&lt;/td&gt;&lt;td&gt;70&lt;/td&gt;&lt;td&gt;11.667&lt;/td&gt;&lt;td&gt;33&lt;/td&gt;&lt;td&gt;72&lt;/td&gt;&lt;td&gt;0.458&lt;/td&gt;&lt;td&gt;0&lt;/td&gt;&lt;td&gt;0&lt;/td&gt;&lt;td&gt;0.000&lt;/td&gt;&lt;td&gt;4&lt;/td&gt;&lt;td&gt;10&lt;/td&gt;&lt;td&gt;0.400&lt;/td&gt;&lt;td&gt;34&lt;/td&gt;&lt;td&gt;36&lt;/td&gt;&lt;td&gt;70&lt;/td&gt;&lt;td&gt;11.667&lt;/td&gt;&lt;td&gt;6&lt;/td&gt;&lt;td&gt;1.000&lt;/td&gt;&lt;td&gt;7&lt;/td&gt;&lt;td&gt;1.167&lt;/td&gt;&lt;td&gt;11&lt;/td&gt;&lt;td&gt;1.833&lt;/td&gt;&lt;/tr&gt;</v>
      </c>
    </row>
    <row r="75" spans="1:23" x14ac:dyDescent="0.25">
      <c r="A75" s="10">
        <v>3</v>
      </c>
      <c r="B75" s="12" t="s">
        <v>743</v>
      </c>
      <c r="C75" s="12">
        <v>3</v>
      </c>
      <c r="D75" s="12">
        <v>23</v>
      </c>
      <c r="E75" s="12">
        <v>54</v>
      </c>
      <c r="F75" s="12">
        <v>16</v>
      </c>
      <c r="G75" s="12">
        <v>34</v>
      </c>
      <c r="H75" s="12">
        <v>8</v>
      </c>
      <c r="I75" s="12">
        <v>11</v>
      </c>
      <c r="J75" s="16">
        <f t="shared" si="3"/>
        <v>70</v>
      </c>
      <c r="K75" s="12">
        <v>1</v>
      </c>
      <c r="L75" s="12">
        <v>5</v>
      </c>
      <c r="M75" s="16">
        <f t="shared" si="4"/>
        <v>6</v>
      </c>
      <c r="N75" s="12">
        <v>5</v>
      </c>
      <c r="O75" s="12">
        <v>9</v>
      </c>
      <c r="P75" s="12">
        <v>6</v>
      </c>
      <c r="Q75" s="12">
        <v>0</v>
      </c>
      <c r="R75" s="12">
        <v>8</v>
      </c>
      <c r="S75" s="16">
        <v>0</v>
      </c>
      <c r="T75" s="12">
        <v>90</v>
      </c>
      <c r="U75" s="12" t="s">
        <v>76</v>
      </c>
      <c r="W75" s="10" t="str">
        <f t="shared" si="5"/>
        <v>&lt;tr&gt;&lt;td&gt;Don Dayrit&lt;/td&gt;&lt;td&gt;SiHS&lt;/td&gt;&lt;td&gt;3&lt;/td&gt;&lt;td&gt;70&lt;/td&gt;&lt;td&gt;23.333&lt;/td&gt;&lt;td&gt;23&lt;/td&gt;&lt;td&gt;54&lt;/td&gt;&lt;td&gt;0.426&lt;/td&gt;&lt;td&gt;16&lt;/td&gt;&lt;td&gt;34&lt;/td&gt;&lt;td&gt;0.471&lt;/td&gt;&lt;td&gt;8&lt;/td&gt;&lt;td&gt;11&lt;/td&gt;&lt;td&gt;0.727&lt;/td&gt;&lt;td&gt;1&lt;/td&gt;&lt;td&gt;5&lt;/td&gt;&lt;td&gt;6&lt;/td&gt;&lt;td&gt;2.000&lt;/td&gt;&lt;td&gt;9&lt;/td&gt;&lt;td&gt;3.000&lt;/td&gt;&lt;td&gt;8&lt;/td&gt;&lt;td&gt;2.667&lt;/td&gt;&lt;td&gt;0&lt;/td&gt;&lt;td&gt;0.000&lt;/td&gt;&lt;/tr&gt;</v>
      </c>
    </row>
    <row r="76" spans="1:23" x14ac:dyDescent="0.25">
      <c r="A76" s="10">
        <v>15</v>
      </c>
      <c r="B76" s="12" t="s">
        <v>416</v>
      </c>
      <c r="C76" s="12">
        <v>8</v>
      </c>
      <c r="D76" s="12">
        <v>23</v>
      </c>
      <c r="E76" s="12">
        <v>65</v>
      </c>
      <c r="F76" s="12">
        <v>8</v>
      </c>
      <c r="G76" s="12">
        <v>30</v>
      </c>
      <c r="H76" s="12">
        <v>13</v>
      </c>
      <c r="I76" s="12">
        <v>16</v>
      </c>
      <c r="J76" s="16">
        <f t="shared" si="3"/>
        <v>67</v>
      </c>
      <c r="K76" s="12">
        <v>4</v>
      </c>
      <c r="L76" s="12">
        <v>27</v>
      </c>
      <c r="M76" s="16">
        <f t="shared" si="4"/>
        <v>31</v>
      </c>
      <c r="N76" s="12">
        <v>7</v>
      </c>
      <c r="O76" s="12">
        <v>14</v>
      </c>
      <c r="P76" s="12">
        <v>15</v>
      </c>
      <c r="Q76" s="12">
        <v>2</v>
      </c>
      <c r="R76" s="12">
        <v>8</v>
      </c>
      <c r="S76" s="16">
        <v>0</v>
      </c>
      <c r="T76" s="12">
        <v>178</v>
      </c>
      <c r="U76" s="12" t="s">
        <v>43</v>
      </c>
      <c r="W76" s="10" t="str">
        <f t="shared" si="5"/>
        <v>&lt;tr&gt;&lt;td&gt;Shub Khosa&lt;/td&gt;&lt;td&gt;KEC&lt;/td&gt;&lt;td&gt;8&lt;/td&gt;&lt;td&gt;67&lt;/td&gt;&lt;td&gt;8.375&lt;/td&gt;&lt;td&gt;23&lt;/td&gt;&lt;td&gt;65&lt;/td&gt;&lt;td&gt;0.354&lt;/td&gt;&lt;td&gt;8&lt;/td&gt;&lt;td&gt;30&lt;/td&gt;&lt;td&gt;0.267&lt;/td&gt;&lt;td&gt;13&lt;/td&gt;&lt;td&gt;16&lt;/td&gt;&lt;td&gt;0.813&lt;/td&gt;&lt;td&gt;4&lt;/td&gt;&lt;td&gt;27&lt;/td&gt;&lt;td&gt;31&lt;/td&gt;&lt;td&gt;3.875&lt;/td&gt;&lt;td&gt;14&lt;/td&gt;&lt;td&gt;1.750&lt;/td&gt;&lt;td&gt;8&lt;/td&gt;&lt;td&gt;1.000&lt;/td&gt;&lt;td&gt;2&lt;/td&gt;&lt;td&gt;0.250&lt;/td&gt;&lt;/tr&gt;</v>
      </c>
    </row>
    <row r="77" spans="1:23" x14ac:dyDescent="0.25">
      <c r="A77" s="10">
        <v>8</v>
      </c>
      <c r="B77" s="12" t="s">
        <v>401</v>
      </c>
      <c r="C77" s="12">
        <v>8</v>
      </c>
      <c r="D77" s="12">
        <v>25</v>
      </c>
      <c r="E77" s="12">
        <v>72</v>
      </c>
      <c r="F77" s="12">
        <v>7</v>
      </c>
      <c r="G77" s="12">
        <v>28</v>
      </c>
      <c r="H77" s="12">
        <v>10</v>
      </c>
      <c r="I77" s="12">
        <v>16</v>
      </c>
      <c r="J77" s="16">
        <f t="shared" si="3"/>
        <v>67</v>
      </c>
      <c r="K77" s="12">
        <v>10</v>
      </c>
      <c r="L77" s="12">
        <v>25</v>
      </c>
      <c r="M77" s="16">
        <f t="shared" si="4"/>
        <v>35</v>
      </c>
      <c r="N77" s="12">
        <v>8</v>
      </c>
      <c r="O77" s="12">
        <v>18</v>
      </c>
      <c r="P77" s="12">
        <v>14</v>
      </c>
      <c r="Q77" s="12">
        <v>2</v>
      </c>
      <c r="R77" s="12">
        <v>13</v>
      </c>
      <c r="S77" s="16">
        <v>0</v>
      </c>
      <c r="T77" s="12">
        <v>245</v>
      </c>
      <c r="U77" s="12" t="s">
        <v>45</v>
      </c>
      <c r="W77" s="10" t="str">
        <f t="shared" si="5"/>
        <v>&lt;tr&gt;&lt;td&gt;Nicholson Dela Pena&lt;/td&gt;&lt;td&gt;MC&lt;/td&gt;&lt;td&gt;8&lt;/td&gt;&lt;td&gt;67&lt;/td&gt;&lt;td&gt;8.375&lt;/td&gt;&lt;td&gt;25&lt;/td&gt;&lt;td&gt;72&lt;/td&gt;&lt;td&gt;0.347&lt;/td&gt;&lt;td&gt;7&lt;/td&gt;&lt;td&gt;28&lt;/td&gt;&lt;td&gt;0.250&lt;/td&gt;&lt;td&gt;10&lt;/td&gt;&lt;td&gt;16&lt;/td&gt;&lt;td&gt;0.625&lt;/td&gt;&lt;td&gt;10&lt;/td&gt;&lt;td&gt;25&lt;/td&gt;&lt;td&gt;35&lt;/td&gt;&lt;td&gt;4.375&lt;/td&gt;&lt;td&gt;18&lt;/td&gt;&lt;td&gt;2.250&lt;/td&gt;&lt;td&gt;13&lt;/td&gt;&lt;td&gt;1.625&lt;/td&gt;&lt;td&gt;2&lt;/td&gt;&lt;td&gt;0.250&lt;/td&gt;&lt;/tr&gt;</v>
      </c>
    </row>
    <row r="78" spans="1:23" x14ac:dyDescent="0.25">
      <c r="A78" s="10">
        <v>11</v>
      </c>
      <c r="B78" s="12" t="s">
        <v>710</v>
      </c>
      <c r="C78" s="12">
        <v>3</v>
      </c>
      <c r="D78" s="12">
        <v>27</v>
      </c>
      <c r="E78" s="12">
        <v>51</v>
      </c>
      <c r="F78" s="12">
        <v>2</v>
      </c>
      <c r="G78" s="12">
        <v>4</v>
      </c>
      <c r="H78" s="12">
        <v>10</v>
      </c>
      <c r="I78" s="12">
        <v>13</v>
      </c>
      <c r="J78" s="16">
        <f t="shared" si="3"/>
        <v>66</v>
      </c>
      <c r="K78" s="12">
        <v>6</v>
      </c>
      <c r="L78" s="12">
        <v>26</v>
      </c>
      <c r="M78" s="16">
        <f t="shared" si="4"/>
        <v>32</v>
      </c>
      <c r="N78" s="12">
        <v>4</v>
      </c>
      <c r="O78" s="12">
        <v>13</v>
      </c>
      <c r="P78" s="12">
        <v>13</v>
      </c>
      <c r="Q78" s="12">
        <v>7</v>
      </c>
      <c r="R78" s="12">
        <v>5</v>
      </c>
      <c r="S78" s="16">
        <v>0</v>
      </c>
      <c r="T78" s="12">
        <v>98</v>
      </c>
      <c r="U78" s="12" t="s">
        <v>70</v>
      </c>
      <c r="W78" s="10" t="str">
        <f t="shared" si="5"/>
        <v>&lt;tr&gt;&lt;td&gt;James Wagner&lt;/td&gt;&lt;td&gt;JTC&lt;/td&gt;&lt;td&gt;3&lt;/td&gt;&lt;td&gt;66&lt;/td&gt;&lt;td&gt;22.000&lt;/td&gt;&lt;td&gt;27&lt;/td&gt;&lt;td&gt;51&lt;/td&gt;&lt;td&gt;0.529&lt;/td&gt;&lt;td&gt;2&lt;/td&gt;&lt;td&gt;4&lt;/td&gt;&lt;td&gt;0.500&lt;/td&gt;&lt;td&gt;10&lt;/td&gt;&lt;td&gt;13&lt;/td&gt;&lt;td&gt;0.769&lt;/td&gt;&lt;td&gt;6&lt;/td&gt;&lt;td&gt;26&lt;/td&gt;&lt;td&gt;32&lt;/td&gt;&lt;td&gt;10.667&lt;/td&gt;&lt;td&gt;13&lt;/td&gt;&lt;td&gt;4.333&lt;/td&gt;&lt;td&gt;5&lt;/td&gt;&lt;td&gt;1.667&lt;/td&gt;&lt;td&gt;7&lt;/td&gt;&lt;td&gt;2.333&lt;/td&gt;&lt;/tr&gt;</v>
      </c>
    </row>
    <row r="79" spans="1:23" x14ac:dyDescent="0.25">
      <c r="A79" s="10">
        <v>19</v>
      </c>
      <c r="B79" s="12" t="s">
        <v>500</v>
      </c>
      <c r="C79" s="12">
        <v>8</v>
      </c>
      <c r="D79" s="12">
        <v>27</v>
      </c>
      <c r="E79" s="12">
        <v>73</v>
      </c>
      <c r="F79" s="12">
        <v>6</v>
      </c>
      <c r="G79" s="12">
        <v>21</v>
      </c>
      <c r="H79" s="12">
        <v>5</v>
      </c>
      <c r="I79" s="12">
        <v>9</v>
      </c>
      <c r="J79" s="16">
        <f t="shared" si="3"/>
        <v>65</v>
      </c>
      <c r="K79" s="12">
        <v>13</v>
      </c>
      <c r="L79" s="12">
        <v>24</v>
      </c>
      <c r="M79" s="16">
        <f t="shared" si="4"/>
        <v>37</v>
      </c>
      <c r="N79" s="12">
        <v>11</v>
      </c>
      <c r="O79" s="12">
        <v>14</v>
      </c>
      <c r="P79" s="12">
        <v>26</v>
      </c>
      <c r="Q79" s="12">
        <v>0</v>
      </c>
      <c r="R79" s="12">
        <v>18</v>
      </c>
      <c r="S79" s="16">
        <v>0</v>
      </c>
      <c r="T79" s="12">
        <v>169</v>
      </c>
      <c r="U79" s="12" t="s">
        <v>52</v>
      </c>
      <c r="W79" s="10" t="str">
        <f t="shared" si="5"/>
        <v>&lt;tr&gt;&lt;td&gt;Darnell Wyke&lt;/td&gt;&lt;td&gt;REC&lt;/td&gt;&lt;td&gt;8&lt;/td&gt;&lt;td&gt;65&lt;/td&gt;&lt;td&gt;8.125&lt;/td&gt;&lt;td&gt;27&lt;/td&gt;&lt;td&gt;73&lt;/td&gt;&lt;td&gt;0.370&lt;/td&gt;&lt;td&gt;6&lt;/td&gt;&lt;td&gt;21&lt;/td&gt;&lt;td&gt;0.286&lt;/td&gt;&lt;td&gt;5&lt;/td&gt;&lt;td&gt;9&lt;/td&gt;&lt;td&gt;0.556&lt;/td&gt;&lt;td&gt;13&lt;/td&gt;&lt;td&gt;24&lt;/td&gt;&lt;td&gt;37&lt;/td&gt;&lt;td&gt;4.625&lt;/td&gt;&lt;td&gt;14&lt;/td&gt;&lt;td&gt;1.750&lt;/td&gt;&lt;td&gt;18&lt;/td&gt;&lt;td&gt;2.250&lt;/td&gt;&lt;td&gt;0&lt;/td&gt;&lt;td&gt;0.000&lt;/td&gt;&lt;/tr&gt;</v>
      </c>
    </row>
    <row r="80" spans="1:23" x14ac:dyDescent="0.25">
      <c r="A80" s="10">
        <v>8</v>
      </c>
      <c r="B80" s="12" t="s">
        <v>440</v>
      </c>
      <c r="C80" s="12">
        <v>8</v>
      </c>
      <c r="D80" s="12">
        <v>24</v>
      </c>
      <c r="E80" s="12">
        <v>69</v>
      </c>
      <c r="F80" s="12">
        <v>12</v>
      </c>
      <c r="G80" s="12">
        <v>39</v>
      </c>
      <c r="H80" s="12">
        <v>5</v>
      </c>
      <c r="I80" s="12">
        <v>7</v>
      </c>
      <c r="J80" s="16">
        <f t="shared" si="3"/>
        <v>65</v>
      </c>
      <c r="K80" s="12">
        <v>6</v>
      </c>
      <c r="L80" s="12">
        <v>14</v>
      </c>
      <c r="M80" s="16">
        <f t="shared" si="4"/>
        <v>20</v>
      </c>
      <c r="N80" s="12">
        <v>14</v>
      </c>
      <c r="O80" s="12">
        <v>20</v>
      </c>
      <c r="P80" s="12">
        <v>12</v>
      </c>
      <c r="Q80" s="12">
        <v>2</v>
      </c>
      <c r="R80" s="12">
        <v>9</v>
      </c>
      <c r="S80" s="16">
        <v>0</v>
      </c>
      <c r="T80" s="12">
        <v>183</v>
      </c>
      <c r="U80" s="12" t="s">
        <v>80</v>
      </c>
      <c r="W80" s="10" t="str">
        <f t="shared" si="5"/>
        <v>&lt;tr&gt;&lt;td&gt;Jerome Manguba&lt;/td&gt;&lt;td&gt;VMC&lt;/td&gt;&lt;td&gt;8&lt;/td&gt;&lt;td&gt;65&lt;/td&gt;&lt;td&gt;8.125&lt;/td&gt;&lt;td&gt;24&lt;/td&gt;&lt;td&gt;69&lt;/td&gt;&lt;td&gt;0.348&lt;/td&gt;&lt;td&gt;12&lt;/td&gt;&lt;td&gt;39&lt;/td&gt;&lt;td&gt;0.308&lt;/td&gt;&lt;td&gt;5&lt;/td&gt;&lt;td&gt;7&lt;/td&gt;&lt;td&gt;0.714&lt;/td&gt;&lt;td&gt;6&lt;/td&gt;&lt;td&gt;14&lt;/td&gt;&lt;td&gt;20&lt;/td&gt;&lt;td&gt;2.500&lt;/td&gt;&lt;td&gt;20&lt;/td&gt;&lt;td&gt;2.500&lt;/td&gt;&lt;td&gt;9&lt;/td&gt;&lt;td&gt;1.125&lt;/td&gt;&lt;td&gt;2&lt;/td&gt;&lt;td&gt;0.250&lt;/td&gt;&lt;/tr&gt;</v>
      </c>
    </row>
    <row r="81" spans="1:23" x14ac:dyDescent="0.25">
      <c r="A81" s="10">
        <v>3</v>
      </c>
      <c r="B81" s="12" t="s">
        <v>688</v>
      </c>
      <c r="C81" s="12">
        <v>9</v>
      </c>
      <c r="D81" s="12">
        <v>23</v>
      </c>
      <c r="E81" s="12">
        <v>81</v>
      </c>
      <c r="F81" s="12">
        <v>8</v>
      </c>
      <c r="G81" s="12">
        <v>29</v>
      </c>
      <c r="H81" s="12">
        <v>10</v>
      </c>
      <c r="I81" s="12">
        <v>19</v>
      </c>
      <c r="J81" s="16">
        <f t="shared" si="3"/>
        <v>64</v>
      </c>
      <c r="K81" s="12">
        <v>13</v>
      </c>
      <c r="L81" s="12">
        <v>43</v>
      </c>
      <c r="M81" s="16">
        <f t="shared" si="4"/>
        <v>56</v>
      </c>
      <c r="N81" s="12">
        <v>20</v>
      </c>
      <c r="O81" s="12">
        <v>18</v>
      </c>
      <c r="P81" s="12">
        <v>12</v>
      </c>
      <c r="Q81" s="12">
        <v>4</v>
      </c>
      <c r="R81" s="12">
        <v>26</v>
      </c>
      <c r="S81" s="16">
        <v>0</v>
      </c>
      <c r="T81" s="12">
        <v>241</v>
      </c>
      <c r="U81" s="12" t="s">
        <v>78</v>
      </c>
      <c r="W81" s="10" t="str">
        <f t="shared" si="5"/>
        <v>&lt;tr&gt;&lt;td&gt;Pete Huletey&lt;/td&gt;&lt;td&gt;SPHS&lt;/td&gt;&lt;td&gt;9&lt;/td&gt;&lt;td&gt;64&lt;/td&gt;&lt;td&gt;7.111&lt;/td&gt;&lt;td&gt;23&lt;/td&gt;&lt;td&gt;81&lt;/td&gt;&lt;td&gt;0.284&lt;/td&gt;&lt;td&gt;8&lt;/td&gt;&lt;td&gt;29&lt;/td&gt;&lt;td&gt;0.276&lt;/td&gt;&lt;td&gt;10&lt;/td&gt;&lt;td&gt;19&lt;/td&gt;&lt;td&gt;0.526&lt;/td&gt;&lt;td&gt;13&lt;/td&gt;&lt;td&gt;43&lt;/td&gt;&lt;td&gt;56&lt;/td&gt;&lt;td&gt;6.222&lt;/td&gt;&lt;td&gt;18&lt;/td&gt;&lt;td&gt;2.000&lt;/td&gt;&lt;td&gt;26&lt;/td&gt;&lt;td&gt;2.889&lt;/td&gt;&lt;td&gt;4&lt;/td&gt;&lt;td&gt;0.444&lt;/td&gt;&lt;/tr&gt;</v>
      </c>
    </row>
    <row r="82" spans="1:23" x14ac:dyDescent="0.25">
      <c r="A82" s="10">
        <v>20</v>
      </c>
      <c r="B82" s="12" t="s">
        <v>749</v>
      </c>
      <c r="C82" s="12">
        <v>3</v>
      </c>
      <c r="D82" s="12">
        <v>29</v>
      </c>
      <c r="E82" s="12">
        <v>41</v>
      </c>
      <c r="F82" s="12">
        <v>0</v>
      </c>
      <c r="G82" s="12">
        <v>0</v>
      </c>
      <c r="H82" s="12">
        <v>6</v>
      </c>
      <c r="I82" s="12">
        <v>17</v>
      </c>
      <c r="J82" s="16">
        <f t="shared" si="3"/>
        <v>64</v>
      </c>
      <c r="K82" s="12">
        <v>16</v>
      </c>
      <c r="L82" s="12">
        <v>35</v>
      </c>
      <c r="M82" s="16">
        <f t="shared" si="4"/>
        <v>51</v>
      </c>
      <c r="N82" s="12">
        <v>6</v>
      </c>
      <c r="O82" s="12">
        <v>2</v>
      </c>
      <c r="P82" s="12">
        <v>7</v>
      </c>
      <c r="Q82" s="12">
        <v>4</v>
      </c>
      <c r="R82" s="12">
        <v>1</v>
      </c>
      <c r="S82" s="16">
        <v>0</v>
      </c>
      <c r="T82" s="12">
        <v>91</v>
      </c>
      <c r="U82" s="12" t="s">
        <v>76</v>
      </c>
      <c r="W82" s="10" t="str">
        <f t="shared" si="5"/>
        <v>&lt;tr&gt;&lt;td&gt;Noah Horobetz-Simpson&lt;/td&gt;&lt;td&gt;SiHS&lt;/td&gt;&lt;td&gt;3&lt;/td&gt;&lt;td&gt;64&lt;/td&gt;&lt;td&gt;21.333&lt;/td&gt;&lt;td&gt;29&lt;/td&gt;&lt;td&gt;41&lt;/td&gt;&lt;td&gt;0.707&lt;/td&gt;&lt;td&gt;0&lt;/td&gt;&lt;td&gt;0&lt;/td&gt;&lt;td&gt;0.000&lt;/td&gt;&lt;td&gt;6&lt;/td&gt;&lt;td&gt;17&lt;/td&gt;&lt;td&gt;0.353&lt;/td&gt;&lt;td&gt;16&lt;/td&gt;&lt;td&gt;35&lt;/td&gt;&lt;td&gt;51&lt;/td&gt;&lt;td&gt;17.000&lt;/td&gt;&lt;td&gt;2&lt;/td&gt;&lt;td&gt;0.667&lt;/td&gt;&lt;td&gt;1&lt;/td&gt;&lt;td&gt;0.333&lt;/td&gt;&lt;td&gt;4&lt;/td&gt;&lt;td&gt;1.333&lt;/td&gt;&lt;/tr&gt;</v>
      </c>
    </row>
    <row r="83" spans="1:23" x14ac:dyDescent="0.25">
      <c r="A83" s="10">
        <v>5</v>
      </c>
      <c r="B83" s="12" t="s">
        <v>389</v>
      </c>
      <c r="C83" s="12">
        <v>5</v>
      </c>
      <c r="D83" s="12">
        <v>28</v>
      </c>
      <c r="E83" s="12">
        <v>80</v>
      </c>
      <c r="F83" s="12">
        <v>1</v>
      </c>
      <c r="G83" s="12">
        <v>21</v>
      </c>
      <c r="H83" s="12">
        <v>6</v>
      </c>
      <c r="I83" s="12">
        <v>15</v>
      </c>
      <c r="J83" s="16">
        <f t="shared" si="3"/>
        <v>63</v>
      </c>
      <c r="K83" s="12">
        <v>6</v>
      </c>
      <c r="L83" s="12">
        <v>25</v>
      </c>
      <c r="M83" s="16">
        <f t="shared" si="4"/>
        <v>31</v>
      </c>
      <c r="N83" s="12">
        <v>16</v>
      </c>
      <c r="O83" s="12">
        <v>3</v>
      </c>
      <c r="P83" s="12">
        <v>22</v>
      </c>
      <c r="Q83" s="12">
        <v>5</v>
      </c>
      <c r="R83" s="12">
        <v>18</v>
      </c>
      <c r="S83" s="16">
        <v>0</v>
      </c>
      <c r="T83" s="12">
        <v>119</v>
      </c>
      <c r="U83" s="12" t="s">
        <v>164</v>
      </c>
      <c r="W83" s="10" t="str">
        <f t="shared" si="5"/>
        <v>&lt;tr&gt;&lt;td&gt;Isaiah Friesen&lt;/td&gt;&lt;td&gt;GVC&lt;/td&gt;&lt;td&gt;5&lt;/td&gt;&lt;td&gt;63&lt;/td&gt;&lt;td&gt;12.600&lt;/td&gt;&lt;td&gt;28&lt;/td&gt;&lt;td&gt;80&lt;/td&gt;&lt;td&gt;0.350&lt;/td&gt;&lt;td&gt;1&lt;/td&gt;&lt;td&gt;21&lt;/td&gt;&lt;td&gt;0.048&lt;/td&gt;&lt;td&gt;6&lt;/td&gt;&lt;td&gt;15&lt;/td&gt;&lt;td&gt;0.400&lt;/td&gt;&lt;td&gt;6&lt;/td&gt;&lt;td&gt;25&lt;/td&gt;&lt;td&gt;31&lt;/td&gt;&lt;td&gt;6.200&lt;/td&gt;&lt;td&gt;3&lt;/td&gt;&lt;td&gt;0.600&lt;/td&gt;&lt;td&gt;18&lt;/td&gt;&lt;td&gt;3.600&lt;/td&gt;&lt;td&gt;5&lt;/td&gt;&lt;td&gt;1.000&lt;/td&gt;&lt;/tr&gt;</v>
      </c>
    </row>
    <row r="84" spans="1:23" x14ac:dyDescent="0.25">
      <c r="A84" s="10">
        <v>6</v>
      </c>
      <c r="B84" s="12" t="s">
        <v>412</v>
      </c>
      <c r="C84" s="12">
        <v>8</v>
      </c>
      <c r="D84" s="12">
        <v>24</v>
      </c>
      <c r="E84" s="12">
        <v>74</v>
      </c>
      <c r="F84" s="12">
        <v>1</v>
      </c>
      <c r="G84" s="12">
        <v>17</v>
      </c>
      <c r="H84" s="12">
        <v>13</v>
      </c>
      <c r="I84" s="12">
        <v>24</v>
      </c>
      <c r="J84" s="16">
        <f t="shared" si="3"/>
        <v>62</v>
      </c>
      <c r="K84" s="12">
        <v>13</v>
      </c>
      <c r="L84" s="12">
        <v>34</v>
      </c>
      <c r="M84" s="16">
        <f t="shared" si="4"/>
        <v>47</v>
      </c>
      <c r="N84" s="12">
        <v>9</v>
      </c>
      <c r="O84" s="12">
        <v>22</v>
      </c>
      <c r="P84" s="12">
        <v>37</v>
      </c>
      <c r="Q84" s="12">
        <v>3</v>
      </c>
      <c r="R84" s="12">
        <v>14</v>
      </c>
      <c r="S84" s="16">
        <v>0</v>
      </c>
      <c r="T84" s="12">
        <v>231</v>
      </c>
      <c r="U84" s="12" t="s">
        <v>43</v>
      </c>
      <c r="W84" s="10" t="str">
        <f t="shared" si="5"/>
        <v>&lt;tr&gt;&lt;td&gt;Shemar Omar&lt;/td&gt;&lt;td&gt;KEC&lt;/td&gt;&lt;td&gt;8&lt;/td&gt;&lt;td&gt;62&lt;/td&gt;&lt;td&gt;7.750&lt;/td&gt;&lt;td&gt;24&lt;/td&gt;&lt;td&gt;74&lt;/td&gt;&lt;td&gt;0.324&lt;/td&gt;&lt;td&gt;1&lt;/td&gt;&lt;td&gt;17&lt;/td&gt;&lt;td&gt;0.059&lt;/td&gt;&lt;td&gt;13&lt;/td&gt;&lt;td&gt;24&lt;/td&gt;&lt;td&gt;0.542&lt;/td&gt;&lt;td&gt;13&lt;/td&gt;&lt;td&gt;34&lt;/td&gt;&lt;td&gt;47&lt;/td&gt;&lt;td&gt;5.875&lt;/td&gt;&lt;td&gt;22&lt;/td&gt;&lt;td&gt;2.750&lt;/td&gt;&lt;td&gt;14&lt;/td&gt;&lt;td&gt;1.750&lt;/td&gt;&lt;td&gt;3&lt;/td&gt;&lt;td&gt;0.375&lt;/td&gt;&lt;/tr&gt;</v>
      </c>
    </row>
    <row r="85" spans="1:23" x14ac:dyDescent="0.25">
      <c r="A85" s="10">
        <v>13</v>
      </c>
      <c r="B85" s="12" t="s">
        <v>497</v>
      </c>
      <c r="C85" s="12">
        <v>8</v>
      </c>
      <c r="D85" s="12">
        <v>22</v>
      </c>
      <c r="E85" s="12">
        <v>67</v>
      </c>
      <c r="F85" s="12">
        <v>5</v>
      </c>
      <c r="G85" s="12">
        <v>23</v>
      </c>
      <c r="H85" s="12">
        <v>12</v>
      </c>
      <c r="I85" s="12">
        <v>26</v>
      </c>
      <c r="J85" s="16">
        <f t="shared" si="3"/>
        <v>61</v>
      </c>
      <c r="K85" s="12">
        <v>11</v>
      </c>
      <c r="L85" s="12">
        <v>30</v>
      </c>
      <c r="M85" s="16">
        <f t="shared" si="4"/>
        <v>41</v>
      </c>
      <c r="N85" s="12">
        <v>21</v>
      </c>
      <c r="O85" s="12">
        <v>10</v>
      </c>
      <c r="P85" s="12">
        <v>33</v>
      </c>
      <c r="Q85" s="12">
        <v>1</v>
      </c>
      <c r="R85" s="12">
        <v>15</v>
      </c>
      <c r="S85" s="16">
        <v>0</v>
      </c>
      <c r="T85" s="12">
        <v>216</v>
      </c>
      <c r="U85" s="12" t="s">
        <v>52</v>
      </c>
      <c r="W85" s="10" t="str">
        <f t="shared" si="5"/>
        <v>&lt;tr&gt;&lt;td&gt;Jordan Lalonde&lt;/td&gt;&lt;td&gt;REC&lt;/td&gt;&lt;td&gt;8&lt;/td&gt;&lt;td&gt;61&lt;/td&gt;&lt;td&gt;7.625&lt;/td&gt;&lt;td&gt;22&lt;/td&gt;&lt;td&gt;67&lt;/td&gt;&lt;td&gt;0.328&lt;/td&gt;&lt;td&gt;5&lt;/td&gt;&lt;td&gt;23&lt;/td&gt;&lt;td&gt;0.217&lt;/td&gt;&lt;td&gt;12&lt;/td&gt;&lt;td&gt;26&lt;/td&gt;&lt;td&gt;0.462&lt;/td&gt;&lt;td&gt;11&lt;/td&gt;&lt;td&gt;30&lt;/td&gt;&lt;td&gt;41&lt;/td&gt;&lt;td&gt;5.125&lt;/td&gt;&lt;td&gt;10&lt;/td&gt;&lt;td&gt;1.250&lt;/td&gt;&lt;td&gt;15&lt;/td&gt;&lt;td&gt;1.875&lt;/td&gt;&lt;td&gt;1&lt;/td&gt;&lt;td&gt;0.125&lt;/td&gt;&lt;/tr&gt;</v>
      </c>
    </row>
    <row r="86" spans="1:23" x14ac:dyDescent="0.25">
      <c r="A86" s="10">
        <v>13</v>
      </c>
      <c r="B86" s="12" t="s">
        <v>739</v>
      </c>
      <c r="C86" s="12">
        <v>6</v>
      </c>
      <c r="D86" s="12">
        <v>20</v>
      </c>
      <c r="E86" s="12">
        <v>73</v>
      </c>
      <c r="F86" s="12">
        <v>8</v>
      </c>
      <c r="G86" s="12">
        <v>27</v>
      </c>
      <c r="H86" s="12">
        <v>13</v>
      </c>
      <c r="I86" s="12">
        <v>18</v>
      </c>
      <c r="J86" s="16">
        <f t="shared" si="3"/>
        <v>61</v>
      </c>
      <c r="K86" s="12">
        <v>18</v>
      </c>
      <c r="L86" s="12">
        <v>31</v>
      </c>
      <c r="M86" s="16">
        <f t="shared" si="4"/>
        <v>49</v>
      </c>
      <c r="N86" s="12">
        <v>10</v>
      </c>
      <c r="O86" s="12">
        <v>3</v>
      </c>
      <c r="P86" s="12">
        <v>18</v>
      </c>
      <c r="Q86" s="12">
        <v>0</v>
      </c>
      <c r="R86" s="12">
        <v>9</v>
      </c>
      <c r="S86" s="16">
        <v>0</v>
      </c>
      <c r="T86" s="12">
        <v>147</v>
      </c>
      <c r="U86" s="12" t="s">
        <v>96</v>
      </c>
      <c r="W86" s="10" t="str">
        <f t="shared" si="5"/>
        <v>&lt;tr&gt;&lt;td&gt;Selestine Niyongabo&lt;/td&gt;&lt;td&gt;TVHS&lt;/td&gt;&lt;td&gt;6&lt;/td&gt;&lt;td&gt;61&lt;/td&gt;&lt;td&gt;10.167&lt;/td&gt;&lt;td&gt;20&lt;/td&gt;&lt;td&gt;73&lt;/td&gt;&lt;td&gt;0.274&lt;/td&gt;&lt;td&gt;8&lt;/td&gt;&lt;td&gt;27&lt;/td&gt;&lt;td&gt;0.296&lt;/td&gt;&lt;td&gt;13&lt;/td&gt;&lt;td&gt;18&lt;/td&gt;&lt;td&gt;0.722&lt;/td&gt;&lt;td&gt;18&lt;/td&gt;&lt;td&gt;31&lt;/td&gt;&lt;td&gt;49&lt;/td&gt;&lt;td&gt;8.167&lt;/td&gt;&lt;td&gt;3&lt;/td&gt;&lt;td&gt;0.500&lt;/td&gt;&lt;td&gt;9&lt;/td&gt;&lt;td&gt;1.500&lt;/td&gt;&lt;td&gt;0&lt;/td&gt;&lt;td&gt;0.000&lt;/td&gt;&lt;/tr&gt;</v>
      </c>
    </row>
    <row r="87" spans="1:23" x14ac:dyDescent="0.25">
      <c r="A87" s="10">
        <v>2</v>
      </c>
      <c r="B87" s="12" t="s">
        <v>386</v>
      </c>
      <c r="C87" s="12">
        <v>4</v>
      </c>
      <c r="D87" s="12">
        <v>22</v>
      </c>
      <c r="E87" s="12">
        <v>48</v>
      </c>
      <c r="F87" s="12">
        <v>8</v>
      </c>
      <c r="G87" s="12">
        <v>22</v>
      </c>
      <c r="H87" s="12">
        <v>9</v>
      </c>
      <c r="I87" s="12">
        <v>12</v>
      </c>
      <c r="J87" s="16">
        <f t="shared" si="3"/>
        <v>61</v>
      </c>
      <c r="K87" s="12">
        <v>7</v>
      </c>
      <c r="L87" s="12">
        <v>9</v>
      </c>
      <c r="M87" s="16">
        <f t="shared" si="4"/>
        <v>16</v>
      </c>
      <c r="N87" s="12">
        <v>6</v>
      </c>
      <c r="O87" s="12">
        <v>3</v>
      </c>
      <c r="P87" s="12">
        <v>12</v>
      </c>
      <c r="Q87" s="12">
        <v>0</v>
      </c>
      <c r="R87" s="12">
        <v>10</v>
      </c>
      <c r="S87" s="16">
        <v>0</v>
      </c>
      <c r="T87" s="12">
        <v>88</v>
      </c>
      <c r="U87" s="12" t="s">
        <v>164</v>
      </c>
      <c r="W87" s="10" t="str">
        <f t="shared" si="5"/>
        <v>&lt;tr&gt;&lt;td&gt;Travis Klassen&lt;/td&gt;&lt;td&gt;GVC&lt;/td&gt;&lt;td&gt;4&lt;/td&gt;&lt;td&gt;61&lt;/td&gt;&lt;td&gt;15.250&lt;/td&gt;&lt;td&gt;22&lt;/td&gt;&lt;td&gt;48&lt;/td&gt;&lt;td&gt;0.458&lt;/td&gt;&lt;td&gt;8&lt;/td&gt;&lt;td&gt;22&lt;/td&gt;&lt;td&gt;0.364&lt;/td&gt;&lt;td&gt;9&lt;/td&gt;&lt;td&gt;12&lt;/td&gt;&lt;td&gt;0.750&lt;/td&gt;&lt;td&gt;7&lt;/td&gt;&lt;td&gt;9&lt;/td&gt;&lt;td&gt;16&lt;/td&gt;&lt;td&gt;4.000&lt;/td&gt;&lt;td&gt;3&lt;/td&gt;&lt;td&gt;0.750&lt;/td&gt;&lt;td&gt;10&lt;/td&gt;&lt;td&gt;2.500&lt;/td&gt;&lt;td&gt;0&lt;/td&gt;&lt;td&gt;0.000&lt;/td&gt;&lt;/tr&gt;</v>
      </c>
    </row>
    <row r="88" spans="1:23" x14ac:dyDescent="0.25">
      <c r="A88" s="10">
        <v>7</v>
      </c>
      <c r="B88" s="12" t="s">
        <v>733</v>
      </c>
      <c r="C88" s="12">
        <v>5</v>
      </c>
      <c r="D88" s="12">
        <v>25</v>
      </c>
      <c r="E88" s="12">
        <v>74</v>
      </c>
      <c r="F88" s="12">
        <v>5</v>
      </c>
      <c r="G88" s="12">
        <v>25</v>
      </c>
      <c r="H88" s="12">
        <v>5</v>
      </c>
      <c r="I88" s="12">
        <v>12</v>
      </c>
      <c r="J88" s="16">
        <f t="shared" si="3"/>
        <v>60</v>
      </c>
      <c r="K88" s="12">
        <v>12</v>
      </c>
      <c r="L88" s="12">
        <v>17</v>
      </c>
      <c r="M88" s="16">
        <f t="shared" si="4"/>
        <v>29</v>
      </c>
      <c r="N88" s="12">
        <v>13</v>
      </c>
      <c r="O88" s="12">
        <v>3</v>
      </c>
      <c r="P88" s="12">
        <v>20</v>
      </c>
      <c r="Q88" s="12">
        <v>1</v>
      </c>
      <c r="R88" s="12">
        <v>14</v>
      </c>
      <c r="S88" s="16">
        <v>0</v>
      </c>
      <c r="T88" s="12">
        <v>131</v>
      </c>
      <c r="U88" s="12" t="s">
        <v>96</v>
      </c>
      <c r="W88" s="10" t="str">
        <f t="shared" si="5"/>
        <v>&lt;tr&gt;&lt;td&gt;Jeremy Cruzada&lt;/td&gt;&lt;td&gt;TVHS&lt;/td&gt;&lt;td&gt;5&lt;/td&gt;&lt;td&gt;60&lt;/td&gt;&lt;td&gt;12.000&lt;/td&gt;&lt;td&gt;25&lt;/td&gt;&lt;td&gt;74&lt;/td&gt;&lt;td&gt;0.338&lt;/td&gt;&lt;td&gt;5&lt;/td&gt;&lt;td&gt;25&lt;/td&gt;&lt;td&gt;0.200&lt;/td&gt;&lt;td&gt;5&lt;/td&gt;&lt;td&gt;12&lt;/td&gt;&lt;td&gt;0.417&lt;/td&gt;&lt;td&gt;12&lt;/td&gt;&lt;td&gt;17&lt;/td&gt;&lt;td&gt;29&lt;/td&gt;&lt;td&gt;5.800&lt;/td&gt;&lt;td&gt;3&lt;/td&gt;&lt;td&gt;0.600&lt;/td&gt;&lt;td&gt;14&lt;/td&gt;&lt;td&gt;2.800&lt;/td&gt;&lt;td&gt;1&lt;/td&gt;&lt;td&gt;0.200&lt;/td&gt;&lt;/tr&gt;</v>
      </c>
    </row>
    <row r="89" spans="1:23" x14ac:dyDescent="0.25">
      <c r="A89" s="10">
        <v>19</v>
      </c>
      <c r="B89" s="12" t="s">
        <v>523</v>
      </c>
      <c r="C89" s="12">
        <v>9</v>
      </c>
      <c r="D89" s="12">
        <v>28</v>
      </c>
      <c r="E89" s="12">
        <v>70</v>
      </c>
      <c r="F89" s="12">
        <v>0</v>
      </c>
      <c r="G89" s="12">
        <v>0</v>
      </c>
      <c r="H89" s="12">
        <v>3</v>
      </c>
      <c r="I89" s="12">
        <v>8</v>
      </c>
      <c r="J89" s="16">
        <f t="shared" si="3"/>
        <v>59</v>
      </c>
      <c r="K89" s="12">
        <v>32</v>
      </c>
      <c r="L89" s="12">
        <v>47</v>
      </c>
      <c r="M89" s="16">
        <f t="shared" si="4"/>
        <v>79</v>
      </c>
      <c r="N89" s="12">
        <v>23</v>
      </c>
      <c r="O89" s="12">
        <v>5</v>
      </c>
      <c r="P89" s="12">
        <v>17</v>
      </c>
      <c r="Q89" s="12">
        <v>1</v>
      </c>
      <c r="R89" s="12">
        <v>3</v>
      </c>
      <c r="S89" s="16">
        <v>0</v>
      </c>
      <c r="T89" s="12">
        <v>205</v>
      </c>
      <c r="U89" s="12" t="s">
        <v>62</v>
      </c>
      <c r="W89" s="10" t="str">
        <f t="shared" si="5"/>
        <v>&lt;tr&gt;&lt;td&gt;Josh Jamieson&lt;/td&gt;&lt;td&gt;GCI&lt;/td&gt;&lt;td&gt;9&lt;/td&gt;&lt;td&gt;59&lt;/td&gt;&lt;td&gt;6.556&lt;/td&gt;&lt;td&gt;28&lt;/td&gt;&lt;td&gt;70&lt;/td&gt;&lt;td&gt;0.400&lt;/td&gt;&lt;td&gt;0&lt;/td&gt;&lt;td&gt;0&lt;/td&gt;&lt;td&gt;0.000&lt;/td&gt;&lt;td&gt;3&lt;/td&gt;&lt;td&gt;8&lt;/td&gt;&lt;td&gt;0.375&lt;/td&gt;&lt;td&gt;32&lt;/td&gt;&lt;td&gt;47&lt;/td&gt;&lt;td&gt;79&lt;/td&gt;&lt;td&gt;8.778&lt;/td&gt;&lt;td&gt;5&lt;/td&gt;&lt;td&gt;0.556&lt;/td&gt;&lt;td&gt;3&lt;/td&gt;&lt;td&gt;0.333&lt;/td&gt;&lt;td&gt;1&lt;/td&gt;&lt;td&gt;0.111&lt;/td&gt;&lt;/tr&gt;</v>
      </c>
    </row>
    <row r="90" spans="1:23" x14ac:dyDescent="0.25">
      <c r="A90" s="10">
        <v>2</v>
      </c>
      <c r="B90" s="12" t="s">
        <v>702</v>
      </c>
      <c r="C90" s="12">
        <v>3</v>
      </c>
      <c r="D90" s="12">
        <v>24</v>
      </c>
      <c r="E90" s="12">
        <v>42</v>
      </c>
      <c r="F90" s="12">
        <v>0</v>
      </c>
      <c r="G90" s="12">
        <v>2</v>
      </c>
      <c r="H90" s="12">
        <v>11</v>
      </c>
      <c r="I90" s="12">
        <v>13</v>
      </c>
      <c r="J90" s="16">
        <f t="shared" si="3"/>
        <v>59</v>
      </c>
      <c r="K90" s="12">
        <v>10</v>
      </c>
      <c r="L90" s="12">
        <v>25</v>
      </c>
      <c r="M90" s="16">
        <f t="shared" si="4"/>
        <v>35</v>
      </c>
      <c r="N90" s="12">
        <v>2</v>
      </c>
      <c r="O90" s="12">
        <v>1</v>
      </c>
      <c r="P90" s="12">
        <v>9</v>
      </c>
      <c r="Q90" s="12">
        <v>1</v>
      </c>
      <c r="R90" s="12">
        <v>3</v>
      </c>
      <c r="S90" s="16">
        <v>0</v>
      </c>
      <c r="T90" s="12">
        <v>81</v>
      </c>
      <c r="U90" s="12" t="s">
        <v>70</v>
      </c>
      <c r="W90" s="10" t="str">
        <f t="shared" si="5"/>
        <v>&lt;tr&gt;&lt;td&gt;Louis Makot&lt;/td&gt;&lt;td&gt;JTC&lt;/td&gt;&lt;td&gt;3&lt;/td&gt;&lt;td&gt;59&lt;/td&gt;&lt;td&gt;19.667&lt;/td&gt;&lt;td&gt;24&lt;/td&gt;&lt;td&gt;42&lt;/td&gt;&lt;td&gt;0.571&lt;/td&gt;&lt;td&gt;0&lt;/td&gt;&lt;td&gt;2&lt;/td&gt;&lt;td&gt;0.000&lt;/td&gt;&lt;td&gt;11&lt;/td&gt;&lt;td&gt;13&lt;/td&gt;&lt;td&gt;0.846&lt;/td&gt;&lt;td&gt;10&lt;/td&gt;&lt;td&gt;25&lt;/td&gt;&lt;td&gt;35&lt;/td&gt;&lt;td&gt;11.667&lt;/td&gt;&lt;td&gt;1&lt;/td&gt;&lt;td&gt;0.333&lt;/td&gt;&lt;td&gt;3&lt;/td&gt;&lt;td&gt;1.000&lt;/td&gt;&lt;td&gt;1&lt;/td&gt;&lt;td&gt;0.333&lt;/td&gt;&lt;/tr&gt;</v>
      </c>
    </row>
    <row r="91" spans="1:23" x14ac:dyDescent="0.25">
      <c r="A91" s="10">
        <v>15</v>
      </c>
      <c r="B91" s="12" t="s">
        <v>499</v>
      </c>
      <c r="C91" s="12">
        <v>8</v>
      </c>
      <c r="D91" s="12">
        <v>22</v>
      </c>
      <c r="E91" s="12">
        <v>86</v>
      </c>
      <c r="F91" s="12">
        <v>3</v>
      </c>
      <c r="G91" s="12">
        <v>24</v>
      </c>
      <c r="H91" s="12">
        <v>10</v>
      </c>
      <c r="I91" s="12">
        <v>15</v>
      </c>
      <c r="J91" s="16">
        <f t="shared" si="3"/>
        <v>57</v>
      </c>
      <c r="K91" s="12">
        <v>7</v>
      </c>
      <c r="L91" s="12">
        <v>26</v>
      </c>
      <c r="M91" s="16">
        <f t="shared" si="4"/>
        <v>33</v>
      </c>
      <c r="N91" s="12">
        <v>10</v>
      </c>
      <c r="O91" s="12">
        <v>9</v>
      </c>
      <c r="P91" s="12">
        <v>27</v>
      </c>
      <c r="Q91" s="12">
        <v>0</v>
      </c>
      <c r="R91" s="12">
        <v>13</v>
      </c>
      <c r="S91" s="16">
        <v>0</v>
      </c>
      <c r="T91" s="12">
        <v>158</v>
      </c>
      <c r="U91" s="12" t="s">
        <v>52</v>
      </c>
      <c r="W91" s="10" t="str">
        <f t="shared" si="5"/>
        <v>&lt;tr&gt;&lt;td&gt;Aaron Mitchell&lt;/td&gt;&lt;td&gt;REC&lt;/td&gt;&lt;td&gt;8&lt;/td&gt;&lt;td&gt;57&lt;/td&gt;&lt;td&gt;7.125&lt;/td&gt;&lt;td&gt;22&lt;/td&gt;&lt;td&gt;86&lt;/td&gt;&lt;td&gt;0.256&lt;/td&gt;&lt;td&gt;3&lt;/td&gt;&lt;td&gt;24&lt;/td&gt;&lt;td&gt;0.125&lt;/td&gt;&lt;td&gt;10&lt;/td&gt;&lt;td&gt;15&lt;/td&gt;&lt;td&gt;0.667&lt;/td&gt;&lt;td&gt;7&lt;/td&gt;&lt;td&gt;26&lt;/td&gt;&lt;td&gt;33&lt;/td&gt;&lt;td&gt;4.125&lt;/td&gt;&lt;td&gt;9&lt;/td&gt;&lt;td&gt;1.125&lt;/td&gt;&lt;td&gt;13&lt;/td&gt;&lt;td&gt;1.625&lt;/td&gt;&lt;td&gt;0&lt;/td&gt;&lt;td&gt;0.000&lt;/td&gt;&lt;/tr&gt;</v>
      </c>
    </row>
    <row r="92" spans="1:23" x14ac:dyDescent="0.25">
      <c r="A92" s="10">
        <v>12</v>
      </c>
      <c r="B92" s="12" t="s">
        <v>337</v>
      </c>
      <c r="C92" s="12">
        <v>5</v>
      </c>
      <c r="D92" s="12">
        <v>25</v>
      </c>
      <c r="E92" s="12">
        <v>53</v>
      </c>
      <c r="F92" s="12">
        <v>5</v>
      </c>
      <c r="G92" s="12">
        <v>18</v>
      </c>
      <c r="H92" s="12">
        <v>1</v>
      </c>
      <c r="I92" s="12">
        <v>7</v>
      </c>
      <c r="J92" s="16">
        <f t="shared" si="3"/>
        <v>56</v>
      </c>
      <c r="K92" s="12">
        <v>3</v>
      </c>
      <c r="L92" s="12">
        <v>10</v>
      </c>
      <c r="M92" s="16">
        <f t="shared" si="4"/>
        <v>13</v>
      </c>
      <c r="N92" s="12">
        <v>8</v>
      </c>
      <c r="O92" s="12">
        <v>11</v>
      </c>
      <c r="P92" s="12">
        <v>12</v>
      </c>
      <c r="Q92" s="12">
        <v>0</v>
      </c>
      <c r="R92" s="12">
        <v>15</v>
      </c>
      <c r="S92" s="16">
        <v>0</v>
      </c>
      <c r="T92" s="12">
        <v>126</v>
      </c>
      <c r="U92" s="12" t="s">
        <v>92</v>
      </c>
      <c r="W92" s="10" t="str">
        <f t="shared" si="5"/>
        <v>&lt;tr&gt;&lt;td&gt;John Quidoles&lt;/td&gt;&lt;td&gt;SJHS&lt;/td&gt;&lt;td&gt;5&lt;/td&gt;&lt;td&gt;56&lt;/td&gt;&lt;td&gt;11.200&lt;/td&gt;&lt;td&gt;25&lt;/td&gt;&lt;td&gt;53&lt;/td&gt;&lt;td&gt;0.472&lt;/td&gt;&lt;td&gt;5&lt;/td&gt;&lt;td&gt;18&lt;/td&gt;&lt;td&gt;0.278&lt;/td&gt;&lt;td&gt;1&lt;/td&gt;&lt;td&gt;7&lt;/td&gt;&lt;td&gt;0.143&lt;/td&gt;&lt;td&gt;3&lt;/td&gt;&lt;td&gt;10&lt;/td&gt;&lt;td&gt;13&lt;/td&gt;&lt;td&gt;2.600&lt;/td&gt;&lt;td&gt;11&lt;/td&gt;&lt;td&gt;2.200&lt;/td&gt;&lt;td&gt;15&lt;/td&gt;&lt;td&gt;3.000&lt;/td&gt;&lt;td&gt;0&lt;/td&gt;&lt;td&gt;0.000&lt;/td&gt;&lt;/tr&gt;</v>
      </c>
    </row>
    <row r="93" spans="1:23" x14ac:dyDescent="0.25">
      <c r="A93" s="10">
        <v>15</v>
      </c>
      <c r="B93" s="12" t="s">
        <v>447</v>
      </c>
      <c r="C93" s="12">
        <v>8</v>
      </c>
      <c r="D93" s="12">
        <v>24</v>
      </c>
      <c r="E93" s="12">
        <v>52</v>
      </c>
      <c r="F93" s="12">
        <v>0</v>
      </c>
      <c r="G93" s="12">
        <v>0</v>
      </c>
      <c r="H93" s="12">
        <v>7</v>
      </c>
      <c r="I93" s="12">
        <v>13</v>
      </c>
      <c r="J93" s="16">
        <f t="shared" si="3"/>
        <v>55</v>
      </c>
      <c r="K93" s="12">
        <v>21</v>
      </c>
      <c r="L93" s="12">
        <v>35</v>
      </c>
      <c r="M93" s="16">
        <f t="shared" si="4"/>
        <v>56</v>
      </c>
      <c r="N93" s="12">
        <v>14</v>
      </c>
      <c r="O93" s="12">
        <v>3</v>
      </c>
      <c r="P93" s="12">
        <v>20</v>
      </c>
      <c r="Q93" s="12">
        <v>2</v>
      </c>
      <c r="R93" s="12">
        <v>6</v>
      </c>
      <c r="S93" s="16">
        <v>0</v>
      </c>
      <c r="T93" s="12">
        <v>124</v>
      </c>
      <c r="U93" s="12" t="s">
        <v>80</v>
      </c>
      <c r="W93" s="10" t="str">
        <f t="shared" si="5"/>
        <v>&lt;tr&gt;&lt;td&gt;Justin Baldwin&lt;/td&gt;&lt;td&gt;VMC&lt;/td&gt;&lt;td&gt;8&lt;/td&gt;&lt;td&gt;55&lt;/td&gt;&lt;td&gt;6.875&lt;/td&gt;&lt;td&gt;24&lt;/td&gt;&lt;td&gt;52&lt;/td&gt;&lt;td&gt;0.462&lt;/td&gt;&lt;td&gt;0&lt;/td&gt;&lt;td&gt;0&lt;/td&gt;&lt;td&gt;0.000&lt;/td&gt;&lt;td&gt;7&lt;/td&gt;&lt;td&gt;13&lt;/td&gt;&lt;td&gt;0.538&lt;/td&gt;&lt;td&gt;21&lt;/td&gt;&lt;td&gt;35&lt;/td&gt;&lt;td&gt;56&lt;/td&gt;&lt;td&gt;7.000&lt;/td&gt;&lt;td&gt;3&lt;/td&gt;&lt;td&gt;0.375&lt;/td&gt;&lt;td&gt;6&lt;/td&gt;&lt;td&gt;0.750&lt;/td&gt;&lt;td&gt;2&lt;/td&gt;&lt;td&gt;0.250&lt;/td&gt;&lt;/tr&gt;</v>
      </c>
    </row>
    <row r="94" spans="1:23" x14ac:dyDescent="0.25">
      <c r="A94" s="10">
        <v>5</v>
      </c>
      <c r="B94" s="12" t="s">
        <v>372</v>
      </c>
      <c r="C94" s="12">
        <v>8</v>
      </c>
      <c r="D94" s="12">
        <v>18</v>
      </c>
      <c r="E94" s="12">
        <v>58</v>
      </c>
      <c r="F94" s="12">
        <v>3</v>
      </c>
      <c r="G94" s="12">
        <v>13</v>
      </c>
      <c r="H94" s="12">
        <v>16</v>
      </c>
      <c r="I94" s="12">
        <v>27</v>
      </c>
      <c r="J94" s="16">
        <f t="shared" si="3"/>
        <v>55</v>
      </c>
      <c r="K94" s="12">
        <v>16</v>
      </c>
      <c r="L94" s="12">
        <v>28</v>
      </c>
      <c r="M94" s="16">
        <f t="shared" si="4"/>
        <v>44</v>
      </c>
      <c r="N94" s="12">
        <v>20</v>
      </c>
      <c r="O94" s="12">
        <v>14</v>
      </c>
      <c r="P94" s="12">
        <v>14</v>
      </c>
      <c r="Q94" s="12">
        <v>0</v>
      </c>
      <c r="R94" s="12">
        <v>14</v>
      </c>
      <c r="S94" s="16">
        <v>0</v>
      </c>
      <c r="T94" s="12">
        <v>155</v>
      </c>
      <c r="U94" s="12" t="s">
        <v>72</v>
      </c>
      <c r="W94" s="10" t="str">
        <f t="shared" si="5"/>
        <v>&lt;tr&gt;&lt;td&gt;Walid Khoudeda&lt;/td&gt;&lt;td&gt;KHS&lt;/td&gt;&lt;td&gt;8&lt;/td&gt;&lt;td&gt;55&lt;/td&gt;&lt;td&gt;6.875&lt;/td&gt;&lt;td&gt;18&lt;/td&gt;&lt;td&gt;58&lt;/td&gt;&lt;td&gt;0.310&lt;/td&gt;&lt;td&gt;3&lt;/td&gt;&lt;td&gt;13&lt;/td&gt;&lt;td&gt;0.231&lt;/td&gt;&lt;td&gt;16&lt;/td&gt;&lt;td&gt;27&lt;/td&gt;&lt;td&gt;0.593&lt;/td&gt;&lt;td&gt;16&lt;/td&gt;&lt;td&gt;28&lt;/td&gt;&lt;td&gt;44&lt;/td&gt;&lt;td&gt;5.500&lt;/td&gt;&lt;td&gt;14&lt;/td&gt;&lt;td&gt;1.750&lt;/td&gt;&lt;td&gt;14&lt;/td&gt;&lt;td&gt;1.750&lt;/td&gt;&lt;td&gt;0&lt;/td&gt;&lt;td&gt;0.000&lt;/td&gt;&lt;/tr&gt;</v>
      </c>
    </row>
    <row r="95" spans="1:23" x14ac:dyDescent="0.25">
      <c r="A95" s="10">
        <v>8</v>
      </c>
      <c r="B95" s="12" t="s">
        <v>366</v>
      </c>
      <c r="C95" s="12">
        <v>6</v>
      </c>
      <c r="D95" s="12">
        <v>16</v>
      </c>
      <c r="E95" s="12">
        <v>42</v>
      </c>
      <c r="F95" s="12">
        <v>1</v>
      </c>
      <c r="G95" s="12">
        <v>3</v>
      </c>
      <c r="H95" s="12">
        <v>21</v>
      </c>
      <c r="I95" s="12">
        <v>24</v>
      </c>
      <c r="J95" s="16">
        <f t="shared" si="3"/>
        <v>54</v>
      </c>
      <c r="K95" s="12">
        <v>19</v>
      </c>
      <c r="L95" s="12">
        <v>23</v>
      </c>
      <c r="M95" s="16">
        <f t="shared" si="4"/>
        <v>42</v>
      </c>
      <c r="N95" s="12">
        <v>13</v>
      </c>
      <c r="O95" s="12">
        <v>5</v>
      </c>
      <c r="P95" s="12">
        <v>19</v>
      </c>
      <c r="Q95" s="12">
        <v>3</v>
      </c>
      <c r="R95" s="12">
        <v>9</v>
      </c>
      <c r="S95" s="16">
        <v>0</v>
      </c>
      <c r="T95" s="12">
        <v>155</v>
      </c>
      <c r="U95" s="12" t="s">
        <v>100</v>
      </c>
      <c r="W95" s="10" t="str">
        <f t="shared" si="5"/>
        <v>&lt;tr&gt;&lt;td&gt;Ben Janzen&lt;/td&gt;&lt;td&gt;CPRS&lt;/td&gt;&lt;td&gt;6&lt;/td&gt;&lt;td&gt;54&lt;/td&gt;&lt;td&gt;9.000&lt;/td&gt;&lt;td&gt;16&lt;/td&gt;&lt;td&gt;42&lt;/td&gt;&lt;td&gt;0.381&lt;/td&gt;&lt;td&gt;1&lt;/td&gt;&lt;td&gt;3&lt;/td&gt;&lt;td&gt;0.333&lt;/td&gt;&lt;td&gt;21&lt;/td&gt;&lt;td&gt;24&lt;/td&gt;&lt;td&gt;0.875&lt;/td&gt;&lt;td&gt;19&lt;/td&gt;&lt;td&gt;23&lt;/td&gt;&lt;td&gt;42&lt;/td&gt;&lt;td&gt;7.000&lt;/td&gt;&lt;td&gt;5&lt;/td&gt;&lt;td&gt;0.833&lt;/td&gt;&lt;td&gt;9&lt;/td&gt;&lt;td&gt;1.500&lt;/td&gt;&lt;td&gt;3&lt;/td&gt;&lt;td&gt;0.500&lt;/td&gt;&lt;/tr&gt;</v>
      </c>
    </row>
    <row r="96" spans="1:23" x14ac:dyDescent="0.25">
      <c r="A96" s="10">
        <v>4</v>
      </c>
      <c r="B96" s="12" t="s">
        <v>323</v>
      </c>
      <c r="C96" s="12">
        <v>10</v>
      </c>
      <c r="D96" s="12">
        <v>21</v>
      </c>
      <c r="E96" s="12">
        <v>42</v>
      </c>
      <c r="F96" s="12">
        <v>6</v>
      </c>
      <c r="G96" s="12">
        <v>12</v>
      </c>
      <c r="H96" s="12">
        <v>4</v>
      </c>
      <c r="I96" s="12">
        <v>6</v>
      </c>
      <c r="J96" s="16">
        <f t="shared" si="3"/>
        <v>52</v>
      </c>
      <c r="K96" s="12">
        <v>7</v>
      </c>
      <c r="L96" s="12">
        <v>14</v>
      </c>
      <c r="M96" s="16">
        <f t="shared" si="4"/>
        <v>21</v>
      </c>
      <c r="N96" s="12">
        <v>12</v>
      </c>
      <c r="O96" s="12">
        <v>11</v>
      </c>
      <c r="P96" s="12">
        <v>12</v>
      </c>
      <c r="Q96" s="12">
        <v>1</v>
      </c>
      <c r="R96" s="12">
        <v>10</v>
      </c>
      <c r="S96" s="16">
        <v>0</v>
      </c>
      <c r="T96" s="12">
        <v>130</v>
      </c>
      <c r="U96" s="12" t="s">
        <v>41</v>
      </c>
      <c r="W96" s="10" t="str">
        <f t="shared" si="5"/>
        <v>&lt;tr&gt;&lt;td&gt;JC Aaron&lt;/td&gt;&lt;td&gt;GCC&lt;/td&gt;&lt;td&gt;10&lt;/td&gt;&lt;td&gt;52&lt;/td&gt;&lt;td&gt;5.200&lt;/td&gt;&lt;td&gt;21&lt;/td&gt;&lt;td&gt;42&lt;/td&gt;&lt;td&gt;0.500&lt;/td&gt;&lt;td&gt;6&lt;/td&gt;&lt;td&gt;12&lt;/td&gt;&lt;td&gt;0.500&lt;/td&gt;&lt;td&gt;4&lt;/td&gt;&lt;td&gt;6&lt;/td&gt;&lt;td&gt;0.667&lt;/td&gt;&lt;td&gt;7&lt;/td&gt;&lt;td&gt;14&lt;/td&gt;&lt;td&gt;21&lt;/td&gt;&lt;td&gt;2.100&lt;/td&gt;&lt;td&gt;11&lt;/td&gt;&lt;td&gt;1.100&lt;/td&gt;&lt;td&gt;10&lt;/td&gt;&lt;td&gt;1.000&lt;/td&gt;&lt;td&gt;1&lt;/td&gt;&lt;td&gt;0.100&lt;/td&gt;&lt;/tr&gt;</v>
      </c>
    </row>
    <row r="97" spans="1:23" x14ac:dyDescent="0.25">
      <c r="A97" s="10">
        <v>14</v>
      </c>
      <c r="B97" s="12" t="s">
        <v>685</v>
      </c>
      <c r="C97" s="12">
        <v>7</v>
      </c>
      <c r="D97" s="12">
        <v>25</v>
      </c>
      <c r="E97" s="12">
        <v>57</v>
      </c>
      <c r="F97" s="12">
        <v>0</v>
      </c>
      <c r="G97" s="12">
        <v>0</v>
      </c>
      <c r="H97" s="12">
        <v>1</v>
      </c>
      <c r="I97" s="12">
        <v>7</v>
      </c>
      <c r="J97" s="16">
        <f t="shared" si="3"/>
        <v>51</v>
      </c>
      <c r="K97" s="12">
        <v>17</v>
      </c>
      <c r="L97" s="12">
        <v>35</v>
      </c>
      <c r="M97" s="16">
        <f t="shared" si="4"/>
        <v>52</v>
      </c>
      <c r="N97" s="12">
        <v>7</v>
      </c>
      <c r="O97" s="12">
        <v>4</v>
      </c>
      <c r="P97" s="12">
        <v>17</v>
      </c>
      <c r="Q97" s="12">
        <v>7</v>
      </c>
      <c r="R97" s="12">
        <v>9</v>
      </c>
      <c r="S97" s="16">
        <v>0</v>
      </c>
      <c r="T97" s="12">
        <v>131</v>
      </c>
      <c r="U97" s="12" t="s">
        <v>82</v>
      </c>
      <c r="W97" s="10" t="str">
        <f t="shared" si="5"/>
        <v>&lt;tr&gt;&lt;td&gt;Zion Notice&lt;/td&gt;&lt;td&gt;DMCI&lt;/td&gt;&lt;td&gt;7&lt;/td&gt;&lt;td&gt;51&lt;/td&gt;&lt;td&gt;7.286&lt;/td&gt;&lt;td&gt;25&lt;/td&gt;&lt;td&gt;57&lt;/td&gt;&lt;td&gt;0.439&lt;/td&gt;&lt;td&gt;0&lt;/td&gt;&lt;td&gt;0&lt;/td&gt;&lt;td&gt;0.000&lt;/td&gt;&lt;td&gt;1&lt;/td&gt;&lt;td&gt;7&lt;/td&gt;&lt;td&gt;0.143&lt;/td&gt;&lt;td&gt;17&lt;/td&gt;&lt;td&gt;35&lt;/td&gt;&lt;td&gt;52&lt;/td&gt;&lt;td&gt;7.429&lt;/td&gt;&lt;td&gt;4&lt;/td&gt;&lt;td&gt;0.571&lt;/td&gt;&lt;td&gt;9&lt;/td&gt;&lt;td&gt;1.286&lt;/td&gt;&lt;td&gt;7&lt;/td&gt;&lt;td&gt;1.000&lt;/td&gt;&lt;/tr&gt;</v>
      </c>
    </row>
    <row r="98" spans="1:23" x14ac:dyDescent="0.25">
      <c r="A98" s="10">
        <v>15</v>
      </c>
      <c r="B98" s="12" t="s">
        <v>452</v>
      </c>
      <c r="C98" s="12">
        <v>6</v>
      </c>
      <c r="D98" s="12">
        <v>15</v>
      </c>
      <c r="E98" s="12">
        <v>50</v>
      </c>
      <c r="F98" s="12">
        <v>4</v>
      </c>
      <c r="G98" s="12">
        <v>19</v>
      </c>
      <c r="H98" s="12">
        <v>17</v>
      </c>
      <c r="I98" s="12">
        <v>24</v>
      </c>
      <c r="J98" s="16">
        <f t="shared" si="3"/>
        <v>51</v>
      </c>
      <c r="K98" s="12">
        <v>11</v>
      </c>
      <c r="L98" s="12">
        <v>16</v>
      </c>
      <c r="M98" s="16">
        <f t="shared" si="4"/>
        <v>27</v>
      </c>
      <c r="N98" s="12">
        <v>11</v>
      </c>
      <c r="O98" s="12">
        <v>3</v>
      </c>
      <c r="P98" s="12">
        <v>14</v>
      </c>
      <c r="Q98" s="12">
        <v>2</v>
      </c>
      <c r="R98" s="12">
        <v>7</v>
      </c>
      <c r="S98" s="16">
        <v>0</v>
      </c>
      <c r="T98" s="12">
        <v>111</v>
      </c>
      <c r="U98" s="12" t="s">
        <v>102</v>
      </c>
      <c r="W98" s="10" t="str">
        <f t="shared" si="5"/>
        <v>&lt;tr&gt;&lt;td&gt;Joel Fisseha&lt;/td&gt;&lt;td&gt;VMHS&lt;/td&gt;&lt;td&gt;6&lt;/td&gt;&lt;td&gt;51&lt;/td&gt;&lt;td&gt;8.500&lt;/td&gt;&lt;td&gt;15&lt;/td&gt;&lt;td&gt;50&lt;/td&gt;&lt;td&gt;0.300&lt;/td&gt;&lt;td&gt;4&lt;/td&gt;&lt;td&gt;19&lt;/td&gt;&lt;td&gt;0.211&lt;/td&gt;&lt;td&gt;17&lt;/td&gt;&lt;td&gt;24&lt;/td&gt;&lt;td&gt;0.708&lt;/td&gt;&lt;td&gt;11&lt;/td&gt;&lt;td&gt;16&lt;/td&gt;&lt;td&gt;27&lt;/td&gt;&lt;td&gt;4.500&lt;/td&gt;&lt;td&gt;3&lt;/td&gt;&lt;td&gt;0.500&lt;/td&gt;&lt;td&gt;7&lt;/td&gt;&lt;td&gt;1.167&lt;/td&gt;&lt;td&gt;2&lt;/td&gt;&lt;td&gt;0.333&lt;/td&gt;&lt;/tr&gt;</v>
      </c>
    </row>
    <row r="99" spans="1:23" x14ac:dyDescent="0.25">
      <c r="A99" s="10">
        <v>10</v>
      </c>
      <c r="B99" s="12" t="s">
        <v>451</v>
      </c>
      <c r="C99" s="12">
        <v>6</v>
      </c>
      <c r="D99" s="12">
        <v>20</v>
      </c>
      <c r="E99" s="12">
        <v>52</v>
      </c>
      <c r="F99" s="12">
        <v>5</v>
      </c>
      <c r="G99" s="12">
        <v>18</v>
      </c>
      <c r="H99" s="12">
        <v>6</v>
      </c>
      <c r="I99" s="12">
        <v>14</v>
      </c>
      <c r="J99" s="16">
        <f t="shared" si="3"/>
        <v>51</v>
      </c>
      <c r="K99" s="12">
        <v>2</v>
      </c>
      <c r="L99" s="12">
        <v>14</v>
      </c>
      <c r="M99" s="16">
        <f t="shared" si="4"/>
        <v>16</v>
      </c>
      <c r="N99" s="12">
        <v>9</v>
      </c>
      <c r="O99" s="12">
        <v>18</v>
      </c>
      <c r="P99" s="12">
        <v>28</v>
      </c>
      <c r="Q99" s="12">
        <v>0</v>
      </c>
      <c r="R99" s="12">
        <v>4</v>
      </c>
      <c r="S99" s="16">
        <v>0</v>
      </c>
      <c r="T99" s="12">
        <v>120</v>
      </c>
      <c r="U99" s="12" t="s">
        <v>102</v>
      </c>
      <c r="W99" s="10" t="str">
        <f t="shared" si="5"/>
        <v>&lt;tr&gt;&lt;td&gt;Josh Horsa&lt;/td&gt;&lt;td&gt;VMHS&lt;/td&gt;&lt;td&gt;6&lt;/td&gt;&lt;td&gt;51&lt;/td&gt;&lt;td&gt;8.500&lt;/td&gt;&lt;td&gt;20&lt;/td&gt;&lt;td&gt;52&lt;/td&gt;&lt;td&gt;0.385&lt;/td&gt;&lt;td&gt;5&lt;/td&gt;&lt;td&gt;18&lt;/td&gt;&lt;td&gt;0.278&lt;/td&gt;&lt;td&gt;6&lt;/td&gt;&lt;td&gt;14&lt;/td&gt;&lt;td&gt;0.429&lt;/td&gt;&lt;td&gt;2&lt;/td&gt;&lt;td&gt;14&lt;/td&gt;&lt;td&gt;16&lt;/td&gt;&lt;td&gt;2.667&lt;/td&gt;&lt;td&gt;18&lt;/td&gt;&lt;td&gt;3.000&lt;/td&gt;&lt;td&gt;4&lt;/td&gt;&lt;td&gt;0.667&lt;/td&gt;&lt;td&gt;0&lt;/td&gt;&lt;td&gt;0.000&lt;/td&gt;&lt;/tr&gt;</v>
      </c>
    </row>
    <row r="100" spans="1:23" x14ac:dyDescent="0.25">
      <c r="A100" s="10">
        <v>15</v>
      </c>
      <c r="B100" s="12" t="s">
        <v>378</v>
      </c>
      <c r="C100" s="12">
        <v>8</v>
      </c>
      <c r="D100" s="12">
        <v>21</v>
      </c>
      <c r="E100" s="12">
        <v>62</v>
      </c>
      <c r="F100" s="12">
        <v>3</v>
      </c>
      <c r="G100" s="12">
        <v>13</v>
      </c>
      <c r="H100" s="12">
        <v>4</v>
      </c>
      <c r="I100" s="12">
        <v>9</v>
      </c>
      <c r="J100" s="16">
        <f t="shared" si="3"/>
        <v>49</v>
      </c>
      <c r="K100" s="12">
        <v>8</v>
      </c>
      <c r="L100" s="12">
        <v>20</v>
      </c>
      <c r="M100" s="16">
        <f t="shared" si="4"/>
        <v>28</v>
      </c>
      <c r="N100" s="12">
        <v>7</v>
      </c>
      <c r="O100" s="12">
        <v>5</v>
      </c>
      <c r="P100" s="12">
        <v>25</v>
      </c>
      <c r="Q100" s="12">
        <v>2</v>
      </c>
      <c r="R100" s="12">
        <v>8</v>
      </c>
      <c r="S100" s="16">
        <v>0</v>
      </c>
      <c r="T100" s="12">
        <v>174</v>
      </c>
      <c r="U100" s="12" t="s">
        <v>72</v>
      </c>
      <c r="W100" s="10" t="str">
        <f t="shared" si="5"/>
        <v>&lt;tr&gt;&lt;td&gt;Michael Raaflaub&lt;/td&gt;&lt;td&gt;KHS&lt;/td&gt;&lt;td&gt;8&lt;/td&gt;&lt;td&gt;49&lt;/td&gt;&lt;td&gt;6.125&lt;/td&gt;&lt;td&gt;21&lt;/td&gt;&lt;td&gt;62&lt;/td&gt;&lt;td&gt;0.339&lt;/td&gt;&lt;td&gt;3&lt;/td&gt;&lt;td&gt;13&lt;/td&gt;&lt;td&gt;0.231&lt;/td&gt;&lt;td&gt;4&lt;/td&gt;&lt;td&gt;9&lt;/td&gt;&lt;td&gt;0.444&lt;/td&gt;&lt;td&gt;8&lt;/td&gt;&lt;td&gt;20&lt;/td&gt;&lt;td&gt;28&lt;/td&gt;&lt;td&gt;3.500&lt;/td&gt;&lt;td&gt;5&lt;/td&gt;&lt;td&gt;0.625&lt;/td&gt;&lt;td&gt;8&lt;/td&gt;&lt;td&gt;1.000&lt;/td&gt;&lt;td&gt;2&lt;/td&gt;&lt;td&gt;0.250&lt;/td&gt;&lt;/tr&gt;</v>
      </c>
    </row>
    <row r="101" spans="1:23" x14ac:dyDescent="0.25">
      <c r="A101" s="10">
        <v>23</v>
      </c>
      <c r="B101" s="12" t="s">
        <v>418</v>
      </c>
      <c r="C101" s="12">
        <v>8</v>
      </c>
      <c r="D101" s="12">
        <v>19</v>
      </c>
      <c r="E101" s="12">
        <v>47</v>
      </c>
      <c r="F101" s="12">
        <v>8</v>
      </c>
      <c r="G101" s="12">
        <v>21</v>
      </c>
      <c r="H101" s="12">
        <v>2</v>
      </c>
      <c r="I101" s="12">
        <v>3</v>
      </c>
      <c r="J101" s="16">
        <f t="shared" si="3"/>
        <v>48</v>
      </c>
      <c r="K101" s="12">
        <v>6</v>
      </c>
      <c r="L101" s="12">
        <v>12</v>
      </c>
      <c r="M101" s="16">
        <f t="shared" si="4"/>
        <v>18</v>
      </c>
      <c r="N101" s="12">
        <v>2</v>
      </c>
      <c r="O101" s="12">
        <v>4</v>
      </c>
      <c r="P101" s="12">
        <v>8</v>
      </c>
      <c r="Q101" s="12">
        <v>1</v>
      </c>
      <c r="R101" s="12">
        <v>4</v>
      </c>
      <c r="S101" s="16">
        <v>0</v>
      </c>
      <c r="T101" s="12">
        <v>132</v>
      </c>
      <c r="U101" s="12" t="s">
        <v>43</v>
      </c>
      <c r="W101" s="10" t="str">
        <f t="shared" si="5"/>
        <v>&lt;tr&gt;&lt;td&gt;Seth McKenzie&lt;/td&gt;&lt;td&gt;KEC&lt;/td&gt;&lt;td&gt;8&lt;/td&gt;&lt;td&gt;48&lt;/td&gt;&lt;td&gt;6.000&lt;/td&gt;&lt;td&gt;19&lt;/td&gt;&lt;td&gt;47&lt;/td&gt;&lt;td&gt;0.404&lt;/td&gt;&lt;td&gt;8&lt;/td&gt;&lt;td&gt;21&lt;/td&gt;&lt;td&gt;0.381&lt;/td&gt;&lt;td&gt;2&lt;/td&gt;&lt;td&gt;3&lt;/td&gt;&lt;td&gt;0.667&lt;/td&gt;&lt;td&gt;6&lt;/td&gt;&lt;td&gt;12&lt;/td&gt;&lt;td&gt;18&lt;/td&gt;&lt;td&gt;2.250&lt;/td&gt;&lt;td&gt;4&lt;/td&gt;&lt;td&gt;0.500&lt;/td&gt;&lt;td&gt;4&lt;/td&gt;&lt;td&gt;0.500&lt;/td&gt;&lt;td&gt;1&lt;/td&gt;&lt;td&gt;0.125&lt;/td&gt;&lt;/tr&gt;</v>
      </c>
    </row>
    <row r="102" spans="1:23" x14ac:dyDescent="0.25">
      <c r="A102" s="10">
        <v>23</v>
      </c>
      <c r="B102" s="12" t="s">
        <v>341</v>
      </c>
      <c r="C102" s="12">
        <v>5</v>
      </c>
      <c r="D102" s="12">
        <v>21</v>
      </c>
      <c r="E102" s="12">
        <v>41</v>
      </c>
      <c r="F102" s="12">
        <v>0</v>
      </c>
      <c r="G102" s="12">
        <v>1</v>
      </c>
      <c r="H102" s="12">
        <v>5</v>
      </c>
      <c r="I102" s="12">
        <v>6</v>
      </c>
      <c r="J102" s="16">
        <f t="shared" si="3"/>
        <v>47</v>
      </c>
      <c r="K102" s="12">
        <v>9</v>
      </c>
      <c r="L102" s="12">
        <v>5</v>
      </c>
      <c r="M102" s="16">
        <f t="shared" si="4"/>
        <v>14</v>
      </c>
      <c r="N102" s="12">
        <v>6</v>
      </c>
      <c r="O102" s="12">
        <v>13</v>
      </c>
      <c r="P102" s="12">
        <v>16</v>
      </c>
      <c r="Q102" s="12">
        <v>0</v>
      </c>
      <c r="R102" s="12">
        <v>5</v>
      </c>
      <c r="S102" s="16">
        <v>0</v>
      </c>
      <c r="T102" s="12">
        <v>101</v>
      </c>
      <c r="U102" s="12" t="s">
        <v>92</v>
      </c>
      <c r="W102" s="10" t="str">
        <f t="shared" si="5"/>
        <v>&lt;tr&gt;&lt;td&gt;Carl Bacasmas&lt;/td&gt;&lt;td&gt;SJHS&lt;/td&gt;&lt;td&gt;5&lt;/td&gt;&lt;td&gt;47&lt;/td&gt;&lt;td&gt;9.400&lt;/td&gt;&lt;td&gt;21&lt;/td&gt;&lt;td&gt;41&lt;/td&gt;&lt;td&gt;0.512&lt;/td&gt;&lt;td&gt;0&lt;/td&gt;&lt;td&gt;1&lt;/td&gt;&lt;td&gt;0.000&lt;/td&gt;&lt;td&gt;5&lt;/td&gt;&lt;td&gt;6&lt;/td&gt;&lt;td&gt;0.833&lt;/td&gt;&lt;td&gt;9&lt;/td&gt;&lt;td&gt;5&lt;/td&gt;&lt;td&gt;14&lt;/td&gt;&lt;td&gt;2.800&lt;/td&gt;&lt;td&gt;13&lt;/td&gt;&lt;td&gt;2.600&lt;/td&gt;&lt;td&gt;5&lt;/td&gt;&lt;td&gt;1.000&lt;/td&gt;&lt;td&gt;0&lt;/td&gt;&lt;td&gt;0.000&lt;/td&gt;&lt;/tr&gt;</v>
      </c>
    </row>
    <row r="103" spans="1:23" x14ac:dyDescent="0.25">
      <c r="A103" s="10">
        <v>7</v>
      </c>
      <c r="B103" s="12" t="s">
        <v>678</v>
      </c>
      <c r="C103" s="12">
        <v>6</v>
      </c>
      <c r="D103" s="12">
        <v>18</v>
      </c>
      <c r="E103" s="12">
        <v>50</v>
      </c>
      <c r="F103" s="12">
        <v>0</v>
      </c>
      <c r="G103" s="12">
        <v>1</v>
      </c>
      <c r="H103" s="12">
        <v>10</v>
      </c>
      <c r="I103" s="12">
        <v>12</v>
      </c>
      <c r="J103" s="16">
        <f t="shared" si="3"/>
        <v>46</v>
      </c>
      <c r="K103" s="12">
        <v>12</v>
      </c>
      <c r="L103" s="12">
        <v>28</v>
      </c>
      <c r="M103" s="16">
        <f t="shared" si="4"/>
        <v>40</v>
      </c>
      <c r="N103" s="12">
        <v>5</v>
      </c>
      <c r="O103" s="12">
        <v>8</v>
      </c>
      <c r="P103" s="12">
        <v>8</v>
      </c>
      <c r="Q103" s="12">
        <v>2</v>
      </c>
      <c r="R103" s="12">
        <v>11</v>
      </c>
      <c r="S103" s="16">
        <v>0</v>
      </c>
      <c r="T103" s="12">
        <v>94</v>
      </c>
      <c r="U103" s="12" t="s">
        <v>82</v>
      </c>
      <c r="W103" s="10" t="str">
        <f t="shared" si="5"/>
        <v>&lt;tr&gt;&lt;td&gt;Joseph Smith&lt;/td&gt;&lt;td&gt;DMCI&lt;/td&gt;&lt;td&gt;6&lt;/td&gt;&lt;td&gt;46&lt;/td&gt;&lt;td&gt;7.667&lt;/td&gt;&lt;td&gt;18&lt;/td&gt;&lt;td&gt;50&lt;/td&gt;&lt;td&gt;0.360&lt;/td&gt;&lt;td&gt;0&lt;/td&gt;&lt;td&gt;1&lt;/td&gt;&lt;td&gt;0.000&lt;/td&gt;&lt;td&gt;10&lt;/td&gt;&lt;td&gt;12&lt;/td&gt;&lt;td&gt;0.833&lt;/td&gt;&lt;td&gt;12&lt;/td&gt;&lt;td&gt;28&lt;/td&gt;&lt;td&gt;40&lt;/td&gt;&lt;td&gt;6.667&lt;/td&gt;&lt;td&gt;8&lt;/td&gt;&lt;td&gt;1.333&lt;/td&gt;&lt;td&gt;11&lt;/td&gt;&lt;td&gt;1.833&lt;/td&gt;&lt;td&gt;2&lt;/td&gt;&lt;td&gt;0.333&lt;/td&gt;&lt;/tr&gt;</v>
      </c>
    </row>
    <row r="104" spans="1:23" x14ac:dyDescent="0.25">
      <c r="A104" s="10">
        <v>4</v>
      </c>
      <c r="B104" s="12" t="s">
        <v>450</v>
      </c>
      <c r="C104" s="12">
        <v>6</v>
      </c>
      <c r="D104" s="12">
        <v>17</v>
      </c>
      <c r="E104" s="12">
        <v>75</v>
      </c>
      <c r="F104" s="12">
        <v>7</v>
      </c>
      <c r="G104" s="12">
        <v>39</v>
      </c>
      <c r="H104" s="12">
        <v>4</v>
      </c>
      <c r="I104" s="12">
        <v>10</v>
      </c>
      <c r="J104" s="16">
        <f t="shared" si="3"/>
        <v>45</v>
      </c>
      <c r="K104" s="12">
        <v>9</v>
      </c>
      <c r="L104" s="12">
        <v>11</v>
      </c>
      <c r="M104" s="16">
        <f t="shared" si="4"/>
        <v>20</v>
      </c>
      <c r="N104" s="12">
        <v>6</v>
      </c>
      <c r="O104" s="12">
        <v>6</v>
      </c>
      <c r="P104" s="12">
        <v>21</v>
      </c>
      <c r="Q104" s="12">
        <v>1</v>
      </c>
      <c r="R104" s="12">
        <v>21</v>
      </c>
      <c r="S104" s="16">
        <v>0</v>
      </c>
      <c r="T104" s="12">
        <v>146</v>
      </c>
      <c r="U104" s="12" t="s">
        <v>102</v>
      </c>
      <c r="W104" s="10" t="str">
        <f t="shared" si="5"/>
        <v>&lt;tr&gt;&lt;td&gt;Miggy Sian&lt;/td&gt;&lt;td&gt;VMHS&lt;/td&gt;&lt;td&gt;6&lt;/td&gt;&lt;td&gt;45&lt;/td&gt;&lt;td&gt;7.500&lt;/td&gt;&lt;td&gt;17&lt;/td&gt;&lt;td&gt;75&lt;/td&gt;&lt;td&gt;0.227&lt;/td&gt;&lt;td&gt;7&lt;/td&gt;&lt;td&gt;39&lt;/td&gt;&lt;td&gt;0.179&lt;/td&gt;&lt;td&gt;4&lt;/td&gt;&lt;td&gt;10&lt;/td&gt;&lt;td&gt;0.400&lt;/td&gt;&lt;td&gt;9&lt;/td&gt;&lt;td&gt;11&lt;/td&gt;&lt;td&gt;20&lt;/td&gt;&lt;td&gt;3.333&lt;/td&gt;&lt;td&gt;6&lt;/td&gt;&lt;td&gt;1.000&lt;/td&gt;&lt;td&gt;21&lt;/td&gt;&lt;td&gt;3.500&lt;/td&gt;&lt;td&gt;1&lt;/td&gt;&lt;td&gt;0.167&lt;/td&gt;&lt;/tr&gt;</v>
      </c>
    </row>
    <row r="105" spans="1:23" x14ac:dyDescent="0.25">
      <c r="A105" s="10">
        <v>6</v>
      </c>
      <c r="B105" s="12" t="s">
        <v>390</v>
      </c>
      <c r="C105" s="12">
        <v>5</v>
      </c>
      <c r="D105" s="12">
        <v>18</v>
      </c>
      <c r="E105" s="12">
        <v>42</v>
      </c>
      <c r="F105" s="12">
        <v>6</v>
      </c>
      <c r="G105" s="12">
        <v>16</v>
      </c>
      <c r="H105" s="12">
        <v>2</v>
      </c>
      <c r="I105" s="12">
        <v>3</v>
      </c>
      <c r="J105" s="16">
        <f t="shared" si="3"/>
        <v>44</v>
      </c>
      <c r="K105" s="12">
        <v>15</v>
      </c>
      <c r="L105" s="12">
        <v>18</v>
      </c>
      <c r="M105" s="16">
        <f t="shared" si="4"/>
        <v>33</v>
      </c>
      <c r="N105" s="12">
        <v>19</v>
      </c>
      <c r="O105" s="12">
        <v>3</v>
      </c>
      <c r="P105" s="12">
        <v>14</v>
      </c>
      <c r="Q105" s="12">
        <v>5</v>
      </c>
      <c r="R105" s="12">
        <v>9</v>
      </c>
      <c r="S105" s="16">
        <v>0</v>
      </c>
      <c r="T105" s="12">
        <v>110</v>
      </c>
      <c r="U105" s="12" t="s">
        <v>164</v>
      </c>
      <c r="W105" s="10" t="str">
        <f t="shared" si="5"/>
        <v>&lt;tr&gt;&lt;td&gt;Tom Prazak&lt;/td&gt;&lt;td&gt;GVC&lt;/td&gt;&lt;td&gt;5&lt;/td&gt;&lt;td&gt;44&lt;/td&gt;&lt;td&gt;8.800&lt;/td&gt;&lt;td&gt;18&lt;/td&gt;&lt;td&gt;42&lt;/td&gt;&lt;td&gt;0.429&lt;/td&gt;&lt;td&gt;6&lt;/td&gt;&lt;td&gt;16&lt;/td&gt;&lt;td&gt;0.375&lt;/td&gt;&lt;td&gt;2&lt;/td&gt;&lt;td&gt;3&lt;/td&gt;&lt;td&gt;0.667&lt;/td&gt;&lt;td&gt;15&lt;/td&gt;&lt;td&gt;18&lt;/td&gt;&lt;td&gt;33&lt;/td&gt;&lt;td&gt;6.600&lt;/td&gt;&lt;td&gt;3&lt;/td&gt;&lt;td&gt;0.600&lt;/td&gt;&lt;td&gt;9&lt;/td&gt;&lt;td&gt;1.800&lt;/td&gt;&lt;td&gt;5&lt;/td&gt;&lt;td&gt;1.000&lt;/td&gt;&lt;/tr&gt;</v>
      </c>
    </row>
    <row r="106" spans="1:23" x14ac:dyDescent="0.25">
      <c r="A106" s="10">
        <v>0</v>
      </c>
      <c r="B106" s="12" t="s">
        <v>448</v>
      </c>
      <c r="C106" s="12">
        <v>6</v>
      </c>
      <c r="D106" s="12">
        <v>17</v>
      </c>
      <c r="E106" s="12">
        <v>32</v>
      </c>
      <c r="F106" s="12">
        <v>0</v>
      </c>
      <c r="G106" s="12">
        <v>0</v>
      </c>
      <c r="H106" s="12">
        <v>9</v>
      </c>
      <c r="I106" s="12">
        <v>13</v>
      </c>
      <c r="J106" s="16">
        <f t="shared" si="3"/>
        <v>43</v>
      </c>
      <c r="K106" s="12">
        <v>10</v>
      </c>
      <c r="L106" s="12">
        <v>30</v>
      </c>
      <c r="M106" s="16">
        <f t="shared" si="4"/>
        <v>40</v>
      </c>
      <c r="N106" s="12">
        <v>16</v>
      </c>
      <c r="O106" s="12">
        <v>1</v>
      </c>
      <c r="P106" s="12">
        <v>12</v>
      </c>
      <c r="Q106" s="12">
        <v>10</v>
      </c>
      <c r="R106" s="12">
        <v>7</v>
      </c>
      <c r="S106" s="16">
        <v>0</v>
      </c>
      <c r="T106" s="12">
        <v>145</v>
      </c>
      <c r="U106" s="12" t="s">
        <v>102</v>
      </c>
      <c r="W106" s="10" t="str">
        <f t="shared" si="5"/>
        <v>&lt;tr&gt;&lt;td&gt;Dylan Sutherland&lt;/td&gt;&lt;td&gt;VMHS&lt;/td&gt;&lt;td&gt;6&lt;/td&gt;&lt;td&gt;43&lt;/td&gt;&lt;td&gt;7.167&lt;/td&gt;&lt;td&gt;17&lt;/td&gt;&lt;td&gt;32&lt;/td&gt;&lt;td&gt;0.531&lt;/td&gt;&lt;td&gt;0&lt;/td&gt;&lt;td&gt;0&lt;/td&gt;&lt;td&gt;0.000&lt;/td&gt;&lt;td&gt;9&lt;/td&gt;&lt;td&gt;13&lt;/td&gt;&lt;td&gt;0.692&lt;/td&gt;&lt;td&gt;10&lt;/td&gt;&lt;td&gt;30&lt;/td&gt;&lt;td&gt;40&lt;/td&gt;&lt;td&gt;6.667&lt;/td&gt;&lt;td&gt;1&lt;/td&gt;&lt;td&gt;0.167&lt;/td&gt;&lt;td&gt;7&lt;/td&gt;&lt;td&gt;1.167&lt;/td&gt;&lt;td&gt;10&lt;/td&gt;&lt;td&gt;1.667&lt;/td&gt;&lt;/tr&gt;</v>
      </c>
    </row>
    <row r="107" spans="1:23" x14ac:dyDescent="0.25">
      <c r="A107" s="10">
        <v>13</v>
      </c>
      <c r="B107" s="12" t="s">
        <v>466</v>
      </c>
      <c r="C107" s="12">
        <v>3</v>
      </c>
      <c r="D107" s="12">
        <v>18</v>
      </c>
      <c r="E107" s="12">
        <v>47</v>
      </c>
      <c r="F107" s="12">
        <v>3</v>
      </c>
      <c r="G107" s="12">
        <v>19</v>
      </c>
      <c r="H107" s="12">
        <v>4</v>
      </c>
      <c r="I107" s="12">
        <v>9</v>
      </c>
      <c r="J107" s="16">
        <f t="shared" si="3"/>
        <v>43</v>
      </c>
      <c r="K107" s="12">
        <v>4</v>
      </c>
      <c r="L107" s="12">
        <v>39</v>
      </c>
      <c r="M107" s="16">
        <f t="shared" si="4"/>
        <v>43</v>
      </c>
      <c r="N107" s="12">
        <v>10</v>
      </c>
      <c r="O107" s="12">
        <v>2</v>
      </c>
      <c r="P107" s="12">
        <v>24</v>
      </c>
      <c r="Q107" s="12">
        <v>2</v>
      </c>
      <c r="R107" s="12">
        <v>11</v>
      </c>
      <c r="S107" s="16">
        <v>0</v>
      </c>
      <c r="T107" s="12">
        <v>76</v>
      </c>
      <c r="U107" s="12" t="s">
        <v>98</v>
      </c>
      <c r="W107" s="10" t="str">
        <f t="shared" si="5"/>
        <v>&lt;tr&gt;&lt;td&gt;Ethan Duncan&lt;/td&gt;&lt;td&gt;WWC&lt;/td&gt;&lt;td&gt;3&lt;/td&gt;&lt;td&gt;43&lt;/td&gt;&lt;td&gt;14.333&lt;/td&gt;&lt;td&gt;18&lt;/td&gt;&lt;td&gt;47&lt;/td&gt;&lt;td&gt;0.383&lt;/td&gt;&lt;td&gt;3&lt;/td&gt;&lt;td&gt;19&lt;/td&gt;&lt;td&gt;0.158&lt;/td&gt;&lt;td&gt;4&lt;/td&gt;&lt;td&gt;9&lt;/td&gt;&lt;td&gt;0.444&lt;/td&gt;&lt;td&gt;4&lt;/td&gt;&lt;td&gt;39&lt;/td&gt;&lt;td&gt;43&lt;/td&gt;&lt;td&gt;14.333&lt;/td&gt;&lt;td&gt;2&lt;/td&gt;&lt;td&gt;0.667&lt;/td&gt;&lt;td&gt;11&lt;/td&gt;&lt;td&gt;3.667&lt;/td&gt;&lt;td&gt;2&lt;/td&gt;&lt;td&gt;0.667&lt;/td&gt;&lt;/tr&gt;</v>
      </c>
    </row>
    <row r="108" spans="1:23" x14ac:dyDescent="0.25">
      <c r="A108" s="10">
        <v>13</v>
      </c>
      <c r="B108" s="12" t="s">
        <v>376</v>
      </c>
      <c r="C108" s="12">
        <v>8</v>
      </c>
      <c r="D108" s="12">
        <v>13</v>
      </c>
      <c r="E108" s="12">
        <v>47</v>
      </c>
      <c r="F108" s="12">
        <v>3</v>
      </c>
      <c r="G108" s="12">
        <v>7</v>
      </c>
      <c r="H108" s="12">
        <v>13</v>
      </c>
      <c r="I108" s="12">
        <v>22</v>
      </c>
      <c r="J108" s="16">
        <f t="shared" si="3"/>
        <v>42</v>
      </c>
      <c r="K108" s="12">
        <v>4</v>
      </c>
      <c r="L108" s="12">
        <v>16</v>
      </c>
      <c r="M108" s="16">
        <f t="shared" si="4"/>
        <v>20</v>
      </c>
      <c r="N108" s="12">
        <v>12</v>
      </c>
      <c r="O108" s="12">
        <v>4</v>
      </c>
      <c r="P108" s="12">
        <v>9</v>
      </c>
      <c r="Q108" s="12">
        <v>0</v>
      </c>
      <c r="R108" s="12">
        <v>11</v>
      </c>
      <c r="S108" s="16">
        <v>0</v>
      </c>
      <c r="T108" s="12">
        <v>146</v>
      </c>
      <c r="U108" s="12" t="s">
        <v>72</v>
      </c>
      <c r="W108" s="10" t="str">
        <f t="shared" si="5"/>
        <v>&lt;tr&gt;&lt;td&gt;Mo Sesay&lt;/td&gt;&lt;td&gt;KHS&lt;/td&gt;&lt;td&gt;8&lt;/td&gt;&lt;td&gt;42&lt;/td&gt;&lt;td&gt;5.250&lt;/td&gt;&lt;td&gt;13&lt;/td&gt;&lt;td&gt;47&lt;/td&gt;&lt;td&gt;0.277&lt;/td&gt;&lt;td&gt;3&lt;/td&gt;&lt;td&gt;7&lt;/td&gt;&lt;td&gt;0.429&lt;/td&gt;&lt;td&gt;13&lt;/td&gt;&lt;td&gt;22&lt;/td&gt;&lt;td&gt;0.591&lt;/td&gt;&lt;td&gt;4&lt;/td&gt;&lt;td&gt;16&lt;/td&gt;&lt;td&gt;20&lt;/td&gt;&lt;td&gt;2.500&lt;/td&gt;&lt;td&gt;4&lt;/td&gt;&lt;td&gt;0.500&lt;/td&gt;&lt;td&gt;11&lt;/td&gt;&lt;td&gt;1.375&lt;/td&gt;&lt;td&gt;0&lt;/td&gt;&lt;td&gt;0.000&lt;/td&gt;&lt;/tr&gt;</v>
      </c>
    </row>
    <row r="109" spans="1:23" x14ac:dyDescent="0.25">
      <c r="A109" s="10">
        <v>12</v>
      </c>
      <c r="B109" s="12" t="s">
        <v>369</v>
      </c>
      <c r="C109" s="12">
        <v>6</v>
      </c>
      <c r="D109" s="12">
        <v>14</v>
      </c>
      <c r="E109" s="12">
        <v>32</v>
      </c>
      <c r="F109" s="12">
        <v>0</v>
      </c>
      <c r="G109" s="12">
        <v>0</v>
      </c>
      <c r="H109" s="12">
        <v>14</v>
      </c>
      <c r="I109" s="12">
        <v>26</v>
      </c>
      <c r="J109" s="16">
        <f t="shared" si="3"/>
        <v>42</v>
      </c>
      <c r="K109" s="12">
        <v>14</v>
      </c>
      <c r="L109" s="12">
        <v>25</v>
      </c>
      <c r="M109" s="16">
        <f t="shared" si="4"/>
        <v>39</v>
      </c>
      <c r="N109" s="12">
        <v>18</v>
      </c>
      <c r="O109" s="12">
        <v>2</v>
      </c>
      <c r="P109" s="12">
        <v>15</v>
      </c>
      <c r="Q109" s="12">
        <v>6</v>
      </c>
      <c r="R109" s="12">
        <v>10</v>
      </c>
      <c r="S109" s="16">
        <v>0</v>
      </c>
      <c r="T109" s="12">
        <v>118</v>
      </c>
      <c r="U109" s="12" t="s">
        <v>100</v>
      </c>
      <c r="W109" s="10" t="str">
        <f t="shared" si="5"/>
        <v>&lt;tr&gt;&lt;td&gt;Steven Fawcett&lt;/td&gt;&lt;td&gt;CPRS&lt;/td&gt;&lt;td&gt;6&lt;/td&gt;&lt;td&gt;42&lt;/td&gt;&lt;td&gt;7.000&lt;/td&gt;&lt;td&gt;14&lt;/td&gt;&lt;td&gt;32&lt;/td&gt;&lt;td&gt;0.438&lt;/td&gt;&lt;td&gt;0&lt;/td&gt;&lt;td&gt;0&lt;/td&gt;&lt;td&gt;0.000&lt;/td&gt;&lt;td&gt;14&lt;/td&gt;&lt;td&gt;26&lt;/td&gt;&lt;td&gt;0.538&lt;/td&gt;&lt;td&gt;14&lt;/td&gt;&lt;td&gt;25&lt;/td&gt;&lt;td&gt;39&lt;/td&gt;&lt;td&gt;6.500&lt;/td&gt;&lt;td&gt;2&lt;/td&gt;&lt;td&gt;0.333&lt;/td&gt;&lt;td&gt;10&lt;/td&gt;&lt;td&gt;1.667&lt;/td&gt;&lt;td&gt;6&lt;/td&gt;&lt;td&gt;1.000&lt;/td&gt;&lt;/tr&gt;</v>
      </c>
    </row>
    <row r="110" spans="1:23" x14ac:dyDescent="0.25">
      <c r="A110" s="10">
        <v>1</v>
      </c>
      <c r="B110" s="12" t="s">
        <v>483</v>
      </c>
      <c r="C110" s="12">
        <v>6</v>
      </c>
      <c r="D110" s="12">
        <v>17</v>
      </c>
      <c r="E110" s="12">
        <v>41</v>
      </c>
      <c r="F110" s="12">
        <v>6</v>
      </c>
      <c r="G110" s="12">
        <v>16</v>
      </c>
      <c r="H110" s="12">
        <v>2</v>
      </c>
      <c r="I110" s="12">
        <v>4</v>
      </c>
      <c r="J110" s="16">
        <f t="shared" si="3"/>
        <v>42</v>
      </c>
      <c r="K110" s="12">
        <v>5</v>
      </c>
      <c r="L110" s="12">
        <v>13</v>
      </c>
      <c r="M110" s="16">
        <f t="shared" si="4"/>
        <v>18</v>
      </c>
      <c r="N110" s="12">
        <v>8</v>
      </c>
      <c r="O110" s="12">
        <v>4</v>
      </c>
      <c r="P110" s="12">
        <v>18</v>
      </c>
      <c r="Q110" s="12">
        <v>1</v>
      </c>
      <c r="R110" s="12">
        <v>7</v>
      </c>
      <c r="S110" s="16">
        <v>0</v>
      </c>
      <c r="T110" s="12">
        <v>150</v>
      </c>
      <c r="U110" s="12" t="s">
        <v>48</v>
      </c>
      <c r="W110" s="10" t="str">
        <f t="shared" si="5"/>
        <v>&lt;tr&gt;&lt;td&gt;Domenic Horvath&lt;/td&gt;&lt;td&gt;MMC&lt;/td&gt;&lt;td&gt;6&lt;/td&gt;&lt;td&gt;42&lt;/td&gt;&lt;td&gt;7.000&lt;/td&gt;&lt;td&gt;17&lt;/td&gt;&lt;td&gt;41&lt;/td&gt;&lt;td&gt;0.415&lt;/td&gt;&lt;td&gt;6&lt;/td&gt;&lt;td&gt;16&lt;/td&gt;&lt;td&gt;0.375&lt;/td&gt;&lt;td&gt;2&lt;/td&gt;&lt;td&gt;4&lt;/td&gt;&lt;td&gt;0.500&lt;/td&gt;&lt;td&gt;5&lt;/td&gt;&lt;td&gt;13&lt;/td&gt;&lt;td&gt;18&lt;/td&gt;&lt;td&gt;3.000&lt;/td&gt;&lt;td&gt;4&lt;/td&gt;&lt;td&gt;0.667&lt;/td&gt;&lt;td&gt;7&lt;/td&gt;&lt;td&gt;1.167&lt;/td&gt;&lt;td&gt;1&lt;/td&gt;&lt;td&gt;0.167&lt;/td&gt;&lt;/tr&gt;</v>
      </c>
    </row>
    <row r="111" spans="1:23" x14ac:dyDescent="0.25">
      <c r="A111" s="10">
        <v>10</v>
      </c>
      <c r="B111" s="12" t="s">
        <v>736</v>
      </c>
      <c r="C111" s="12">
        <v>6</v>
      </c>
      <c r="D111" s="12">
        <v>16</v>
      </c>
      <c r="E111" s="12">
        <v>54</v>
      </c>
      <c r="F111" s="12">
        <v>0</v>
      </c>
      <c r="G111" s="12">
        <v>4</v>
      </c>
      <c r="H111" s="12">
        <v>10</v>
      </c>
      <c r="I111" s="12">
        <v>17</v>
      </c>
      <c r="J111" s="16">
        <f t="shared" si="3"/>
        <v>42</v>
      </c>
      <c r="K111" s="12">
        <v>16</v>
      </c>
      <c r="L111" s="12">
        <v>27</v>
      </c>
      <c r="M111" s="16">
        <f t="shared" si="4"/>
        <v>43</v>
      </c>
      <c r="N111" s="12">
        <v>8</v>
      </c>
      <c r="O111" s="12">
        <v>4</v>
      </c>
      <c r="P111" s="12">
        <v>16</v>
      </c>
      <c r="Q111" s="12">
        <v>4</v>
      </c>
      <c r="R111" s="12">
        <v>6</v>
      </c>
      <c r="S111" s="16">
        <v>0</v>
      </c>
      <c r="T111" s="12">
        <v>150</v>
      </c>
      <c r="U111" s="12" t="s">
        <v>96</v>
      </c>
      <c r="W111" s="10" t="str">
        <f t="shared" si="5"/>
        <v>&lt;tr&gt;&lt;td&gt;Elson Bocalan&lt;/td&gt;&lt;td&gt;TVHS&lt;/td&gt;&lt;td&gt;6&lt;/td&gt;&lt;td&gt;42&lt;/td&gt;&lt;td&gt;7.000&lt;/td&gt;&lt;td&gt;16&lt;/td&gt;&lt;td&gt;54&lt;/td&gt;&lt;td&gt;0.296&lt;/td&gt;&lt;td&gt;0&lt;/td&gt;&lt;td&gt;4&lt;/td&gt;&lt;td&gt;0.000&lt;/td&gt;&lt;td&gt;10&lt;/td&gt;&lt;td&gt;17&lt;/td&gt;&lt;td&gt;0.588&lt;/td&gt;&lt;td&gt;16&lt;/td&gt;&lt;td&gt;27&lt;/td&gt;&lt;td&gt;43&lt;/td&gt;&lt;td&gt;7.167&lt;/td&gt;&lt;td&gt;4&lt;/td&gt;&lt;td&gt;0.667&lt;/td&gt;&lt;td&gt;6&lt;/td&gt;&lt;td&gt;1.000&lt;/td&gt;&lt;td&gt;4&lt;/td&gt;&lt;td&gt;0.667&lt;/td&gt;&lt;/tr&gt;</v>
      </c>
    </row>
    <row r="112" spans="1:23" x14ac:dyDescent="0.25">
      <c r="A112" s="10">
        <v>7</v>
      </c>
      <c r="B112" s="12" t="s">
        <v>365</v>
      </c>
      <c r="C112" s="12">
        <v>6</v>
      </c>
      <c r="D112" s="12">
        <v>18</v>
      </c>
      <c r="E112" s="12">
        <v>35</v>
      </c>
      <c r="F112" s="12">
        <v>0</v>
      </c>
      <c r="G112" s="12">
        <v>1</v>
      </c>
      <c r="H112" s="12">
        <v>6</v>
      </c>
      <c r="I112" s="12">
        <v>10</v>
      </c>
      <c r="J112" s="16">
        <f t="shared" si="3"/>
        <v>42</v>
      </c>
      <c r="K112" s="12">
        <v>14</v>
      </c>
      <c r="L112" s="12">
        <v>24</v>
      </c>
      <c r="M112" s="16">
        <f t="shared" si="4"/>
        <v>38</v>
      </c>
      <c r="N112" s="12">
        <v>11</v>
      </c>
      <c r="O112" s="12">
        <v>4</v>
      </c>
      <c r="P112" s="12">
        <v>10</v>
      </c>
      <c r="Q112" s="12">
        <v>0</v>
      </c>
      <c r="R112" s="12">
        <v>10</v>
      </c>
      <c r="S112" s="16">
        <v>0</v>
      </c>
      <c r="T112" s="12">
        <v>154</v>
      </c>
      <c r="U112" s="12" t="s">
        <v>100</v>
      </c>
      <c r="W112" s="10" t="str">
        <f t="shared" si="5"/>
        <v>&lt;tr&gt;&lt;td&gt;Theo Bolme&lt;/td&gt;&lt;td&gt;CPRS&lt;/td&gt;&lt;td&gt;6&lt;/td&gt;&lt;td&gt;42&lt;/td&gt;&lt;td&gt;7.000&lt;/td&gt;&lt;td&gt;18&lt;/td&gt;&lt;td&gt;35&lt;/td&gt;&lt;td&gt;0.514&lt;/td&gt;&lt;td&gt;0&lt;/td&gt;&lt;td&gt;1&lt;/td&gt;&lt;td&gt;0.000&lt;/td&gt;&lt;td&gt;6&lt;/td&gt;&lt;td&gt;10&lt;/td&gt;&lt;td&gt;0.600&lt;/td&gt;&lt;td&gt;14&lt;/td&gt;&lt;td&gt;24&lt;/td&gt;&lt;td&gt;38&lt;/td&gt;&lt;td&gt;6.333&lt;/td&gt;&lt;td&gt;4&lt;/td&gt;&lt;td&gt;0.667&lt;/td&gt;&lt;td&gt;10&lt;/td&gt;&lt;td&gt;1.667&lt;/td&gt;&lt;td&gt;0&lt;/td&gt;&lt;td&gt;0.000&lt;/td&gt;&lt;/tr&gt;</v>
      </c>
    </row>
    <row r="113" spans="1:23" x14ac:dyDescent="0.25">
      <c r="A113" s="10">
        <v>17</v>
      </c>
      <c r="B113" s="12" t="s">
        <v>357</v>
      </c>
      <c r="C113" s="12">
        <v>5</v>
      </c>
      <c r="D113" s="12">
        <v>18</v>
      </c>
      <c r="E113" s="12">
        <v>48</v>
      </c>
      <c r="F113" s="12">
        <v>1</v>
      </c>
      <c r="G113" s="12">
        <v>7</v>
      </c>
      <c r="H113" s="12">
        <v>5</v>
      </c>
      <c r="I113" s="12">
        <v>10</v>
      </c>
      <c r="J113" s="16">
        <f t="shared" si="3"/>
        <v>42</v>
      </c>
      <c r="K113" s="12">
        <v>16</v>
      </c>
      <c r="L113" s="12">
        <v>18</v>
      </c>
      <c r="M113" s="16">
        <f t="shared" si="4"/>
        <v>34</v>
      </c>
      <c r="N113" s="12">
        <v>13</v>
      </c>
      <c r="O113" s="12">
        <v>3</v>
      </c>
      <c r="P113" s="12">
        <v>9</v>
      </c>
      <c r="Q113" s="12">
        <v>0</v>
      </c>
      <c r="R113" s="12">
        <v>5</v>
      </c>
      <c r="S113" s="16">
        <v>0</v>
      </c>
      <c r="T113" s="12">
        <v>114</v>
      </c>
      <c r="U113" s="12" t="s">
        <v>60</v>
      </c>
      <c r="W113" s="10" t="str">
        <f t="shared" si="5"/>
        <v>&lt;tr&gt;&lt;td&gt;Connor Kyliuk&lt;/td&gt;&lt;td&gt;DCI&lt;/td&gt;&lt;td&gt;5&lt;/td&gt;&lt;td&gt;42&lt;/td&gt;&lt;td&gt;8.400&lt;/td&gt;&lt;td&gt;18&lt;/td&gt;&lt;td&gt;48&lt;/td&gt;&lt;td&gt;0.375&lt;/td&gt;&lt;td&gt;1&lt;/td&gt;&lt;td&gt;7&lt;/td&gt;&lt;td&gt;0.143&lt;/td&gt;&lt;td&gt;5&lt;/td&gt;&lt;td&gt;10&lt;/td&gt;&lt;td&gt;0.500&lt;/td&gt;&lt;td&gt;16&lt;/td&gt;&lt;td&gt;18&lt;/td&gt;&lt;td&gt;34&lt;/td&gt;&lt;td&gt;6.800&lt;/td&gt;&lt;td&gt;3&lt;/td&gt;&lt;td&gt;0.600&lt;/td&gt;&lt;td&gt;5&lt;/td&gt;&lt;td&gt;1.000&lt;/td&gt;&lt;td&gt;0&lt;/td&gt;&lt;td&gt;0.000&lt;/td&gt;&lt;/tr&gt;</v>
      </c>
    </row>
    <row r="114" spans="1:23" x14ac:dyDescent="0.25">
      <c r="A114" s="10">
        <v>12</v>
      </c>
      <c r="B114" s="12" t="s">
        <v>522</v>
      </c>
      <c r="C114" s="12">
        <v>14</v>
      </c>
      <c r="D114" s="12">
        <v>15</v>
      </c>
      <c r="E114" s="12">
        <v>48</v>
      </c>
      <c r="F114" s="12">
        <v>1</v>
      </c>
      <c r="G114" s="12">
        <v>2</v>
      </c>
      <c r="H114" s="12">
        <v>10</v>
      </c>
      <c r="I114" s="12">
        <v>19</v>
      </c>
      <c r="J114" s="16">
        <f t="shared" si="3"/>
        <v>41</v>
      </c>
      <c r="K114" s="12">
        <v>22</v>
      </c>
      <c r="L114" s="12">
        <v>31</v>
      </c>
      <c r="M114" s="16">
        <f t="shared" si="4"/>
        <v>53</v>
      </c>
      <c r="N114" s="12">
        <v>20</v>
      </c>
      <c r="O114" s="12">
        <v>5</v>
      </c>
      <c r="P114" s="12">
        <v>23</v>
      </c>
      <c r="Q114" s="12">
        <v>3</v>
      </c>
      <c r="R114" s="12">
        <v>9</v>
      </c>
      <c r="S114" s="16">
        <v>0</v>
      </c>
      <c r="T114" s="12">
        <v>216</v>
      </c>
      <c r="U114" s="12" t="s">
        <v>62</v>
      </c>
      <c r="W114" s="10" t="str">
        <f t="shared" si="5"/>
        <v>&lt;tr&gt;&lt;td&gt;Andrew Harder&lt;/td&gt;&lt;td&gt;GCI&lt;/td&gt;&lt;td&gt;14&lt;/td&gt;&lt;td&gt;41&lt;/td&gt;&lt;td&gt;2.929&lt;/td&gt;&lt;td&gt;15&lt;/td&gt;&lt;td&gt;48&lt;/td&gt;&lt;td&gt;0.313&lt;/td&gt;&lt;td&gt;1&lt;/td&gt;&lt;td&gt;2&lt;/td&gt;&lt;td&gt;0.500&lt;/td&gt;&lt;td&gt;10&lt;/td&gt;&lt;td&gt;19&lt;/td&gt;&lt;td&gt;0.526&lt;/td&gt;&lt;td&gt;22&lt;/td&gt;&lt;td&gt;31&lt;/td&gt;&lt;td&gt;53&lt;/td&gt;&lt;td&gt;3.786&lt;/td&gt;&lt;td&gt;5&lt;/td&gt;&lt;td&gt;0.357&lt;/td&gt;&lt;td&gt;9&lt;/td&gt;&lt;td&gt;0.643&lt;/td&gt;&lt;td&gt;3&lt;/td&gt;&lt;td&gt;0.214&lt;/td&gt;&lt;/tr&gt;</v>
      </c>
    </row>
    <row r="115" spans="1:23" x14ac:dyDescent="0.25">
      <c r="A115" s="10">
        <v>5</v>
      </c>
      <c r="B115" s="12" t="s">
        <v>494</v>
      </c>
      <c r="C115" s="12">
        <v>8</v>
      </c>
      <c r="D115" s="12">
        <v>15</v>
      </c>
      <c r="E115" s="12">
        <v>74</v>
      </c>
      <c r="F115" s="12">
        <v>2</v>
      </c>
      <c r="G115" s="12">
        <v>27</v>
      </c>
      <c r="H115" s="12">
        <v>9</v>
      </c>
      <c r="I115" s="12">
        <v>16</v>
      </c>
      <c r="J115" s="16">
        <f t="shared" si="3"/>
        <v>41</v>
      </c>
      <c r="K115" s="12">
        <v>10</v>
      </c>
      <c r="L115" s="12">
        <v>18</v>
      </c>
      <c r="M115" s="16">
        <f t="shared" si="4"/>
        <v>28</v>
      </c>
      <c r="N115" s="12">
        <v>15</v>
      </c>
      <c r="O115" s="12">
        <v>13</v>
      </c>
      <c r="P115" s="12">
        <v>16</v>
      </c>
      <c r="Q115" s="12">
        <v>0</v>
      </c>
      <c r="R115" s="12">
        <v>8</v>
      </c>
      <c r="S115" s="16">
        <v>0</v>
      </c>
      <c r="T115" s="12">
        <v>185</v>
      </c>
      <c r="U115" s="12" t="s">
        <v>52</v>
      </c>
      <c r="W115" s="10" t="str">
        <f t="shared" si="5"/>
        <v>&lt;tr&gt;&lt;td&gt;Kevin Ireland&lt;/td&gt;&lt;td&gt;REC&lt;/td&gt;&lt;td&gt;8&lt;/td&gt;&lt;td&gt;41&lt;/td&gt;&lt;td&gt;5.125&lt;/td&gt;&lt;td&gt;15&lt;/td&gt;&lt;td&gt;74&lt;/td&gt;&lt;td&gt;0.203&lt;/td&gt;&lt;td&gt;2&lt;/td&gt;&lt;td&gt;27&lt;/td&gt;&lt;td&gt;0.074&lt;/td&gt;&lt;td&gt;9&lt;/td&gt;&lt;td&gt;16&lt;/td&gt;&lt;td&gt;0.563&lt;/td&gt;&lt;td&gt;10&lt;/td&gt;&lt;td&gt;18&lt;/td&gt;&lt;td&gt;28&lt;/td&gt;&lt;td&gt;3.500&lt;/td&gt;&lt;td&gt;13&lt;/td&gt;&lt;td&gt;1.625&lt;/td&gt;&lt;td&gt;8&lt;/td&gt;&lt;td&gt;1.000&lt;/td&gt;&lt;td&gt;0&lt;/td&gt;&lt;td&gt;0.000&lt;/td&gt;&lt;/tr&gt;</v>
      </c>
    </row>
    <row r="116" spans="1:23" x14ac:dyDescent="0.25">
      <c r="A116" s="10">
        <v>11</v>
      </c>
      <c r="B116" s="12" t="s">
        <v>509</v>
      </c>
      <c r="C116" s="12">
        <v>12</v>
      </c>
      <c r="D116" s="12">
        <v>13</v>
      </c>
      <c r="E116" s="12">
        <v>51</v>
      </c>
      <c r="F116" s="12">
        <v>2</v>
      </c>
      <c r="G116" s="12">
        <v>5</v>
      </c>
      <c r="H116" s="12">
        <v>12</v>
      </c>
      <c r="I116" s="12">
        <v>20</v>
      </c>
      <c r="J116" s="16">
        <f t="shared" si="3"/>
        <v>40</v>
      </c>
      <c r="K116" s="12">
        <v>14</v>
      </c>
      <c r="L116" s="12">
        <v>22</v>
      </c>
      <c r="M116" s="16">
        <f t="shared" si="4"/>
        <v>36</v>
      </c>
      <c r="N116" s="12">
        <v>23</v>
      </c>
      <c r="O116" s="12">
        <v>10</v>
      </c>
      <c r="P116" s="12">
        <v>27</v>
      </c>
      <c r="Q116" s="12">
        <v>0</v>
      </c>
      <c r="R116" s="12">
        <v>12</v>
      </c>
      <c r="S116" s="16">
        <v>0</v>
      </c>
      <c r="T116" s="12">
        <v>212</v>
      </c>
      <c r="U116" s="12" t="s">
        <v>7</v>
      </c>
      <c r="W116" s="10" t="str">
        <f t="shared" si="5"/>
        <v>&lt;tr&gt;&lt;td&gt;Luc Ottenbreit&lt;/td&gt;&lt;td&gt;MBCI&lt;/td&gt;&lt;td&gt;12&lt;/td&gt;&lt;td&gt;40&lt;/td&gt;&lt;td&gt;3.333&lt;/td&gt;&lt;td&gt;13&lt;/td&gt;&lt;td&gt;51&lt;/td&gt;&lt;td&gt;0.255&lt;/td&gt;&lt;td&gt;2&lt;/td&gt;&lt;td&gt;5&lt;/td&gt;&lt;td&gt;0.400&lt;/td&gt;&lt;td&gt;12&lt;/td&gt;&lt;td&gt;20&lt;/td&gt;&lt;td&gt;0.600&lt;/td&gt;&lt;td&gt;14&lt;/td&gt;&lt;td&gt;22&lt;/td&gt;&lt;td&gt;36&lt;/td&gt;&lt;td&gt;3.000&lt;/td&gt;&lt;td&gt;10&lt;/td&gt;&lt;td&gt;0.833&lt;/td&gt;&lt;td&gt;12&lt;/td&gt;&lt;td&gt;1.000&lt;/td&gt;&lt;td&gt;0&lt;/td&gt;&lt;td&gt;0.000&lt;/td&gt;&lt;/tr&gt;</v>
      </c>
    </row>
    <row r="117" spans="1:23" x14ac:dyDescent="0.25">
      <c r="A117" s="10">
        <v>7</v>
      </c>
      <c r="B117" s="12" t="s">
        <v>413</v>
      </c>
      <c r="C117" s="12">
        <v>8</v>
      </c>
      <c r="D117" s="12">
        <v>16</v>
      </c>
      <c r="E117" s="12">
        <v>42</v>
      </c>
      <c r="F117" s="12">
        <v>1</v>
      </c>
      <c r="G117" s="12">
        <v>5</v>
      </c>
      <c r="H117" s="12">
        <v>7</v>
      </c>
      <c r="I117" s="12">
        <v>19</v>
      </c>
      <c r="J117" s="16">
        <f t="shared" si="3"/>
        <v>40</v>
      </c>
      <c r="K117" s="12">
        <v>16</v>
      </c>
      <c r="L117" s="12">
        <v>23</v>
      </c>
      <c r="M117" s="16">
        <f t="shared" si="4"/>
        <v>39</v>
      </c>
      <c r="N117" s="12">
        <v>19</v>
      </c>
      <c r="O117" s="12">
        <v>0</v>
      </c>
      <c r="P117" s="12">
        <v>5</v>
      </c>
      <c r="Q117" s="12">
        <v>1</v>
      </c>
      <c r="R117" s="12">
        <v>4</v>
      </c>
      <c r="S117" s="16">
        <v>0</v>
      </c>
      <c r="T117" s="12">
        <v>108</v>
      </c>
      <c r="U117" s="12" t="s">
        <v>43</v>
      </c>
      <c r="W117" s="10" t="str">
        <f t="shared" si="5"/>
        <v>&lt;tr&gt;&lt;td&gt;Jared Wiens&lt;/td&gt;&lt;td&gt;KEC&lt;/td&gt;&lt;td&gt;8&lt;/td&gt;&lt;td&gt;40&lt;/td&gt;&lt;td&gt;5.000&lt;/td&gt;&lt;td&gt;16&lt;/td&gt;&lt;td&gt;42&lt;/td&gt;&lt;td&gt;0.381&lt;/td&gt;&lt;td&gt;1&lt;/td&gt;&lt;td&gt;5&lt;/td&gt;&lt;td&gt;0.200&lt;/td&gt;&lt;td&gt;7&lt;/td&gt;&lt;td&gt;19&lt;/td&gt;&lt;td&gt;0.368&lt;/td&gt;&lt;td&gt;16&lt;/td&gt;&lt;td&gt;23&lt;/td&gt;&lt;td&gt;39&lt;/td&gt;&lt;td&gt;4.875&lt;/td&gt;&lt;td&gt;0&lt;/td&gt;&lt;td&gt;0.000&lt;/td&gt;&lt;td&gt;4&lt;/td&gt;&lt;td&gt;0.500&lt;/td&gt;&lt;td&gt;1&lt;/td&gt;&lt;td&gt;0.125&lt;/td&gt;&lt;/tr&gt;</v>
      </c>
    </row>
    <row r="118" spans="1:23" x14ac:dyDescent="0.25">
      <c r="A118" s="10">
        <v>3</v>
      </c>
      <c r="B118" s="12" t="s">
        <v>361</v>
      </c>
      <c r="C118" s="12">
        <v>6</v>
      </c>
      <c r="D118" s="12">
        <v>15</v>
      </c>
      <c r="E118" s="12">
        <v>42</v>
      </c>
      <c r="F118" s="12">
        <v>2</v>
      </c>
      <c r="G118" s="12">
        <v>15</v>
      </c>
      <c r="H118" s="12">
        <v>8</v>
      </c>
      <c r="I118" s="12">
        <v>15</v>
      </c>
      <c r="J118" s="16">
        <f t="shared" si="3"/>
        <v>40</v>
      </c>
      <c r="K118" s="12">
        <v>10</v>
      </c>
      <c r="L118" s="12">
        <v>21</v>
      </c>
      <c r="M118" s="16">
        <f t="shared" si="4"/>
        <v>31</v>
      </c>
      <c r="N118" s="12">
        <v>20</v>
      </c>
      <c r="O118" s="12">
        <v>10</v>
      </c>
      <c r="P118" s="12">
        <v>18</v>
      </c>
      <c r="Q118" s="12">
        <v>0</v>
      </c>
      <c r="R118" s="12">
        <v>10</v>
      </c>
      <c r="S118" s="16">
        <v>0</v>
      </c>
      <c r="T118" s="12">
        <v>148</v>
      </c>
      <c r="U118" s="12" t="s">
        <v>100</v>
      </c>
      <c r="W118" s="10" t="str">
        <f t="shared" si="5"/>
        <v>&lt;tr&gt;&lt;td&gt;Matt Olive&lt;/td&gt;&lt;td&gt;CPRS&lt;/td&gt;&lt;td&gt;6&lt;/td&gt;&lt;td&gt;40&lt;/td&gt;&lt;td&gt;6.667&lt;/td&gt;&lt;td&gt;15&lt;/td&gt;&lt;td&gt;42&lt;/td&gt;&lt;td&gt;0.357&lt;/td&gt;&lt;td&gt;2&lt;/td&gt;&lt;td&gt;15&lt;/td&gt;&lt;td&gt;0.133&lt;/td&gt;&lt;td&gt;8&lt;/td&gt;&lt;td&gt;15&lt;/td&gt;&lt;td&gt;0.533&lt;/td&gt;&lt;td&gt;10&lt;/td&gt;&lt;td&gt;21&lt;/td&gt;&lt;td&gt;31&lt;/td&gt;&lt;td&gt;5.167&lt;/td&gt;&lt;td&gt;10&lt;/td&gt;&lt;td&gt;1.667&lt;/td&gt;&lt;td&gt;10&lt;/td&gt;&lt;td&gt;1.667&lt;/td&gt;&lt;td&gt;0&lt;/td&gt;&lt;td&gt;0.000&lt;/td&gt;&lt;/tr&gt;</v>
      </c>
    </row>
    <row r="119" spans="1:23" x14ac:dyDescent="0.25">
      <c r="A119" s="10">
        <v>4</v>
      </c>
      <c r="B119" s="12" t="s">
        <v>471</v>
      </c>
      <c r="C119" s="12">
        <v>5</v>
      </c>
      <c r="D119" s="12">
        <v>14</v>
      </c>
      <c r="E119" s="12">
        <v>54</v>
      </c>
      <c r="F119" s="12">
        <v>6</v>
      </c>
      <c r="G119" s="12">
        <v>22</v>
      </c>
      <c r="H119" s="12">
        <v>6</v>
      </c>
      <c r="I119" s="12">
        <v>10</v>
      </c>
      <c r="J119" s="16">
        <f t="shared" si="3"/>
        <v>40</v>
      </c>
      <c r="K119" s="12">
        <v>2</v>
      </c>
      <c r="L119" s="12">
        <v>11</v>
      </c>
      <c r="M119" s="16">
        <f t="shared" si="4"/>
        <v>13</v>
      </c>
      <c r="N119" s="12">
        <v>5</v>
      </c>
      <c r="O119" s="12">
        <v>10</v>
      </c>
      <c r="P119" s="12">
        <v>19</v>
      </c>
      <c r="Q119" s="12">
        <v>0</v>
      </c>
      <c r="R119" s="12">
        <v>18</v>
      </c>
      <c r="S119" s="16">
        <v>0</v>
      </c>
      <c r="T119" s="12">
        <v>138</v>
      </c>
      <c r="U119" s="12" t="s">
        <v>64</v>
      </c>
      <c r="W119" s="10" t="str">
        <f t="shared" si="5"/>
        <v>&lt;tr&gt;&lt;td&gt;Junior Zaki&lt;/td&gt;&lt;td&gt;JHB&lt;/td&gt;&lt;td&gt;5&lt;/td&gt;&lt;td&gt;40&lt;/td&gt;&lt;td&gt;8.000&lt;/td&gt;&lt;td&gt;14&lt;/td&gt;&lt;td&gt;54&lt;/td&gt;&lt;td&gt;0.259&lt;/td&gt;&lt;td&gt;6&lt;/td&gt;&lt;td&gt;22&lt;/td&gt;&lt;td&gt;0.273&lt;/td&gt;&lt;td&gt;6&lt;/td&gt;&lt;td&gt;10&lt;/td&gt;&lt;td&gt;0.600&lt;/td&gt;&lt;td&gt;2&lt;/td&gt;&lt;td&gt;11&lt;/td&gt;&lt;td&gt;13&lt;/td&gt;&lt;td&gt;2.600&lt;/td&gt;&lt;td&gt;10&lt;/td&gt;&lt;td&gt;2.000&lt;/td&gt;&lt;td&gt;18&lt;/td&gt;&lt;td&gt;3.600&lt;/td&gt;&lt;td&gt;0&lt;/td&gt;&lt;td&gt;0.000&lt;/td&gt;&lt;/tr&gt;</v>
      </c>
    </row>
    <row r="120" spans="1:23" x14ac:dyDescent="0.25">
      <c r="A120" s="10">
        <v>3</v>
      </c>
      <c r="B120" s="12" t="s">
        <v>470</v>
      </c>
      <c r="C120" s="12">
        <v>5</v>
      </c>
      <c r="D120" s="12">
        <v>15</v>
      </c>
      <c r="E120" s="12">
        <v>53</v>
      </c>
      <c r="F120" s="12">
        <v>2</v>
      </c>
      <c r="G120" s="12">
        <v>17</v>
      </c>
      <c r="H120" s="12">
        <v>7</v>
      </c>
      <c r="I120" s="12">
        <v>19</v>
      </c>
      <c r="J120" s="16">
        <f t="shared" si="3"/>
        <v>39</v>
      </c>
      <c r="K120" s="12">
        <v>5</v>
      </c>
      <c r="L120" s="12">
        <v>10</v>
      </c>
      <c r="M120" s="16">
        <f t="shared" si="4"/>
        <v>15</v>
      </c>
      <c r="N120" s="12">
        <v>12</v>
      </c>
      <c r="O120" s="12">
        <v>2</v>
      </c>
      <c r="P120" s="12">
        <v>20</v>
      </c>
      <c r="Q120" s="12">
        <v>0</v>
      </c>
      <c r="R120" s="12">
        <v>8</v>
      </c>
      <c r="S120" s="16">
        <v>0</v>
      </c>
      <c r="T120" s="12">
        <v>119</v>
      </c>
      <c r="U120" s="12" t="s">
        <v>64</v>
      </c>
      <c r="W120" s="10" t="str">
        <f t="shared" si="5"/>
        <v>&lt;tr&gt;&lt;td&gt;Aidan Murphy&lt;/td&gt;&lt;td&gt;JHB&lt;/td&gt;&lt;td&gt;5&lt;/td&gt;&lt;td&gt;39&lt;/td&gt;&lt;td&gt;7.800&lt;/td&gt;&lt;td&gt;15&lt;/td&gt;&lt;td&gt;53&lt;/td&gt;&lt;td&gt;0.283&lt;/td&gt;&lt;td&gt;2&lt;/td&gt;&lt;td&gt;17&lt;/td&gt;&lt;td&gt;0.118&lt;/td&gt;&lt;td&gt;7&lt;/td&gt;&lt;td&gt;19&lt;/td&gt;&lt;td&gt;0.368&lt;/td&gt;&lt;td&gt;5&lt;/td&gt;&lt;td&gt;10&lt;/td&gt;&lt;td&gt;15&lt;/td&gt;&lt;td&gt;3.000&lt;/td&gt;&lt;td&gt;2&lt;/td&gt;&lt;td&gt;0.400&lt;/td&gt;&lt;td&gt;8&lt;/td&gt;&lt;td&gt;1.600&lt;/td&gt;&lt;td&gt;0&lt;/td&gt;&lt;td&gt;0.000&lt;/td&gt;&lt;/tr&gt;</v>
      </c>
    </row>
    <row r="121" spans="1:23" x14ac:dyDescent="0.25">
      <c r="A121" s="10">
        <v>5</v>
      </c>
      <c r="B121" s="12" t="s">
        <v>437</v>
      </c>
      <c r="C121" s="12">
        <v>10</v>
      </c>
      <c r="D121" s="12">
        <v>13</v>
      </c>
      <c r="E121" s="12">
        <v>37</v>
      </c>
      <c r="F121" s="12">
        <v>6</v>
      </c>
      <c r="G121" s="12">
        <v>16</v>
      </c>
      <c r="H121" s="12">
        <v>6</v>
      </c>
      <c r="I121" s="12">
        <v>12</v>
      </c>
      <c r="J121" s="16">
        <f t="shared" si="3"/>
        <v>38</v>
      </c>
      <c r="K121" s="12">
        <v>12</v>
      </c>
      <c r="L121" s="12">
        <v>4</v>
      </c>
      <c r="M121" s="16">
        <f t="shared" si="4"/>
        <v>16</v>
      </c>
      <c r="N121" s="12">
        <v>6</v>
      </c>
      <c r="O121" s="12">
        <v>10</v>
      </c>
      <c r="P121" s="12">
        <v>6</v>
      </c>
      <c r="Q121" s="12">
        <v>2</v>
      </c>
      <c r="R121" s="12">
        <v>7</v>
      </c>
      <c r="S121" s="16">
        <v>0</v>
      </c>
      <c r="T121" s="12">
        <v>113</v>
      </c>
      <c r="U121" s="12" t="s">
        <v>80</v>
      </c>
      <c r="W121" s="10" t="str">
        <f t="shared" si="5"/>
        <v>&lt;tr&gt;&lt;td&gt;Aaron Mitchell-Dueck&lt;/td&gt;&lt;td&gt;VMC&lt;/td&gt;&lt;td&gt;10&lt;/td&gt;&lt;td&gt;38&lt;/td&gt;&lt;td&gt;3.800&lt;/td&gt;&lt;td&gt;13&lt;/td&gt;&lt;td&gt;37&lt;/td&gt;&lt;td&gt;0.351&lt;/td&gt;&lt;td&gt;6&lt;/td&gt;&lt;td&gt;16&lt;/td&gt;&lt;td&gt;0.375&lt;/td&gt;&lt;td&gt;6&lt;/td&gt;&lt;td&gt;12&lt;/td&gt;&lt;td&gt;0.500&lt;/td&gt;&lt;td&gt;12&lt;/td&gt;&lt;td&gt;4&lt;/td&gt;&lt;td&gt;16&lt;/td&gt;&lt;td&gt;1.600&lt;/td&gt;&lt;td&gt;10&lt;/td&gt;&lt;td&gt;1.000&lt;/td&gt;&lt;td&gt;7&lt;/td&gt;&lt;td&gt;0.700&lt;/td&gt;&lt;td&gt;2&lt;/td&gt;&lt;td&gt;0.200&lt;/td&gt;&lt;/tr&gt;</v>
      </c>
    </row>
    <row r="122" spans="1:23" x14ac:dyDescent="0.25">
      <c r="A122" s="10">
        <v>14</v>
      </c>
      <c r="B122" s="12" t="s">
        <v>747</v>
      </c>
      <c r="C122" s="12">
        <v>3</v>
      </c>
      <c r="D122" s="12">
        <v>14</v>
      </c>
      <c r="E122" s="12">
        <v>38</v>
      </c>
      <c r="F122" s="12">
        <v>3</v>
      </c>
      <c r="G122" s="12">
        <v>10</v>
      </c>
      <c r="H122" s="12">
        <v>7</v>
      </c>
      <c r="I122" s="12">
        <v>10</v>
      </c>
      <c r="J122" s="16">
        <f t="shared" si="3"/>
        <v>38</v>
      </c>
      <c r="K122" s="12">
        <v>9</v>
      </c>
      <c r="L122" s="12">
        <v>16</v>
      </c>
      <c r="M122" s="16">
        <f t="shared" si="4"/>
        <v>25</v>
      </c>
      <c r="N122" s="12">
        <v>8</v>
      </c>
      <c r="O122" s="12">
        <v>18</v>
      </c>
      <c r="P122" s="12">
        <v>7</v>
      </c>
      <c r="Q122" s="12">
        <v>2</v>
      </c>
      <c r="R122" s="12">
        <v>8</v>
      </c>
      <c r="S122" s="16">
        <v>0</v>
      </c>
      <c r="T122" s="12">
        <v>91</v>
      </c>
      <c r="U122" s="12" t="s">
        <v>76</v>
      </c>
      <c r="W122" s="10" t="str">
        <f t="shared" si="5"/>
        <v>&lt;tr&gt;&lt;td&gt;Guy Hooke&lt;/td&gt;&lt;td&gt;SiHS&lt;/td&gt;&lt;td&gt;3&lt;/td&gt;&lt;td&gt;38&lt;/td&gt;&lt;td&gt;12.667&lt;/td&gt;&lt;td&gt;14&lt;/td&gt;&lt;td&gt;38&lt;/td&gt;&lt;td&gt;0.368&lt;/td&gt;&lt;td&gt;3&lt;/td&gt;&lt;td&gt;10&lt;/td&gt;&lt;td&gt;0.300&lt;/td&gt;&lt;td&gt;7&lt;/td&gt;&lt;td&gt;10&lt;/td&gt;&lt;td&gt;0.700&lt;/td&gt;&lt;td&gt;9&lt;/td&gt;&lt;td&gt;16&lt;/td&gt;&lt;td&gt;25&lt;/td&gt;&lt;td&gt;8.333&lt;/td&gt;&lt;td&gt;18&lt;/td&gt;&lt;td&gt;6.000&lt;/td&gt;&lt;td&gt;8&lt;/td&gt;&lt;td&gt;2.667&lt;/td&gt;&lt;td&gt;2&lt;/td&gt;&lt;td&gt;0.667&lt;/td&gt;&lt;/tr&gt;</v>
      </c>
    </row>
    <row r="123" spans="1:23" x14ac:dyDescent="0.25">
      <c r="A123" s="10">
        <v>20</v>
      </c>
      <c r="B123" s="12" t="s">
        <v>379</v>
      </c>
      <c r="C123" s="12">
        <v>8</v>
      </c>
      <c r="D123" s="12">
        <v>14</v>
      </c>
      <c r="E123" s="12">
        <v>41</v>
      </c>
      <c r="F123" s="12">
        <v>4</v>
      </c>
      <c r="G123" s="12">
        <v>19</v>
      </c>
      <c r="H123" s="12">
        <v>5</v>
      </c>
      <c r="I123" s="12">
        <v>10</v>
      </c>
      <c r="J123" s="16">
        <f t="shared" si="3"/>
        <v>37</v>
      </c>
      <c r="K123" s="12">
        <v>3</v>
      </c>
      <c r="L123" s="12">
        <v>10</v>
      </c>
      <c r="M123" s="16">
        <f t="shared" si="4"/>
        <v>13</v>
      </c>
      <c r="N123" s="12">
        <v>15</v>
      </c>
      <c r="O123" s="12">
        <v>4</v>
      </c>
      <c r="P123" s="12">
        <v>20</v>
      </c>
      <c r="Q123" s="12">
        <v>0</v>
      </c>
      <c r="R123" s="12">
        <v>5</v>
      </c>
      <c r="S123" s="16">
        <v>0</v>
      </c>
      <c r="T123" s="12">
        <v>169</v>
      </c>
      <c r="U123" s="12" t="s">
        <v>72</v>
      </c>
      <c r="W123" s="10" t="str">
        <f t="shared" si="5"/>
        <v>&lt;tr&gt;&lt;td&gt;Nico San Jose&lt;/td&gt;&lt;td&gt;KHS&lt;/td&gt;&lt;td&gt;8&lt;/td&gt;&lt;td&gt;37&lt;/td&gt;&lt;td&gt;4.625&lt;/td&gt;&lt;td&gt;14&lt;/td&gt;&lt;td&gt;41&lt;/td&gt;&lt;td&gt;0.341&lt;/td&gt;&lt;td&gt;4&lt;/td&gt;&lt;td&gt;19&lt;/td&gt;&lt;td&gt;0.211&lt;/td&gt;&lt;td&gt;5&lt;/td&gt;&lt;td&gt;10&lt;/td&gt;&lt;td&gt;0.500&lt;/td&gt;&lt;td&gt;3&lt;/td&gt;&lt;td&gt;10&lt;/td&gt;&lt;td&gt;13&lt;/td&gt;&lt;td&gt;1.625&lt;/td&gt;&lt;td&gt;4&lt;/td&gt;&lt;td&gt;0.500&lt;/td&gt;&lt;td&gt;5&lt;/td&gt;&lt;td&gt;0.625&lt;/td&gt;&lt;td&gt;0&lt;/td&gt;&lt;td&gt;0.000&lt;/td&gt;&lt;/tr&gt;</v>
      </c>
    </row>
    <row r="124" spans="1:23" x14ac:dyDescent="0.25">
      <c r="A124" s="10">
        <v>0</v>
      </c>
      <c r="B124" s="12" t="s">
        <v>526</v>
      </c>
      <c r="C124" s="12">
        <v>7</v>
      </c>
      <c r="D124" s="12">
        <v>11</v>
      </c>
      <c r="E124" s="12">
        <v>37</v>
      </c>
      <c r="F124" s="12">
        <v>5</v>
      </c>
      <c r="G124" s="12">
        <v>16</v>
      </c>
      <c r="H124" s="12">
        <v>10</v>
      </c>
      <c r="I124" s="12">
        <v>14</v>
      </c>
      <c r="J124" s="16">
        <f t="shared" si="3"/>
        <v>37</v>
      </c>
      <c r="K124" s="12">
        <v>11</v>
      </c>
      <c r="L124" s="12">
        <v>13</v>
      </c>
      <c r="M124" s="16">
        <f t="shared" si="4"/>
        <v>24</v>
      </c>
      <c r="N124" s="12">
        <v>15</v>
      </c>
      <c r="O124" s="12">
        <v>0</v>
      </c>
      <c r="P124" s="12">
        <v>13</v>
      </c>
      <c r="Q124" s="12">
        <v>2</v>
      </c>
      <c r="R124" s="12">
        <v>3</v>
      </c>
      <c r="S124" s="16">
        <v>0</v>
      </c>
      <c r="T124" s="12">
        <v>89</v>
      </c>
      <c r="U124" s="12" t="s">
        <v>68</v>
      </c>
      <c r="W124" s="10" t="str">
        <f t="shared" si="5"/>
        <v>&lt;tr&gt;&lt;td&gt;Josh Ajibola&lt;/td&gt;&lt;td&gt;FRC&lt;/td&gt;&lt;td&gt;7&lt;/td&gt;&lt;td&gt;37&lt;/td&gt;&lt;td&gt;5.286&lt;/td&gt;&lt;td&gt;11&lt;/td&gt;&lt;td&gt;37&lt;/td&gt;&lt;td&gt;0.297&lt;/td&gt;&lt;td&gt;5&lt;/td&gt;&lt;td&gt;16&lt;/td&gt;&lt;td&gt;0.313&lt;/td&gt;&lt;td&gt;10&lt;/td&gt;&lt;td&gt;14&lt;/td&gt;&lt;td&gt;0.714&lt;/td&gt;&lt;td&gt;11&lt;/td&gt;&lt;td&gt;13&lt;/td&gt;&lt;td&gt;24&lt;/td&gt;&lt;td&gt;3.429&lt;/td&gt;&lt;td&gt;0&lt;/td&gt;&lt;td&gt;0.000&lt;/td&gt;&lt;td&gt;3&lt;/td&gt;&lt;td&gt;0.429&lt;/td&gt;&lt;td&gt;2&lt;/td&gt;&lt;td&gt;0.286&lt;/td&gt;&lt;/tr&gt;</v>
      </c>
    </row>
    <row r="125" spans="1:23" x14ac:dyDescent="0.25">
      <c r="A125" s="10">
        <v>6</v>
      </c>
      <c r="B125" s="12" t="s">
        <v>507</v>
      </c>
      <c r="C125" s="12">
        <v>8</v>
      </c>
      <c r="D125" s="12">
        <v>14</v>
      </c>
      <c r="E125" s="12">
        <v>35</v>
      </c>
      <c r="F125" s="12">
        <v>2</v>
      </c>
      <c r="G125" s="12">
        <v>8</v>
      </c>
      <c r="H125" s="12">
        <v>6</v>
      </c>
      <c r="I125" s="12">
        <v>12</v>
      </c>
      <c r="J125" s="16">
        <f t="shared" si="3"/>
        <v>36</v>
      </c>
      <c r="K125" s="12">
        <v>7</v>
      </c>
      <c r="L125" s="12">
        <v>26</v>
      </c>
      <c r="M125" s="16">
        <f t="shared" si="4"/>
        <v>33</v>
      </c>
      <c r="N125" s="12">
        <v>18</v>
      </c>
      <c r="O125" s="12">
        <v>10</v>
      </c>
      <c r="P125" s="12">
        <v>31</v>
      </c>
      <c r="Q125" s="12">
        <v>0</v>
      </c>
      <c r="R125" s="12">
        <v>9</v>
      </c>
      <c r="S125" s="16">
        <v>0</v>
      </c>
      <c r="T125" s="12">
        <v>169</v>
      </c>
      <c r="U125" s="12" t="s">
        <v>7</v>
      </c>
      <c r="W125" s="10" t="str">
        <f t="shared" si="5"/>
        <v>&lt;tr&gt;&lt;td&gt;Owen Kornelson&lt;/td&gt;&lt;td&gt;MBCI&lt;/td&gt;&lt;td&gt;8&lt;/td&gt;&lt;td&gt;36&lt;/td&gt;&lt;td&gt;4.500&lt;/td&gt;&lt;td&gt;14&lt;/td&gt;&lt;td&gt;35&lt;/td&gt;&lt;td&gt;0.400&lt;/td&gt;&lt;td&gt;2&lt;/td&gt;&lt;td&gt;8&lt;/td&gt;&lt;td&gt;0.250&lt;/td&gt;&lt;td&gt;6&lt;/td&gt;&lt;td&gt;12&lt;/td&gt;&lt;td&gt;0.500&lt;/td&gt;&lt;td&gt;7&lt;/td&gt;&lt;td&gt;26&lt;/td&gt;&lt;td&gt;33&lt;/td&gt;&lt;td&gt;4.125&lt;/td&gt;&lt;td&gt;10&lt;/td&gt;&lt;td&gt;1.250&lt;/td&gt;&lt;td&gt;9&lt;/td&gt;&lt;td&gt;1.125&lt;/td&gt;&lt;td&gt;0&lt;/td&gt;&lt;td&gt;0.000&lt;/td&gt;&lt;/tr&gt;</v>
      </c>
    </row>
    <row r="126" spans="1:23" x14ac:dyDescent="0.25">
      <c r="A126" s="10">
        <v>8</v>
      </c>
      <c r="B126" s="12" t="s">
        <v>533</v>
      </c>
      <c r="C126" s="12">
        <v>6</v>
      </c>
      <c r="D126" s="12">
        <v>11</v>
      </c>
      <c r="E126" s="12">
        <v>31</v>
      </c>
      <c r="F126" s="12">
        <v>6</v>
      </c>
      <c r="G126" s="12">
        <v>19</v>
      </c>
      <c r="H126" s="12">
        <v>8</v>
      </c>
      <c r="I126" s="12">
        <v>9</v>
      </c>
      <c r="J126" s="16">
        <f t="shared" si="3"/>
        <v>36</v>
      </c>
      <c r="K126" s="12">
        <v>9</v>
      </c>
      <c r="L126" s="12">
        <v>6</v>
      </c>
      <c r="M126" s="16">
        <f t="shared" si="4"/>
        <v>15</v>
      </c>
      <c r="N126" s="12">
        <v>5</v>
      </c>
      <c r="O126" s="12">
        <v>4</v>
      </c>
      <c r="P126" s="12">
        <v>4</v>
      </c>
      <c r="Q126" s="12">
        <v>1</v>
      </c>
      <c r="R126" s="12">
        <v>3</v>
      </c>
      <c r="S126" s="16">
        <v>0</v>
      </c>
      <c r="T126" s="12">
        <v>88</v>
      </c>
      <c r="U126" s="12" t="s">
        <v>68</v>
      </c>
      <c r="W126" s="10" t="str">
        <f t="shared" si="5"/>
        <v>&lt;tr&gt;&lt;td&gt;Suvig Dua&lt;/td&gt;&lt;td&gt;FRC&lt;/td&gt;&lt;td&gt;6&lt;/td&gt;&lt;td&gt;36&lt;/td&gt;&lt;td&gt;6.000&lt;/td&gt;&lt;td&gt;11&lt;/td&gt;&lt;td&gt;31&lt;/td&gt;&lt;td&gt;0.355&lt;/td&gt;&lt;td&gt;6&lt;/td&gt;&lt;td&gt;19&lt;/td&gt;&lt;td&gt;0.316&lt;/td&gt;&lt;td&gt;8&lt;/td&gt;&lt;td&gt;9&lt;/td&gt;&lt;td&gt;0.889&lt;/td&gt;&lt;td&gt;9&lt;/td&gt;&lt;td&gt;6&lt;/td&gt;&lt;td&gt;15&lt;/td&gt;&lt;td&gt;2.500&lt;/td&gt;&lt;td&gt;4&lt;/td&gt;&lt;td&gt;0.667&lt;/td&gt;&lt;td&gt;3&lt;/td&gt;&lt;td&gt;0.500&lt;/td&gt;&lt;td&gt;1&lt;/td&gt;&lt;td&gt;0.167&lt;/td&gt;&lt;/tr&gt;</v>
      </c>
    </row>
    <row r="127" spans="1:23" x14ac:dyDescent="0.25">
      <c r="A127" s="10">
        <v>12</v>
      </c>
      <c r="B127" s="12" t="s">
        <v>479</v>
      </c>
      <c r="C127" s="12">
        <v>5</v>
      </c>
      <c r="D127" s="12">
        <v>17</v>
      </c>
      <c r="E127" s="12">
        <v>33</v>
      </c>
      <c r="F127" s="12">
        <v>0</v>
      </c>
      <c r="G127" s="12">
        <v>0</v>
      </c>
      <c r="H127" s="12">
        <v>2</v>
      </c>
      <c r="I127" s="12">
        <v>13</v>
      </c>
      <c r="J127" s="16">
        <f t="shared" si="3"/>
        <v>36</v>
      </c>
      <c r="K127" s="12">
        <v>19</v>
      </c>
      <c r="L127" s="12">
        <v>15</v>
      </c>
      <c r="M127" s="16">
        <f t="shared" si="4"/>
        <v>34</v>
      </c>
      <c r="N127" s="12">
        <v>14</v>
      </c>
      <c r="O127" s="12">
        <v>2</v>
      </c>
      <c r="P127" s="12">
        <v>3</v>
      </c>
      <c r="Q127" s="12">
        <v>1</v>
      </c>
      <c r="R127" s="12">
        <v>3</v>
      </c>
      <c r="S127" s="16">
        <v>0</v>
      </c>
      <c r="T127" s="12">
        <v>116</v>
      </c>
      <c r="U127" s="12" t="s">
        <v>64</v>
      </c>
      <c r="W127" s="10" t="str">
        <f t="shared" si="5"/>
        <v>&lt;tr&gt;&lt;td&gt;Jordan Magri&lt;/td&gt;&lt;td&gt;JHB&lt;/td&gt;&lt;td&gt;5&lt;/td&gt;&lt;td&gt;36&lt;/td&gt;&lt;td&gt;7.200&lt;/td&gt;&lt;td&gt;17&lt;/td&gt;&lt;td&gt;33&lt;/td&gt;&lt;td&gt;0.515&lt;/td&gt;&lt;td&gt;0&lt;/td&gt;&lt;td&gt;0&lt;/td&gt;&lt;td&gt;0.000&lt;/td&gt;&lt;td&gt;2&lt;/td&gt;&lt;td&gt;13&lt;/td&gt;&lt;td&gt;0.154&lt;/td&gt;&lt;td&gt;19&lt;/td&gt;&lt;td&gt;15&lt;/td&gt;&lt;td&gt;34&lt;/td&gt;&lt;td&gt;6.800&lt;/td&gt;&lt;td&gt;2&lt;/td&gt;&lt;td&gt;0.400&lt;/td&gt;&lt;td&gt;3&lt;/td&gt;&lt;td&gt;0.600&lt;/td&gt;&lt;td&gt;1&lt;/td&gt;&lt;td&gt;0.200&lt;/td&gt;&lt;/tr&gt;</v>
      </c>
    </row>
    <row r="128" spans="1:23" x14ac:dyDescent="0.25">
      <c r="A128" s="10">
        <v>11</v>
      </c>
      <c r="B128" s="12" t="s">
        <v>414</v>
      </c>
      <c r="C128" s="12">
        <v>7</v>
      </c>
      <c r="D128" s="12">
        <v>16</v>
      </c>
      <c r="E128" s="12">
        <v>29</v>
      </c>
      <c r="F128" s="12">
        <v>1</v>
      </c>
      <c r="G128" s="12">
        <v>4</v>
      </c>
      <c r="H128" s="12">
        <v>2</v>
      </c>
      <c r="I128" s="12">
        <v>2</v>
      </c>
      <c r="J128" s="16">
        <f t="shared" si="3"/>
        <v>35</v>
      </c>
      <c r="K128" s="12">
        <v>10</v>
      </c>
      <c r="L128" s="12">
        <v>15</v>
      </c>
      <c r="M128" s="16">
        <f t="shared" si="4"/>
        <v>25</v>
      </c>
      <c r="N128" s="12">
        <v>13</v>
      </c>
      <c r="O128" s="12">
        <v>1</v>
      </c>
      <c r="P128" s="12">
        <v>12</v>
      </c>
      <c r="Q128" s="12">
        <v>0</v>
      </c>
      <c r="R128" s="12">
        <v>4</v>
      </c>
      <c r="S128" s="16">
        <v>0</v>
      </c>
      <c r="T128" s="12">
        <v>99</v>
      </c>
      <c r="U128" s="12" t="s">
        <v>43</v>
      </c>
      <c r="W128" s="10" t="str">
        <f t="shared" si="5"/>
        <v>&lt;tr&gt;&lt;td&gt;Tong Deng&lt;/td&gt;&lt;td&gt;KEC&lt;/td&gt;&lt;td&gt;7&lt;/td&gt;&lt;td&gt;35&lt;/td&gt;&lt;td&gt;5.000&lt;/td&gt;&lt;td&gt;16&lt;/td&gt;&lt;td&gt;29&lt;/td&gt;&lt;td&gt;0.552&lt;/td&gt;&lt;td&gt;1&lt;/td&gt;&lt;td&gt;4&lt;/td&gt;&lt;td&gt;0.250&lt;/td&gt;&lt;td&gt;2&lt;/td&gt;&lt;td&gt;2&lt;/td&gt;&lt;td&gt;1.000&lt;/td&gt;&lt;td&gt;10&lt;/td&gt;&lt;td&gt;15&lt;/td&gt;&lt;td&gt;25&lt;/td&gt;&lt;td&gt;3.571&lt;/td&gt;&lt;td&gt;1&lt;/td&gt;&lt;td&gt;0.143&lt;/td&gt;&lt;td&gt;4&lt;/td&gt;&lt;td&gt;0.571&lt;/td&gt;&lt;td&gt;0&lt;/td&gt;&lt;td&gt;0.000&lt;/td&gt;&lt;/tr&gt;</v>
      </c>
    </row>
    <row r="129" spans="1:23" x14ac:dyDescent="0.25">
      <c r="A129" s="10">
        <v>4</v>
      </c>
      <c r="B129" s="12" t="s">
        <v>388</v>
      </c>
      <c r="C129" s="12">
        <v>4</v>
      </c>
      <c r="D129" s="12">
        <v>12</v>
      </c>
      <c r="E129" s="12">
        <v>25</v>
      </c>
      <c r="F129" s="12">
        <v>4</v>
      </c>
      <c r="G129" s="12">
        <v>11</v>
      </c>
      <c r="H129" s="12">
        <v>7</v>
      </c>
      <c r="I129" s="12">
        <v>12</v>
      </c>
      <c r="J129" s="16">
        <f t="shared" si="3"/>
        <v>35</v>
      </c>
      <c r="K129" s="12">
        <v>6</v>
      </c>
      <c r="L129" s="12">
        <v>12</v>
      </c>
      <c r="M129" s="16">
        <f t="shared" si="4"/>
        <v>18</v>
      </c>
      <c r="N129" s="12">
        <v>15</v>
      </c>
      <c r="O129" s="12">
        <v>10</v>
      </c>
      <c r="P129" s="12">
        <v>20</v>
      </c>
      <c r="Q129" s="12">
        <v>3</v>
      </c>
      <c r="R129" s="12">
        <v>12</v>
      </c>
      <c r="S129" s="16">
        <v>0</v>
      </c>
      <c r="T129" s="12">
        <v>74</v>
      </c>
      <c r="U129" s="12" t="s">
        <v>164</v>
      </c>
      <c r="W129" s="10" t="str">
        <f t="shared" si="5"/>
        <v>&lt;tr&gt;&lt;td&gt;Tiago Oliveira&lt;/td&gt;&lt;td&gt;GVC&lt;/td&gt;&lt;td&gt;4&lt;/td&gt;&lt;td&gt;35&lt;/td&gt;&lt;td&gt;8.750&lt;/td&gt;&lt;td&gt;12&lt;/td&gt;&lt;td&gt;25&lt;/td&gt;&lt;td&gt;0.480&lt;/td&gt;&lt;td&gt;4&lt;/td&gt;&lt;td&gt;11&lt;/td&gt;&lt;td&gt;0.364&lt;/td&gt;&lt;td&gt;7&lt;/td&gt;&lt;td&gt;12&lt;/td&gt;&lt;td&gt;0.583&lt;/td&gt;&lt;td&gt;6&lt;/td&gt;&lt;td&gt;12&lt;/td&gt;&lt;td&gt;18&lt;/td&gt;&lt;td&gt;4.500&lt;/td&gt;&lt;td&gt;10&lt;/td&gt;&lt;td&gt;2.500&lt;/td&gt;&lt;td&gt;12&lt;/td&gt;&lt;td&gt;3.000&lt;/td&gt;&lt;td&gt;3&lt;/td&gt;&lt;td&gt;0.750&lt;/td&gt;&lt;/tr&gt;</v>
      </c>
    </row>
    <row r="130" spans="1:23" x14ac:dyDescent="0.25">
      <c r="A130" s="10">
        <v>40</v>
      </c>
      <c r="B130" s="12" t="s">
        <v>458</v>
      </c>
      <c r="C130" s="12">
        <v>6</v>
      </c>
      <c r="D130" s="12">
        <v>14</v>
      </c>
      <c r="E130" s="12">
        <v>27</v>
      </c>
      <c r="F130" s="12">
        <v>0</v>
      </c>
      <c r="G130" s="12">
        <v>0</v>
      </c>
      <c r="H130" s="12">
        <v>6</v>
      </c>
      <c r="I130" s="12">
        <v>22</v>
      </c>
      <c r="J130" s="16">
        <f t="shared" ref="J130:J193" si="6">D130*2+F130+H130</f>
        <v>34</v>
      </c>
      <c r="K130" s="12">
        <v>17</v>
      </c>
      <c r="L130" s="12">
        <v>29</v>
      </c>
      <c r="M130" s="16">
        <f t="shared" ref="M130:M193" si="7">K130+L130</f>
        <v>46</v>
      </c>
      <c r="N130" s="12">
        <v>3</v>
      </c>
      <c r="O130" s="12">
        <v>1</v>
      </c>
      <c r="P130" s="12">
        <v>7</v>
      </c>
      <c r="Q130" s="12">
        <v>0</v>
      </c>
      <c r="R130" s="12">
        <v>1</v>
      </c>
      <c r="S130" s="16">
        <v>0</v>
      </c>
      <c r="T130" s="12">
        <v>132</v>
      </c>
      <c r="U130" s="12" t="s">
        <v>102</v>
      </c>
      <c r="W130" s="10" t="str">
        <f t="shared" si="5"/>
        <v>&lt;tr&gt;&lt;td&gt;Tyler Colquhoun&lt;/td&gt;&lt;td&gt;VMHS&lt;/td&gt;&lt;td&gt;6&lt;/td&gt;&lt;td&gt;34&lt;/td&gt;&lt;td&gt;5.667&lt;/td&gt;&lt;td&gt;14&lt;/td&gt;&lt;td&gt;27&lt;/td&gt;&lt;td&gt;0.519&lt;/td&gt;&lt;td&gt;0&lt;/td&gt;&lt;td&gt;0&lt;/td&gt;&lt;td&gt;0.000&lt;/td&gt;&lt;td&gt;6&lt;/td&gt;&lt;td&gt;22&lt;/td&gt;&lt;td&gt;0.273&lt;/td&gt;&lt;td&gt;17&lt;/td&gt;&lt;td&gt;29&lt;/td&gt;&lt;td&gt;46&lt;/td&gt;&lt;td&gt;7.667&lt;/td&gt;&lt;td&gt;1&lt;/td&gt;&lt;td&gt;0.167&lt;/td&gt;&lt;td&gt;1&lt;/td&gt;&lt;td&gt;0.167&lt;/td&gt;&lt;td&gt;0&lt;/td&gt;&lt;td&gt;0.000&lt;/td&gt;&lt;/tr&gt;</v>
      </c>
    </row>
    <row r="131" spans="1:23" x14ac:dyDescent="0.25">
      <c r="A131" s="10">
        <v>13</v>
      </c>
      <c r="B131" s="12" t="s">
        <v>404</v>
      </c>
      <c r="C131" s="12">
        <v>5</v>
      </c>
      <c r="D131" s="12">
        <v>12</v>
      </c>
      <c r="E131" s="12">
        <v>29</v>
      </c>
      <c r="F131" s="12">
        <v>8</v>
      </c>
      <c r="G131" s="12">
        <v>21</v>
      </c>
      <c r="H131" s="12">
        <v>2</v>
      </c>
      <c r="I131" s="12">
        <v>2</v>
      </c>
      <c r="J131" s="16">
        <f t="shared" si="6"/>
        <v>34</v>
      </c>
      <c r="K131" s="12">
        <v>2</v>
      </c>
      <c r="L131" s="12">
        <v>5</v>
      </c>
      <c r="M131" s="16">
        <f t="shared" si="7"/>
        <v>7</v>
      </c>
      <c r="N131" s="12">
        <v>3</v>
      </c>
      <c r="O131" s="12">
        <v>0</v>
      </c>
      <c r="P131" s="12">
        <v>2</v>
      </c>
      <c r="Q131" s="12">
        <v>0</v>
      </c>
      <c r="R131" s="12">
        <v>0</v>
      </c>
      <c r="S131" s="16">
        <v>0</v>
      </c>
      <c r="T131" s="12">
        <v>57</v>
      </c>
      <c r="U131" s="12" t="s">
        <v>45</v>
      </c>
      <c r="W131" s="10" t="str">
        <f t="shared" si="5"/>
        <v>&lt;tr&gt;&lt;td&gt;Psalm Arnuco&lt;/td&gt;&lt;td&gt;MC&lt;/td&gt;&lt;td&gt;5&lt;/td&gt;&lt;td&gt;34&lt;/td&gt;&lt;td&gt;6.800&lt;/td&gt;&lt;td&gt;12&lt;/td&gt;&lt;td&gt;29&lt;/td&gt;&lt;td&gt;0.414&lt;/td&gt;&lt;td&gt;8&lt;/td&gt;&lt;td&gt;21&lt;/td&gt;&lt;td&gt;0.381&lt;/td&gt;&lt;td&gt;2&lt;/td&gt;&lt;td&gt;2&lt;/td&gt;&lt;td&gt;1.000&lt;/td&gt;&lt;td&gt;2&lt;/td&gt;&lt;td&gt;5&lt;/td&gt;&lt;td&gt;7&lt;/td&gt;&lt;td&gt;1.400&lt;/td&gt;&lt;td&gt;0&lt;/td&gt;&lt;td&gt;0.000&lt;/td&gt;&lt;td&gt;0&lt;/td&gt;&lt;td&gt;0.000&lt;/td&gt;&lt;td&gt;0&lt;/td&gt;&lt;td&gt;0.000&lt;/td&gt;&lt;/tr&gt;</v>
      </c>
    </row>
    <row r="132" spans="1:23" x14ac:dyDescent="0.25">
      <c r="A132" s="10">
        <v>3</v>
      </c>
      <c r="B132" s="12" t="s">
        <v>396</v>
      </c>
      <c r="C132" s="12">
        <v>8</v>
      </c>
      <c r="D132" s="12">
        <v>9</v>
      </c>
      <c r="E132" s="12">
        <v>24</v>
      </c>
      <c r="F132" s="12">
        <v>5</v>
      </c>
      <c r="G132" s="12">
        <v>11</v>
      </c>
      <c r="H132" s="12">
        <v>10</v>
      </c>
      <c r="I132" s="12">
        <v>13</v>
      </c>
      <c r="J132" s="16">
        <f t="shared" si="6"/>
        <v>33</v>
      </c>
      <c r="K132" s="12">
        <v>4</v>
      </c>
      <c r="L132" s="12">
        <v>7</v>
      </c>
      <c r="M132" s="16">
        <f t="shared" si="7"/>
        <v>11</v>
      </c>
      <c r="N132" s="12">
        <v>7</v>
      </c>
      <c r="O132" s="12">
        <v>7</v>
      </c>
      <c r="P132" s="12">
        <v>15</v>
      </c>
      <c r="Q132" s="12">
        <v>0</v>
      </c>
      <c r="R132" s="12">
        <v>5</v>
      </c>
      <c r="S132" s="16">
        <v>0</v>
      </c>
      <c r="T132" s="12">
        <v>89</v>
      </c>
      <c r="U132" s="12" t="s">
        <v>45</v>
      </c>
      <c r="W132" s="10" t="str">
        <f t="shared" si="5"/>
        <v>&lt;tr&gt;&lt;td&gt;Mark Asino&lt;/td&gt;&lt;td&gt;MC&lt;/td&gt;&lt;td&gt;8&lt;/td&gt;&lt;td&gt;33&lt;/td&gt;&lt;td&gt;4.125&lt;/td&gt;&lt;td&gt;9&lt;/td&gt;&lt;td&gt;24&lt;/td&gt;&lt;td&gt;0.375&lt;/td&gt;&lt;td&gt;5&lt;/td&gt;&lt;td&gt;11&lt;/td&gt;&lt;td&gt;0.455&lt;/td&gt;&lt;td&gt;10&lt;/td&gt;&lt;td&gt;13&lt;/td&gt;&lt;td&gt;0.769&lt;/td&gt;&lt;td&gt;4&lt;/td&gt;&lt;td&gt;7&lt;/td&gt;&lt;td&gt;11&lt;/td&gt;&lt;td&gt;1.375&lt;/td&gt;&lt;td&gt;7&lt;/td&gt;&lt;td&gt;0.875&lt;/td&gt;&lt;td&gt;5&lt;/td&gt;&lt;td&gt;0.625&lt;/td&gt;&lt;td&gt;0&lt;/td&gt;&lt;td&gt;0.000&lt;/td&gt;&lt;/tr&gt;</v>
      </c>
    </row>
    <row r="133" spans="1:23" x14ac:dyDescent="0.25">
      <c r="A133" s="10">
        <v>11</v>
      </c>
      <c r="B133" s="12" t="s">
        <v>682</v>
      </c>
      <c r="C133" s="12">
        <v>7</v>
      </c>
      <c r="D133" s="12">
        <v>12</v>
      </c>
      <c r="E133" s="12">
        <v>48</v>
      </c>
      <c r="F133" s="12">
        <v>6</v>
      </c>
      <c r="G133" s="12">
        <v>23</v>
      </c>
      <c r="H133" s="12">
        <v>3</v>
      </c>
      <c r="I133" s="12">
        <v>6</v>
      </c>
      <c r="J133" s="16">
        <f t="shared" si="6"/>
        <v>33</v>
      </c>
      <c r="K133" s="12">
        <v>7</v>
      </c>
      <c r="L133" s="12">
        <v>21</v>
      </c>
      <c r="M133" s="16">
        <f t="shared" si="7"/>
        <v>28</v>
      </c>
      <c r="N133" s="12">
        <v>13</v>
      </c>
      <c r="O133" s="12">
        <v>10</v>
      </c>
      <c r="P133" s="12">
        <v>8</v>
      </c>
      <c r="Q133" s="12">
        <v>1</v>
      </c>
      <c r="R133" s="12">
        <v>4</v>
      </c>
      <c r="S133" s="16">
        <v>0</v>
      </c>
      <c r="T133" s="12">
        <v>165</v>
      </c>
      <c r="U133" s="12" t="s">
        <v>82</v>
      </c>
      <c r="W133" s="10" t="str">
        <f t="shared" si="5"/>
        <v>&lt;tr&gt;&lt;td&gt;Chol Majur&lt;/td&gt;&lt;td&gt;DMCI&lt;/td&gt;&lt;td&gt;7&lt;/td&gt;&lt;td&gt;33&lt;/td&gt;&lt;td&gt;4.714&lt;/td&gt;&lt;td&gt;12&lt;/td&gt;&lt;td&gt;48&lt;/td&gt;&lt;td&gt;0.250&lt;/td&gt;&lt;td&gt;6&lt;/td&gt;&lt;td&gt;23&lt;/td&gt;&lt;td&gt;0.261&lt;/td&gt;&lt;td&gt;3&lt;/td&gt;&lt;td&gt;6&lt;/td&gt;&lt;td&gt;0.500&lt;/td&gt;&lt;td&gt;7&lt;/td&gt;&lt;td&gt;21&lt;/td&gt;&lt;td&gt;28&lt;/td&gt;&lt;td&gt;4.000&lt;/td&gt;&lt;td&gt;10&lt;/td&gt;&lt;td&gt;1.429&lt;/td&gt;&lt;td&gt;4&lt;/td&gt;&lt;td&gt;0.571&lt;/td&gt;&lt;td&gt;1&lt;/td&gt;&lt;td&gt;0.143&lt;/td&gt;&lt;/tr&gt;</v>
      </c>
    </row>
    <row r="134" spans="1:23" x14ac:dyDescent="0.25">
      <c r="A134" s="10">
        <v>23</v>
      </c>
      <c r="B134" s="12" t="s">
        <v>469</v>
      </c>
      <c r="C134" s="12">
        <v>5</v>
      </c>
      <c r="D134" s="12">
        <v>12</v>
      </c>
      <c r="E134" s="12">
        <v>59</v>
      </c>
      <c r="F134" s="12">
        <v>9</v>
      </c>
      <c r="G134" s="12">
        <v>42</v>
      </c>
      <c r="H134" s="12">
        <v>0</v>
      </c>
      <c r="I134" s="12">
        <v>2</v>
      </c>
      <c r="J134" s="16">
        <f t="shared" si="6"/>
        <v>33</v>
      </c>
      <c r="K134" s="12">
        <v>1</v>
      </c>
      <c r="L134" s="12">
        <v>23</v>
      </c>
      <c r="M134" s="16">
        <f t="shared" si="7"/>
        <v>24</v>
      </c>
      <c r="N134" s="12">
        <v>7</v>
      </c>
      <c r="O134" s="12">
        <v>3</v>
      </c>
      <c r="P134" s="12">
        <v>24</v>
      </c>
      <c r="Q134" s="12">
        <v>0</v>
      </c>
      <c r="R134" s="12">
        <v>1</v>
      </c>
      <c r="S134" s="16">
        <v>0</v>
      </c>
      <c r="T134" s="12">
        <v>136</v>
      </c>
      <c r="U134" s="12" t="s">
        <v>98</v>
      </c>
      <c r="W134" s="10" t="str">
        <f t="shared" si="5"/>
        <v>&lt;tr&gt;&lt;td&gt;Andrew Gillingham&lt;/td&gt;&lt;td&gt;WWC&lt;/td&gt;&lt;td&gt;5&lt;/td&gt;&lt;td&gt;33&lt;/td&gt;&lt;td&gt;6.600&lt;/td&gt;&lt;td&gt;12&lt;/td&gt;&lt;td&gt;59&lt;/td&gt;&lt;td&gt;0.203&lt;/td&gt;&lt;td&gt;9&lt;/td&gt;&lt;td&gt;42&lt;/td&gt;&lt;td&gt;0.214&lt;/td&gt;&lt;td&gt;0&lt;/td&gt;&lt;td&gt;2&lt;/td&gt;&lt;td&gt;0.000&lt;/td&gt;&lt;td&gt;1&lt;/td&gt;&lt;td&gt;23&lt;/td&gt;&lt;td&gt;24&lt;/td&gt;&lt;td&gt;4.800&lt;/td&gt;&lt;td&gt;3&lt;/td&gt;&lt;td&gt;0.600&lt;/td&gt;&lt;td&gt;1&lt;/td&gt;&lt;td&gt;0.200&lt;/td&gt;&lt;td&gt;0&lt;/td&gt;&lt;td&gt;0.000&lt;/td&gt;&lt;/tr&gt;</v>
      </c>
    </row>
    <row r="135" spans="1:23" x14ac:dyDescent="0.25">
      <c r="A135" s="10">
        <v>23</v>
      </c>
      <c r="B135" s="12" t="s">
        <v>455</v>
      </c>
      <c r="C135" s="12">
        <v>4</v>
      </c>
      <c r="D135" s="12">
        <v>11</v>
      </c>
      <c r="E135" s="12">
        <v>35</v>
      </c>
      <c r="F135" s="12">
        <v>0</v>
      </c>
      <c r="G135" s="12">
        <v>4</v>
      </c>
      <c r="H135" s="12">
        <v>11</v>
      </c>
      <c r="I135" s="12">
        <v>19</v>
      </c>
      <c r="J135" s="16">
        <f t="shared" si="6"/>
        <v>33</v>
      </c>
      <c r="K135" s="12">
        <v>7</v>
      </c>
      <c r="L135" s="12">
        <v>12</v>
      </c>
      <c r="M135" s="16">
        <f t="shared" si="7"/>
        <v>19</v>
      </c>
      <c r="N135" s="12">
        <v>11</v>
      </c>
      <c r="O135" s="12">
        <v>9</v>
      </c>
      <c r="P135" s="12">
        <v>19</v>
      </c>
      <c r="Q135" s="12">
        <v>0</v>
      </c>
      <c r="R135" s="12">
        <v>4</v>
      </c>
      <c r="S135" s="16">
        <v>0</v>
      </c>
      <c r="T135" s="12">
        <v>79</v>
      </c>
      <c r="U135" s="12" t="s">
        <v>102</v>
      </c>
      <c r="W135" s="10" t="str">
        <f t="shared" si="5"/>
        <v>&lt;tr&gt;&lt;td&gt;Matt Robinson&lt;/td&gt;&lt;td&gt;VMHS&lt;/td&gt;&lt;td&gt;4&lt;/td&gt;&lt;td&gt;33&lt;/td&gt;&lt;td&gt;8.250&lt;/td&gt;&lt;td&gt;11&lt;/td&gt;&lt;td&gt;35&lt;/td&gt;&lt;td&gt;0.314&lt;/td&gt;&lt;td&gt;0&lt;/td&gt;&lt;td&gt;4&lt;/td&gt;&lt;td&gt;0.000&lt;/td&gt;&lt;td&gt;11&lt;/td&gt;&lt;td&gt;19&lt;/td&gt;&lt;td&gt;0.579&lt;/td&gt;&lt;td&gt;7&lt;/td&gt;&lt;td&gt;12&lt;/td&gt;&lt;td&gt;19&lt;/td&gt;&lt;td&gt;4.750&lt;/td&gt;&lt;td&gt;9&lt;/td&gt;&lt;td&gt;2.250&lt;/td&gt;&lt;td&gt;4&lt;/td&gt;&lt;td&gt;1.000&lt;/td&gt;&lt;td&gt;0&lt;/td&gt;&lt;td&gt;0.000&lt;/td&gt;&lt;/tr&gt;</v>
      </c>
    </row>
    <row r="136" spans="1:23" x14ac:dyDescent="0.25">
      <c r="A136" s="10">
        <v>2</v>
      </c>
      <c r="B136" s="12" t="s">
        <v>728</v>
      </c>
      <c r="C136" s="12">
        <v>4</v>
      </c>
      <c r="D136" s="12">
        <v>10</v>
      </c>
      <c r="E136" s="12">
        <v>49</v>
      </c>
      <c r="F136" s="12">
        <v>5</v>
      </c>
      <c r="G136" s="12">
        <v>14</v>
      </c>
      <c r="H136" s="12">
        <v>8</v>
      </c>
      <c r="I136" s="12">
        <v>12</v>
      </c>
      <c r="J136" s="16">
        <f t="shared" si="6"/>
        <v>33</v>
      </c>
      <c r="K136" s="12">
        <v>2</v>
      </c>
      <c r="L136" s="12">
        <v>16</v>
      </c>
      <c r="M136" s="16">
        <f t="shared" si="7"/>
        <v>18</v>
      </c>
      <c r="N136" s="12">
        <v>3</v>
      </c>
      <c r="O136" s="12">
        <v>6</v>
      </c>
      <c r="P136" s="12">
        <v>10</v>
      </c>
      <c r="Q136" s="12">
        <v>0</v>
      </c>
      <c r="R136" s="12">
        <v>7</v>
      </c>
      <c r="S136" s="16">
        <v>0</v>
      </c>
      <c r="T136" s="12">
        <v>115</v>
      </c>
      <c r="U136" s="12" t="s">
        <v>96</v>
      </c>
      <c r="W136" s="10" t="str">
        <f t="shared" si="5"/>
        <v>&lt;tr&gt;&lt;td&gt;Jerome Restar&lt;/td&gt;&lt;td&gt;TVHS&lt;/td&gt;&lt;td&gt;4&lt;/td&gt;&lt;td&gt;33&lt;/td&gt;&lt;td&gt;8.250&lt;/td&gt;&lt;td&gt;10&lt;/td&gt;&lt;td&gt;49&lt;/td&gt;&lt;td&gt;0.204&lt;/td&gt;&lt;td&gt;5&lt;/td&gt;&lt;td&gt;14&lt;/td&gt;&lt;td&gt;0.357&lt;/td&gt;&lt;td&gt;8&lt;/td&gt;&lt;td&gt;12&lt;/td&gt;&lt;td&gt;0.667&lt;/td&gt;&lt;td&gt;2&lt;/td&gt;&lt;td&gt;16&lt;/td&gt;&lt;td&gt;18&lt;/td&gt;&lt;td&gt;4.500&lt;/td&gt;&lt;td&gt;6&lt;/td&gt;&lt;td&gt;1.500&lt;/td&gt;&lt;td&gt;7&lt;/td&gt;&lt;td&gt;1.750&lt;/td&gt;&lt;td&gt;0&lt;/td&gt;&lt;td&gt;0.000&lt;/td&gt;&lt;/tr&gt;</v>
      </c>
    </row>
    <row r="137" spans="1:23" x14ac:dyDescent="0.25">
      <c r="A137" s="10">
        <v>5</v>
      </c>
      <c r="B137" s="12" t="s">
        <v>690</v>
      </c>
      <c r="C137" s="12">
        <v>9</v>
      </c>
      <c r="D137" s="12">
        <v>13</v>
      </c>
      <c r="E137" s="12">
        <v>43</v>
      </c>
      <c r="F137" s="12">
        <v>2</v>
      </c>
      <c r="G137" s="12">
        <v>9</v>
      </c>
      <c r="H137" s="12">
        <v>4</v>
      </c>
      <c r="I137" s="12">
        <v>6</v>
      </c>
      <c r="J137" s="16">
        <f t="shared" si="6"/>
        <v>32</v>
      </c>
      <c r="K137" s="12">
        <v>3</v>
      </c>
      <c r="L137" s="12">
        <v>14</v>
      </c>
      <c r="M137" s="16">
        <f t="shared" si="7"/>
        <v>17</v>
      </c>
      <c r="N137" s="12">
        <v>11</v>
      </c>
      <c r="O137" s="12">
        <v>7</v>
      </c>
      <c r="P137" s="12">
        <v>6</v>
      </c>
      <c r="Q137" s="12">
        <v>0</v>
      </c>
      <c r="R137" s="12">
        <v>6</v>
      </c>
      <c r="S137" s="16">
        <v>0</v>
      </c>
      <c r="T137" s="12">
        <v>95</v>
      </c>
      <c r="U137" s="12" t="s">
        <v>78</v>
      </c>
      <c r="W137" s="10" t="str">
        <f t="shared" si="5"/>
        <v>&lt;tr&gt;&lt;td&gt;Milo Karahalios&lt;/td&gt;&lt;td&gt;SPHS&lt;/td&gt;&lt;td&gt;9&lt;/td&gt;&lt;td&gt;32&lt;/td&gt;&lt;td&gt;3.556&lt;/td&gt;&lt;td&gt;13&lt;/td&gt;&lt;td&gt;43&lt;/td&gt;&lt;td&gt;0.302&lt;/td&gt;&lt;td&gt;2&lt;/td&gt;&lt;td&gt;9&lt;/td&gt;&lt;td&gt;0.222&lt;/td&gt;&lt;td&gt;4&lt;/td&gt;&lt;td&gt;6&lt;/td&gt;&lt;td&gt;0.667&lt;/td&gt;&lt;td&gt;3&lt;/td&gt;&lt;td&gt;14&lt;/td&gt;&lt;td&gt;17&lt;/td&gt;&lt;td&gt;1.889&lt;/td&gt;&lt;td&gt;7&lt;/td&gt;&lt;td&gt;0.778&lt;/td&gt;&lt;td&gt;6&lt;/td&gt;&lt;td&gt;0.667&lt;/td&gt;&lt;td&gt;0&lt;/td&gt;&lt;td&gt;0.000&lt;/td&gt;&lt;/tr&gt;</v>
      </c>
    </row>
    <row r="138" spans="1:23" x14ac:dyDescent="0.25">
      <c r="A138" s="10">
        <v>10</v>
      </c>
      <c r="B138" s="12" t="s">
        <v>489</v>
      </c>
      <c r="C138" s="12">
        <v>6</v>
      </c>
      <c r="D138" s="12">
        <v>12</v>
      </c>
      <c r="E138" s="12">
        <v>34</v>
      </c>
      <c r="F138" s="12">
        <v>1</v>
      </c>
      <c r="G138" s="12">
        <v>4</v>
      </c>
      <c r="H138" s="12">
        <v>7</v>
      </c>
      <c r="I138" s="12">
        <v>15</v>
      </c>
      <c r="J138" s="16">
        <f t="shared" si="6"/>
        <v>32</v>
      </c>
      <c r="K138" s="12">
        <v>13</v>
      </c>
      <c r="L138" s="12">
        <v>17</v>
      </c>
      <c r="M138" s="16">
        <f t="shared" si="7"/>
        <v>30</v>
      </c>
      <c r="N138" s="12">
        <v>12</v>
      </c>
      <c r="O138" s="12">
        <v>8</v>
      </c>
      <c r="P138" s="12">
        <v>15</v>
      </c>
      <c r="Q138" s="12">
        <v>1</v>
      </c>
      <c r="R138" s="12">
        <v>5</v>
      </c>
      <c r="S138" s="16">
        <v>0</v>
      </c>
      <c r="T138" s="12">
        <v>156</v>
      </c>
      <c r="U138" s="12" t="s">
        <v>48</v>
      </c>
      <c r="W138" s="10" t="str">
        <f t="shared" ref="W138:W215" si="8">"&lt;tr&gt;&lt;td&gt;"&amp;B138&amp;"&lt;/td&gt;&lt;td&gt;"&amp;U138&amp;"&lt;/td&gt;&lt;td&gt;"&amp;C138&amp;"&lt;/td&gt;&lt;td&gt;"&amp;J138&amp;"&lt;/td&gt;&lt;td&gt;"&amp;IF(OR(C138=0,J138=0),"0.000",IF(ROUND(J138/C138,3)=1,"1.000",TEXT(ROUND(J138/C138,3),"0.000")))&amp;"&lt;/td&gt;&lt;td&gt;"&amp;D138&amp;"&lt;/td&gt;&lt;td&gt;"&amp;E138&amp;"&lt;/td&gt;&lt;td&gt;"&amp;IF(OR(D138=0,E138=0),"0.000",IF(ROUND(D138/E138,3)=1,"1.000",TEXT(ROUND(D138/E138,3),"0.000")))&amp;"&lt;/td&gt;&lt;td&gt;"&amp;F138&amp;"&lt;/td&gt;&lt;td&gt;"&amp;G138&amp;"&lt;/td&gt;&lt;td&gt;"&amp;IF(OR(F138=0,G138=0),"0.000",IF(ROUND(F138/G138,3)=1,"1.000",TEXT(ROUND(F138/G138,3),"0.000")))&amp;"&lt;/td&gt;&lt;td&gt;"&amp;H138&amp;"&lt;/td&gt;&lt;td&gt;"&amp;I138&amp;"&lt;/td&gt;&lt;td&gt;"&amp;IF(OR(H138=0,I138=0),"0.000",IF(ROUND(H138/I138,3)=1,"1.000",TEXT(ROUND(H138/I138,3),"0.000")))&amp;"&lt;/td&gt;&lt;td&gt;"&amp;K138&amp;"&lt;/td&gt;&lt;td&gt;"&amp;L138&amp;"&lt;/td&gt;&lt;td&gt;"&amp;M138&amp;"&lt;/td&gt;&lt;td&gt;"&amp;IF(OR(M138=0,C138=0),"0.000",IF(ROUND(M138/C138,3)=1,"1.000",TEXT(ROUND(M138/C138,3),"0.000")))&amp;"&lt;/td&gt;&lt;td&gt;"&amp;O138&amp;"&lt;/td&gt;&lt;td&gt;"&amp;IF(OR(O138=0,C138=0),"0.000",IF(ROUND(O138/C138,3)=1,"1.000",TEXT(ROUND(O138/C138,3),"0.000")))&amp;"&lt;/td&gt;&lt;td&gt;"&amp;R138&amp;"&lt;/td&gt;&lt;td&gt;"&amp;IF(OR(R138=0,C138=0),"0.000",IF(ROUND(R138/C138,3)=1,"1.000",TEXT(ROUND(R138/C138,3),"0.000")))&amp;"&lt;/td&gt;&lt;td&gt;"&amp;Q138&amp;"&lt;/td&gt;&lt;td&gt;"&amp;IF(OR(Q138=0,C138=0),"0.000",IF(ROUND(Q138/C138,3)=1,"1.000",TEXT(ROUND(Q138/C138,3),"0.000")))&amp;"&lt;/td&gt;&lt;/tr&gt;"</f>
        <v>&lt;tr&gt;&lt;td&gt;Logan Gerus&lt;/td&gt;&lt;td&gt;MMC&lt;/td&gt;&lt;td&gt;6&lt;/td&gt;&lt;td&gt;32&lt;/td&gt;&lt;td&gt;5.333&lt;/td&gt;&lt;td&gt;12&lt;/td&gt;&lt;td&gt;34&lt;/td&gt;&lt;td&gt;0.353&lt;/td&gt;&lt;td&gt;1&lt;/td&gt;&lt;td&gt;4&lt;/td&gt;&lt;td&gt;0.250&lt;/td&gt;&lt;td&gt;7&lt;/td&gt;&lt;td&gt;15&lt;/td&gt;&lt;td&gt;0.467&lt;/td&gt;&lt;td&gt;13&lt;/td&gt;&lt;td&gt;17&lt;/td&gt;&lt;td&gt;30&lt;/td&gt;&lt;td&gt;5.000&lt;/td&gt;&lt;td&gt;8&lt;/td&gt;&lt;td&gt;1.333&lt;/td&gt;&lt;td&gt;5&lt;/td&gt;&lt;td&gt;0.833&lt;/td&gt;&lt;td&gt;1&lt;/td&gt;&lt;td&gt;0.167&lt;/td&gt;&lt;/tr&gt;</v>
      </c>
    </row>
    <row r="139" spans="1:23" x14ac:dyDescent="0.25">
      <c r="A139" s="10">
        <v>4</v>
      </c>
      <c r="B139" s="12" t="s">
        <v>460</v>
      </c>
      <c r="C139" s="12">
        <v>5</v>
      </c>
      <c r="D139" s="12">
        <v>14</v>
      </c>
      <c r="E139" s="12">
        <v>31</v>
      </c>
      <c r="F139" s="12">
        <v>1</v>
      </c>
      <c r="G139" s="12">
        <v>7</v>
      </c>
      <c r="H139" s="12">
        <v>3</v>
      </c>
      <c r="I139" s="12">
        <v>7</v>
      </c>
      <c r="J139" s="16">
        <f t="shared" si="6"/>
        <v>32</v>
      </c>
      <c r="K139" s="12">
        <v>1</v>
      </c>
      <c r="L139" s="12">
        <v>9</v>
      </c>
      <c r="M139" s="16">
        <f t="shared" si="7"/>
        <v>10</v>
      </c>
      <c r="N139" s="12">
        <v>5</v>
      </c>
      <c r="O139" s="12">
        <v>7</v>
      </c>
      <c r="P139" s="12">
        <v>26</v>
      </c>
      <c r="Q139" s="12">
        <v>1</v>
      </c>
      <c r="R139" s="12">
        <v>8</v>
      </c>
      <c r="S139" s="16">
        <v>0</v>
      </c>
      <c r="T139" s="12">
        <v>146</v>
      </c>
      <c r="U139" s="12" t="s">
        <v>98</v>
      </c>
      <c r="W139" s="10" t="str">
        <f t="shared" si="8"/>
        <v>&lt;tr&gt;&lt;td&gt;Jun Hang Yang&lt;/td&gt;&lt;td&gt;WWC&lt;/td&gt;&lt;td&gt;5&lt;/td&gt;&lt;td&gt;32&lt;/td&gt;&lt;td&gt;6.400&lt;/td&gt;&lt;td&gt;14&lt;/td&gt;&lt;td&gt;31&lt;/td&gt;&lt;td&gt;0.452&lt;/td&gt;&lt;td&gt;1&lt;/td&gt;&lt;td&gt;7&lt;/td&gt;&lt;td&gt;0.143&lt;/td&gt;&lt;td&gt;3&lt;/td&gt;&lt;td&gt;7&lt;/td&gt;&lt;td&gt;0.429&lt;/td&gt;&lt;td&gt;1&lt;/td&gt;&lt;td&gt;9&lt;/td&gt;&lt;td&gt;10&lt;/td&gt;&lt;td&gt;2.000&lt;/td&gt;&lt;td&gt;7&lt;/td&gt;&lt;td&gt;1.400&lt;/td&gt;&lt;td&gt;8&lt;/td&gt;&lt;td&gt;1.600&lt;/td&gt;&lt;td&gt;1&lt;/td&gt;&lt;td&gt;0.200&lt;/td&gt;&lt;/tr&gt;</v>
      </c>
    </row>
    <row r="140" spans="1:23" x14ac:dyDescent="0.25">
      <c r="A140" s="10">
        <v>15</v>
      </c>
      <c r="B140" s="12" t="s">
        <v>740</v>
      </c>
      <c r="C140" s="12">
        <v>4</v>
      </c>
      <c r="D140" s="12">
        <v>14</v>
      </c>
      <c r="E140" s="12">
        <v>33</v>
      </c>
      <c r="F140" s="12">
        <v>0</v>
      </c>
      <c r="G140" s="12">
        <v>0</v>
      </c>
      <c r="H140" s="12">
        <v>4</v>
      </c>
      <c r="I140" s="12">
        <v>9</v>
      </c>
      <c r="J140" s="16">
        <f t="shared" si="6"/>
        <v>32</v>
      </c>
      <c r="K140" s="12">
        <v>14</v>
      </c>
      <c r="L140" s="12">
        <v>29</v>
      </c>
      <c r="M140" s="16">
        <f t="shared" si="7"/>
        <v>43</v>
      </c>
      <c r="N140" s="12">
        <v>8</v>
      </c>
      <c r="O140" s="12">
        <v>4</v>
      </c>
      <c r="P140" s="12">
        <v>17</v>
      </c>
      <c r="Q140" s="12">
        <v>3</v>
      </c>
      <c r="R140" s="12">
        <v>1</v>
      </c>
      <c r="S140" s="16">
        <v>0</v>
      </c>
      <c r="T140" s="12">
        <v>103</v>
      </c>
      <c r="U140" s="12" t="s">
        <v>96</v>
      </c>
      <c r="W140" s="10" t="str">
        <f t="shared" si="8"/>
        <v>&lt;tr&gt;&lt;td&gt;Joseph Licopa&lt;/td&gt;&lt;td&gt;TVHS&lt;/td&gt;&lt;td&gt;4&lt;/td&gt;&lt;td&gt;32&lt;/td&gt;&lt;td&gt;8.000&lt;/td&gt;&lt;td&gt;14&lt;/td&gt;&lt;td&gt;33&lt;/td&gt;&lt;td&gt;0.424&lt;/td&gt;&lt;td&gt;0&lt;/td&gt;&lt;td&gt;0&lt;/td&gt;&lt;td&gt;0.000&lt;/td&gt;&lt;td&gt;4&lt;/td&gt;&lt;td&gt;9&lt;/td&gt;&lt;td&gt;0.444&lt;/td&gt;&lt;td&gt;14&lt;/td&gt;&lt;td&gt;29&lt;/td&gt;&lt;td&gt;43&lt;/td&gt;&lt;td&gt;10.750&lt;/td&gt;&lt;td&gt;4&lt;/td&gt;&lt;td&gt;1.000&lt;/td&gt;&lt;td&gt;1&lt;/td&gt;&lt;td&gt;0.250&lt;/td&gt;&lt;td&gt;3&lt;/td&gt;&lt;td&gt;0.750&lt;/td&gt;&lt;/tr&gt;</v>
      </c>
    </row>
    <row r="141" spans="1:23" x14ac:dyDescent="0.25">
      <c r="A141" s="10">
        <v>2</v>
      </c>
      <c r="B141" s="12" t="s">
        <v>484</v>
      </c>
      <c r="C141" s="12">
        <v>2</v>
      </c>
      <c r="D141" s="12">
        <v>8</v>
      </c>
      <c r="E141" s="12">
        <v>20</v>
      </c>
      <c r="F141" s="12">
        <v>4</v>
      </c>
      <c r="G141" s="12">
        <v>9</v>
      </c>
      <c r="H141" s="12">
        <v>12</v>
      </c>
      <c r="I141" s="12">
        <v>13</v>
      </c>
      <c r="J141" s="16">
        <f t="shared" si="6"/>
        <v>32</v>
      </c>
      <c r="K141" s="12">
        <v>2</v>
      </c>
      <c r="L141" s="12">
        <v>8</v>
      </c>
      <c r="M141" s="16">
        <f t="shared" si="7"/>
        <v>10</v>
      </c>
      <c r="N141" s="12">
        <v>6</v>
      </c>
      <c r="O141" s="12">
        <v>0</v>
      </c>
      <c r="P141" s="12">
        <v>3</v>
      </c>
      <c r="Q141" s="12">
        <v>0</v>
      </c>
      <c r="R141" s="12">
        <v>3</v>
      </c>
      <c r="S141" s="16">
        <v>0</v>
      </c>
      <c r="T141" s="12">
        <v>52</v>
      </c>
      <c r="U141" s="12" t="s">
        <v>48</v>
      </c>
      <c r="W141" s="10" t="str">
        <f t="shared" si="8"/>
        <v>&lt;tr&gt;&lt;td&gt;Enoch Eshetu&lt;/td&gt;&lt;td&gt;MMC&lt;/td&gt;&lt;td&gt;2&lt;/td&gt;&lt;td&gt;32&lt;/td&gt;&lt;td&gt;16.000&lt;/td&gt;&lt;td&gt;8&lt;/td&gt;&lt;td&gt;20&lt;/td&gt;&lt;td&gt;0.400&lt;/td&gt;&lt;td&gt;4&lt;/td&gt;&lt;td&gt;9&lt;/td&gt;&lt;td&gt;0.444&lt;/td&gt;&lt;td&gt;12&lt;/td&gt;&lt;td&gt;13&lt;/td&gt;&lt;td&gt;0.923&lt;/td&gt;&lt;td&gt;2&lt;/td&gt;&lt;td&gt;8&lt;/td&gt;&lt;td&gt;10&lt;/td&gt;&lt;td&gt;5.000&lt;/td&gt;&lt;td&gt;0&lt;/td&gt;&lt;td&gt;0.000&lt;/td&gt;&lt;td&gt;3&lt;/td&gt;&lt;td&gt;1.500&lt;/td&gt;&lt;td&gt;0&lt;/td&gt;&lt;td&gt;0.000&lt;/td&gt;&lt;/tr&gt;</v>
      </c>
    </row>
    <row r="142" spans="1:23" x14ac:dyDescent="0.25">
      <c r="A142" s="10">
        <v>6</v>
      </c>
      <c r="B142" s="12" t="s">
        <v>517</v>
      </c>
      <c r="C142" s="12">
        <v>14</v>
      </c>
      <c r="D142" s="12">
        <v>13</v>
      </c>
      <c r="E142" s="12">
        <v>46</v>
      </c>
      <c r="F142" s="12">
        <v>0</v>
      </c>
      <c r="G142" s="12">
        <v>0</v>
      </c>
      <c r="H142" s="12">
        <v>5</v>
      </c>
      <c r="I142" s="12">
        <v>19</v>
      </c>
      <c r="J142" s="16">
        <f t="shared" si="6"/>
        <v>31</v>
      </c>
      <c r="K142" s="12">
        <v>22</v>
      </c>
      <c r="L142" s="12">
        <v>39</v>
      </c>
      <c r="M142" s="16">
        <f t="shared" si="7"/>
        <v>61</v>
      </c>
      <c r="N142" s="12">
        <v>26</v>
      </c>
      <c r="O142" s="12">
        <v>2</v>
      </c>
      <c r="P142" s="12">
        <v>19</v>
      </c>
      <c r="Q142" s="12">
        <v>3</v>
      </c>
      <c r="R142" s="12">
        <v>14</v>
      </c>
      <c r="S142" s="16">
        <v>0</v>
      </c>
      <c r="T142" s="12">
        <v>195</v>
      </c>
      <c r="U142" s="12" t="s">
        <v>62</v>
      </c>
      <c r="W142" s="10" t="str">
        <f t="shared" si="8"/>
        <v>&lt;tr&gt;&lt;td&gt;Testimony Aregbesola&lt;/td&gt;&lt;td&gt;GCI&lt;/td&gt;&lt;td&gt;14&lt;/td&gt;&lt;td&gt;31&lt;/td&gt;&lt;td&gt;2.214&lt;/td&gt;&lt;td&gt;13&lt;/td&gt;&lt;td&gt;46&lt;/td&gt;&lt;td&gt;0.283&lt;/td&gt;&lt;td&gt;0&lt;/td&gt;&lt;td&gt;0&lt;/td&gt;&lt;td&gt;0.000&lt;/td&gt;&lt;td&gt;5&lt;/td&gt;&lt;td&gt;19&lt;/td&gt;&lt;td&gt;0.263&lt;/td&gt;&lt;td&gt;22&lt;/td&gt;&lt;td&gt;39&lt;/td&gt;&lt;td&gt;61&lt;/td&gt;&lt;td&gt;4.357&lt;/td&gt;&lt;td&gt;2&lt;/td&gt;&lt;td&gt;0.143&lt;/td&gt;&lt;td&gt;14&lt;/td&gt;&lt;td&gt;1.000&lt;/td&gt;&lt;td&gt;3&lt;/td&gt;&lt;td&gt;0.214&lt;/td&gt;&lt;/tr&gt;</v>
      </c>
    </row>
    <row r="143" spans="1:23" x14ac:dyDescent="0.25">
      <c r="A143" s="10">
        <v>24</v>
      </c>
      <c r="B143" s="12" t="s">
        <v>342</v>
      </c>
      <c r="C143" s="12">
        <v>5</v>
      </c>
      <c r="D143" s="12">
        <v>12</v>
      </c>
      <c r="E143" s="12">
        <v>30</v>
      </c>
      <c r="F143" s="12">
        <v>0</v>
      </c>
      <c r="G143" s="12">
        <v>1</v>
      </c>
      <c r="H143" s="12">
        <v>7</v>
      </c>
      <c r="I143" s="12">
        <v>19</v>
      </c>
      <c r="J143" s="16">
        <f t="shared" si="6"/>
        <v>31</v>
      </c>
      <c r="K143" s="12">
        <v>8</v>
      </c>
      <c r="L143" s="12">
        <v>9</v>
      </c>
      <c r="M143" s="16">
        <f t="shared" si="7"/>
        <v>17</v>
      </c>
      <c r="N143" s="12">
        <v>7</v>
      </c>
      <c r="O143" s="12">
        <v>2</v>
      </c>
      <c r="P143" s="12">
        <v>4</v>
      </c>
      <c r="Q143" s="12">
        <v>1</v>
      </c>
      <c r="R143" s="12">
        <v>5</v>
      </c>
      <c r="S143" s="16">
        <v>0</v>
      </c>
      <c r="T143" s="12">
        <v>84</v>
      </c>
      <c r="U143" s="12" t="s">
        <v>92</v>
      </c>
      <c r="W143" s="10" t="str">
        <f t="shared" si="8"/>
        <v>&lt;tr&gt;&lt;td&gt;Aaron Balmaceda&lt;/td&gt;&lt;td&gt;SJHS&lt;/td&gt;&lt;td&gt;5&lt;/td&gt;&lt;td&gt;31&lt;/td&gt;&lt;td&gt;6.200&lt;/td&gt;&lt;td&gt;12&lt;/td&gt;&lt;td&gt;30&lt;/td&gt;&lt;td&gt;0.400&lt;/td&gt;&lt;td&gt;0&lt;/td&gt;&lt;td&gt;1&lt;/td&gt;&lt;td&gt;0.000&lt;/td&gt;&lt;td&gt;7&lt;/td&gt;&lt;td&gt;19&lt;/td&gt;&lt;td&gt;0.368&lt;/td&gt;&lt;td&gt;8&lt;/td&gt;&lt;td&gt;9&lt;/td&gt;&lt;td&gt;17&lt;/td&gt;&lt;td&gt;3.400&lt;/td&gt;&lt;td&gt;2&lt;/td&gt;&lt;td&gt;0.400&lt;/td&gt;&lt;td&gt;5&lt;/td&gt;&lt;td&gt;1.000&lt;/td&gt;&lt;td&gt;1&lt;/td&gt;&lt;td&gt;0.200&lt;/td&gt;&lt;/tr&gt;</v>
      </c>
    </row>
    <row r="144" spans="1:23" x14ac:dyDescent="0.25">
      <c r="A144" s="10">
        <v>10</v>
      </c>
      <c r="B144" s="12" t="s">
        <v>393</v>
      </c>
      <c r="C144" s="12">
        <v>5</v>
      </c>
      <c r="D144" s="12">
        <v>13</v>
      </c>
      <c r="E144" s="12">
        <v>37</v>
      </c>
      <c r="F144" s="12">
        <v>5</v>
      </c>
      <c r="G144" s="12">
        <v>13</v>
      </c>
      <c r="H144" s="12">
        <v>0</v>
      </c>
      <c r="I144" s="12">
        <v>1</v>
      </c>
      <c r="J144" s="16">
        <f t="shared" si="6"/>
        <v>31</v>
      </c>
      <c r="K144" s="12">
        <v>3</v>
      </c>
      <c r="L144" s="12">
        <v>15</v>
      </c>
      <c r="M144" s="16">
        <f t="shared" si="7"/>
        <v>18</v>
      </c>
      <c r="N144" s="12">
        <v>5</v>
      </c>
      <c r="O144" s="12">
        <v>9</v>
      </c>
      <c r="P144" s="12">
        <v>21</v>
      </c>
      <c r="Q144" s="12">
        <v>1</v>
      </c>
      <c r="R144" s="12">
        <v>14</v>
      </c>
      <c r="S144" s="16">
        <v>0</v>
      </c>
      <c r="T144" s="12">
        <v>147</v>
      </c>
      <c r="U144" s="12" t="s">
        <v>164</v>
      </c>
      <c r="W144" s="10" t="str">
        <f t="shared" si="8"/>
        <v>&lt;tr&gt;&lt;td&gt;Christian Andrade&lt;/td&gt;&lt;td&gt;GVC&lt;/td&gt;&lt;td&gt;5&lt;/td&gt;&lt;td&gt;31&lt;/td&gt;&lt;td&gt;6.200&lt;/td&gt;&lt;td&gt;13&lt;/td&gt;&lt;td&gt;37&lt;/td&gt;&lt;td&gt;0.351&lt;/td&gt;&lt;td&gt;5&lt;/td&gt;&lt;td&gt;13&lt;/td&gt;&lt;td&gt;0.385&lt;/td&gt;&lt;td&gt;0&lt;/td&gt;&lt;td&gt;1&lt;/td&gt;&lt;td&gt;0.000&lt;/td&gt;&lt;td&gt;3&lt;/td&gt;&lt;td&gt;15&lt;/td&gt;&lt;td&gt;18&lt;/td&gt;&lt;td&gt;3.600&lt;/td&gt;&lt;td&gt;9&lt;/td&gt;&lt;td&gt;1.800&lt;/td&gt;&lt;td&gt;14&lt;/td&gt;&lt;td&gt;2.800&lt;/td&gt;&lt;td&gt;1&lt;/td&gt;&lt;td&gt;0.200&lt;/td&gt;&lt;/tr&gt;</v>
      </c>
    </row>
    <row r="145" spans="1:23" x14ac:dyDescent="0.25">
      <c r="A145" s="10">
        <v>1</v>
      </c>
      <c r="B145" s="12" t="s">
        <v>789</v>
      </c>
      <c r="C145" s="12">
        <v>3</v>
      </c>
      <c r="D145" s="12">
        <v>10</v>
      </c>
      <c r="E145" s="12">
        <v>28</v>
      </c>
      <c r="F145" s="12">
        <v>3</v>
      </c>
      <c r="G145" s="12">
        <v>10</v>
      </c>
      <c r="H145" s="12">
        <v>8</v>
      </c>
      <c r="I145" s="12">
        <v>9</v>
      </c>
      <c r="J145" s="16">
        <f t="shared" si="6"/>
        <v>31</v>
      </c>
      <c r="K145" s="12">
        <v>5</v>
      </c>
      <c r="L145" s="12">
        <v>10</v>
      </c>
      <c r="M145" s="16">
        <f t="shared" si="7"/>
        <v>15</v>
      </c>
      <c r="N145" s="12">
        <v>5</v>
      </c>
      <c r="O145" s="12">
        <v>4</v>
      </c>
      <c r="P145" s="12">
        <v>5</v>
      </c>
      <c r="Q145" s="12">
        <v>1</v>
      </c>
      <c r="R145" s="12">
        <v>4</v>
      </c>
      <c r="S145" s="16">
        <v>0</v>
      </c>
      <c r="T145" s="12">
        <v>56</v>
      </c>
      <c r="U145" s="12" t="s">
        <v>68</v>
      </c>
      <c r="W145" s="10" t="str">
        <f t="shared" si="8"/>
        <v>&lt;tr&gt;&lt;td&gt;Kniel Sullera&lt;/td&gt;&lt;td&gt;FRC&lt;/td&gt;&lt;td&gt;3&lt;/td&gt;&lt;td&gt;31&lt;/td&gt;&lt;td&gt;10.333&lt;/td&gt;&lt;td&gt;10&lt;/td&gt;&lt;td&gt;28&lt;/td&gt;&lt;td&gt;0.357&lt;/td&gt;&lt;td&gt;3&lt;/td&gt;&lt;td&gt;10&lt;/td&gt;&lt;td&gt;0.300&lt;/td&gt;&lt;td&gt;8&lt;/td&gt;&lt;td&gt;9&lt;/td&gt;&lt;td&gt;0.889&lt;/td&gt;&lt;td&gt;5&lt;/td&gt;&lt;td&gt;10&lt;/td&gt;&lt;td&gt;15&lt;/td&gt;&lt;td&gt;5.000&lt;/td&gt;&lt;td&gt;4&lt;/td&gt;&lt;td&gt;1.333&lt;/td&gt;&lt;td&gt;4&lt;/td&gt;&lt;td&gt;1.333&lt;/td&gt;&lt;td&gt;1&lt;/td&gt;&lt;td&gt;0.333&lt;/td&gt;&lt;/tr&gt;</v>
      </c>
    </row>
    <row r="146" spans="1:23" x14ac:dyDescent="0.25">
      <c r="A146" s="10">
        <v>5</v>
      </c>
      <c r="B146" s="12" t="s">
        <v>472</v>
      </c>
      <c r="C146" s="12">
        <v>2</v>
      </c>
      <c r="D146" s="12">
        <v>10</v>
      </c>
      <c r="E146" s="12">
        <v>30</v>
      </c>
      <c r="F146" s="12">
        <v>1</v>
      </c>
      <c r="G146" s="12">
        <v>7</v>
      </c>
      <c r="H146" s="12">
        <v>10</v>
      </c>
      <c r="I146" s="12">
        <v>13</v>
      </c>
      <c r="J146" s="16">
        <f t="shared" si="6"/>
        <v>31</v>
      </c>
      <c r="K146" s="12">
        <v>1</v>
      </c>
      <c r="L146" s="12">
        <v>2</v>
      </c>
      <c r="M146" s="16">
        <f t="shared" si="7"/>
        <v>3</v>
      </c>
      <c r="N146" s="12">
        <v>2</v>
      </c>
      <c r="O146" s="12">
        <v>0</v>
      </c>
      <c r="P146" s="12">
        <v>6</v>
      </c>
      <c r="Q146" s="12">
        <v>0</v>
      </c>
      <c r="R146" s="12">
        <v>8</v>
      </c>
      <c r="S146" s="16">
        <v>0</v>
      </c>
      <c r="T146" s="12">
        <v>45</v>
      </c>
      <c r="U146" s="12" t="s">
        <v>64</v>
      </c>
      <c r="W146" s="10" t="str">
        <f t="shared" si="8"/>
        <v>&lt;tr&gt;&lt;td&gt;Blake Bauer&lt;/td&gt;&lt;td&gt;JHB&lt;/td&gt;&lt;td&gt;2&lt;/td&gt;&lt;td&gt;31&lt;/td&gt;&lt;td&gt;15.500&lt;/td&gt;&lt;td&gt;10&lt;/td&gt;&lt;td&gt;30&lt;/td&gt;&lt;td&gt;0.333&lt;/td&gt;&lt;td&gt;1&lt;/td&gt;&lt;td&gt;7&lt;/td&gt;&lt;td&gt;0.143&lt;/td&gt;&lt;td&gt;10&lt;/td&gt;&lt;td&gt;13&lt;/td&gt;&lt;td&gt;0.769&lt;/td&gt;&lt;td&gt;1&lt;/td&gt;&lt;td&gt;2&lt;/td&gt;&lt;td&gt;3&lt;/td&gt;&lt;td&gt;1.500&lt;/td&gt;&lt;td&gt;0&lt;/td&gt;&lt;td&gt;0.000&lt;/td&gt;&lt;td&gt;8&lt;/td&gt;&lt;td&gt;4.000&lt;/td&gt;&lt;td&gt;0&lt;/td&gt;&lt;td&gt;0.000&lt;/td&gt;&lt;/tr&gt;</v>
      </c>
    </row>
    <row r="147" spans="1:23" x14ac:dyDescent="0.25">
      <c r="A147" s="10">
        <v>1</v>
      </c>
      <c r="B147" s="12" t="s">
        <v>542</v>
      </c>
      <c r="C147" s="12">
        <v>10</v>
      </c>
      <c r="D147" s="12">
        <v>10</v>
      </c>
      <c r="E147" s="12">
        <v>20</v>
      </c>
      <c r="F147" s="12">
        <v>8</v>
      </c>
      <c r="G147" s="12">
        <v>16</v>
      </c>
      <c r="H147" s="12">
        <v>2</v>
      </c>
      <c r="I147" s="12">
        <v>3</v>
      </c>
      <c r="J147" s="16">
        <f t="shared" si="6"/>
        <v>30</v>
      </c>
      <c r="K147" s="12">
        <v>2</v>
      </c>
      <c r="L147" s="12">
        <v>7</v>
      </c>
      <c r="M147" s="16">
        <f t="shared" si="7"/>
        <v>9</v>
      </c>
      <c r="N147" s="12">
        <v>10</v>
      </c>
      <c r="O147" s="12">
        <v>2</v>
      </c>
      <c r="P147" s="12">
        <v>9</v>
      </c>
      <c r="Q147" s="12">
        <v>0</v>
      </c>
      <c r="R147" s="12">
        <v>5</v>
      </c>
      <c r="S147" s="16">
        <v>0</v>
      </c>
      <c r="T147" s="12">
        <v>107</v>
      </c>
      <c r="U147" s="12" t="s">
        <v>540</v>
      </c>
      <c r="W147" s="10" t="str">
        <f t="shared" si="8"/>
        <v>&lt;tr&gt;&lt;td&gt;Nathan Kroft&lt;/td&gt;&lt;td&gt;SJR&lt;/td&gt;&lt;td&gt;10&lt;/td&gt;&lt;td&gt;30&lt;/td&gt;&lt;td&gt;3.000&lt;/td&gt;&lt;td&gt;10&lt;/td&gt;&lt;td&gt;20&lt;/td&gt;&lt;td&gt;0.500&lt;/td&gt;&lt;td&gt;8&lt;/td&gt;&lt;td&gt;16&lt;/td&gt;&lt;td&gt;0.500&lt;/td&gt;&lt;td&gt;2&lt;/td&gt;&lt;td&gt;3&lt;/td&gt;&lt;td&gt;0.667&lt;/td&gt;&lt;td&gt;2&lt;/td&gt;&lt;td&gt;7&lt;/td&gt;&lt;td&gt;9&lt;/td&gt;&lt;td&gt;0.900&lt;/td&gt;&lt;td&gt;2&lt;/td&gt;&lt;td&gt;0.200&lt;/td&gt;&lt;td&gt;5&lt;/td&gt;&lt;td&gt;0.500&lt;/td&gt;&lt;td&gt;0&lt;/td&gt;&lt;td&gt;0.000&lt;/td&gt;&lt;/tr&gt;</v>
      </c>
    </row>
    <row r="148" spans="1:23" x14ac:dyDescent="0.25">
      <c r="A148" s="10">
        <v>5</v>
      </c>
      <c r="B148" s="12" t="s">
        <v>530</v>
      </c>
      <c r="C148" s="12">
        <v>8</v>
      </c>
      <c r="D148" s="12">
        <v>15</v>
      </c>
      <c r="E148" s="12">
        <v>37</v>
      </c>
      <c r="F148" s="12">
        <v>0</v>
      </c>
      <c r="G148" s="12">
        <v>3</v>
      </c>
      <c r="H148" s="12">
        <v>0</v>
      </c>
      <c r="I148" s="12">
        <v>6</v>
      </c>
      <c r="J148" s="16">
        <f t="shared" si="6"/>
        <v>30</v>
      </c>
      <c r="K148" s="12">
        <v>17</v>
      </c>
      <c r="L148" s="12">
        <v>16</v>
      </c>
      <c r="M148" s="16">
        <f t="shared" si="7"/>
        <v>33</v>
      </c>
      <c r="N148" s="12">
        <v>12</v>
      </c>
      <c r="O148" s="12">
        <v>3</v>
      </c>
      <c r="P148" s="12">
        <v>18</v>
      </c>
      <c r="Q148" s="12">
        <v>2</v>
      </c>
      <c r="R148" s="12">
        <v>6</v>
      </c>
      <c r="S148" s="16">
        <v>0</v>
      </c>
      <c r="T148" s="12">
        <v>95</v>
      </c>
      <c r="U148" s="12" t="s">
        <v>68</v>
      </c>
      <c r="W148" s="10" t="str">
        <f t="shared" si="8"/>
        <v>&lt;tr&gt;&lt;td&gt;Zephy Ochieng&lt;/td&gt;&lt;td&gt;FRC&lt;/td&gt;&lt;td&gt;8&lt;/td&gt;&lt;td&gt;30&lt;/td&gt;&lt;td&gt;3.750&lt;/td&gt;&lt;td&gt;15&lt;/td&gt;&lt;td&gt;37&lt;/td&gt;&lt;td&gt;0.405&lt;/td&gt;&lt;td&gt;0&lt;/td&gt;&lt;td&gt;3&lt;/td&gt;&lt;td&gt;0.000&lt;/td&gt;&lt;td&gt;0&lt;/td&gt;&lt;td&gt;6&lt;/td&gt;&lt;td&gt;0.000&lt;/td&gt;&lt;td&gt;17&lt;/td&gt;&lt;td&gt;16&lt;/td&gt;&lt;td&gt;33&lt;/td&gt;&lt;td&gt;4.125&lt;/td&gt;&lt;td&gt;3&lt;/td&gt;&lt;td&gt;0.375&lt;/td&gt;&lt;td&gt;6&lt;/td&gt;&lt;td&gt;0.750&lt;/td&gt;&lt;td&gt;2&lt;/td&gt;&lt;td&gt;0.250&lt;/td&gt;&lt;/tr&gt;</v>
      </c>
    </row>
    <row r="149" spans="1:23" x14ac:dyDescent="0.25">
      <c r="A149" s="10">
        <v>5</v>
      </c>
      <c r="B149" s="12" t="s">
        <v>308</v>
      </c>
      <c r="C149" s="12">
        <v>8</v>
      </c>
      <c r="D149" s="12">
        <v>11</v>
      </c>
      <c r="E149" s="12">
        <v>37</v>
      </c>
      <c r="F149" s="12">
        <v>5</v>
      </c>
      <c r="G149" s="12">
        <v>19</v>
      </c>
      <c r="H149" s="12">
        <v>3</v>
      </c>
      <c r="I149" s="12">
        <v>4</v>
      </c>
      <c r="J149" s="16">
        <f t="shared" si="6"/>
        <v>30</v>
      </c>
      <c r="K149" s="12">
        <v>3</v>
      </c>
      <c r="L149" s="12">
        <v>16</v>
      </c>
      <c r="M149" s="16">
        <f t="shared" si="7"/>
        <v>19</v>
      </c>
      <c r="N149" s="12">
        <v>15</v>
      </c>
      <c r="O149" s="12">
        <v>23</v>
      </c>
      <c r="P149" s="12">
        <v>16</v>
      </c>
      <c r="Q149" s="12">
        <v>0</v>
      </c>
      <c r="R149" s="12">
        <v>18</v>
      </c>
      <c r="S149" s="16">
        <v>0</v>
      </c>
      <c r="T149" s="12">
        <v>184</v>
      </c>
      <c r="U149" s="12" t="s">
        <v>74</v>
      </c>
      <c r="W149" s="10" t="str">
        <f t="shared" si="8"/>
        <v>&lt;tr&gt;&lt;td&gt;Shakur Harris&lt;/td&gt;&lt;td&gt;OPHS&lt;/td&gt;&lt;td&gt;8&lt;/td&gt;&lt;td&gt;30&lt;/td&gt;&lt;td&gt;3.750&lt;/td&gt;&lt;td&gt;11&lt;/td&gt;&lt;td&gt;37&lt;/td&gt;&lt;td&gt;0.297&lt;/td&gt;&lt;td&gt;5&lt;/td&gt;&lt;td&gt;19&lt;/td&gt;&lt;td&gt;0.263&lt;/td&gt;&lt;td&gt;3&lt;/td&gt;&lt;td&gt;4&lt;/td&gt;&lt;td&gt;0.750&lt;/td&gt;&lt;td&gt;3&lt;/td&gt;&lt;td&gt;16&lt;/td&gt;&lt;td&gt;19&lt;/td&gt;&lt;td&gt;2.375&lt;/td&gt;&lt;td&gt;23&lt;/td&gt;&lt;td&gt;2.875&lt;/td&gt;&lt;td&gt;18&lt;/td&gt;&lt;td&gt;2.250&lt;/td&gt;&lt;td&gt;0&lt;/td&gt;&lt;td&gt;0.000&lt;/td&gt;&lt;/tr&gt;</v>
      </c>
    </row>
    <row r="150" spans="1:23" x14ac:dyDescent="0.25">
      <c r="A150" s="10">
        <v>8</v>
      </c>
      <c r="B150" s="12" t="s">
        <v>488</v>
      </c>
      <c r="C150" s="12">
        <v>8</v>
      </c>
      <c r="D150" s="12">
        <v>12</v>
      </c>
      <c r="E150" s="12">
        <v>45</v>
      </c>
      <c r="F150" s="12">
        <v>2</v>
      </c>
      <c r="G150" s="12">
        <v>17</v>
      </c>
      <c r="H150" s="12">
        <v>4</v>
      </c>
      <c r="I150" s="12">
        <v>4</v>
      </c>
      <c r="J150" s="16">
        <f t="shared" si="6"/>
        <v>30</v>
      </c>
      <c r="K150" s="12">
        <v>11</v>
      </c>
      <c r="L150" s="12">
        <v>15</v>
      </c>
      <c r="M150" s="16">
        <f t="shared" si="7"/>
        <v>26</v>
      </c>
      <c r="N150" s="12">
        <v>32</v>
      </c>
      <c r="O150" s="12">
        <v>4</v>
      </c>
      <c r="P150" s="12">
        <v>21</v>
      </c>
      <c r="Q150" s="12">
        <v>0</v>
      </c>
      <c r="R150" s="12">
        <v>10</v>
      </c>
      <c r="S150" s="16">
        <v>0</v>
      </c>
      <c r="T150" s="12">
        <v>186</v>
      </c>
      <c r="U150" s="12" t="s">
        <v>48</v>
      </c>
      <c r="W150" s="10" t="str">
        <f t="shared" si="8"/>
        <v>&lt;tr&gt;&lt;td&gt;Devin Campbell&lt;/td&gt;&lt;td&gt;MMC&lt;/td&gt;&lt;td&gt;8&lt;/td&gt;&lt;td&gt;30&lt;/td&gt;&lt;td&gt;3.750&lt;/td&gt;&lt;td&gt;12&lt;/td&gt;&lt;td&gt;45&lt;/td&gt;&lt;td&gt;0.267&lt;/td&gt;&lt;td&gt;2&lt;/td&gt;&lt;td&gt;17&lt;/td&gt;&lt;td&gt;0.118&lt;/td&gt;&lt;td&gt;4&lt;/td&gt;&lt;td&gt;4&lt;/td&gt;&lt;td&gt;1.000&lt;/td&gt;&lt;td&gt;11&lt;/td&gt;&lt;td&gt;15&lt;/td&gt;&lt;td&gt;26&lt;/td&gt;&lt;td&gt;3.250&lt;/td&gt;&lt;td&gt;4&lt;/td&gt;&lt;td&gt;0.500&lt;/td&gt;&lt;td&gt;10&lt;/td&gt;&lt;td&gt;1.250&lt;/td&gt;&lt;td&gt;0&lt;/td&gt;&lt;td&gt;0.000&lt;/td&gt;&lt;/tr&gt;</v>
      </c>
    </row>
    <row r="151" spans="1:23" x14ac:dyDescent="0.25">
      <c r="A151" s="10">
        <v>12</v>
      </c>
      <c r="B151" s="12" t="s">
        <v>537</v>
      </c>
      <c r="C151" s="12">
        <v>7</v>
      </c>
      <c r="D151" s="12">
        <v>12</v>
      </c>
      <c r="E151" s="12">
        <v>35</v>
      </c>
      <c r="F151" s="12">
        <v>1</v>
      </c>
      <c r="G151" s="12">
        <v>4</v>
      </c>
      <c r="H151" s="12">
        <v>5</v>
      </c>
      <c r="I151" s="12">
        <v>5</v>
      </c>
      <c r="J151" s="16">
        <f t="shared" si="6"/>
        <v>30</v>
      </c>
      <c r="K151" s="12">
        <v>7</v>
      </c>
      <c r="L151" s="12">
        <v>7</v>
      </c>
      <c r="M151" s="16">
        <f t="shared" si="7"/>
        <v>14</v>
      </c>
      <c r="N151" s="12">
        <v>5</v>
      </c>
      <c r="O151" s="12">
        <v>1</v>
      </c>
      <c r="P151" s="12">
        <v>10</v>
      </c>
      <c r="Q151" s="12">
        <v>1</v>
      </c>
      <c r="R151" s="12">
        <v>4</v>
      </c>
      <c r="S151" s="16">
        <v>0</v>
      </c>
      <c r="T151" s="12">
        <v>82</v>
      </c>
      <c r="U151" s="12" t="s">
        <v>68</v>
      </c>
      <c r="W151" s="10" t="str">
        <f t="shared" si="8"/>
        <v>&lt;tr&gt;&lt;td&gt;T.J. Bassan&lt;/td&gt;&lt;td&gt;FRC&lt;/td&gt;&lt;td&gt;7&lt;/td&gt;&lt;td&gt;30&lt;/td&gt;&lt;td&gt;4.286&lt;/td&gt;&lt;td&gt;12&lt;/td&gt;&lt;td&gt;35&lt;/td&gt;&lt;td&gt;0.343&lt;/td&gt;&lt;td&gt;1&lt;/td&gt;&lt;td&gt;4&lt;/td&gt;&lt;td&gt;0.250&lt;/td&gt;&lt;td&gt;5&lt;/td&gt;&lt;td&gt;5&lt;/td&gt;&lt;td&gt;1.000&lt;/td&gt;&lt;td&gt;7&lt;/td&gt;&lt;td&gt;7&lt;/td&gt;&lt;td&gt;14&lt;/td&gt;&lt;td&gt;2.000&lt;/td&gt;&lt;td&gt;1&lt;/td&gt;&lt;td&gt;0.143&lt;/td&gt;&lt;td&gt;4&lt;/td&gt;&lt;td&gt;0.571&lt;/td&gt;&lt;td&gt;1&lt;/td&gt;&lt;td&gt;0.143&lt;/td&gt;&lt;/tr&gt;</v>
      </c>
    </row>
    <row r="152" spans="1:23" x14ac:dyDescent="0.25">
      <c r="A152" s="10">
        <v>11</v>
      </c>
      <c r="B152" s="12" t="s">
        <v>696</v>
      </c>
      <c r="C152" s="12">
        <v>6</v>
      </c>
      <c r="D152" s="12">
        <v>10</v>
      </c>
      <c r="E152" s="12">
        <v>27</v>
      </c>
      <c r="F152" s="12">
        <v>2</v>
      </c>
      <c r="G152" s="12">
        <v>7</v>
      </c>
      <c r="H152" s="12">
        <v>8</v>
      </c>
      <c r="I152" s="12">
        <v>10</v>
      </c>
      <c r="J152" s="16">
        <f t="shared" si="6"/>
        <v>30</v>
      </c>
      <c r="K152" s="12">
        <v>11</v>
      </c>
      <c r="L152" s="12">
        <v>22</v>
      </c>
      <c r="M152" s="16">
        <f t="shared" si="7"/>
        <v>33</v>
      </c>
      <c r="N152" s="12">
        <v>4</v>
      </c>
      <c r="O152" s="12">
        <v>4</v>
      </c>
      <c r="P152" s="12">
        <v>3</v>
      </c>
      <c r="Q152" s="12">
        <v>3</v>
      </c>
      <c r="R152" s="12">
        <v>5</v>
      </c>
      <c r="S152" s="16">
        <v>0</v>
      </c>
      <c r="T152" s="12">
        <v>101</v>
      </c>
      <c r="U152" s="12" t="s">
        <v>78</v>
      </c>
      <c r="W152" s="10" t="str">
        <f t="shared" si="8"/>
        <v>&lt;tr&gt;&lt;td&gt;Matt Yaworsky&lt;/td&gt;&lt;td&gt;SPHS&lt;/td&gt;&lt;td&gt;6&lt;/td&gt;&lt;td&gt;30&lt;/td&gt;&lt;td&gt;5.000&lt;/td&gt;&lt;td&gt;10&lt;/td&gt;&lt;td&gt;27&lt;/td&gt;&lt;td&gt;0.370&lt;/td&gt;&lt;td&gt;2&lt;/td&gt;&lt;td&gt;7&lt;/td&gt;&lt;td&gt;0.286&lt;/td&gt;&lt;td&gt;8&lt;/td&gt;&lt;td&gt;10&lt;/td&gt;&lt;td&gt;0.800&lt;/td&gt;&lt;td&gt;11&lt;/td&gt;&lt;td&gt;22&lt;/td&gt;&lt;td&gt;33&lt;/td&gt;&lt;td&gt;5.500&lt;/td&gt;&lt;td&gt;4&lt;/td&gt;&lt;td&gt;0.667&lt;/td&gt;&lt;td&gt;5&lt;/td&gt;&lt;td&gt;0.833&lt;/td&gt;&lt;td&gt;3&lt;/td&gt;&lt;td&gt;0.500&lt;/td&gt;&lt;/tr&gt;</v>
      </c>
    </row>
    <row r="153" spans="1:23" x14ac:dyDescent="0.25">
      <c r="A153" s="10">
        <v>3</v>
      </c>
      <c r="B153" s="12" t="s">
        <v>322</v>
      </c>
      <c r="C153" s="12">
        <v>5</v>
      </c>
      <c r="D153" s="12">
        <v>12</v>
      </c>
      <c r="E153" s="12">
        <v>29</v>
      </c>
      <c r="F153" s="12">
        <v>6</v>
      </c>
      <c r="G153" s="12">
        <v>17</v>
      </c>
      <c r="H153" s="12">
        <v>0</v>
      </c>
      <c r="I153" s="12">
        <v>0</v>
      </c>
      <c r="J153" s="16">
        <f t="shared" si="6"/>
        <v>30</v>
      </c>
      <c r="K153" s="12">
        <v>2</v>
      </c>
      <c r="L153" s="12">
        <v>9</v>
      </c>
      <c r="M153" s="16">
        <f t="shared" si="7"/>
        <v>11</v>
      </c>
      <c r="N153" s="12">
        <v>3</v>
      </c>
      <c r="O153" s="12">
        <v>3</v>
      </c>
      <c r="P153" s="12">
        <v>2</v>
      </c>
      <c r="Q153" s="12">
        <v>4</v>
      </c>
      <c r="R153" s="12">
        <v>5</v>
      </c>
      <c r="S153" s="16">
        <v>0</v>
      </c>
      <c r="T153" s="12">
        <v>51</v>
      </c>
      <c r="U153" s="12" t="s">
        <v>41</v>
      </c>
      <c r="W153" s="10" t="str">
        <f t="shared" si="8"/>
        <v>&lt;tr&gt;&lt;td&gt;Terence Wilson&lt;/td&gt;&lt;td&gt;GCC&lt;/td&gt;&lt;td&gt;5&lt;/td&gt;&lt;td&gt;30&lt;/td&gt;&lt;td&gt;6.000&lt;/td&gt;&lt;td&gt;12&lt;/td&gt;&lt;td&gt;29&lt;/td&gt;&lt;td&gt;0.414&lt;/td&gt;&lt;td&gt;6&lt;/td&gt;&lt;td&gt;17&lt;/td&gt;&lt;td&gt;0.353&lt;/td&gt;&lt;td&gt;0&lt;/td&gt;&lt;td&gt;0&lt;/td&gt;&lt;td&gt;0.000&lt;/td&gt;&lt;td&gt;2&lt;/td&gt;&lt;td&gt;9&lt;/td&gt;&lt;td&gt;11&lt;/td&gt;&lt;td&gt;2.200&lt;/td&gt;&lt;td&gt;3&lt;/td&gt;&lt;td&gt;0.600&lt;/td&gt;&lt;td&gt;5&lt;/td&gt;&lt;td&gt;1.000&lt;/td&gt;&lt;td&gt;4&lt;/td&gt;&lt;td&gt;0.800&lt;/td&gt;&lt;/tr&gt;</v>
      </c>
    </row>
    <row r="154" spans="1:23" x14ac:dyDescent="0.25">
      <c r="A154" s="10">
        <v>10</v>
      </c>
      <c r="B154" s="12" t="s">
        <v>670</v>
      </c>
      <c r="C154" s="12">
        <v>5</v>
      </c>
      <c r="D154" s="12">
        <v>10</v>
      </c>
      <c r="E154" s="12">
        <v>37</v>
      </c>
      <c r="F154" s="12">
        <v>0</v>
      </c>
      <c r="G154" s="12">
        <v>5</v>
      </c>
      <c r="H154" s="12">
        <v>10</v>
      </c>
      <c r="I154" s="12">
        <v>20</v>
      </c>
      <c r="J154" s="16">
        <f t="shared" si="6"/>
        <v>30</v>
      </c>
      <c r="K154" s="12">
        <v>15</v>
      </c>
      <c r="L154" s="12">
        <v>42</v>
      </c>
      <c r="M154" s="16">
        <f t="shared" si="7"/>
        <v>57</v>
      </c>
      <c r="N154" s="12">
        <v>10</v>
      </c>
      <c r="O154" s="12">
        <v>6</v>
      </c>
      <c r="P154" s="12">
        <v>10</v>
      </c>
      <c r="Q154" s="12">
        <v>7</v>
      </c>
      <c r="R154" s="12">
        <v>8</v>
      </c>
      <c r="S154" s="16">
        <v>0</v>
      </c>
      <c r="T154" s="12">
        <v>127</v>
      </c>
      <c r="U154" s="12" t="s">
        <v>45</v>
      </c>
      <c r="W154" s="10" t="str">
        <f t="shared" si="8"/>
        <v>&lt;tr&gt;&lt;td&gt;Mason Robillard&lt;/td&gt;&lt;td&gt;MC&lt;/td&gt;&lt;td&gt;5&lt;/td&gt;&lt;td&gt;30&lt;/td&gt;&lt;td&gt;6.000&lt;/td&gt;&lt;td&gt;10&lt;/td&gt;&lt;td&gt;37&lt;/td&gt;&lt;td&gt;0.270&lt;/td&gt;&lt;td&gt;0&lt;/td&gt;&lt;td&gt;5&lt;/td&gt;&lt;td&gt;0.000&lt;/td&gt;&lt;td&gt;10&lt;/td&gt;&lt;td&gt;20&lt;/td&gt;&lt;td&gt;0.500&lt;/td&gt;&lt;td&gt;15&lt;/td&gt;&lt;td&gt;42&lt;/td&gt;&lt;td&gt;57&lt;/td&gt;&lt;td&gt;11.400&lt;/td&gt;&lt;td&gt;6&lt;/td&gt;&lt;td&gt;1.200&lt;/td&gt;&lt;td&gt;8&lt;/td&gt;&lt;td&gt;1.600&lt;/td&gt;&lt;td&gt;7&lt;/td&gt;&lt;td&gt;1.400&lt;/td&gt;&lt;/tr&gt;</v>
      </c>
    </row>
    <row r="155" spans="1:23" x14ac:dyDescent="0.25">
      <c r="A155" s="10">
        <v>12</v>
      </c>
      <c r="B155" s="12" t="s">
        <v>444</v>
      </c>
      <c r="C155" s="12">
        <v>8</v>
      </c>
      <c r="D155" s="12">
        <v>10</v>
      </c>
      <c r="E155" s="12">
        <v>32</v>
      </c>
      <c r="F155" s="12">
        <v>0</v>
      </c>
      <c r="G155" s="12">
        <v>6</v>
      </c>
      <c r="H155" s="12">
        <v>9</v>
      </c>
      <c r="I155" s="12">
        <v>17</v>
      </c>
      <c r="J155" s="16">
        <f t="shared" si="6"/>
        <v>29</v>
      </c>
      <c r="K155" s="12">
        <v>10</v>
      </c>
      <c r="L155" s="12">
        <v>13</v>
      </c>
      <c r="M155" s="16">
        <f t="shared" si="7"/>
        <v>23</v>
      </c>
      <c r="N155" s="12">
        <v>15</v>
      </c>
      <c r="O155" s="12">
        <v>1</v>
      </c>
      <c r="P155" s="12">
        <v>1</v>
      </c>
      <c r="Q155" s="12">
        <v>0</v>
      </c>
      <c r="R155" s="12">
        <v>6</v>
      </c>
      <c r="S155" s="16">
        <v>0</v>
      </c>
      <c r="T155" s="12">
        <v>80</v>
      </c>
      <c r="U155" s="12" t="s">
        <v>80</v>
      </c>
      <c r="W155" s="10" t="str">
        <f t="shared" si="8"/>
        <v>&lt;tr&gt;&lt;td&gt;Evan Abram&lt;/td&gt;&lt;td&gt;VMC&lt;/td&gt;&lt;td&gt;8&lt;/td&gt;&lt;td&gt;29&lt;/td&gt;&lt;td&gt;3.625&lt;/td&gt;&lt;td&gt;10&lt;/td&gt;&lt;td&gt;32&lt;/td&gt;&lt;td&gt;0.313&lt;/td&gt;&lt;td&gt;0&lt;/td&gt;&lt;td&gt;6&lt;/td&gt;&lt;td&gt;0.000&lt;/td&gt;&lt;td&gt;9&lt;/td&gt;&lt;td&gt;17&lt;/td&gt;&lt;td&gt;0.529&lt;/td&gt;&lt;td&gt;10&lt;/td&gt;&lt;td&gt;13&lt;/td&gt;&lt;td&gt;23&lt;/td&gt;&lt;td&gt;2.875&lt;/td&gt;&lt;td&gt;1&lt;/td&gt;&lt;td&gt;0.125&lt;/td&gt;&lt;td&gt;6&lt;/td&gt;&lt;td&gt;0.750&lt;/td&gt;&lt;td&gt;0&lt;/td&gt;&lt;td&gt;0.000&lt;/td&gt;&lt;/tr&gt;</v>
      </c>
    </row>
    <row r="156" spans="1:23" x14ac:dyDescent="0.25">
      <c r="A156" s="10">
        <v>25</v>
      </c>
      <c r="B156" s="12" t="s">
        <v>383</v>
      </c>
      <c r="C156" s="12">
        <v>8</v>
      </c>
      <c r="D156" s="12">
        <v>12</v>
      </c>
      <c r="E156" s="12">
        <v>46</v>
      </c>
      <c r="F156" s="12">
        <v>0</v>
      </c>
      <c r="G156" s="12">
        <v>0</v>
      </c>
      <c r="H156" s="12">
        <v>5</v>
      </c>
      <c r="I156" s="12">
        <v>12</v>
      </c>
      <c r="J156" s="16">
        <f t="shared" si="6"/>
        <v>29</v>
      </c>
      <c r="K156" s="12">
        <v>16</v>
      </c>
      <c r="L156" s="12">
        <v>30</v>
      </c>
      <c r="M156" s="16">
        <f t="shared" si="7"/>
        <v>46</v>
      </c>
      <c r="N156" s="12">
        <v>13</v>
      </c>
      <c r="O156" s="12">
        <v>3</v>
      </c>
      <c r="P156" s="12">
        <v>12</v>
      </c>
      <c r="Q156" s="12">
        <v>0</v>
      </c>
      <c r="R156" s="12">
        <v>7</v>
      </c>
      <c r="S156" s="16">
        <v>0</v>
      </c>
      <c r="T156" s="12">
        <v>124</v>
      </c>
      <c r="U156" s="12" t="s">
        <v>72</v>
      </c>
      <c r="W156" s="10" t="str">
        <f t="shared" si="8"/>
        <v>&lt;tr&gt;&lt;td&gt;Ben Anderson&lt;/td&gt;&lt;td&gt;KHS&lt;/td&gt;&lt;td&gt;8&lt;/td&gt;&lt;td&gt;29&lt;/td&gt;&lt;td&gt;3.625&lt;/td&gt;&lt;td&gt;12&lt;/td&gt;&lt;td&gt;46&lt;/td&gt;&lt;td&gt;0.261&lt;/td&gt;&lt;td&gt;0&lt;/td&gt;&lt;td&gt;0&lt;/td&gt;&lt;td&gt;0.000&lt;/td&gt;&lt;td&gt;5&lt;/td&gt;&lt;td&gt;12&lt;/td&gt;&lt;td&gt;0.417&lt;/td&gt;&lt;td&gt;16&lt;/td&gt;&lt;td&gt;30&lt;/td&gt;&lt;td&gt;46&lt;/td&gt;&lt;td&gt;5.750&lt;/td&gt;&lt;td&gt;3&lt;/td&gt;&lt;td&gt;0.375&lt;/td&gt;&lt;td&gt;7&lt;/td&gt;&lt;td&gt;0.875&lt;/td&gt;&lt;td&gt;0&lt;/td&gt;&lt;td&gt;0.000&lt;/td&gt;&lt;/tr&gt;</v>
      </c>
    </row>
    <row r="157" spans="1:23" x14ac:dyDescent="0.25">
      <c r="A157" s="10">
        <v>5</v>
      </c>
      <c r="B157" s="12" t="s">
        <v>744</v>
      </c>
      <c r="C157" s="12">
        <v>3</v>
      </c>
      <c r="D157" s="12">
        <v>10</v>
      </c>
      <c r="E157" s="12">
        <v>29</v>
      </c>
      <c r="F157" s="12">
        <v>8</v>
      </c>
      <c r="G157" s="12">
        <v>22</v>
      </c>
      <c r="H157" s="12">
        <v>1</v>
      </c>
      <c r="I157" s="12">
        <v>3</v>
      </c>
      <c r="J157" s="16">
        <f t="shared" si="6"/>
        <v>29</v>
      </c>
      <c r="K157" s="12">
        <v>3</v>
      </c>
      <c r="L157" s="12">
        <v>11</v>
      </c>
      <c r="M157" s="16">
        <f t="shared" si="7"/>
        <v>14</v>
      </c>
      <c r="N157" s="12">
        <v>1</v>
      </c>
      <c r="O157" s="12">
        <v>3</v>
      </c>
      <c r="P157" s="12">
        <v>1</v>
      </c>
      <c r="Q157" s="12">
        <v>0</v>
      </c>
      <c r="R157" s="12">
        <v>1</v>
      </c>
      <c r="S157" s="16">
        <v>0</v>
      </c>
      <c r="T157" s="12">
        <v>70</v>
      </c>
      <c r="U157" s="12" t="s">
        <v>76</v>
      </c>
      <c r="W157" s="10" t="str">
        <f t="shared" si="8"/>
        <v>&lt;tr&gt;&lt;td&gt;Andrei Sansano&lt;/td&gt;&lt;td&gt;SiHS&lt;/td&gt;&lt;td&gt;3&lt;/td&gt;&lt;td&gt;29&lt;/td&gt;&lt;td&gt;9.667&lt;/td&gt;&lt;td&gt;10&lt;/td&gt;&lt;td&gt;29&lt;/td&gt;&lt;td&gt;0.345&lt;/td&gt;&lt;td&gt;8&lt;/td&gt;&lt;td&gt;22&lt;/td&gt;&lt;td&gt;0.364&lt;/td&gt;&lt;td&gt;1&lt;/td&gt;&lt;td&gt;3&lt;/td&gt;&lt;td&gt;0.333&lt;/td&gt;&lt;td&gt;3&lt;/td&gt;&lt;td&gt;11&lt;/td&gt;&lt;td&gt;14&lt;/td&gt;&lt;td&gt;4.667&lt;/td&gt;&lt;td&gt;3&lt;/td&gt;&lt;td&gt;1.000&lt;/td&gt;&lt;td&gt;1&lt;/td&gt;&lt;td&gt;0.333&lt;/td&gt;&lt;td&gt;0&lt;/td&gt;&lt;td&gt;0.000&lt;/td&gt;&lt;/tr&gt;</v>
      </c>
    </row>
    <row r="158" spans="1:23" x14ac:dyDescent="0.25">
      <c r="A158" s="10">
        <v>4</v>
      </c>
      <c r="B158" s="12" t="s">
        <v>436</v>
      </c>
      <c r="C158" s="12">
        <v>8</v>
      </c>
      <c r="D158" s="12">
        <v>13</v>
      </c>
      <c r="E158" s="12">
        <v>33</v>
      </c>
      <c r="F158" s="12">
        <v>0</v>
      </c>
      <c r="G158" s="12">
        <v>4</v>
      </c>
      <c r="H158" s="12">
        <v>2</v>
      </c>
      <c r="I158" s="12">
        <v>3</v>
      </c>
      <c r="J158" s="16">
        <f t="shared" si="6"/>
        <v>28</v>
      </c>
      <c r="K158" s="12">
        <v>5</v>
      </c>
      <c r="L158" s="12">
        <v>14</v>
      </c>
      <c r="M158" s="16">
        <f t="shared" si="7"/>
        <v>19</v>
      </c>
      <c r="N158" s="12">
        <v>6</v>
      </c>
      <c r="O158" s="12">
        <v>5</v>
      </c>
      <c r="P158" s="12">
        <v>7</v>
      </c>
      <c r="Q158" s="12">
        <v>1</v>
      </c>
      <c r="R158" s="12">
        <v>6</v>
      </c>
      <c r="S158" s="16">
        <v>0</v>
      </c>
      <c r="T158" s="12">
        <v>84</v>
      </c>
      <c r="U158" s="12" t="s">
        <v>80</v>
      </c>
      <c r="W158" s="10" t="str">
        <f t="shared" si="8"/>
        <v>&lt;tr&gt;&lt;td&gt;Terrell Feakes&lt;/td&gt;&lt;td&gt;VMC&lt;/td&gt;&lt;td&gt;8&lt;/td&gt;&lt;td&gt;28&lt;/td&gt;&lt;td&gt;3.500&lt;/td&gt;&lt;td&gt;13&lt;/td&gt;&lt;td&gt;33&lt;/td&gt;&lt;td&gt;0.394&lt;/td&gt;&lt;td&gt;0&lt;/td&gt;&lt;td&gt;4&lt;/td&gt;&lt;td&gt;0.000&lt;/td&gt;&lt;td&gt;2&lt;/td&gt;&lt;td&gt;3&lt;/td&gt;&lt;td&gt;0.667&lt;/td&gt;&lt;td&gt;5&lt;/td&gt;&lt;td&gt;14&lt;/td&gt;&lt;td&gt;19&lt;/td&gt;&lt;td&gt;2.375&lt;/td&gt;&lt;td&gt;5&lt;/td&gt;&lt;td&gt;0.625&lt;/td&gt;&lt;td&gt;6&lt;/td&gt;&lt;td&gt;0.750&lt;/td&gt;&lt;td&gt;1&lt;/td&gt;&lt;td&gt;0.125&lt;/td&gt;&lt;/tr&gt;</v>
      </c>
    </row>
    <row r="159" spans="1:23" x14ac:dyDescent="0.25">
      <c r="A159" s="10">
        <v>8</v>
      </c>
      <c r="B159" s="12" t="s">
        <v>707</v>
      </c>
      <c r="C159" s="12">
        <v>3</v>
      </c>
      <c r="D159" s="12">
        <v>12</v>
      </c>
      <c r="E159" s="12">
        <v>28</v>
      </c>
      <c r="F159" s="12">
        <v>3</v>
      </c>
      <c r="G159" s="12">
        <v>10</v>
      </c>
      <c r="H159" s="12">
        <v>1</v>
      </c>
      <c r="I159" s="12">
        <v>2</v>
      </c>
      <c r="J159" s="16">
        <f t="shared" si="6"/>
        <v>28</v>
      </c>
      <c r="K159" s="12">
        <v>8</v>
      </c>
      <c r="L159" s="12">
        <v>16</v>
      </c>
      <c r="M159" s="16">
        <f t="shared" si="7"/>
        <v>24</v>
      </c>
      <c r="N159" s="12">
        <v>5</v>
      </c>
      <c r="O159" s="12">
        <v>8</v>
      </c>
      <c r="P159" s="12">
        <v>2</v>
      </c>
      <c r="Q159" s="12">
        <v>2</v>
      </c>
      <c r="R159" s="12">
        <v>6</v>
      </c>
      <c r="S159" s="16">
        <v>0</v>
      </c>
      <c r="T159" s="12">
        <v>91</v>
      </c>
      <c r="U159" s="12" t="s">
        <v>70</v>
      </c>
      <c r="W159" s="10" t="str">
        <f t="shared" si="8"/>
        <v>&lt;tr&gt;&lt;td&gt;Josh Gandier&lt;/td&gt;&lt;td&gt;JTC&lt;/td&gt;&lt;td&gt;3&lt;/td&gt;&lt;td&gt;28&lt;/td&gt;&lt;td&gt;9.333&lt;/td&gt;&lt;td&gt;12&lt;/td&gt;&lt;td&gt;28&lt;/td&gt;&lt;td&gt;0.429&lt;/td&gt;&lt;td&gt;3&lt;/td&gt;&lt;td&gt;10&lt;/td&gt;&lt;td&gt;0.300&lt;/td&gt;&lt;td&gt;1&lt;/td&gt;&lt;td&gt;2&lt;/td&gt;&lt;td&gt;0.500&lt;/td&gt;&lt;td&gt;8&lt;/td&gt;&lt;td&gt;16&lt;/td&gt;&lt;td&gt;24&lt;/td&gt;&lt;td&gt;8.000&lt;/td&gt;&lt;td&gt;8&lt;/td&gt;&lt;td&gt;2.667&lt;/td&gt;&lt;td&gt;6&lt;/td&gt;&lt;td&gt;2.000&lt;/td&gt;&lt;td&gt;2&lt;/td&gt;&lt;td&gt;0.667&lt;/td&gt;&lt;/tr&gt;</v>
      </c>
    </row>
    <row r="160" spans="1:23" x14ac:dyDescent="0.25">
      <c r="A160" s="10">
        <v>13</v>
      </c>
      <c r="B160" s="12" t="s">
        <v>538</v>
      </c>
      <c r="C160" s="12">
        <v>7</v>
      </c>
      <c r="D160" s="12">
        <v>10</v>
      </c>
      <c r="E160" s="12">
        <v>32</v>
      </c>
      <c r="F160" s="12">
        <v>7</v>
      </c>
      <c r="G160" s="12">
        <v>20</v>
      </c>
      <c r="H160" s="12">
        <v>0</v>
      </c>
      <c r="I160" s="12">
        <v>0</v>
      </c>
      <c r="J160" s="16">
        <f t="shared" si="6"/>
        <v>27</v>
      </c>
      <c r="K160" s="12">
        <v>3</v>
      </c>
      <c r="L160" s="12">
        <v>10</v>
      </c>
      <c r="M160" s="16">
        <f t="shared" si="7"/>
        <v>13</v>
      </c>
      <c r="N160" s="12">
        <v>13</v>
      </c>
      <c r="O160" s="12">
        <v>2</v>
      </c>
      <c r="P160" s="12">
        <v>10</v>
      </c>
      <c r="Q160" s="12">
        <v>0</v>
      </c>
      <c r="R160" s="12">
        <v>3</v>
      </c>
      <c r="S160" s="16">
        <v>0</v>
      </c>
      <c r="T160" s="12">
        <v>86</v>
      </c>
      <c r="U160" s="12" t="s">
        <v>68</v>
      </c>
      <c r="W160" s="10" t="str">
        <f t="shared" si="8"/>
        <v>&lt;tr&gt;&lt;td&gt;Bobby Aulakh&lt;/td&gt;&lt;td&gt;FRC&lt;/td&gt;&lt;td&gt;7&lt;/td&gt;&lt;td&gt;27&lt;/td&gt;&lt;td&gt;3.857&lt;/td&gt;&lt;td&gt;10&lt;/td&gt;&lt;td&gt;32&lt;/td&gt;&lt;td&gt;0.313&lt;/td&gt;&lt;td&gt;7&lt;/td&gt;&lt;td&gt;20&lt;/td&gt;&lt;td&gt;0.350&lt;/td&gt;&lt;td&gt;0&lt;/td&gt;&lt;td&gt;0&lt;/td&gt;&lt;td&gt;0.000&lt;/td&gt;&lt;td&gt;3&lt;/td&gt;&lt;td&gt;10&lt;/td&gt;&lt;td&gt;13&lt;/td&gt;&lt;td&gt;1.857&lt;/td&gt;&lt;td&gt;2&lt;/td&gt;&lt;td&gt;0.286&lt;/td&gt;&lt;td&gt;3&lt;/td&gt;&lt;td&gt;0.429&lt;/td&gt;&lt;td&gt;0&lt;/td&gt;&lt;td&gt;0.000&lt;/td&gt;&lt;/tr&gt;</v>
      </c>
    </row>
    <row r="161" spans="1:23" x14ac:dyDescent="0.25">
      <c r="A161" s="10">
        <v>14</v>
      </c>
      <c r="B161" s="12" t="s">
        <v>426</v>
      </c>
      <c r="C161" s="12">
        <v>5</v>
      </c>
      <c r="D161" s="12">
        <v>12</v>
      </c>
      <c r="E161" s="12">
        <v>34</v>
      </c>
      <c r="F161" s="12">
        <v>0</v>
      </c>
      <c r="G161" s="12">
        <v>0</v>
      </c>
      <c r="H161" s="12">
        <v>3</v>
      </c>
      <c r="I161" s="12">
        <v>11</v>
      </c>
      <c r="J161" s="16">
        <f t="shared" si="6"/>
        <v>27</v>
      </c>
      <c r="K161" s="12">
        <v>26</v>
      </c>
      <c r="L161" s="12">
        <v>26</v>
      </c>
      <c r="M161" s="16">
        <f t="shared" si="7"/>
        <v>52</v>
      </c>
      <c r="N161" s="12">
        <v>14</v>
      </c>
      <c r="O161" s="12">
        <v>2</v>
      </c>
      <c r="P161" s="12">
        <v>13</v>
      </c>
      <c r="Q161" s="12">
        <v>2</v>
      </c>
      <c r="R161" s="12">
        <v>8</v>
      </c>
      <c r="S161" s="16">
        <v>0</v>
      </c>
      <c r="T161" s="12">
        <v>112</v>
      </c>
      <c r="U161" s="12" t="s">
        <v>66</v>
      </c>
      <c r="W161" s="10" t="str">
        <f t="shared" si="8"/>
        <v>&lt;tr&gt;&lt;td&gt;Tinufe Fola-Bolumole&lt;/td&gt;&lt;td&gt;SRSS&lt;/td&gt;&lt;td&gt;5&lt;/td&gt;&lt;td&gt;27&lt;/td&gt;&lt;td&gt;5.400&lt;/td&gt;&lt;td&gt;12&lt;/td&gt;&lt;td&gt;34&lt;/td&gt;&lt;td&gt;0.353&lt;/td&gt;&lt;td&gt;0&lt;/td&gt;&lt;td&gt;0&lt;/td&gt;&lt;td&gt;0.000&lt;/td&gt;&lt;td&gt;3&lt;/td&gt;&lt;td&gt;11&lt;/td&gt;&lt;td&gt;0.273&lt;/td&gt;&lt;td&gt;26&lt;/td&gt;&lt;td&gt;26&lt;/td&gt;&lt;td&gt;52&lt;/td&gt;&lt;td&gt;10.400&lt;/td&gt;&lt;td&gt;2&lt;/td&gt;&lt;td&gt;0.400&lt;/td&gt;&lt;td&gt;8&lt;/td&gt;&lt;td&gt;1.600&lt;/td&gt;&lt;td&gt;2&lt;/td&gt;&lt;td&gt;0.400&lt;/td&gt;&lt;/tr&gt;</v>
      </c>
    </row>
    <row r="162" spans="1:23" x14ac:dyDescent="0.25">
      <c r="A162" s="10">
        <v>5</v>
      </c>
      <c r="B162" s="12" t="s">
        <v>506</v>
      </c>
      <c r="C162" s="12">
        <v>14</v>
      </c>
      <c r="D162" s="12">
        <v>10</v>
      </c>
      <c r="E162" s="12">
        <v>47</v>
      </c>
      <c r="F162" s="12">
        <v>3</v>
      </c>
      <c r="G162" s="12">
        <v>26</v>
      </c>
      <c r="H162" s="12">
        <v>3</v>
      </c>
      <c r="I162" s="12">
        <v>5</v>
      </c>
      <c r="J162" s="16">
        <f t="shared" si="6"/>
        <v>26</v>
      </c>
      <c r="K162" s="12">
        <v>12</v>
      </c>
      <c r="L162" s="12">
        <v>30</v>
      </c>
      <c r="M162" s="16">
        <f t="shared" si="7"/>
        <v>42</v>
      </c>
      <c r="N162" s="12">
        <v>12</v>
      </c>
      <c r="O162" s="12">
        <v>2</v>
      </c>
      <c r="P162" s="12">
        <v>34</v>
      </c>
      <c r="Q162" s="12">
        <v>0</v>
      </c>
      <c r="R162" s="12">
        <v>7</v>
      </c>
      <c r="S162" s="16">
        <v>0</v>
      </c>
      <c r="T162" s="12">
        <v>206</v>
      </c>
      <c r="U162" s="12" t="s">
        <v>7</v>
      </c>
      <c r="W162" s="10" t="str">
        <f t="shared" si="8"/>
        <v>&lt;tr&gt;&lt;td&gt;Mitchell Hologroski&lt;/td&gt;&lt;td&gt;MBCI&lt;/td&gt;&lt;td&gt;14&lt;/td&gt;&lt;td&gt;26&lt;/td&gt;&lt;td&gt;1.857&lt;/td&gt;&lt;td&gt;10&lt;/td&gt;&lt;td&gt;47&lt;/td&gt;&lt;td&gt;0.213&lt;/td&gt;&lt;td&gt;3&lt;/td&gt;&lt;td&gt;26&lt;/td&gt;&lt;td&gt;0.115&lt;/td&gt;&lt;td&gt;3&lt;/td&gt;&lt;td&gt;5&lt;/td&gt;&lt;td&gt;0.600&lt;/td&gt;&lt;td&gt;12&lt;/td&gt;&lt;td&gt;30&lt;/td&gt;&lt;td&gt;42&lt;/td&gt;&lt;td&gt;3.000&lt;/td&gt;&lt;td&gt;2&lt;/td&gt;&lt;td&gt;0.143&lt;/td&gt;&lt;td&gt;7&lt;/td&gt;&lt;td&gt;0.500&lt;/td&gt;&lt;td&gt;0&lt;/td&gt;&lt;td&gt;0.000&lt;/td&gt;&lt;/tr&gt;</v>
      </c>
    </row>
    <row r="163" spans="1:23" x14ac:dyDescent="0.25">
      <c r="A163" s="10">
        <v>12</v>
      </c>
      <c r="B163" s="12" t="s">
        <v>510</v>
      </c>
      <c r="C163" s="12">
        <v>12</v>
      </c>
      <c r="D163" s="12">
        <v>10</v>
      </c>
      <c r="E163" s="12">
        <v>27</v>
      </c>
      <c r="F163" s="12">
        <v>4</v>
      </c>
      <c r="G163" s="12">
        <v>18</v>
      </c>
      <c r="H163" s="12">
        <v>2</v>
      </c>
      <c r="I163" s="12">
        <v>2</v>
      </c>
      <c r="J163" s="16">
        <f t="shared" si="6"/>
        <v>26</v>
      </c>
      <c r="K163" s="12">
        <v>5</v>
      </c>
      <c r="L163" s="12">
        <v>7</v>
      </c>
      <c r="M163" s="16">
        <f t="shared" si="7"/>
        <v>12</v>
      </c>
      <c r="N163" s="12">
        <v>0</v>
      </c>
      <c r="O163" s="12">
        <v>2</v>
      </c>
      <c r="P163" s="12">
        <v>9</v>
      </c>
      <c r="Q163" s="12">
        <v>0</v>
      </c>
      <c r="R163" s="12">
        <v>2</v>
      </c>
      <c r="S163" s="16">
        <v>0</v>
      </c>
      <c r="T163" s="12">
        <v>90</v>
      </c>
      <c r="U163" s="12" t="s">
        <v>7</v>
      </c>
      <c r="W163" s="10" t="str">
        <f t="shared" si="8"/>
        <v>&lt;tr&gt;&lt;td&gt;Justin Lange&lt;/td&gt;&lt;td&gt;MBCI&lt;/td&gt;&lt;td&gt;12&lt;/td&gt;&lt;td&gt;26&lt;/td&gt;&lt;td&gt;2.167&lt;/td&gt;&lt;td&gt;10&lt;/td&gt;&lt;td&gt;27&lt;/td&gt;&lt;td&gt;0.370&lt;/td&gt;&lt;td&gt;4&lt;/td&gt;&lt;td&gt;18&lt;/td&gt;&lt;td&gt;0.222&lt;/td&gt;&lt;td&gt;2&lt;/td&gt;&lt;td&gt;2&lt;/td&gt;&lt;td&gt;1.000&lt;/td&gt;&lt;td&gt;5&lt;/td&gt;&lt;td&gt;7&lt;/td&gt;&lt;td&gt;12&lt;/td&gt;&lt;td&gt;1.000&lt;/td&gt;&lt;td&gt;2&lt;/td&gt;&lt;td&gt;0.167&lt;/td&gt;&lt;td&gt;2&lt;/td&gt;&lt;td&gt;0.167&lt;/td&gt;&lt;td&gt;0&lt;/td&gt;&lt;td&gt;0.000&lt;/td&gt;&lt;/tr&gt;</v>
      </c>
    </row>
    <row r="164" spans="1:23" x14ac:dyDescent="0.25">
      <c r="A164" s="10">
        <v>4</v>
      </c>
      <c r="B164" s="12" t="s">
        <v>410</v>
      </c>
      <c r="C164" s="12">
        <v>8</v>
      </c>
      <c r="D164" s="12">
        <v>9</v>
      </c>
      <c r="E164" s="12">
        <v>28</v>
      </c>
      <c r="F164" s="12">
        <v>3</v>
      </c>
      <c r="G164" s="12">
        <v>8</v>
      </c>
      <c r="H164" s="12">
        <v>5</v>
      </c>
      <c r="I164" s="12">
        <v>10</v>
      </c>
      <c r="J164" s="16">
        <f t="shared" si="6"/>
        <v>26</v>
      </c>
      <c r="K164" s="12">
        <v>12</v>
      </c>
      <c r="L164" s="12">
        <v>18</v>
      </c>
      <c r="M164" s="16">
        <f t="shared" si="7"/>
        <v>30</v>
      </c>
      <c r="N164" s="12">
        <v>12</v>
      </c>
      <c r="O164" s="12">
        <v>5</v>
      </c>
      <c r="P164" s="12">
        <v>6</v>
      </c>
      <c r="Q164" s="12">
        <v>2</v>
      </c>
      <c r="R164" s="12">
        <v>4</v>
      </c>
      <c r="S164" s="16">
        <v>0</v>
      </c>
      <c r="T164" s="12">
        <v>97</v>
      </c>
      <c r="U164" s="12" t="s">
        <v>43</v>
      </c>
      <c r="W164" s="10" t="str">
        <f t="shared" si="8"/>
        <v>&lt;tr&gt;&lt;td&gt;Kahvi Dennis&lt;/td&gt;&lt;td&gt;KEC&lt;/td&gt;&lt;td&gt;8&lt;/td&gt;&lt;td&gt;26&lt;/td&gt;&lt;td&gt;3.250&lt;/td&gt;&lt;td&gt;9&lt;/td&gt;&lt;td&gt;28&lt;/td&gt;&lt;td&gt;0.321&lt;/td&gt;&lt;td&gt;3&lt;/td&gt;&lt;td&gt;8&lt;/td&gt;&lt;td&gt;0.375&lt;/td&gt;&lt;td&gt;5&lt;/td&gt;&lt;td&gt;10&lt;/td&gt;&lt;td&gt;0.500&lt;/td&gt;&lt;td&gt;12&lt;/td&gt;&lt;td&gt;18&lt;/td&gt;&lt;td&gt;30&lt;/td&gt;&lt;td&gt;3.750&lt;/td&gt;&lt;td&gt;5&lt;/td&gt;&lt;td&gt;0.625&lt;/td&gt;&lt;td&gt;4&lt;/td&gt;&lt;td&gt;0.500&lt;/td&gt;&lt;td&gt;2&lt;/td&gt;&lt;td&gt;0.250&lt;/td&gt;&lt;/tr&gt;</v>
      </c>
    </row>
    <row r="165" spans="1:23" x14ac:dyDescent="0.25">
      <c r="A165" s="10">
        <v>3</v>
      </c>
      <c r="B165" s="12" t="s">
        <v>409</v>
      </c>
      <c r="C165" s="12">
        <v>5</v>
      </c>
      <c r="D165" s="12">
        <v>9</v>
      </c>
      <c r="E165" s="12">
        <v>23</v>
      </c>
      <c r="F165" s="12">
        <v>6</v>
      </c>
      <c r="G165" s="12">
        <v>14</v>
      </c>
      <c r="H165" s="12">
        <v>2</v>
      </c>
      <c r="I165" s="12">
        <v>2</v>
      </c>
      <c r="J165" s="16">
        <f t="shared" si="6"/>
        <v>26</v>
      </c>
      <c r="K165" s="12">
        <v>5</v>
      </c>
      <c r="L165" s="12">
        <v>7</v>
      </c>
      <c r="M165" s="16">
        <f t="shared" si="7"/>
        <v>12</v>
      </c>
      <c r="N165" s="12">
        <v>4</v>
      </c>
      <c r="O165" s="12">
        <v>2</v>
      </c>
      <c r="P165" s="12">
        <v>5</v>
      </c>
      <c r="Q165" s="12">
        <v>1</v>
      </c>
      <c r="R165" s="12">
        <v>4</v>
      </c>
      <c r="S165" s="16">
        <v>0</v>
      </c>
      <c r="T165" s="12">
        <v>60</v>
      </c>
      <c r="U165" s="12" t="s">
        <v>43</v>
      </c>
      <c r="W165" s="10" t="str">
        <f t="shared" si="8"/>
        <v>&lt;tr&gt;&lt;td&gt;Muneer Mohammoud&lt;/td&gt;&lt;td&gt;KEC&lt;/td&gt;&lt;td&gt;5&lt;/td&gt;&lt;td&gt;26&lt;/td&gt;&lt;td&gt;5.200&lt;/td&gt;&lt;td&gt;9&lt;/td&gt;&lt;td&gt;23&lt;/td&gt;&lt;td&gt;0.391&lt;/td&gt;&lt;td&gt;6&lt;/td&gt;&lt;td&gt;14&lt;/td&gt;&lt;td&gt;0.429&lt;/td&gt;&lt;td&gt;2&lt;/td&gt;&lt;td&gt;2&lt;/td&gt;&lt;td&gt;1.000&lt;/td&gt;&lt;td&gt;5&lt;/td&gt;&lt;td&gt;7&lt;/td&gt;&lt;td&gt;12&lt;/td&gt;&lt;td&gt;2.400&lt;/td&gt;&lt;td&gt;2&lt;/td&gt;&lt;td&gt;0.400&lt;/td&gt;&lt;td&gt;4&lt;/td&gt;&lt;td&gt;0.800&lt;/td&gt;&lt;td&gt;1&lt;/td&gt;&lt;td&gt;0.200&lt;/td&gt;&lt;/tr&gt;</v>
      </c>
    </row>
    <row r="166" spans="1:23" x14ac:dyDescent="0.25">
      <c r="A166" s="10">
        <v>7</v>
      </c>
      <c r="B166" s="12" t="s">
        <v>462</v>
      </c>
      <c r="C166" s="12">
        <v>5</v>
      </c>
      <c r="D166" s="12">
        <v>9</v>
      </c>
      <c r="E166" s="12">
        <v>33</v>
      </c>
      <c r="F166" s="12">
        <v>1</v>
      </c>
      <c r="G166" s="12">
        <v>6</v>
      </c>
      <c r="H166" s="12">
        <v>7</v>
      </c>
      <c r="I166" s="12">
        <v>17</v>
      </c>
      <c r="J166" s="16">
        <f t="shared" si="6"/>
        <v>26</v>
      </c>
      <c r="K166" s="12">
        <v>11</v>
      </c>
      <c r="L166" s="12">
        <v>7</v>
      </c>
      <c r="M166" s="16">
        <f t="shared" si="7"/>
        <v>18</v>
      </c>
      <c r="N166" s="12">
        <v>8</v>
      </c>
      <c r="O166" s="12">
        <v>3</v>
      </c>
      <c r="P166" s="12">
        <v>24</v>
      </c>
      <c r="Q166" s="12">
        <v>2</v>
      </c>
      <c r="R166" s="12">
        <v>6</v>
      </c>
      <c r="S166" s="16">
        <v>0</v>
      </c>
      <c r="T166" s="12">
        <v>146</v>
      </c>
      <c r="U166" s="12" t="s">
        <v>98</v>
      </c>
      <c r="W166" s="10" t="str">
        <f t="shared" si="8"/>
        <v>&lt;tr&gt;&lt;td&gt;Nok Hang Choy&lt;/td&gt;&lt;td&gt;WWC&lt;/td&gt;&lt;td&gt;5&lt;/td&gt;&lt;td&gt;26&lt;/td&gt;&lt;td&gt;5.200&lt;/td&gt;&lt;td&gt;9&lt;/td&gt;&lt;td&gt;33&lt;/td&gt;&lt;td&gt;0.273&lt;/td&gt;&lt;td&gt;1&lt;/td&gt;&lt;td&gt;6&lt;/td&gt;&lt;td&gt;0.167&lt;/td&gt;&lt;td&gt;7&lt;/td&gt;&lt;td&gt;17&lt;/td&gt;&lt;td&gt;0.412&lt;/td&gt;&lt;td&gt;11&lt;/td&gt;&lt;td&gt;7&lt;/td&gt;&lt;td&gt;18&lt;/td&gt;&lt;td&gt;3.600&lt;/td&gt;&lt;td&gt;3&lt;/td&gt;&lt;td&gt;0.600&lt;/td&gt;&lt;td&gt;6&lt;/td&gt;&lt;td&gt;1.200&lt;/td&gt;&lt;td&gt;2&lt;/td&gt;&lt;td&gt;0.400&lt;/td&gt;&lt;/tr&gt;</v>
      </c>
    </row>
    <row r="167" spans="1:23" x14ac:dyDescent="0.25">
      <c r="A167" s="10">
        <v>9</v>
      </c>
      <c r="B167" s="12" t="s">
        <v>680</v>
      </c>
      <c r="C167" s="12">
        <v>4</v>
      </c>
      <c r="D167" s="12">
        <v>12</v>
      </c>
      <c r="E167" s="12">
        <v>34</v>
      </c>
      <c r="F167" s="12">
        <v>2</v>
      </c>
      <c r="G167" s="12">
        <v>10</v>
      </c>
      <c r="H167" s="12">
        <v>0</v>
      </c>
      <c r="I167" s="12">
        <v>0</v>
      </c>
      <c r="J167" s="16">
        <f t="shared" si="6"/>
        <v>26</v>
      </c>
      <c r="K167" s="12">
        <v>10</v>
      </c>
      <c r="L167" s="12">
        <v>6</v>
      </c>
      <c r="M167" s="16">
        <f t="shared" si="7"/>
        <v>16</v>
      </c>
      <c r="N167" s="12">
        <v>9</v>
      </c>
      <c r="O167" s="12">
        <v>2</v>
      </c>
      <c r="P167" s="12">
        <v>5</v>
      </c>
      <c r="Q167" s="12">
        <v>0</v>
      </c>
      <c r="R167" s="12">
        <v>0</v>
      </c>
      <c r="S167" s="16">
        <v>0</v>
      </c>
      <c r="T167" s="12">
        <v>66</v>
      </c>
      <c r="U167" s="12" t="s">
        <v>82</v>
      </c>
      <c r="W167" s="10" t="str">
        <f t="shared" si="8"/>
        <v>&lt;tr&gt;&lt;td&gt;Nathan Leitao&lt;/td&gt;&lt;td&gt;DMCI&lt;/td&gt;&lt;td&gt;4&lt;/td&gt;&lt;td&gt;26&lt;/td&gt;&lt;td&gt;6.500&lt;/td&gt;&lt;td&gt;12&lt;/td&gt;&lt;td&gt;34&lt;/td&gt;&lt;td&gt;0.353&lt;/td&gt;&lt;td&gt;2&lt;/td&gt;&lt;td&gt;10&lt;/td&gt;&lt;td&gt;0.200&lt;/td&gt;&lt;td&gt;0&lt;/td&gt;&lt;td&gt;0&lt;/td&gt;&lt;td&gt;0.000&lt;/td&gt;&lt;td&gt;10&lt;/td&gt;&lt;td&gt;6&lt;/td&gt;&lt;td&gt;16&lt;/td&gt;&lt;td&gt;4.000&lt;/td&gt;&lt;td&gt;2&lt;/td&gt;&lt;td&gt;0.500&lt;/td&gt;&lt;td&gt;0&lt;/td&gt;&lt;td&gt;0.000&lt;/td&gt;&lt;td&gt;0&lt;/td&gt;&lt;td&gt;0.000&lt;/td&gt;&lt;/tr&gt;</v>
      </c>
    </row>
    <row r="168" spans="1:23" x14ac:dyDescent="0.25">
      <c r="A168" s="10">
        <v>12</v>
      </c>
      <c r="B168" s="12" t="s">
        <v>745</v>
      </c>
      <c r="C168" s="12">
        <v>3</v>
      </c>
      <c r="D168" s="12">
        <v>9</v>
      </c>
      <c r="E168" s="12">
        <v>24</v>
      </c>
      <c r="F168" s="12">
        <v>7</v>
      </c>
      <c r="G168" s="12">
        <v>17</v>
      </c>
      <c r="H168" s="12">
        <v>1</v>
      </c>
      <c r="I168" s="12">
        <v>1</v>
      </c>
      <c r="J168" s="16">
        <f t="shared" si="6"/>
        <v>26</v>
      </c>
      <c r="K168" s="12">
        <v>5</v>
      </c>
      <c r="L168" s="12">
        <v>12</v>
      </c>
      <c r="M168" s="16">
        <f t="shared" si="7"/>
        <v>17</v>
      </c>
      <c r="N168" s="12">
        <v>2</v>
      </c>
      <c r="O168" s="12">
        <v>5</v>
      </c>
      <c r="P168" s="12">
        <v>3</v>
      </c>
      <c r="Q168" s="12">
        <v>2</v>
      </c>
      <c r="R168" s="12">
        <v>3</v>
      </c>
      <c r="S168" s="16">
        <v>0</v>
      </c>
      <c r="T168" s="12">
        <v>76</v>
      </c>
      <c r="U168" s="12" t="s">
        <v>76</v>
      </c>
      <c r="W168" s="10" t="str">
        <f t="shared" si="8"/>
        <v>&lt;tr&gt;&lt;td&gt;Jerome Santoyo&lt;/td&gt;&lt;td&gt;SiHS&lt;/td&gt;&lt;td&gt;3&lt;/td&gt;&lt;td&gt;26&lt;/td&gt;&lt;td&gt;8.667&lt;/td&gt;&lt;td&gt;9&lt;/td&gt;&lt;td&gt;24&lt;/td&gt;&lt;td&gt;0.375&lt;/td&gt;&lt;td&gt;7&lt;/td&gt;&lt;td&gt;17&lt;/td&gt;&lt;td&gt;0.412&lt;/td&gt;&lt;td&gt;1&lt;/td&gt;&lt;td&gt;1&lt;/td&gt;&lt;td&gt;1.000&lt;/td&gt;&lt;td&gt;5&lt;/td&gt;&lt;td&gt;12&lt;/td&gt;&lt;td&gt;17&lt;/td&gt;&lt;td&gt;5.667&lt;/td&gt;&lt;td&gt;5&lt;/td&gt;&lt;td&gt;1.667&lt;/td&gt;&lt;td&gt;3&lt;/td&gt;&lt;td&gt;1.000&lt;/td&gt;&lt;td&gt;2&lt;/td&gt;&lt;td&gt;0.667&lt;/td&gt;&lt;/tr&gt;</v>
      </c>
    </row>
    <row r="169" spans="1:23" x14ac:dyDescent="0.25">
      <c r="A169" s="10">
        <v>1</v>
      </c>
      <c r="B169" s="12" t="s">
        <v>672</v>
      </c>
      <c r="C169" s="12">
        <v>7</v>
      </c>
      <c r="D169" s="12">
        <v>9</v>
      </c>
      <c r="E169" s="12">
        <v>34</v>
      </c>
      <c r="F169" s="12">
        <v>5</v>
      </c>
      <c r="G169" s="12">
        <v>20</v>
      </c>
      <c r="H169" s="12">
        <v>2</v>
      </c>
      <c r="I169" s="12">
        <v>6</v>
      </c>
      <c r="J169" s="16">
        <f t="shared" si="6"/>
        <v>25</v>
      </c>
      <c r="K169" s="12">
        <v>3</v>
      </c>
      <c r="L169" s="12">
        <v>8</v>
      </c>
      <c r="M169" s="16">
        <f t="shared" si="7"/>
        <v>11</v>
      </c>
      <c r="N169" s="12">
        <v>7</v>
      </c>
      <c r="O169" s="12">
        <v>2</v>
      </c>
      <c r="P169" s="12">
        <v>6</v>
      </c>
      <c r="Q169" s="12">
        <v>0</v>
      </c>
      <c r="R169" s="12">
        <v>7</v>
      </c>
      <c r="S169" s="16">
        <v>0</v>
      </c>
      <c r="T169" s="12">
        <v>90</v>
      </c>
      <c r="U169" s="12" t="s">
        <v>82</v>
      </c>
      <c r="W169" s="10" t="str">
        <f t="shared" si="8"/>
        <v>&lt;tr&gt;&lt;td&gt;Neil Cruz&lt;/td&gt;&lt;td&gt;DMCI&lt;/td&gt;&lt;td&gt;7&lt;/td&gt;&lt;td&gt;25&lt;/td&gt;&lt;td&gt;3.571&lt;/td&gt;&lt;td&gt;9&lt;/td&gt;&lt;td&gt;34&lt;/td&gt;&lt;td&gt;0.265&lt;/td&gt;&lt;td&gt;5&lt;/td&gt;&lt;td&gt;20&lt;/td&gt;&lt;td&gt;0.250&lt;/td&gt;&lt;td&gt;2&lt;/td&gt;&lt;td&gt;6&lt;/td&gt;&lt;td&gt;0.333&lt;/td&gt;&lt;td&gt;3&lt;/td&gt;&lt;td&gt;8&lt;/td&gt;&lt;td&gt;11&lt;/td&gt;&lt;td&gt;1.571&lt;/td&gt;&lt;td&gt;2&lt;/td&gt;&lt;td&gt;0.286&lt;/td&gt;&lt;td&gt;7&lt;/td&gt;&lt;td&gt;1.000&lt;/td&gt;&lt;td&gt;0&lt;/td&gt;&lt;td&gt;0.000&lt;/td&gt;&lt;/tr&gt;</v>
      </c>
    </row>
    <row r="170" spans="1:23" x14ac:dyDescent="0.25">
      <c r="A170" s="10">
        <v>15</v>
      </c>
      <c r="B170" s="12" t="s">
        <v>700</v>
      </c>
      <c r="C170" s="12">
        <v>6</v>
      </c>
      <c r="D170" s="12">
        <v>11</v>
      </c>
      <c r="E170" s="12">
        <v>29</v>
      </c>
      <c r="F170" s="12">
        <v>1</v>
      </c>
      <c r="G170" s="12">
        <v>4</v>
      </c>
      <c r="H170" s="12">
        <v>2</v>
      </c>
      <c r="I170" s="12">
        <v>2</v>
      </c>
      <c r="J170" s="16">
        <f t="shared" si="6"/>
        <v>25</v>
      </c>
      <c r="K170" s="12">
        <v>7</v>
      </c>
      <c r="L170" s="12">
        <v>5</v>
      </c>
      <c r="M170" s="16">
        <f t="shared" si="7"/>
        <v>12</v>
      </c>
      <c r="N170" s="12">
        <v>8</v>
      </c>
      <c r="O170" s="12">
        <v>6</v>
      </c>
      <c r="P170" s="12">
        <v>4</v>
      </c>
      <c r="Q170" s="12">
        <v>3</v>
      </c>
      <c r="R170" s="12">
        <v>4</v>
      </c>
      <c r="S170" s="16">
        <v>0</v>
      </c>
      <c r="T170" s="12">
        <v>77</v>
      </c>
      <c r="U170" s="12" t="s">
        <v>78</v>
      </c>
      <c r="W170" s="10" t="str">
        <f t="shared" si="8"/>
        <v>&lt;tr&gt;&lt;td&gt;Austin Mattes&lt;/td&gt;&lt;td&gt;SPHS&lt;/td&gt;&lt;td&gt;6&lt;/td&gt;&lt;td&gt;25&lt;/td&gt;&lt;td&gt;4.167&lt;/td&gt;&lt;td&gt;11&lt;/td&gt;&lt;td&gt;29&lt;/td&gt;&lt;td&gt;0.379&lt;/td&gt;&lt;td&gt;1&lt;/td&gt;&lt;td&gt;4&lt;/td&gt;&lt;td&gt;0.250&lt;/td&gt;&lt;td&gt;2&lt;/td&gt;&lt;td&gt;2&lt;/td&gt;&lt;td&gt;1.000&lt;/td&gt;&lt;td&gt;7&lt;/td&gt;&lt;td&gt;5&lt;/td&gt;&lt;td&gt;12&lt;/td&gt;&lt;td&gt;2.000&lt;/td&gt;&lt;td&gt;6&lt;/td&gt;&lt;td&gt;1.000&lt;/td&gt;&lt;td&gt;4&lt;/td&gt;&lt;td&gt;0.667&lt;/td&gt;&lt;td&gt;3&lt;/td&gt;&lt;td&gt;0.500&lt;/td&gt;&lt;/tr&gt;</v>
      </c>
    </row>
    <row r="171" spans="1:23" x14ac:dyDescent="0.25">
      <c r="A171" s="10">
        <v>22</v>
      </c>
      <c r="B171" s="12" t="s">
        <v>750</v>
      </c>
      <c r="C171" s="12">
        <v>3</v>
      </c>
      <c r="D171" s="12">
        <v>11</v>
      </c>
      <c r="E171" s="12">
        <v>20</v>
      </c>
      <c r="F171" s="12">
        <v>1</v>
      </c>
      <c r="G171" s="12">
        <v>2</v>
      </c>
      <c r="H171" s="12">
        <v>2</v>
      </c>
      <c r="I171" s="12">
        <v>9</v>
      </c>
      <c r="J171" s="16">
        <f t="shared" si="6"/>
        <v>25</v>
      </c>
      <c r="K171" s="12">
        <v>9</v>
      </c>
      <c r="L171" s="12">
        <v>15</v>
      </c>
      <c r="M171" s="16">
        <f t="shared" si="7"/>
        <v>24</v>
      </c>
      <c r="N171" s="12">
        <v>5</v>
      </c>
      <c r="O171" s="12">
        <v>0</v>
      </c>
      <c r="P171" s="12">
        <v>5</v>
      </c>
      <c r="Q171" s="12">
        <v>1</v>
      </c>
      <c r="R171" s="12">
        <v>2</v>
      </c>
      <c r="S171" s="16">
        <v>0</v>
      </c>
      <c r="T171" s="12">
        <v>62</v>
      </c>
      <c r="U171" s="12" t="s">
        <v>76</v>
      </c>
      <c r="W171" s="10" t="str">
        <f t="shared" si="8"/>
        <v>&lt;tr&gt;&lt;td&gt;Sahibdeep Sekhon&lt;/td&gt;&lt;td&gt;SiHS&lt;/td&gt;&lt;td&gt;3&lt;/td&gt;&lt;td&gt;25&lt;/td&gt;&lt;td&gt;8.333&lt;/td&gt;&lt;td&gt;11&lt;/td&gt;&lt;td&gt;20&lt;/td&gt;&lt;td&gt;0.550&lt;/td&gt;&lt;td&gt;1&lt;/td&gt;&lt;td&gt;2&lt;/td&gt;&lt;td&gt;0.500&lt;/td&gt;&lt;td&gt;2&lt;/td&gt;&lt;td&gt;9&lt;/td&gt;&lt;td&gt;0.222&lt;/td&gt;&lt;td&gt;9&lt;/td&gt;&lt;td&gt;15&lt;/td&gt;&lt;td&gt;24&lt;/td&gt;&lt;td&gt;8.000&lt;/td&gt;&lt;td&gt;0&lt;/td&gt;&lt;td&gt;0.000&lt;/td&gt;&lt;td&gt;2&lt;/td&gt;&lt;td&gt;0.667&lt;/td&gt;&lt;td&gt;1&lt;/td&gt;&lt;td&gt;0.333&lt;/td&gt;&lt;/tr&gt;</v>
      </c>
    </row>
    <row r="172" spans="1:23" x14ac:dyDescent="0.25">
      <c r="A172" s="10">
        <v>7</v>
      </c>
      <c r="B172" s="12" t="s">
        <v>391</v>
      </c>
      <c r="C172" s="12">
        <v>3</v>
      </c>
      <c r="D172" s="12">
        <v>9</v>
      </c>
      <c r="E172" s="12">
        <v>20</v>
      </c>
      <c r="F172" s="12">
        <v>4</v>
      </c>
      <c r="G172" s="12">
        <v>14</v>
      </c>
      <c r="H172" s="12">
        <v>3</v>
      </c>
      <c r="I172" s="12">
        <v>5</v>
      </c>
      <c r="J172" s="16">
        <f t="shared" si="6"/>
        <v>25</v>
      </c>
      <c r="K172" s="12">
        <v>5</v>
      </c>
      <c r="L172" s="12">
        <v>4</v>
      </c>
      <c r="M172" s="16">
        <f t="shared" si="7"/>
        <v>9</v>
      </c>
      <c r="N172" s="12">
        <v>2</v>
      </c>
      <c r="O172" s="12">
        <v>4</v>
      </c>
      <c r="P172" s="12">
        <v>17</v>
      </c>
      <c r="Q172" s="12">
        <v>0</v>
      </c>
      <c r="R172" s="12">
        <v>5</v>
      </c>
      <c r="S172" s="16">
        <v>0</v>
      </c>
      <c r="T172" s="12">
        <v>67</v>
      </c>
      <c r="U172" s="12" t="s">
        <v>164</v>
      </c>
      <c r="W172" s="10" t="str">
        <f t="shared" si="8"/>
        <v>&lt;tr&gt;&lt;td&gt;Carson Nickel&lt;/td&gt;&lt;td&gt;GVC&lt;/td&gt;&lt;td&gt;3&lt;/td&gt;&lt;td&gt;25&lt;/td&gt;&lt;td&gt;8.333&lt;/td&gt;&lt;td&gt;9&lt;/td&gt;&lt;td&gt;20&lt;/td&gt;&lt;td&gt;0.450&lt;/td&gt;&lt;td&gt;4&lt;/td&gt;&lt;td&gt;14&lt;/td&gt;&lt;td&gt;0.286&lt;/td&gt;&lt;td&gt;3&lt;/td&gt;&lt;td&gt;5&lt;/td&gt;&lt;td&gt;0.600&lt;/td&gt;&lt;td&gt;5&lt;/td&gt;&lt;td&gt;4&lt;/td&gt;&lt;td&gt;9&lt;/td&gt;&lt;td&gt;3.000&lt;/td&gt;&lt;td&gt;4&lt;/td&gt;&lt;td&gt;1.333&lt;/td&gt;&lt;td&gt;5&lt;/td&gt;&lt;td&gt;1.667&lt;/td&gt;&lt;td&gt;0&lt;/td&gt;&lt;td&gt;0.000&lt;/td&gt;&lt;/tr&gt;</v>
      </c>
    </row>
    <row r="173" spans="1:23" x14ac:dyDescent="0.25">
      <c r="A173" s="10">
        <v>3</v>
      </c>
      <c r="B173" s="12" t="s">
        <v>528</v>
      </c>
      <c r="C173" s="12">
        <v>8</v>
      </c>
      <c r="D173" s="12">
        <v>9</v>
      </c>
      <c r="E173" s="12">
        <v>27</v>
      </c>
      <c r="F173" s="12">
        <v>6</v>
      </c>
      <c r="G173" s="12">
        <v>16</v>
      </c>
      <c r="H173" s="12">
        <v>0</v>
      </c>
      <c r="I173" s="12">
        <v>0</v>
      </c>
      <c r="J173" s="16">
        <f t="shared" si="6"/>
        <v>24</v>
      </c>
      <c r="K173" s="12">
        <v>3</v>
      </c>
      <c r="L173" s="12">
        <v>10</v>
      </c>
      <c r="M173" s="16">
        <f t="shared" si="7"/>
        <v>13</v>
      </c>
      <c r="N173" s="12">
        <v>9</v>
      </c>
      <c r="O173" s="12">
        <v>5</v>
      </c>
      <c r="P173" s="12">
        <v>20</v>
      </c>
      <c r="Q173" s="12">
        <v>0</v>
      </c>
      <c r="R173" s="12">
        <v>4</v>
      </c>
      <c r="S173" s="16">
        <v>0</v>
      </c>
      <c r="T173" s="12">
        <v>102</v>
      </c>
      <c r="U173" s="12" t="s">
        <v>68</v>
      </c>
      <c r="W173" s="10" t="str">
        <f t="shared" si="8"/>
        <v>&lt;tr&gt;&lt;td&gt;Foebas dela Paz&lt;/td&gt;&lt;td&gt;FRC&lt;/td&gt;&lt;td&gt;8&lt;/td&gt;&lt;td&gt;24&lt;/td&gt;&lt;td&gt;3.000&lt;/td&gt;&lt;td&gt;9&lt;/td&gt;&lt;td&gt;27&lt;/td&gt;&lt;td&gt;0.333&lt;/td&gt;&lt;td&gt;6&lt;/td&gt;&lt;td&gt;16&lt;/td&gt;&lt;td&gt;0.375&lt;/td&gt;&lt;td&gt;0&lt;/td&gt;&lt;td&gt;0&lt;/td&gt;&lt;td&gt;0.000&lt;/td&gt;&lt;td&gt;3&lt;/td&gt;&lt;td&gt;10&lt;/td&gt;&lt;td&gt;13&lt;/td&gt;&lt;td&gt;1.625&lt;/td&gt;&lt;td&gt;5&lt;/td&gt;&lt;td&gt;0.625&lt;/td&gt;&lt;td&gt;4&lt;/td&gt;&lt;td&gt;0.500&lt;/td&gt;&lt;td&gt;0&lt;/td&gt;&lt;td&gt;0.000&lt;/td&gt;&lt;/tr&gt;</v>
      </c>
    </row>
    <row r="174" spans="1:23" x14ac:dyDescent="0.25">
      <c r="A174" s="10">
        <v>30</v>
      </c>
      <c r="B174" s="12" t="s">
        <v>432</v>
      </c>
      <c r="C174" s="12">
        <v>5</v>
      </c>
      <c r="D174" s="12">
        <v>10</v>
      </c>
      <c r="E174" s="12">
        <v>23</v>
      </c>
      <c r="F174" s="12">
        <v>0</v>
      </c>
      <c r="G174" s="12">
        <v>0</v>
      </c>
      <c r="H174" s="12">
        <v>4</v>
      </c>
      <c r="I174" s="12">
        <v>9</v>
      </c>
      <c r="J174" s="16">
        <f t="shared" si="6"/>
        <v>24</v>
      </c>
      <c r="K174" s="12">
        <v>13</v>
      </c>
      <c r="L174" s="12">
        <v>11</v>
      </c>
      <c r="M174" s="16">
        <f t="shared" si="7"/>
        <v>24</v>
      </c>
      <c r="N174" s="12">
        <v>17</v>
      </c>
      <c r="O174" s="12">
        <v>0</v>
      </c>
      <c r="P174" s="12">
        <v>6</v>
      </c>
      <c r="Q174" s="12">
        <v>0</v>
      </c>
      <c r="R174" s="12">
        <v>4</v>
      </c>
      <c r="S174" s="16">
        <v>0</v>
      </c>
      <c r="T174" s="12">
        <v>78</v>
      </c>
      <c r="U174" s="12" t="s">
        <v>66</v>
      </c>
      <c r="W174" s="10" t="str">
        <f t="shared" si="8"/>
        <v>&lt;tr&gt;&lt;td&gt;Lucas Thiessen&lt;/td&gt;&lt;td&gt;SRSS&lt;/td&gt;&lt;td&gt;5&lt;/td&gt;&lt;td&gt;24&lt;/td&gt;&lt;td&gt;4.800&lt;/td&gt;&lt;td&gt;10&lt;/td&gt;&lt;td&gt;23&lt;/td&gt;&lt;td&gt;0.435&lt;/td&gt;&lt;td&gt;0&lt;/td&gt;&lt;td&gt;0&lt;/td&gt;&lt;td&gt;0.000&lt;/td&gt;&lt;td&gt;4&lt;/td&gt;&lt;td&gt;9&lt;/td&gt;&lt;td&gt;0.444&lt;/td&gt;&lt;td&gt;13&lt;/td&gt;&lt;td&gt;11&lt;/td&gt;&lt;td&gt;24&lt;/td&gt;&lt;td&gt;4.800&lt;/td&gt;&lt;td&gt;0&lt;/td&gt;&lt;td&gt;0.000&lt;/td&gt;&lt;td&gt;4&lt;/td&gt;&lt;td&gt;0.800&lt;/td&gt;&lt;td&gt;0&lt;/td&gt;&lt;td&gt;0.000&lt;/td&gt;&lt;/tr&gt;</v>
      </c>
    </row>
    <row r="175" spans="1:23" x14ac:dyDescent="0.25">
      <c r="A175" s="10">
        <v>3</v>
      </c>
      <c r="B175" s="12" t="s">
        <v>333</v>
      </c>
      <c r="C175" s="12">
        <v>5</v>
      </c>
      <c r="D175" s="12">
        <v>10</v>
      </c>
      <c r="E175" s="12">
        <v>26</v>
      </c>
      <c r="F175" s="12">
        <v>1</v>
      </c>
      <c r="G175" s="12">
        <v>6</v>
      </c>
      <c r="H175" s="12">
        <v>3</v>
      </c>
      <c r="I175" s="12">
        <v>11</v>
      </c>
      <c r="J175" s="16">
        <f t="shared" si="6"/>
        <v>24</v>
      </c>
      <c r="K175" s="12">
        <v>3</v>
      </c>
      <c r="L175" s="12">
        <v>11</v>
      </c>
      <c r="M175" s="16">
        <f t="shared" si="7"/>
        <v>14</v>
      </c>
      <c r="N175" s="12">
        <v>13</v>
      </c>
      <c r="O175" s="12">
        <v>4</v>
      </c>
      <c r="P175" s="12">
        <v>9</v>
      </c>
      <c r="Q175" s="12">
        <v>0</v>
      </c>
      <c r="R175" s="12">
        <v>5</v>
      </c>
      <c r="S175" s="16">
        <v>0</v>
      </c>
      <c r="T175" s="12">
        <v>84</v>
      </c>
      <c r="U175" s="12" t="s">
        <v>92</v>
      </c>
      <c r="W175" s="10" t="str">
        <f t="shared" si="8"/>
        <v>&lt;tr&gt;&lt;td&gt;Nathan Smith&lt;/td&gt;&lt;td&gt;SJHS&lt;/td&gt;&lt;td&gt;5&lt;/td&gt;&lt;td&gt;24&lt;/td&gt;&lt;td&gt;4.800&lt;/td&gt;&lt;td&gt;10&lt;/td&gt;&lt;td&gt;26&lt;/td&gt;&lt;td&gt;0.385&lt;/td&gt;&lt;td&gt;1&lt;/td&gt;&lt;td&gt;6&lt;/td&gt;&lt;td&gt;0.167&lt;/td&gt;&lt;td&gt;3&lt;/td&gt;&lt;td&gt;11&lt;/td&gt;&lt;td&gt;0.273&lt;/td&gt;&lt;td&gt;3&lt;/td&gt;&lt;td&gt;11&lt;/td&gt;&lt;td&gt;14&lt;/td&gt;&lt;td&gt;2.800&lt;/td&gt;&lt;td&gt;4&lt;/td&gt;&lt;td&gt;0.800&lt;/td&gt;&lt;td&gt;5&lt;/td&gt;&lt;td&gt;1.000&lt;/td&gt;&lt;td&gt;0&lt;/td&gt;&lt;td&gt;0.000&lt;/td&gt;&lt;/tr&gt;</v>
      </c>
    </row>
    <row r="176" spans="1:23" x14ac:dyDescent="0.25">
      <c r="A176" s="10">
        <v>14</v>
      </c>
      <c r="B176" s="12" t="s">
        <v>480</v>
      </c>
      <c r="C176" s="12">
        <v>5</v>
      </c>
      <c r="D176" s="12">
        <v>7</v>
      </c>
      <c r="E176" s="12">
        <v>25</v>
      </c>
      <c r="F176" s="12">
        <v>0</v>
      </c>
      <c r="G176" s="12">
        <v>0</v>
      </c>
      <c r="H176" s="12">
        <v>10</v>
      </c>
      <c r="I176" s="12">
        <v>25</v>
      </c>
      <c r="J176" s="16">
        <f t="shared" si="6"/>
        <v>24</v>
      </c>
      <c r="K176" s="12">
        <v>9</v>
      </c>
      <c r="L176" s="12">
        <v>18</v>
      </c>
      <c r="M176" s="16">
        <f t="shared" si="7"/>
        <v>27</v>
      </c>
      <c r="N176" s="12">
        <v>6</v>
      </c>
      <c r="O176" s="12">
        <v>3</v>
      </c>
      <c r="P176" s="12">
        <v>10</v>
      </c>
      <c r="Q176" s="12">
        <v>0</v>
      </c>
      <c r="R176" s="12">
        <v>9</v>
      </c>
      <c r="S176" s="16">
        <v>0</v>
      </c>
      <c r="T176" s="12">
        <v>103</v>
      </c>
      <c r="U176" s="12" t="s">
        <v>64</v>
      </c>
      <c r="W176" s="10" t="str">
        <f t="shared" si="8"/>
        <v>&lt;tr&gt;&lt;td&gt;Seth Cathers&lt;/td&gt;&lt;td&gt;JHB&lt;/td&gt;&lt;td&gt;5&lt;/td&gt;&lt;td&gt;24&lt;/td&gt;&lt;td&gt;4.800&lt;/td&gt;&lt;td&gt;7&lt;/td&gt;&lt;td&gt;25&lt;/td&gt;&lt;td&gt;0.280&lt;/td&gt;&lt;td&gt;0&lt;/td&gt;&lt;td&gt;0&lt;/td&gt;&lt;td&gt;0.000&lt;/td&gt;&lt;td&gt;10&lt;/td&gt;&lt;td&gt;25&lt;/td&gt;&lt;td&gt;0.400&lt;/td&gt;&lt;td&gt;9&lt;/td&gt;&lt;td&gt;18&lt;/td&gt;&lt;td&gt;27&lt;/td&gt;&lt;td&gt;5.400&lt;/td&gt;&lt;td&gt;3&lt;/td&gt;&lt;td&gt;0.600&lt;/td&gt;&lt;td&gt;9&lt;/td&gt;&lt;td&gt;1.800&lt;/td&gt;&lt;td&gt;0&lt;/td&gt;&lt;td&gt;0.000&lt;/td&gt;&lt;/tr&gt;</v>
      </c>
    </row>
    <row r="177" spans="1:23" x14ac:dyDescent="0.25">
      <c r="A177" s="10">
        <v>3</v>
      </c>
      <c r="B177" s="12" t="s">
        <v>435</v>
      </c>
      <c r="C177" s="12">
        <v>7</v>
      </c>
      <c r="D177" s="12">
        <v>11</v>
      </c>
      <c r="E177" s="12">
        <v>35</v>
      </c>
      <c r="F177" s="12">
        <v>1</v>
      </c>
      <c r="G177" s="12">
        <v>5</v>
      </c>
      <c r="H177" s="12">
        <v>0</v>
      </c>
      <c r="I177" s="12">
        <v>2</v>
      </c>
      <c r="J177" s="16">
        <f t="shared" si="6"/>
        <v>23</v>
      </c>
      <c r="K177" s="12">
        <v>20</v>
      </c>
      <c r="L177" s="12">
        <v>17</v>
      </c>
      <c r="M177" s="16">
        <f t="shared" si="7"/>
        <v>37</v>
      </c>
      <c r="N177" s="12">
        <v>13</v>
      </c>
      <c r="O177" s="12">
        <v>5</v>
      </c>
      <c r="P177" s="12">
        <v>15</v>
      </c>
      <c r="Q177" s="12">
        <v>0</v>
      </c>
      <c r="R177" s="12">
        <v>13</v>
      </c>
      <c r="S177" s="16">
        <v>0</v>
      </c>
      <c r="T177" s="12">
        <v>82</v>
      </c>
      <c r="U177" s="12" t="s">
        <v>80</v>
      </c>
      <c r="W177" s="10" t="str">
        <f t="shared" si="8"/>
        <v>&lt;tr&gt;&lt;td&gt;Enoch Odoleye&lt;/td&gt;&lt;td&gt;VMC&lt;/td&gt;&lt;td&gt;7&lt;/td&gt;&lt;td&gt;23&lt;/td&gt;&lt;td&gt;3.286&lt;/td&gt;&lt;td&gt;11&lt;/td&gt;&lt;td&gt;35&lt;/td&gt;&lt;td&gt;0.314&lt;/td&gt;&lt;td&gt;1&lt;/td&gt;&lt;td&gt;5&lt;/td&gt;&lt;td&gt;0.200&lt;/td&gt;&lt;td&gt;0&lt;/td&gt;&lt;td&gt;2&lt;/td&gt;&lt;td&gt;0.000&lt;/td&gt;&lt;td&gt;20&lt;/td&gt;&lt;td&gt;17&lt;/td&gt;&lt;td&gt;37&lt;/td&gt;&lt;td&gt;5.286&lt;/td&gt;&lt;td&gt;5&lt;/td&gt;&lt;td&gt;0.714&lt;/td&gt;&lt;td&gt;13&lt;/td&gt;&lt;td&gt;1.857&lt;/td&gt;&lt;td&gt;0&lt;/td&gt;&lt;td&gt;0.000&lt;/td&gt;&lt;/tr&gt;</v>
      </c>
    </row>
    <row r="178" spans="1:23" x14ac:dyDescent="0.25">
      <c r="A178" s="10">
        <v>24</v>
      </c>
      <c r="B178" s="12" t="s">
        <v>456</v>
      </c>
      <c r="C178" s="12">
        <v>6</v>
      </c>
      <c r="D178" s="12">
        <v>10</v>
      </c>
      <c r="E178" s="12">
        <v>30</v>
      </c>
      <c r="F178" s="12">
        <v>3</v>
      </c>
      <c r="G178" s="12">
        <v>16</v>
      </c>
      <c r="H178" s="12">
        <v>0</v>
      </c>
      <c r="I178" s="12">
        <v>0</v>
      </c>
      <c r="J178" s="16">
        <f t="shared" si="6"/>
        <v>23</v>
      </c>
      <c r="K178" s="12">
        <v>5</v>
      </c>
      <c r="L178" s="12">
        <v>8</v>
      </c>
      <c r="M178" s="16">
        <f t="shared" si="7"/>
        <v>13</v>
      </c>
      <c r="N178" s="12">
        <v>6</v>
      </c>
      <c r="O178" s="12">
        <v>5</v>
      </c>
      <c r="P178" s="12">
        <v>10</v>
      </c>
      <c r="Q178" s="12">
        <v>1</v>
      </c>
      <c r="R178" s="12">
        <v>5</v>
      </c>
      <c r="S178" s="16">
        <v>0</v>
      </c>
      <c r="T178" s="12">
        <v>88</v>
      </c>
      <c r="U178" s="12" t="s">
        <v>102</v>
      </c>
      <c r="W178" s="10" t="str">
        <f t="shared" si="8"/>
        <v>&lt;tr&gt;&lt;td&gt;Dagem Tedele&lt;/td&gt;&lt;td&gt;VMHS&lt;/td&gt;&lt;td&gt;6&lt;/td&gt;&lt;td&gt;23&lt;/td&gt;&lt;td&gt;3.833&lt;/td&gt;&lt;td&gt;10&lt;/td&gt;&lt;td&gt;30&lt;/td&gt;&lt;td&gt;0.333&lt;/td&gt;&lt;td&gt;3&lt;/td&gt;&lt;td&gt;16&lt;/td&gt;&lt;td&gt;0.188&lt;/td&gt;&lt;td&gt;0&lt;/td&gt;&lt;td&gt;0&lt;/td&gt;&lt;td&gt;0.000&lt;/td&gt;&lt;td&gt;5&lt;/td&gt;&lt;td&gt;8&lt;/td&gt;&lt;td&gt;13&lt;/td&gt;&lt;td&gt;2.167&lt;/td&gt;&lt;td&gt;5&lt;/td&gt;&lt;td&gt;0.833&lt;/td&gt;&lt;td&gt;5&lt;/td&gt;&lt;td&gt;0.833&lt;/td&gt;&lt;td&gt;1&lt;/td&gt;&lt;td&gt;0.167&lt;/td&gt;&lt;/tr&gt;</v>
      </c>
    </row>
    <row r="179" spans="1:23" x14ac:dyDescent="0.25">
      <c r="A179" s="10">
        <v>9</v>
      </c>
      <c r="B179" s="12" t="s">
        <v>809</v>
      </c>
      <c r="C179" s="12">
        <v>2</v>
      </c>
      <c r="D179" s="12">
        <v>8</v>
      </c>
      <c r="E179" s="12">
        <v>15</v>
      </c>
      <c r="F179" s="12">
        <v>5</v>
      </c>
      <c r="G179" s="12">
        <v>6</v>
      </c>
      <c r="H179" s="12">
        <v>2</v>
      </c>
      <c r="I179" s="12">
        <v>3</v>
      </c>
      <c r="J179" s="16">
        <f t="shared" si="6"/>
        <v>23</v>
      </c>
      <c r="K179" s="12">
        <v>1</v>
      </c>
      <c r="L179" s="12">
        <v>3</v>
      </c>
      <c r="M179" s="16">
        <f t="shared" si="7"/>
        <v>4</v>
      </c>
      <c r="N179" s="12">
        <v>1</v>
      </c>
      <c r="O179" s="12">
        <v>1</v>
      </c>
      <c r="P179" s="12">
        <v>6</v>
      </c>
      <c r="Q179" s="12">
        <v>0</v>
      </c>
      <c r="R179" s="12">
        <v>3</v>
      </c>
      <c r="S179" s="16">
        <v>0</v>
      </c>
      <c r="T179" s="12">
        <v>40</v>
      </c>
      <c r="U179" s="12" t="s">
        <v>48</v>
      </c>
      <c r="W179" s="10" t="str">
        <f t="shared" si="8"/>
        <v>&lt;tr&gt;&lt;td&gt;Gary Regis&lt;/td&gt;&lt;td&gt;MMC&lt;/td&gt;&lt;td&gt;2&lt;/td&gt;&lt;td&gt;23&lt;/td&gt;&lt;td&gt;11.500&lt;/td&gt;&lt;td&gt;8&lt;/td&gt;&lt;td&gt;15&lt;/td&gt;&lt;td&gt;0.533&lt;/td&gt;&lt;td&gt;5&lt;/td&gt;&lt;td&gt;6&lt;/td&gt;&lt;td&gt;0.833&lt;/td&gt;&lt;td&gt;2&lt;/td&gt;&lt;td&gt;3&lt;/td&gt;&lt;td&gt;0.667&lt;/td&gt;&lt;td&gt;1&lt;/td&gt;&lt;td&gt;3&lt;/td&gt;&lt;td&gt;4&lt;/td&gt;&lt;td&gt;2.000&lt;/td&gt;&lt;td&gt;1&lt;/td&gt;&lt;td&gt;0.500&lt;/td&gt;&lt;td&gt;3&lt;/td&gt;&lt;td&gt;1.500&lt;/td&gt;&lt;td&gt;0&lt;/td&gt;&lt;td&gt;0.000&lt;/td&gt;&lt;/tr&gt;</v>
      </c>
    </row>
    <row r="180" spans="1:23" x14ac:dyDescent="0.25">
      <c r="A180" s="10">
        <v>15</v>
      </c>
      <c r="B180" s="12" t="s">
        <v>754</v>
      </c>
      <c r="C180" s="12">
        <v>9</v>
      </c>
      <c r="D180" s="12">
        <v>7</v>
      </c>
      <c r="E180" s="12">
        <v>38</v>
      </c>
      <c r="F180" s="12">
        <v>4</v>
      </c>
      <c r="G180" s="12">
        <v>21</v>
      </c>
      <c r="H180" s="12">
        <v>4</v>
      </c>
      <c r="I180" s="12">
        <v>8</v>
      </c>
      <c r="J180" s="16">
        <f t="shared" si="6"/>
        <v>22</v>
      </c>
      <c r="K180" s="12">
        <v>4</v>
      </c>
      <c r="L180" s="12">
        <v>14</v>
      </c>
      <c r="M180" s="16">
        <f t="shared" si="7"/>
        <v>18</v>
      </c>
      <c r="N180" s="12">
        <v>15</v>
      </c>
      <c r="O180" s="12">
        <v>3</v>
      </c>
      <c r="P180" s="12">
        <v>11</v>
      </c>
      <c r="Q180" s="12">
        <v>1</v>
      </c>
      <c r="R180" s="12">
        <v>6</v>
      </c>
      <c r="S180" s="16">
        <v>0</v>
      </c>
      <c r="T180" s="12">
        <v>122</v>
      </c>
      <c r="U180" s="12" t="s">
        <v>7</v>
      </c>
      <c r="W180" s="10" t="str">
        <f t="shared" si="8"/>
        <v>&lt;tr&gt;&lt;td&gt;Cam Marcelleno&lt;/td&gt;&lt;td&gt;MBCI&lt;/td&gt;&lt;td&gt;9&lt;/td&gt;&lt;td&gt;22&lt;/td&gt;&lt;td&gt;2.444&lt;/td&gt;&lt;td&gt;7&lt;/td&gt;&lt;td&gt;38&lt;/td&gt;&lt;td&gt;0.184&lt;/td&gt;&lt;td&gt;4&lt;/td&gt;&lt;td&gt;21&lt;/td&gt;&lt;td&gt;0.190&lt;/td&gt;&lt;td&gt;4&lt;/td&gt;&lt;td&gt;8&lt;/td&gt;&lt;td&gt;0.500&lt;/td&gt;&lt;td&gt;4&lt;/td&gt;&lt;td&gt;14&lt;/td&gt;&lt;td&gt;18&lt;/td&gt;&lt;td&gt;2.000&lt;/td&gt;&lt;td&gt;3&lt;/td&gt;&lt;td&gt;0.333&lt;/td&gt;&lt;td&gt;6&lt;/td&gt;&lt;td&gt;0.667&lt;/td&gt;&lt;td&gt;1&lt;/td&gt;&lt;td&gt;0.111&lt;/td&gt;&lt;/tr&gt;</v>
      </c>
    </row>
    <row r="181" spans="1:23" x14ac:dyDescent="0.25">
      <c r="A181" s="10">
        <v>11</v>
      </c>
      <c r="B181" s="12" t="s">
        <v>314</v>
      </c>
      <c r="C181" s="12">
        <v>8</v>
      </c>
      <c r="D181" s="12">
        <v>9</v>
      </c>
      <c r="E181" s="12">
        <v>30</v>
      </c>
      <c r="F181" s="12">
        <v>0</v>
      </c>
      <c r="G181" s="12">
        <v>0</v>
      </c>
      <c r="H181" s="12">
        <v>4</v>
      </c>
      <c r="I181" s="12">
        <v>6</v>
      </c>
      <c r="J181" s="16">
        <f t="shared" si="6"/>
        <v>22</v>
      </c>
      <c r="K181" s="12">
        <v>17</v>
      </c>
      <c r="L181" s="12">
        <v>23</v>
      </c>
      <c r="M181" s="16">
        <f t="shared" si="7"/>
        <v>40</v>
      </c>
      <c r="N181" s="12">
        <v>15</v>
      </c>
      <c r="O181" s="12">
        <v>3</v>
      </c>
      <c r="P181" s="12">
        <v>20</v>
      </c>
      <c r="Q181" s="12">
        <v>7</v>
      </c>
      <c r="R181" s="12">
        <v>9</v>
      </c>
      <c r="S181" s="16">
        <v>0</v>
      </c>
      <c r="T181" s="12">
        <v>120</v>
      </c>
      <c r="U181" s="12" t="s">
        <v>74</v>
      </c>
      <c r="W181" s="10" t="str">
        <f t="shared" si="8"/>
        <v>&lt;tr&gt;&lt;td&gt;Cole Adamson&lt;/td&gt;&lt;td&gt;OPHS&lt;/td&gt;&lt;td&gt;8&lt;/td&gt;&lt;td&gt;22&lt;/td&gt;&lt;td&gt;2.750&lt;/td&gt;&lt;td&gt;9&lt;/td&gt;&lt;td&gt;30&lt;/td&gt;&lt;td&gt;0.300&lt;/td&gt;&lt;td&gt;0&lt;/td&gt;&lt;td&gt;0&lt;/td&gt;&lt;td&gt;0.000&lt;/td&gt;&lt;td&gt;4&lt;/td&gt;&lt;td&gt;6&lt;/td&gt;&lt;td&gt;0.667&lt;/td&gt;&lt;td&gt;17&lt;/td&gt;&lt;td&gt;23&lt;/td&gt;&lt;td&gt;40&lt;/td&gt;&lt;td&gt;5.000&lt;/td&gt;&lt;td&gt;3&lt;/td&gt;&lt;td&gt;0.375&lt;/td&gt;&lt;td&gt;9&lt;/td&gt;&lt;td&gt;1.125&lt;/td&gt;&lt;td&gt;7&lt;/td&gt;&lt;td&gt;0.875&lt;/td&gt;&lt;/tr&gt;</v>
      </c>
    </row>
    <row r="182" spans="1:23" x14ac:dyDescent="0.25">
      <c r="A182" s="10">
        <v>12</v>
      </c>
      <c r="B182" s="12" t="s">
        <v>683</v>
      </c>
      <c r="C182" s="12">
        <v>7</v>
      </c>
      <c r="D182" s="12">
        <v>9</v>
      </c>
      <c r="E182" s="12">
        <v>28</v>
      </c>
      <c r="F182" s="12">
        <v>1</v>
      </c>
      <c r="G182" s="12">
        <v>4</v>
      </c>
      <c r="H182" s="12">
        <v>3</v>
      </c>
      <c r="I182" s="12">
        <v>8</v>
      </c>
      <c r="J182" s="16">
        <f t="shared" si="6"/>
        <v>22</v>
      </c>
      <c r="K182" s="12">
        <v>8</v>
      </c>
      <c r="L182" s="12">
        <v>1</v>
      </c>
      <c r="M182" s="16">
        <f t="shared" si="7"/>
        <v>9</v>
      </c>
      <c r="N182" s="12">
        <v>12</v>
      </c>
      <c r="O182" s="12">
        <v>3</v>
      </c>
      <c r="P182" s="12">
        <v>15</v>
      </c>
      <c r="Q182" s="12">
        <v>1</v>
      </c>
      <c r="R182" s="12">
        <v>4</v>
      </c>
      <c r="S182" s="16">
        <v>0</v>
      </c>
      <c r="T182" s="12">
        <v>69</v>
      </c>
      <c r="U182" s="12" t="s">
        <v>82</v>
      </c>
      <c r="W182" s="10" t="str">
        <f t="shared" si="8"/>
        <v>&lt;tr&gt;&lt;td&gt;Carlo Supan&lt;/td&gt;&lt;td&gt;DMCI&lt;/td&gt;&lt;td&gt;7&lt;/td&gt;&lt;td&gt;22&lt;/td&gt;&lt;td&gt;3.143&lt;/td&gt;&lt;td&gt;9&lt;/td&gt;&lt;td&gt;28&lt;/td&gt;&lt;td&gt;0.321&lt;/td&gt;&lt;td&gt;1&lt;/td&gt;&lt;td&gt;4&lt;/td&gt;&lt;td&gt;0.250&lt;/td&gt;&lt;td&gt;3&lt;/td&gt;&lt;td&gt;8&lt;/td&gt;&lt;td&gt;0.375&lt;/td&gt;&lt;td&gt;8&lt;/td&gt;&lt;td&gt;1&lt;/td&gt;&lt;td&gt;9&lt;/td&gt;&lt;td&gt;1.286&lt;/td&gt;&lt;td&gt;3&lt;/td&gt;&lt;td&gt;0.429&lt;/td&gt;&lt;td&gt;4&lt;/td&gt;&lt;td&gt;0.571&lt;/td&gt;&lt;td&gt;1&lt;/td&gt;&lt;td&gt;0.143&lt;/td&gt;&lt;/tr&gt;</v>
      </c>
    </row>
    <row r="183" spans="1:23" x14ac:dyDescent="0.25">
      <c r="A183" s="10">
        <v>1</v>
      </c>
      <c r="B183" s="12" t="s">
        <v>407</v>
      </c>
      <c r="C183" s="12">
        <v>6</v>
      </c>
      <c r="D183" s="12">
        <v>9</v>
      </c>
      <c r="E183" s="12">
        <v>19</v>
      </c>
      <c r="F183" s="12">
        <v>4</v>
      </c>
      <c r="G183" s="12">
        <v>13</v>
      </c>
      <c r="H183" s="12">
        <v>0</v>
      </c>
      <c r="I183" s="12">
        <v>0</v>
      </c>
      <c r="J183" s="16">
        <f t="shared" si="6"/>
        <v>22</v>
      </c>
      <c r="K183" s="12">
        <v>0</v>
      </c>
      <c r="L183" s="12">
        <v>5</v>
      </c>
      <c r="M183" s="16">
        <f t="shared" si="7"/>
        <v>5</v>
      </c>
      <c r="N183" s="12">
        <v>8</v>
      </c>
      <c r="O183" s="12">
        <v>3</v>
      </c>
      <c r="P183" s="12">
        <v>10</v>
      </c>
      <c r="Q183" s="12">
        <v>0</v>
      </c>
      <c r="R183" s="12">
        <v>3</v>
      </c>
      <c r="S183" s="16">
        <v>0</v>
      </c>
      <c r="T183" s="12">
        <v>73</v>
      </c>
      <c r="U183" s="12" t="s">
        <v>43</v>
      </c>
      <c r="W183" s="10" t="str">
        <f t="shared" si="8"/>
        <v>&lt;tr&gt;&lt;td&gt;Chandeep Brar&lt;/td&gt;&lt;td&gt;KEC&lt;/td&gt;&lt;td&gt;6&lt;/td&gt;&lt;td&gt;22&lt;/td&gt;&lt;td&gt;3.667&lt;/td&gt;&lt;td&gt;9&lt;/td&gt;&lt;td&gt;19&lt;/td&gt;&lt;td&gt;0.474&lt;/td&gt;&lt;td&gt;4&lt;/td&gt;&lt;td&gt;13&lt;/td&gt;&lt;td&gt;0.308&lt;/td&gt;&lt;td&gt;0&lt;/td&gt;&lt;td&gt;0&lt;/td&gt;&lt;td&gt;0.000&lt;/td&gt;&lt;td&gt;0&lt;/td&gt;&lt;td&gt;5&lt;/td&gt;&lt;td&gt;5&lt;/td&gt;&lt;td&gt;0.833&lt;/td&gt;&lt;td&gt;3&lt;/td&gt;&lt;td&gt;0.500&lt;/td&gt;&lt;td&gt;3&lt;/td&gt;&lt;td&gt;0.500&lt;/td&gt;&lt;td&gt;0&lt;/td&gt;&lt;td&gt;0.000&lt;/td&gt;&lt;/tr&gt;</v>
      </c>
    </row>
    <row r="184" spans="1:23" x14ac:dyDescent="0.25">
      <c r="A184" s="10">
        <v>5</v>
      </c>
      <c r="B184" s="12" t="s">
        <v>421</v>
      </c>
      <c r="C184" s="12">
        <v>5</v>
      </c>
      <c r="D184" s="12">
        <v>9</v>
      </c>
      <c r="E184" s="12">
        <v>48</v>
      </c>
      <c r="F184" s="12">
        <v>3</v>
      </c>
      <c r="G184" s="12">
        <v>17</v>
      </c>
      <c r="H184" s="12">
        <v>1</v>
      </c>
      <c r="I184" s="12">
        <v>2</v>
      </c>
      <c r="J184" s="16">
        <f t="shared" si="6"/>
        <v>22</v>
      </c>
      <c r="K184" s="12">
        <v>0</v>
      </c>
      <c r="L184" s="12">
        <v>6</v>
      </c>
      <c r="M184" s="16">
        <f t="shared" si="7"/>
        <v>6</v>
      </c>
      <c r="N184" s="12">
        <v>11</v>
      </c>
      <c r="O184" s="12">
        <v>3</v>
      </c>
      <c r="P184" s="12">
        <v>22</v>
      </c>
      <c r="Q184" s="12">
        <v>0</v>
      </c>
      <c r="R184" s="12">
        <v>5</v>
      </c>
      <c r="S184" s="16">
        <v>0</v>
      </c>
      <c r="T184" s="12">
        <v>85</v>
      </c>
      <c r="U184" s="12" t="s">
        <v>66</v>
      </c>
      <c r="W184" s="10" t="str">
        <f t="shared" si="8"/>
        <v>&lt;tr&gt;&lt;td&gt;AJ Ballares&lt;/td&gt;&lt;td&gt;SRSS&lt;/td&gt;&lt;td&gt;5&lt;/td&gt;&lt;td&gt;22&lt;/td&gt;&lt;td&gt;4.400&lt;/td&gt;&lt;td&gt;9&lt;/td&gt;&lt;td&gt;48&lt;/td&gt;&lt;td&gt;0.188&lt;/td&gt;&lt;td&gt;3&lt;/td&gt;&lt;td&gt;17&lt;/td&gt;&lt;td&gt;0.176&lt;/td&gt;&lt;td&gt;1&lt;/td&gt;&lt;td&gt;2&lt;/td&gt;&lt;td&gt;0.500&lt;/td&gt;&lt;td&gt;0&lt;/td&gt;&lt;td&gt;6&lt;/td&gt;&lt;td&gt;6&lt;/td&gt;&lt;td&gt;1.200&lt;/td&gt;&lt;td&gt;3&lt;/td&gt;&lt;td&gt;0.600&lt;/td&gt;&lt;td&gt;5&lt;/td&gt;&lt;td&gt;1.000&lt;/td&gt;&lt;td&gt;0&lt;/td&gt;&lt;td&gt;0.000&lt;/td&gt;&lt;/tr&gt;</v>
      </c>
    </row>
    <row r="185" spans="1:23" x14ac:dyDescent="0.25">
      <c r="A185" s="10">
        <v>24</v>
      </c>
      <c r="B185" s="12" t="s">
        <v>431</v>
      </c>
      <c r="C185" s="12">
        <v>5</v>
      </c>
      <c r="D185" s="12">
        <v>8</v>
      </c>
      <c r="E185" s="12">
        <v>28</v>
      </c>
      <c r="F185" s="12">
        <v>0</v>
      </c>
      <c r="G185" s="12">
        <v>1</v>
      </c>
      <c r="H185" s="12">
        <v>6</v>
      </c>
      <c r="I185" s="12">
        <v>8</v>
      </c>
      <c r="J185" s="16">
        <f t="shared" si="6"/>
        <v>22</v>
      </c>
      <c r="K185" s="12">
        <v>4</v>
      </c>
      <c r="L185" s="12">
        <v>14</v>
      </c>
      <c r="M185" s="16">
        <f t="shared" si="7"/>
        <v>18</v>
      </c>
      <c r="N185" s="12">
        <v>6</v>
      </c>
      <c r="O185" s="12">
        <v>9</v>
      </c>
      <c r="P185" s="12">
        <v>19</v>
      </c>
      <c r="Q185" s="12">
        <v>2</v>
      </c>
      <c r="R185" s="12">
        <v>6</v>
      </c>
      <c r="S185" s="16">
        <v>0</v>
      </c>
      <c r="T185" s="12">
        <v>121</v>
      </c>
      <c r="U185" s="12" t="s">
        <v>66</v>
      </c>
      <c r="W185" s="10" t="str">
        <f t="shared" si="8"/>
        <v>&lt;tr&gt;&lt;td&gt;Ezra Winter&lt;/td&gt;&lt;td&gt;SRSS&lt;/td&gt;&lt;td&gt;5&lt;/td&gt;&lt;td&gt;22&lt;/td&gt;&lt;td&gt;4.400&lt;/td&gt;&lt;td&gt;8&lt;/td&gt;&lt;td&gt;28&lt;/td&gt;&lt;td&gt;0.286&lt;/td&gt;&lt;td&gt;0&lt;/td&gt;&lt;td&gt;1&lt;/td&gt;&lt;td&gt;0.000&lt;/td&gt;&lt;td&gt;6&lt;/td&gt;&lt;td&gt;8&lt;/td&gt;&lt;td&gt;0.750&lt;/td&gt;&lt;td&gt;4&lt;/td&gt;&lt;td&gt;14&lt;/td&gt;&lt;td&gt;18&lt;/td&gt;&lt;td&gt;3.600&lt;/td&gt;&lt;td&gt;9&lt;/td&gt;&lt;td&gt;1.800&lt;/td&gt;&lt;td&gt;6&lt;/td&gt;&lt;td&gt;1.200&lt;/td&gt;&lt;td&gt;2&lt;/td&gt;&lt;td&gt;0.400&lt;/td&gt;&lt;/tr&gt;</v>
      </c>
    </row>
    <row r="186" spans="1:23" x14ac:dyDescent="0.25">
      <c r="A186" s="10">
        <v>22</v>
      </c>
      <c r="B186" s="12" t="s">
        <v>429</v>
      </c>
      <c r="C186" s="12">
        <v>4</v>
      </c>
      <c r="D186" s="12">
        <v>8</v>
      </c>
      <c r="E186" s="12">
        <v>30</v>
      </c>
      <c r="F186" s="12">
        <v>1</v>
      </c>
      <c r="G186" s="12">
        <v>6</v>
      </c>
      <c r="H186" s="12">
        <v>5</v>
      </c>
      <c r="I186" s="12">
        <v>11</v>
      </c>
      <c r="J186" s="16">
        <f t="shared" si="6"/>
        <v>22</v>
      </c>
      <c r="K186" s="12">
        <v>1</v>
      </c>
      <c r="L186" s="12">
        <v>5</v>
      </c>
      <c r="M186" s="16">
        <f t="shared" si="7"/>
        <v>6</v>
      </c>
      <c r="N186" s="12">
        <v>6</v>
      </c>
      <c r="O186" s="12">
        <v>2</v>
      </c>
      <c r="P186" s="12">
        <v>13</v>
      </c>
      <c r="Q186" s="12">
        <v>0</v>
      </c>
      <c r="R186" s="12">
        <v>3</v>
      </c>
      <c r="S186" s="16">
        <v>0</v>
      </c>
      <c r="T186" s="12">
        <v>100</v>
      </c>
      <c r="U186" s="12" t="s">
        <v>66</v>
      </c>
      <c r="W186" s="10" t="str">
        <f t="shared" si="8"/>
        <v>&lt;tr&gt;&lt;td&gt;Scott Funk&lt;/td&gt;&lt;td&gt;SRSS&lt;/td&gt;&lt;td&gt;4&lt;/td&gt;&lt;td&gt;22&lt;/td&gt;&lt;td&gt;5.500&lt;/td&gt;&lt;td&gt;8&lt;/td&gt;&lt;td&gt;30&lt;/td&gt;&lt;td&gt;0.267&lt;/td&gt;&lt;td&gt;1&lt;/td&gt;&lt;td&gt;6&lt;/td&gt;&lt;td&gt;0.167&lt;/td&gt;&lt;td&gt;5&lt;/td&gt;&lt;td&gt;11&lt;/td&gt;&lt;td&gt;0.455&lt;/td&gt;&lt;td&gt;1&lt;/td&gt;&lt;td&gt;5&lt;/td&gt;&lt;td&gt;6&lt;/td&gt;&lt;td&gt;1.500&lt;/td&gt;&lt;td&gt;2&lt;/td&gt;&lt;td&gt;0.500&lt;/td&gt;&lt;td&gt;3&lt;/td&gt;&lt;td&gt;0.750&lt;/td&gt;&lt;td&gt;0&lt;/td&gt;&lt;td&gt;0.000&lt;/td&gt;&lt;/tr&gt;</v>
      </c>
    </row>
    <row r="187" spans="1:23" x14ac:dyDescent="0.25">
      <c r="A187" s="10">
        <v>9</v>
      </c>
      <c r="B187" s="12" t="s">
        <v>441</v>
      </c>
      <c r="C187" s="12">
        <v>9</v>
      </c>
      <c r="D187" s="12">
        <v>7</v>
      </c>
      <c r="E187" s="12">
        <v>25</v>
      </c>
      <c r="F187" s="12">
        <v>0</v>
      </c>
      <c r="G187" s="12">
        <v>1</v>
      </c>
      <c r="H187" s="12">
        <v>7</v>
      </c>
      <c r="I187" s="12">
        <v>10</v>
      </c>
      <c r="J187" s="16">
        <f t="shared" si="6"/>
        <v>21</v>
      </c>
      <c r="K187" s="12">
        <v>10</v>
      </c>
      <c r="L187" s="12">
        <v>16</v>
      </c>
      <c r="M187" s="16">
        <f t="shared" si="7"/>
        <v>26</v>
      </c>
      <c r="N187" s="12">
        <v>12</v>
      </c>
      <c r="O187" s="12">
        <v>8</v>
      </c>
      <c r="P187" s="12">
        <v>17</v>
      </c>
      <c r="Q187" s="12">
        <v>2</v>
      </c>
      <c r="R187" s="12">
        <v>3</v>
      </c>
      <c r="S187" s="16">
        <v>0</v>
      </c>
      <c r="T187" s="12">
        <v>120</v>
      </c>
      <c r="U187" s="12" t="s">
        <v>80</v>
      </c>
      <c r="W187" s="10" t="str">
        <f t="shared" si="8"/>
        <v>&lt;tr&gt;&lt;td&gt;Zachary Feakes&lt;/td&gt;&lt;td&gt;VMC&lt;/td&gt;&lt;td&gt;9&lt;/td&gt;&lt;td&gt;21&lt;/td&gt;&lt;td&gt;2.333&lt;/td&gt;&lt;td&gt;7&lt;/td&gt;&lt;td&gt;25&lt;/td&gt;&lt;td&gt;0.280&lt;/td&gt;&lt;td&gt;0&lt;/td&gt;&lt;td&gt;1&lt;/td&gt;&lt;td&gt;0.000&lt;/td&gt;&lt;td&gt;7&lt;/td&gt;&lt;td&gt;10&lt;/td&gt;&lt;td&gt;0.700&lt;/td&gt;&lt;td&gt;10&lt;/td&gt;&lt;td&gt;16&lt;/td&gt;&lt;td&gt;26&lt;/td&gt;&lt;td&gt;2.889&lt;/td&gt;&lt;td&gt;8&lt;/td&gt;&lt;td&gt;0.889&lt;/td&gt;&lt;td&gt;3&lt;/td&gt;&lt;td&gt;0.333&lt;/td&gt;&lt;td&gt;2&lt;/td&gt;&lt;td&gt;0.222&lt;/td&gt;&lt;/tr&gt;</v>
      </c>
    </row>
    <row r="188" spans="1:23" x14ac:dyDescent="0.25">
      <c r="A188" s="10">
        <v>14</v>
      </c>
      <c r="B188" s="12" t="s">
        <v>405</v>
      </c>
      <c r="C188" s="12">
        <v>5</v>
      </c>
      <c r="D188" s="12">
        <v>8</v>
      </c>
      <c r="E188" s="12">
        <v>21</v>
      </c>
      <c r="F188" s="12">
        <v>2</v>
      </c>
      <c r="G188" s="12">
        <v>9</v>
      </c>
      <c r="H188" s="12">
        <v>3</v>
      </c>
      <c r="I188" s="12">
        <v>4</v>
      </c>
      <c r="J188" s="16">
        <f t="shared" si="6"/>
        <v>21</v>
      </c>
      <c r="K188" s="12">
        <v>2</v>
      </c>
      <c r="L188" s="12">
        <v>11</v>
      </c>
      <c r="M188" s="16">
        <f t="shared" si="7"/>
        <v>13</v>
      </c>
      <c r="N188" s="12">
        <v>3</v>
      </c>
      <c r="O188" s="12">
        <v>2</v>
      </c>
      <c r="P188" s="12">
        <v>10</v>
      </c>
      <c r="Q188" s="12">
        <v>0</v>
      </c>
      <c r="R188" s="12">
        <v>5</v>
      </c>
      <c r="S188" s="16">
        <v>0</v>
      </c>
      <c r="T188" s="12">
        <v>53</v>
      </c>
      <c r="U188" s="12" t="s">
        <v>45</v>
      </c>
      <c r="W188" s="10" t="str">
        <f t="shared" si="8"/>
        <v>&lt;tr&gt;&lt;td&gt;Norman Sigua&lt;/td&gt;&lt;td&gt;MC&lt;/td&gt;&lt;td&gt;5&lt;/td&gt;&lt;td&gt;21&lt;/td&gt;&lt;td&gt;4.200&lt;/td&gt;&lt;td&gt;8&lt;/td&gt;&lt;td&gt;21&lt;/td&gt;&lt;td&gt;0.381&lt;/td&gt;&lt;td&gt;2&lt;/td&gt;&lt;td&gt;9&lt;/td&gt;&lt;td&gt;0.222&lt;/td&gt;&lt;td&gt;3&lt;/td&gt;&lt;td&gt;4&lt;/td&gt;&lt;td&gt;0.750&lt;/td&gt;&lt;td&gt;2&lt;/td&gt;&lt;td&gt;11&lt;/td&gt;&lt;td&gt;13&lt;/td&gt;&lt;td&gt;2.600&lt;/td&gt;&lt;td&gt;2&lt;/td&gt;&lt;td&gt;0.400&lt;/td&gt;&lt;td&gt;5&lt;/td&gt;&lt;td&gt;1.000&lt;/td&gt;&lt;td&gt;0&lt;/td&gt;&lt;td&gt;0.000&lt;/td&gt;&lt;/tr&gt;</v>
      </c>
    </row>
    <row r="189" spans="1:23" x14ac:dyDescent="0.25">
      <c r="A189" s="10">
        <v>7</v>
      </c>
      <c r="B189" s="12" t="s">
        <v>532</v>
      </c>
      <c r="C189" s="12">
        <v>8</v>
      </c>
      <c r="D189" s="12">
        <v>9</v>
      </c>
      <c r="E189" s="12">
        <v>28</v>
      </c>
      <c r="F189" s="12">
        <v>1</v>
      </c>
      <c r="G189" s="12">
        <v>4</v>
      </c>
      <c r="H189" s="12">
        <v>1</v>
      </c>
      <c r="I189" s="12">
        <v>6</v>
      </c>
      <c r="J189" s="16">
        <f t="shared" si="6"/>
        <v>20</v>
      </c>
      <c r="K189" s="12">
        <v>11</v>
      </c>
      <c r="L189" s="12">
        <v>17</v>
      </c>
      <c r="M189" s="16">
        <f t="shared" si="7"/>
        <v>28</v>
      </c>
      <c r="N189" s="12">
        <v>8</v>
      </c>
      <c r="O189" s="12">
        <v>6</v>
      </c>
      <c r="P189" s="12">
        <v>6</v>
      </c>
      <c r="Q189" s="12">
        <v>5</v>
      </c>
      <c r="R189" s="12">
        <v>3</v>
      </c>
      <c r="S189" s="16">
        <v>0</v>
      </c>
      <c r="T189" s="12">
        <v>119</v>
      </c>
      <c r="U189" s="12" t="s">
        <v>68</v>
      </c>
      <c r="W189" s="10" t="str">
        <f t="shared" si="8"/>
        <v>&lt;tr&gt;&lt;td&gt;Aman Chahal&lt;/td&gt;&lt;td&gt;FRC&lt;/td&gt;&lt;td&gt;8&lt;/td&gt;&lt;td&gt;20&lt;/td&gt;&lt;td&gt;2.500&lt;/td&gt;&lt;td&gt;9&lt;/td&gt;&lt;td&gt;28&lt;/td&gt;&lt;td&gt;0.321&lt;/td&gt;&lt;td&gt;1&lt;/td&gt;&lt;td&gt;4&lt;/td&gt;&lt;td&gt;0.250&lt;/td&gt;&lt;td&gt;1&lt;/td&gt;&lt;td&gt;6&lt;/td&gt;&lt;td&gt;0.167&lt;/td&gt;&lt;td&gt;11&lt;/td&gt;&lt;td&gt;17&lt;/td&gt;&lt;td&gt;28&lt;/td&gt;&lt;td&gt;3.500&lt;/td&gt;&lt;td&gt;6&lt;/td&gt;&lt;td&gt;0.750&lt;/td&gt;&lt;td&gt;3&lt;/td&gt;&lt;td&gt;0.375&lt;/td&gt;&lt;td&gt;5&lt;/td&gt;&lt;td&gt;0.625&lt;/td&gt;&lt;/tr&gt;</v>
      </c>
    </row>
    <row r="190" spans="1:23" x14ac:dyDescent="0.25">
      <c r="A190" s="10">
        <v>10</v>
      </c>
      <c r="B190" s="12" t="s">
        <v>681</v>
      </c>
      <c r="C190" s="12">
        <v>7</v>
      </c>
      <c r="D190" s="12">
        <v>8</v>
      </c>
      <c r="E190" s="12">
        <v>21</v>
      </c>
      <c r="F190" s="12">
        <v>1</v>
      </c>
      <c r="G190" s="12">
        <v>1</v>
      </c>
      <c r="H190" s="12">
        <v>3</v>
      </c>
      <c r="I190" s="12">
        <v>9</v>
      </c>
      <c r="J190" s="16">
        <f t="shared" si="6"/>
        <v>20</v>
      </c>
      <c r="K190" s="12">
        <v>10</v>
      </c>
      <c r="L190" s="12">
        <v>3</v>
      </c>
      <c r="M190" s="16">
        <f t="shared" si="7"/>
        <v>13</v>
      </c>
      <c r="N190" s="12">
        <v>6</v>
      </c>
      <c r="O190" s="12">
        <v>5</v>
      </c>
      <c r="P190" s="12">
        <v>13</v>
      </c>
      <c r="Q190" s="12">
        <v>2</v>
      </c>
      <c r="R190" s="12">
        <v>2</v>
      </c>
      <c r="S190" s="16">
        <v>0</v>
      </c>
      <c r="T190" s="12">
        <v>85</v>
      </c>
      <c r="U190" s="12" t="s">
        <v>82</v>
      </c>
      <c r="W190" s="10" t="str">
        <f t="shared" si="8"/>
        <v>&lt;tr&gt;&lt;td&gt;Lennard Hipolito&lt;/td&gt;&lt;td&gt;DMCI&lt;/td&gt;&lt;td&gt;7&lt;/td&gt;&lt;td&gt;20&lt;/td&gt;&lt;td&gt;2.857&lt;/td&gt;&lt;td&gt;8&lt;/td&gt;&lt;td&gt;21&lt;/td&gt;&lt;td&gt;0.381&lt;/td&gt;&lt;td&gt;1&lt;/td&gt;&lt;td&gt;1&lt;/td&gt;&lt;td&gt;1.000&lt;/td&gt;&lt;td&gt;3&lt;/td&gt;&lt;td&gt;9&lt;/td&gt;&lt;td&gt;0.333&lt;/td&gt;&lt;td&gt;10&lt;/td&gt;&lt;td&gt;3&lt;/td&gt;&lt;td&gt;13&lt;/td&gt;&lt;td&gt;1.857&lt;/td&gt;&lt;td&gt;5&lt;/td&gt;&lt;td&gt;0.714&lt;/td&gt;&lt;td&gt;2&lt;/td&gt;&lt;td&gt;0.286&lt;/td&gt;&lt;td&gt;2&lt;/td&gt;&lt;td&gt;0.286&lt;/td&gt;&lt;/tr&gt;</v>
      </c>
    </row>
    <row r="191" spans="1:23" x14ac:dyDescent="0.25">
      <c r="A191" s="10">
        <v>5</v>
      </c>
      <c r="B191" s="12" t="s">
        <v>731</v>
      </c>
      <c r="C191" s="12">
        <v>5</v>
      </c>
      <c r="D191" s="12">
        <v>10</v>
      </c>
      <c r="E191" s="12">
        <v>29</v>
      </c>
      <c r="F191" s="12">
        <v>0</v>
      </c>
      <c r="G191" s="12">
        <v>5</v>
      </c>
      <c r="H191" s="12">
        <v>0</v>
      </c>
      <c r="I191" s="12">
        <v>2</v>
      </c>
      <c r="J191" s="16">
        <f t="shared" si="6"/>
        <v>20</v>
      </c>
      <c r="K191" s="12">
        <v>4</v>
      </c>
      <c r="L191" s="12">
        <v>25</v>
      </c>
      <c r="M191" s="16">
        <f t="shared" si="7"/>
        <v>29</v>
      </c>
      <c r="N191" s="12">
        <v>6</v>
      </c>
      <c r="O191" s="12">
        <v>7</v>
      </c>
      <c r="P191" s="12">
        <v>17</v>
      </c>
      <c r="Q191" s="12">
        <v>0</v>
      </c>
      <c r="R191" s="12">
        <v>7</v>
      </c>
      <c r="S191" s="16">
        <v>0</v>
      </c>
      <c r="T191" s="12">
        <v>111</v>
      </c>
      <c r="U191" s="12" t="s">
        <v>96</v>
      </c>
      <c r="W191" s="10" t="str">
        <f t="shared" si="8"/>
        <v>&lt;tr&gt;&lt;td&gt;Gian Tullao&lt;/td&gt;&lt;td&gt;TVHS&lt;/td&gt;&lt;td&gt;5&lt;/td&gt;&lt;td&gt;20&lt;/td&gt;&lt;td&gt;4.000&lt;/td&gt;&lt;td&gt;10&lt;/td&gt;&lt;td&gt;29&lt;/td&gt;&lt;td&gt;0.345&lt;/td&gt;&lt;td&gt;0&lt;/td&gt;&lt;td&gt;5&lt;/td&gt;&lt;td&gt;0.000&lt;/td&gt;&lt;td&gt;0&lt;/td&gt;&lt;td&gt;2&lt;/td&gt;&lt;td&gt;0.000&lt;/td&gt;&lt;td&gt;4&lt;/td&gt;&lt;td&gt;25&lt;/td&gt;&lt;td&gt;29&lt;/td&gt;&lt;td&gt;5.800&lt;/td&gt;&lt;td&gt;7&lt;/td&gt;&lt;td&gt;1.400&lt;/td&gt;&lt;td&gt;7&lt;/td&gt;&lt;td&gt;1.400&lt;/td&gt;&lt;td&gt;0&lt;/td&gt;&lt;td&gt;0.000&lt;/td&gt;&lt;/tr&gt;</v>
      </c>
    </row>
    <row r="192" spans="1:23" x14ac:dyDescent="0.25">
      <c r="A192" s="10">
        <v>9</v>
      </c>
      <c r="B192" s="12" t="s">
        <v>476</v>
      </c>
      <c r="C192" s="12">
        <v>5</v>
      </c>
      <c r="D192" s="12">
        <v>7</v>
      </c>
      <c r="E192" s="12">
        <v>30</v>
      </c>
      <c r="F192" s="12">
        <v>0</v>
      </c>
      <c r="G192" s="12">
        <v>7</v>
      </c>
      <c r="H192" s="12">
        <v>6</v>
      </c>
      <c r="I192" s="12">
        <v>15</v>
      </c>
      <c r="J192" s="16">
        <f t="shared" si="6"/>
        <v>20</v>
      </c>
      <c r="K192" s="12">
        <v>2</v>
      </c>
      <c r="L192" s="12">
        <v>20</v>
      </c>
      <c r="M192" s="16">
        <f t="shared" si="7"/>
        <v>22</v>
      </c>
      <c r="N192" s="12">
        <v>14</v>
      </c>
      <c r="O192" s="12">
        <v>7</v>
      </c>
      <c r="P192" s="12">
        <v>30</v>
      </c>
      <c r="Q192" s="12">
        <v>0</v>
      </c>
      <c r="R192" s="12">
        <v>3</v>
      </c>
      <c r="S192" s="16">
        <v>0</v>
      </c>
      <c r="T192" s="12">
        <v>122</v>
      </c>
      <c r="U192" s="12" t="s">
        <v>64</v>
      </c>
      <c r="W192" s="10" t="str">
        <f t="shared" si="8"/>
        <v>&lt;tr&gt;&lt;td&gt;Matt Pyo&lt;/td&gt;&lt;td&gt;JHB&lt;/td&gt;&lt;td&gt;5&lt;/td&gt;&lt;td&gt;20&lt;/td&gt;&lt;td&gt;4.000&lt;/td&gt;&lt;td&gt;7&lt;/td&gt;&lt;td&gt;30&lt;/td&gt;&lt;td&gt;0.233&lt;/td&gt;&lt;td&gt;0&lt;/td&gt;&lt;td&gt;7&lt;/td&gt;&lt;td&gt;0.000&lt;/td&gt;&lt;td&gt;6&lt;/td&gt;&lt;td&gt;15&lt;/td&gt;&lt;td&gt;0.400&lt;/td&gt;&lt;td&gt;2&lt;/td&gt;&lt;td&gt;20&lt;/td&gt;&lt;td&gt;22&lt;/td&gt;&lt;td&gt;4.400&lt;/td&gt;&lt;td&gt;7&lt;/td&gt;&lt;td&gt;1.400&lt;/td&gt;&lt;td&gt;3&lt;/td&gt;&lt;td&gt;0.600&lt;/td&gt;&lt;td&gt;0&lt;/td&gt;&lt;td&gt;0.000&lt;/td&gt;&lt;/tr&gt;</v>
      </c>
    </row>
    <row r="193" spans="1:23" x14ac:dyDescent="0.25">
      <c r="A193" s="10">
        <v>9</v>
      </c>
      <c r="B193" s="12" t="s">
        <v>464</v>
      </c>
      <c r="C193" s="12">
        <v>5</v>
      </c>
      <c r="D193" s="12">
        <v>4</v>
      </c>
      <c r="E193" s="12">
        <v>25</v>
      </c>
      <c r="F193" s="12">
        <v>1</v>
      </c>
      <c r="G193" s="12">
        <v>9</v>
      </c>
      <c r="H193" s="12">
        <v>11</v>
      </c>
      <c r="I193" s="12">
        <v>17</v>
      </c>
      <c r="J193" s="16">
        <f t="shared" si="6"/>
        <v>20</v>
      </c>
      <c r="K193" s="12">
        <v>2</v>
      </c>
      <c r="L193" s="12">
        <v>8</v>
      </c>
      <c r="M193" s="16">
        <f t="shared" si="7"/>
        <v>10</v>
      </c>
      <c r="N193" s="12">
        <v>9</v>
      </c>
      <c r="O193" s="12">
        <v>2</v>
      </c>
      <c r="P193" s="12">
        <v>26</v>
      </c>
      <c r="Q193" s="12">
        <v>0</v>
      </c>
      <c r="R193" s="12">
        <v>2</v>
      </c>
      <c r="S193" s="16">
        <v>0</v>
      </c>
      <c r="T193" s="12">
        <v>143</v>
      </c>
      <c r="U193" s="12" t="s">
        <v>98</v>
      </c>
      <c r="W193" s="10" t="str">
        <f t="shared" si="8"/>
        <v>&lt;tr&gt;&lt;td&gt;Brendan O'Dowda&lt;/td&gt;&lt;td&gt;WWC&lt;/td&gt;&lt;td&gt;5&lt;/td&gt;&lt;td&gt;20&lt;/td&gt;&lt;td&gt;4.000&lt;/td&gt;&lt;td&gt;4&lt;/td&gt;&lt;td&gt;25&lt;/td&gt;&lt;td&gt;0.160&lt;/td&gt;&lt;td&gt;1&lt;/td&gt;&lt;td&gt;9&lt;/td&gt;&lt;td&gt;0.111&lt;/td&gt;&lt;td&gt;11&lt;/td&gt;&lt;td&gt;17&lt;/td&gt;&lt;td&gt;0.647&lt;/td&gt;&lt;td&gt;2&lt;/td&gt;&lt;td&gt;8&lt;/td&gt;&lt;td&gt;10&lt;/td&gt;&lt;td&gt;2.000&lt;/td&gt;&lt;td&gt;2&lt;/td&gt;&lt;td&gt;0.400&lt;/td&gt;&lt;td&gt;2&lt;/td&gt;&lt;td&gt;0.400&lt;/td&gt;&lt;td&gt;0&lt;/td&gt;&lt;td&gt;0.000&lt;/td&gt;&lt;/tr&gt;</v>
      </c>
    </row>
    <row r="194" spans="1:23" x14ac:dyDescent="0.25">
      <c r="A194" s="10">
        <v>6</v>
      </c>
      <c r="B194" s="12" t="s">
        <v>706</v>
      </c>
      <c r="C194" s="12">
        <v>3</v>
      </c>
      <c r="D194" s="12">
        <v>8</v>
      </c>
      <c r="E194" s="12">
        <v>17</v>
      </c>
      <c r="F194" s="12">
        <v>2</v>
      </c>
      <c r="G194" s="12">
        <v>8</v>
      </c>
      <c r="H194" s="12">
        <v>2</v>
      </c>
      <c r="I194" s="12">
        <v>2</v>
      </c>
      <c r="J194" s="16">
        <f t="shared" ref="J194:J257" si="9">D194*2+F194+H194</f>
        <v>20</v>
      </c>
      <c r="K194" s="12">
        <v>2</v>
      </c>
      <c r="L194" s="12">
        <v>3</v>
      </c>
      <c r="M194" s="16">
        <f t="shared" ref="M194:M257" si="10">K194+L194</f>
        <v>5</v>
      </c>
      <c r="N194" s="12">
        <v>8</v>
      </c>
      <c r="O194" s="12">
        <v>6</v>
      </c>
      <c r="P194" s="12">
        <v>3</v>
      </c>
      <c r="Q194" s="12">
        <v>1</v>
      </c>
      <c r="R194" s="12">
        <v>4</v>
      </c>
      <c r="S194" s="16">
        <v>0</v>
      </c>
      <c r="T194" s="12">
        <v>46</v>
      </c>
      <c r="U194" s="12" t="s">
        <v>70</v>
      </c>
      <c r="W194" s="10" t="str">
        <f t="shared" si="8"/>
        <v>&lt;tr&gt;&lt;td&gt;Robel Feneshion&lt;/td&gt;&lt;td&gt;JTC&lt;/td&gt;&lt;td&gt;3&lt;/td&gt;&lt;td&gt;20&lt;/td&gt;&lt;td&gt;6.667&lt;/td&gt;&lt;td&gt;8&lt;/td&gt;&lt;td&gt;17&lt;/td&gt;&lt;td&gt;0.471&lt;/td&gt;&lt;td&gt;2&lt;/td&gt;&lt;td&gt;8&lt;/td&gt;&lt;td&gt;0.250&lt;/td&gt;&lt;td&gt;2&lt;/td&gt;&lt;td&gt;2&lt;/td&gt;&lt;td&gt;1.000&lt;/td&gt;&lt;td&gt;2&lt;/td&gt;&lt;td&gt;3&lt;/td&gt;&lt;td&gt;5&lt;/td&gt;&lt;td&gt;1.667&lt;/td&gt;&lt;td&gt;6&lt;/td&gt;&lt;td&gt;2.000&lt;/td&gt;&lt;td&gt;4&lt;/td&gt;&lt;td&gt;1.333&lt;/td&gt;&lt;td&gt;1&lt;/td&gt;&lt;td&gt;0.333&lt;/td&gt;&lt;/tr&gt;</v>
      </c>
    </row>
    <row r="195" spans="1:23" x14ac:dyDescent="0.25">
      <c r="A195" s="10">
        <v>11</v>
      </c>
      <c r="B195" s="12" t="s">
        <v>402</v>
      </c>
      <c r="C195" s="12">
        <v>9</v>
      </c>
      <c r="D195" s="12">
        <v>6</v>
      </c>
      <c r="E195" s="12">
        <v>26</v>
      </c>
      <c r="F195" s="12">
        <v>3</v>
      </c>
      <c r="G195" s="12">
        <v>8</v>
      </c>
      <c r="H195" s="12">
        <v>4</v>
      </c>
      <c r="I195" s="12">
        <v>8</v>
      </c>
      <c r="J195" s="16">
        <f t="shared" si="9"/>
        <v>19</v>
      </c>
      <c r="K195" s="12">
        <v>5</v>
      </c>
      <c r="L195" s="12">
        <v>21</v>
      </c>
      <c r="M195" s="16">
        <f t="shared" si="10"/>
        <v>26</v>
      </c>
      <c r="N195" s="12">
        <v>13</v>
      </c>
      <c r="O195" s="12">
        <v>6</v>
      </c>
      <c r="P195" s="12">
        <v>7</v>
      </c>
      <c r="Q195" s="12">
        <v>2</v>
      </c>
      <c r="R195" s="12">
        <v>4</v>
      </c>
      <c r="S195" s="16">
        <v>0</v>
      </c>
      <c r="T195" s="12">
        <v>123</v>
      </c>
      <c r="U195" s="12" t="s">
        <v>45</v>
      </c>
      <c r="W195" s="10" t="str">
        <f t="shared" si="8"/>
        <v>&lt;tr&gt;&lt;td&gt;A.J. Cabanlong&lt;/td&gt;&lt;td&gt;MC&lt;/td&gt;&lt;td&gt;9&lt;/td&gt;&lt;td&gt;19&lt;/td&gt;&lt;td&gt;2.111&lt;/td&gt;&lt;td&gt;6&lt;/td&gt;&lt;td&gt;26&lt;/td&gt;&lt;td&gt;0.231&lt;/td&gt;&lt;td&gt;3&lt;/td&gt;&lt;td&gt;8&lt;/td&gt;&lt;td&gt;0.375&lt;/td&gt;&lt;td&gt;4&lt;/td&gt;&lt;td&gt;8&lt;/td&gt;&lt;td&gt;0.500&lt;/td&gt;&lt;td&gt;5&lt;/td&gt;&lt;td&gt;21&lt;/td&gt;&lt;td&gt;26&lt;/td&gt;&lt;td&gt;2.889&lt;/td&gt;&lt;td&gt;6&lt;/td&gt;&lt;td&gt;0.667&lt;/td&gt;&lt;td&gt;4&lt;/td&gt;&lt;td&gt;0.444&lt;/td&gt;&lt;td&gt;2&lt;/td&gt;&lt;td&gt;0.222&lt;/td&gt;&lt;/tr&gt;</v>
      </c>
    </row>
    <row r="196" spans="1:23" x14ac:dyDescent="0.25">
      <c r="A196" s="10">
        <v>21</v>
      </c>
      <c r="B196" s="12" t="s">
        <v>340</v>
      </c>
      <c r="C196" s="12">
        <v>5</v>
      </c>
      <c r="D196" s="12">
        <v>9</v>
      </c>
      <c r="E196" s="12">
        <v>17</v>
      </c>
      <c r="F196" s="12">
        <v>0</v>
      </c>
      <c r="G196" s="12">
        <v>0</v>
      </c>
      <c r="H196" s="12">
        <v>1</v>
      </c>
      <c r="I196" s="12">
        <v>2</v>
      </c>
      <c r="J196" s="16">
        <f t="shared" si="9"/>
        <v>19</v>
      </c>
      <c r="K196" s="12">
        <v>4</v>
      </c>
      <c r="L196" s="12">
        <v>9</v>
      </c>
      <c r="M196" s="16">
        <f t="shared" si="10"/>
        <v>13</v>
      </c>
      <c r="N196" s="12">
        <v>9</v>
      </c>
      <c r="O196" s="12">
        <v>3</v>
      </c>
      <c r="P196" s="12">
        <v>8</v>
      </c>
      <c r="Q196" s="12">
        <v>2</v>
      </c>
      <c r="R196" s="12">
        <v>5</v>
      </c>
      <c r="S196" s="16">
        <v>0</v>
      </c>
      <c r="T196" s="12">
        <v>65</v>
      </c>
      <c r="U196" s="12" t="s">
        <v>92</v>
      </c>
      <c r="W196" s="10" t="str">
        <f t="shared" si="8"/>
        <v>&lt;tr&gt;&lt;td&gt;John Vasili&lt;/td&gt;&lt;td&gt;SJHS&lt;/td&gt;&lt;td&gt;5&lt;/td&gt;&lt;td&gt;19&lt;/td&gt;&lt;td&gt;3.800&lt;/td&gt;&lt;td&gt;9&lt;/td&gt;&lt;td&gt;17&lt;/td&gt;&lt;td&gt;0.529&lt;/td&gt;&lt;td&gt;0&lt;/td&gt;&lt;td&gt;0&lt;/td&gt;&lt;td&gt;0.000&lt;/td&gt;&lt;td&gt;1&lt;/td&gt;&lt;td&gt;2&lt;/td&gt;&lt;td&gt;0.500&lt;/td&gt;&lt;td&gt;4&lt;/td&gt;&lt;td&gt;9&lt;/td&gt;&lt;td&gt;13&lt;/td&gt;&lt;td&gt;2.600&lt;/td&gt;&lt;td&gt;3&lt;/td&gt;&lt;td&gt;0.600&lt;/td&gt;&lt;td&gt;5&lt;/td&gt;&lt;td&gt;1.000&lt;/td&gt;&lt;td&gt;2&lt;/td&gt;&lt;td&gt;0.400&lt;/td&gt;&lt;/tr&gt;</v>
      </c>
    </row>
    <row r="197" spans="1:23" x14ac:dyDescent="0.25">
      <c r="A197" s="10">
        <v>23</v>
      </c>
      <c r="B197" s="12" t="s">
        <v>793</v>
      </c>
      <c r="C197" s="12">
        <v>4</v>
      </c>
      <c r="D197" s="12">
        <v>9</v>
      </c>
      <c r="E197" s="12">
        <v>36</v>
      </c>
      <c r="F197" s="12">
        <v>1</v>
      </c>
      <c r="G197" s="12">
        <v>13</v>
      </c>
      <c r="H197" s="12">
        <v>0</v>
      </c>
      <c r="I197" s="12">
        <v>0</v>
      </c>
      <c r="J197" s="16">
        <f t="shared" si="9"/>
        <v>19</v>
      </c>
      <c r="K197" s="12">
        <v>5</v>
      </c>
      <c r="L197" s="12">
        <v>7</v>
      </c>
      <c r="M197" s="16">
        <f t="shared" si="10"/>
        <v>12</v>
      </c>
      <c r="N197" s="12">
        <v>5</v>
      </c>
      <c r="O197" s="12">
        <v>8</v>
      </c>
      <c r="P197" s="12">
        <v>9</v>
      </c>
      <c r="Q197" s="12">
        <v>2</v>
      </c>
      <c r="R197" s="12">
        <v>9</v>
      </c>
      <c r="S197" s="16">
        <v>0</v>
      </c>
      <c r="T197" s="12">
        <v>99</v>
      </c>
      <c r="U197" s="12" t="s">
        <v>52</v>
      </c>
      <c r="W197" s="10" t="str">
        <f t="shared" si="8"/>
        <v>&lt;tr&gt;&lt;td&gt;Birhanu Yitna&lt;/td&gt;&lt;td&gt;REC&lt;/td&gt;&lt;td&gt;4&lt;/td&gt;&lt;td&gt;19&lt;/td&gt;&lt;td&gt;4.750&lt;/td&gt;&lt;td&gt;9&lt;/td&gt;&lt;td&gt;36&lt;/td&gt;&lt;td&gt;0.250&lt;/td&gt;&lt;td&gt;1&lt;/td&gt;&lt;td&gt;13&lt;/td&gt;&lt;td&gt;0.077&lt;/td&gt;&lt;td&gt;0&lt;/td&gt;&lt;td&gt;0&lt;/td&gt;&lt;td&gt;0.000&lt;/td&gt;&lt;td&gt;5&lt;/td&gt;&lt;td&gt;7&lt;/td&gt;&lt;td&gt;12&lt;/td&gt;&lt;td&gt;3.000&lt;/td&gt;&lt;td&gt;8&lt;/td&gt;&lt;td&gt;2.000&lt;/td&gt;&lt;td&gt;9&lt;/td&gt;&lt;td&gt;2.250&lt;/td&gt;&lt;td&gt;2&lt;/td&gt;&lt;td&gt;0.500&lt;/td&gt;&lt;/tr&gt;</v>
      </c>
    </row>
    <row r="198" spans="1:23" x14ac:dyDescent="0.25">
      <c r="A198" s="10">
        <v>7</v>
      </c>
      <c r="B198" s="12" t="s">
        <v>347</v>
      </c>
      <c r="C198" s="12">
        <v>7</v>
      </c>
      <c r="D198" s="12">
        <v>5</v>
      </c>
      <c r="E198" s="12">
        <v>14</v>
      </c>
      <c r="F198" s="12">
        <v>0</v>
      </c>
      <c r="G198" s="12">
        <v>3</v>
      </c>
      <c r="H198" s="12">
        <v>8</v>
      </c>
      <c r="I198" s="12">
        <v>10</v>
      </c>
      <c r="J198" s="16">
        <f t="shared" si="9"/>
        <v>18</v>
      </c>
      <c r="K198" s="12">
        <v>4</v>
      </c>
      <c r="L198" s="12">
        <v>2</v>
      </c>
      <c r="M198" s="16">
        <f t="shared" si="10"/>
        <v>6</v>
      </c>
      <c r="N198" s="12">
        <v>3</v>
      </c>
      <c r="O198" s="12">
        <v>0</v>
      </c>
      <c r="P198" s="12">
        <v>4</v>
      </c>
      <c r="Q198" s="12">
        <v>0</v>
      </c>
      <c r="R198" s="12">
        <v>1</v>
      </c>
      <c r="S198" s="16">
        <v>0</v>
      </c>
      <c r="T198" s="12">
        <v>34</v>
      </c>
      <c r="U198" s="12" t="s">
        <v>60</v>
      </c>
      <c r="W198" s="10" t="str">
        <f t="shared" si="8"/>
        <v>&lt;tr&gt;&lt;td&gt;Zach Knight&lt;/td&gt;&lt;td&gt;DCI&lt;/td&gt;&lt;td&gt;7&lt;/td&gt;&lt;td&gt;18&lt;/td&gt;&lt;td&gt;2.571&lt;/td&gt;&lt;td&gt;5&lt;/td&gt;&lt;td&gt;14&lt;/td&gt;&lt;td&gt;0.357&lt;/td&gt;&lt;td&gt;0&lt;/td&gt;&lt;td&gt;3&lt;/td&gt;&lt;td&gt;0.000&lt;/td&gt;&lt;td&gt;8&lt;/td&gt;&lt;td&gt;10&lt;/td&gt;&lt;td&gt;0.800&lt;/td&gt;&lt;td&gt;4&lt;/td&gt;&lt;td&gt;2&lt;/td&gt;&lt;td&gt;6&lt;/td&gt;&lt;td&gt;0.857&lt;/td&gt;&lt;td&gt;0&lt;/td&gt;&lt;td&gt;0.000&lt;/td&gt;&lt;td&gt;1&lt;/td&gt;&lt;td&gt;0.143&lt;/td&gt;&lt;td&gt;0&lt;/td&gt;&lt;td&gt;0.000&lt;/td&gt;&lt;/tr&gt;</v>
      </c>
    </row>
    <row r="199" spans="1:23" x14ac:dyDescent="0.25">
      <c r="A199" s="10">
        <v>22</v>
      </c>
      <c r="B199" s="12" t="s">
        <v>454</v>
      </c>
      <c r="C199" s="12">
        <v>6</v>
      </c>
      <c r="D199" s="12">
        <v>6</v>
      </c>
      <c r="E199" s="12">
        <v>34</v>
      </c>
      <c r="F199" s="12">
        <v>5</v>
      </c>
      <c r="G199" s="12">
        <v>23</v>
      </c>
      <c r="H199" s="12">
        <v>1</v>
      </c>
      <c r="I199" s="12">
        <v>2</v>
      </c>
      <c r="J199" s="16">
        <f t="shared" si="9"/>
        <v>18</v>
      </c>
      <c r="K199" s="12">
        <v>5</v>
      </c>
      <c r="L199" s="12">
        <v>4</v>
      </c>
      <c r="M199" s="16">
        <f t="shared" si="10"/>
        <v>9</v>
      </c>
      <c r="N199" s="12">
        <v>7</v>
      </c>
      <c r="O199" s="12">
        <v>1</v>
      </c>
      <c r="P199" s="12">
        <v>5</v>
      </c>
      <c r="Q199" s="12">
        <v>0</v>
      </c>
      <c r="R199" s="12">
        <v>2</v>
      </c>
      <c r="S199" s="16">
        <v>0</v>
      </c>
      <c r="T199" s="12">
        <v>81</v>
      </c>
      <c r="U199" s="12" t="s">
        <v>102</v>
      </c>
      <c r="W199" s="10" t="str">
        <f t="shared" si="8"/>
        <v>&lt;tr&gt;&lt;td&gt;Hanak Zerihun&lt;/td&gt;&lt;td&gt;VMHS&lt;/td&gt;&lt;td&gt;6&lt;/td&gt;&lt;td&gt;18&lt;/td&gt;&lt;td&gt;3.000&lt;/td&gt;&lt;td&gt;6&lt;/td&gt;&lt;td&gt;34&lt;/td&gt;&lt;td&gt;0.176&lt;/td&gt;&lt;td&gt;5&lt;/td&gt;&lt;td&gt;23&lt;/td&gt;&lt;td&gt;0.217&lt;/td&gt;&lt;td&gt;1&lt;/td&gt;&lt;td&gt;2&lt;/td&gt;&lt;td&gt;0.500&lt;/td&gt;&lt;td&gt;5&lt;/td&gt;&lt;td&gt;4&lt;/td&gt;&lt;td&gt;9&lt;/td&gt;&lt;td&gt;1.500&lt;/td&gt;&lt;td&gt;1&lt;/td&gt;&lt;td&gt;0.167&lt;/td&gt;&lt;td&gt;2&lt;/td&gt;&lt;td&gt;0.333&lt;/td&gt;&lt;td&gt;0&lt;/td&gt;&lt;td&gt;0.000&lt;/td&gt;&lt;/tr&gt;</v>
      </c>
    </row>
    <row r="200" spans="1:23" x14ac:dyDescent="0.25">
      <c r="A200" s="10">
        <v>15</v>
      </c>
      <c r="B200" s="12" t="s">
        <v>318</v>
      </c>
      <c r="C200" s="12">
        <v>5</v>
      </c>
      <c r="D200" s="12">
        <v>8</v>
      </c>
      <c r="E200" s="12">
        <v>19</v>
      </c>
      <c r="F200" s="12">
        <v>0</v>
      </c>
      <c r="G200" s="12">
        <v>0</v>
      </c>
      <c r="H200" s="12">
        <v>2</v>
      </c>
      <c r="I200" s="12">
        <v>4</v>
      </c>
      <c r="J200" s="16">
        <f t="shared" si="9"/>
        <v>18</v>
      </c>
      <c r="K200" s="12">
        <v>15</v>
      </c>
      <c r="L200" s="12">
        <v>8</v>
      </c>
      <c r="M200" s="16">
        <f t="shared" si="10"/>
        <v>23</v>
      </c>
      <c r="N200" s="12">
        <v>12</v>
      </c>
      <c r="O200" s="12">
        <v>0</v>
      </c>
      <c r="P200" s="12">
        <v>3</v>
      </c>
      <c r="Q200" s="12">
        <v>0</v>
      </c>
      <c r="R200" s="12">
        <v>7</v>
      </c>
      <c r="S200" s="16">
        <v>0</v>
      </c>
      <c r="T200" s="12">
        <v>60</v>
      </c>
      <c r="U200" s="12" t="s">
        <v>74</v>
      </c>
      <c r="W200" s="10" t="str">
        <f t="shared" si="8"/>
        <v>&lt;tr&gt;&lt;td&gt;Ryan Wolfe&lt;/td&gt;&lt;td&gt;OPHS&lt;/td&gt;&lt;td&gt;5&lt;/td&gt;&lt;td&gt;18&lt;/td&gt;&lt;td&gt;3.600&lt;/td&gt;&lt;td&gt;8&lt;/td&gt;&lt;td&gt;19&lt;/td&gt;&lt;td&gt;0.421&lt;/td&gt;&lt;td&gt;0&lt;/td&gt;&lt;td&gt;0&lt;/td&gt;&lt;td&gt;0.000&lt;/td&gt;&lt;td&gt;2&lt;/td&gt;&lt;td&gt;4&lt;/td&gt;&lt;td&gt;0.500&lt;/td&gt;&lt;td&gt;15&lt;/td&gt;&lt;td&gt;8&lt;/td&gt;&lt;td&gt;23&lt;/td&gt;&lt;td&gt;4.600&lt;/td&gt;&lt;td&gt;0&lt;/td&gt;&lt;td&gt;0.000&lt;/td&gt;&lt;td&gt;7&lt;/td&gt;&lt;td&gt;1.400&lt;/td&gt;&lt;td&gt;0&lt;/td&gt;&lt;td&gt;0.000&lt;/td&gt;&lt;/tr&gt;</v>
      </c>
    </row>
    <row r="201" spans="1:23" x14ac:dyDescent="0.25">
      <c r="A201" s="10">
        <v>4</v>
      </c>
      <c r="B201" s="12" t="s">
        <v>730</v>
      </c>
      <c r="C201" s="12">
        <v>4</v>
      </c>
      <c r="D201" s="12">
        <v>9</v>
      </c>
      <c r="E201" s="12">
        <v>25</v>
      </c>
      <c r="F201" s="12">
        <v>0</v>
      </c>
      <c r="G201" s="12">
        <v>5</v>
      </c>
      <c r="H201" s="12">
        <v>0</v>
      </c>
      <c r="I201" s="12">
        <v>0</v>
      </c>
      <c r="J201" s="16">
        <f t="shared" si="9"/>
        <v>18</v>
      </c>
      <c r="K201" s="12">
        <v>2</v>
      </c>
      <c r="L201" s="12">
        <v>4</v>
      </c>
      <c r="M201" s="16">
        <f t="shared" si="10"/>
        <v>6</v>
      </c>
      <c r="N201" s="12">
        <v>4</v>
      </c>
      <c r="O201" s="12">
        <v>2</v>
      </c>
      <c r="P201" s="12">
        <v>7</v>
      </c>
      <c r="Q201" s="12">
        <v>0</v>
      </c>
      <c r="R201" s="12">
        <v>8</v>
      </c>
      <c r="S201" s="16">
        <v>0</v>
      </c>
      <c r="T201" s="12">
        <v>66</v>
      </c>
      <c r="U201" s="12" t="s">
        <v>96</v>
      </c>
      <c r="W201" s="10" t="str">
        <f t="shared" si="8"/>
        <v>&lt;tr&gt;&lt;td&gt;Tristan Doctora&lt;/td&gt;&lt;td&gt;TVHS&lt;/td&gt;&lt;td&gt;4&lt;/td&gt;&lt;td&gt;18&lt;/td&gt;&lt;td&gt;4.500&lt;/td&gt;&lt;td&gt;9&lt;/td&gt;&lt;td&gt;25&lt;/td&gt;&lt;td&gt;0.360&lt;/td&gt;&lt;td&gt;0&lt;/td&gt;&lt;td&gt;5&lt;/td&gt;&lt;td&gt;0.000&lt;/td&gt;&lt;td&gt;0&lt;/td&gt;&lt;td&gt;0&lt;/td&gt;&lt;td&gt;0.000&lt;/td&gt;&lt;td&gt;2&lt;/td&gt;&lt;td&gt;4&lt;/td&gt;&lt;td&gt;6&lt;/td&gt;&lt;td&gt;1.500&lt;/td&gt;&lt;td&gt;2&lt;/td&gt;&lt;td&gt;0.500&lt;/td&gt;&lt;td&gt;8&lt;/td&gt;&lt;td&gt;2.000&lt;/td&gt;&lt;td&gt;0&lt;/td&gt;&lt;td&gt;0.000&lt;/td&gt;&lt;/tr&gt;</v>
      </c>
    </row>
    <row r="202" spans="1:23" x14ac:dyDescent="0.25">
      <c r="A202" s="10">
        <v>5</v>
      </c>
      <c r="B202" s="12" t="s">
        <v>345</v>
      </c>
      <c r="C202" s="12">
        <v>8</v>
      </c>
      <c r="D202" s="12">
        <v>6</v>
      </c>
      <c r="E202" s="12">
        <v>16</v>
      </c>
      <c r="F202" s="12">
        <v>3</v>
      </c>
      <c r="G202" s="12">
        <v>9</v>
      </c>
      <c r="H202" s="12">
        <v>2</v>
      </c>
      <c r="I202" s="12">
        <v>2</v>
      </c>
      <c r="J202" s="16">
        <f t="shared" si="9"/>
        <v>17</v>
      </c>
      <c r="K202" s="12">
        <v>3</v>
      </c>
      <c r="L202" s="12">
        <v>3</v>
      </c>
      <c r="M202" s="16">
        <f t="shared" si="10"/>
        <v>6</v>
      </c>
      <c r="N202" s="12">
        <v>3</v>
      </c>
      <c r="O202" s="12">
        <v>3</v>
      </c>
      <c r="P202" s="12">
        <v>7</v>
      </c>
      <c r="Q202" s="12">
        <v>1</v>
      </c>
      <c r="R202" s="12">
        <v>3</v>
      </c>
      <c r="S202" s="16">
        <v>0</v>
      </c>
      <c r="T202" s="12">
        <v>76</v>
      </c>
      <c r="U202" s="12" t="s">
        <v>60</v>
      </c>
      <c r="W202" s="10" t="str">
        <f t="shared" si="8"/>
        <v>&lt;tr&gt;&lt;td&gt;Isaiah Dizon-Deguzman&lt;/td&gt;&lt;td&gt;DCI&lt;/td&gt;&lt;td&gt;8&lt;/td&gt;&lt;td&gt;17&lt;/td&gt;&lt;td&gt;2.125&lt;/td&gt;&lt;td&gt;6&lt;/td&gt;&lt;td&gt;16&lt;/td&gt;&lt;td&gt;0.375&lt;/td&gt;&lt;td&gt;3&lt;/td&gt;&lt;td&gt;9&lt;/td&gt;&lt;td&gt;0.333&lt;/td&gt;&lt;td&gt;2&lt;/td&gt;&lt;td&gt;2&lt;/td&gt;&lt;td&gt;1.000&lt;/td&gt;&lt;td&gt;3&lt;/td&gt;&lt;td&gt;3&lt;/td&gt;&lt;td&gt;6&lt;/td&gt;&lt;td&gt;0.750&lt;/td&gt;&lt;td&gt;3&lt;/td&gt;&lt;td&gt;0.375&lt;/td&gt;&lt;td&gt;3&lt;/td&gt;&lt;td&gt;0.375&lt;/td&gt;&lt;td&gt;1&lt;/td&gt;&lt;td&gt;0.125&lt;/td&gt;&lt;/tr&gt;</v>
      </c>
    </row>
    <row r="203" spans="1:23" x14ac:dyDescent="0.25">
      <c r="A203" s="10">
        <v>3</v>
      </c>
      <c r="B203" s="12" t="s">
        <v>729</v>
      </c>
      <c r="C203" s="12">
        <v>6</v>
      </c>
      <c r="D203" s="12">
        <v>6</v>
      </c>
      <c r="E203" s="12">
        <v>39</v>
      </c>
      <c r="F203" s="12">
        <v>1</v>
      </c>
      <c r="G203" s="12">
        <v>5</v>
      </c>
      <c r="H203" s="12">
        <v>4</v>
      </c>
      <c r="I203" s="12">
        <v>8</v>
      </c>
      <c r="J203" s="16">
        <f t="shared" si="9"/>
        <v>17</v>
      </c>
      <c r="K203" s="12">
        <v>4</v>
      </c>
      <c r="L203" s="12">
        <v>15</v>
      </c>
      <c r="M203" s="16">
        <f t="shared" si="10"/>
        <v>19</v>
      </c>
      <c r="N203" s="12">
        <v>11</v>
      </c>
      <c r="O203" s="12">
        <v>4</v>
      </c>
      <c r="P203" s="12">
        <v>14</v>
      </c>
      <c r="Q203" s="12">
        <v>1</v>
      </c>
      <c r="R203" s="12">
        <v>8</v>
      </c>
      <c r="S203" s="16">
        <v>0</v>
      </c>
      <c r="T203" s="12">
        <v>130</v>
      </c>
      <c r="U203" s="12" t="s">
        <v>96</v>
      </c>
      <c r="W203" s="10" t="str">
        <f t="shared" si="8"/>
        <v>&lt;tr&gt;&lt;td&gt;Marc Arabe&lt;/td&gt;&lt;td&gt;TVHS&lt;/td&gt;&lt;td&gt;6&lt;/td&gt;&lt;td&gt;17&lt;/td&gt;&lt;td&gt;2.833&lt;/td&gt;&lt;td&gt;6&lt;/td&gt;&lt;td&gt;39&lt;/td&gt;&lt;td&gt;0.154&lt;/td&gt;&lt;td&gt;1&lt;/td&gt;&lt;td&gt;5&lt;/td&gt;&lt;td&gt;0.200&lt;/td&gt;&lt;td&gt;4&lt;/td&gt;&lt;td&gt;8&lt;/td&gt;&lt;td&gt;0.500&lt;/td&gt;&lt;td&gt;4&lt;/td&gt;&lt;td&gt;15&lt;/td&gt;&lt;td&gt;19&lt;/td&gt;&lt;td&gt;3.167&lt;/td&gt;&lt;td&gt;4&lt;/td&gt;&lt;td&gt;0.667&lt;/td&gt;&lt;td&gt;8&lt;/td&gt;&lt;td&gt;1.333&lt;/td&gt;&lt;td&gt;1&lt;/td&gt;&lt;td&gt;0.167&lt;/td&gt;&lt;/tr&gt;</v>
      </c>
    </row>
    <row r="204" spans="1:23" x14ac:dyDescent="0.25">
      <c r="A204" s="10">
        <v>11</v>
      </c>
      <c r="B204" s="12" t="s">
        <v>394</v>
      </c>
      <c r="C204" s="12">
        <v>5</v>
      </c>
      <c r="D204" s="12">
        <v>7</v>
      </c>
      <c r="E204" s="12">
        <v>19</v>
      </c>
      <c r="F204" s="12">
        <v>0</v>
      </c>
      <c r="G204" s="12">
        <v>0</v>
      </c>
      <c r="H204" s="12">
        <v>3</v>
      </c>
      <c r="I204" s="12">
        <v>4</v>
      </c>
      <c r="J204" s="16">
        <f t="shared" si="9"/>
        <v>17</v>
      </c>
      <c r="K204" s="12">
        <v>6</v>
      </c>
      <c r="L204" s="12">
        <v>14</v>
      </c>
      <c r="M204" s="16">
        <f t="shared" si="10"/>
        <v>20</v>
      </c>
      <c r="N204" s="12">
        <v>6</v>
      </c>
      <c r="O204" s="12">
        <v>0</v>
      </c>
      <c r="P204" s="12">
        <v>6</v>
      </c>
      <c r="Q204" s="12">
        <v>0</v>
      </c>
      <c r="R204" s="12">
        <v>6</v>
      </c>
      <c r="S204" s="16">
        <v>0</v>
      </c>
      <c r="T204" s="12">
        <v>87</v>
      </c>
      <c r="U204" s="12" t="s">
        <v>164</v>
      </c>
      <c r="W204" s="10" t="str">
        <f t="shared" si="8"/>
        <v>&lt;tr&gt;&lt;td&gt;Ryan Bueckert&lt;/td&gt;&lt;td&gt;GVC&lt;/td&gt;&lt;td&gt;5&lt;/td&gt;&lt;td&gt;17&lt;/td&gt;&lt;td&gt;3.400&lt;/td&gt;&lt;td&gt;7&lt;/td&gt;&lt;td&gt;19&lt;/td&gt;&lt;td&gt;0.368&lt;/td&gt;&lt;td&gt;0&lt;/td&gt;&lt;td&gt;0&lt;/td&gt;&lt;td&gt;0.000&lt;/td&gt;&lt;td&gt;3&lt;/td&gt;&lt;td&gt;4&lt;/td&gt;&lt;td&gt;0.750&lt;/td&gt;&lt;td&gt;6&lt;/td&gt;&lt;td&gt;14&lt;/td&gt;&lt;td&gt;20&lt;/td&gt;&lt;td&gt;4.000&lt;/td&gt;&lt;td&gt;0&lt;/td&gt;&lt;td&gt;0.000&lt;/td&gt;&lt;td&gt;6&lt;/td&gt;&lt;td&gt;1.200&lt;/td&gt;&lt;td&gt;0&lt;/td&gt;&lt;td&gt;0.000&lt;/td&gt;&lt;/tr&gt;</v>
      </c>
    </row>
    <row r="205" spans="1:23" x14ac:dyDescent="0.25">
      <c r="A205" s="10">
        <v>15</v>
      </c>
      <c r="B205" s="12" t="s">
        <v>748</v>
      </c>
      <c r="C205" s="12">
        <v>3</v>
      </c>
      <c r="D205" s="12">
        <v>6</v>
      </c>
      <c r="E205" s="12">
        <v>18</v>
      </c>
      <c r="F205" s="12">
        <v>3</v>
      </c>
      <c r="G205" s="12">
        <v>7</v>
      </c>
      <c r="H205" s="12">
        <v>2</v>
      </c>
      <c r="I205" s="12">
        <v>3</v>
      </c>
      <c r="J205" s="16">
        <f t="shared" si="9"/>
        <v>17</v>
      </c>
      <c r="K205" s="12">
        <v>2</v>
      </c>
      <c r="L205" s="12">
        <v>4</v>
      </c>
      <c r="M205" s="16">
        <f t="shared" si="10"/>
        <v>6</v>
      </c>
      <c r="N205" s="12">
        <v>3</v>
      </c>
      <c r="O205" s="12">
        <v>2</v>
      </c>
      <c r="P205" s="12">
        <v>3</v>
      </c>
      <c r="Q205" s="12">
        <v>1</v>
      </c>
      <c r="R205" s="12">
        <v>1</v>
      </c>
      <c r="S205" s="16">
        <v>0</v>
      </c>
      <c r="T205" s="12">
        <v>40</v>
      </c>
      <c r="U205" s="12" t="s">
        <v>76</v>
      </c>
      <c r="W205" s="10" t="str">
        <f t="shared" si="8"/>
        <v>&lt;tr&gt;&lt;td&gt;Michael Saceda&lt;/td&gt;&lt;td&gt;SiHS&lt;/td&gt;&lt;td&gt;3&lt;/td&gt;&lt;td&gt;17&lt;/td&gt;&lt;td&gt;5.667&lt;/td&gt;&lt;td&gt;6&lt;/td&gt;&lt;td&gt;18&lt;/td&gt;&lt;td&gt;0.333&lt;/td&gt;&lt;td&gt;3&lt;/td&gt;&lt;td&gt;7&lt;/td&gt;&lt;td&gt;0.429&lt;/td&gt;&lt;td&gt;2&lt;/td&gt;&lt;td&gt;3&lt;/td&gt;&lt;td&gt;0.667&lt;/td&gt;&lt;td&gt;2&lt;/td&gt;&lt;td&gt;4&lt;/td&gt;&lt;td&gt;6&lt;/td&gt;&lt;td&gt;2.000&lt;/td&gt;&lt;td&gt;2&lt;/td&gt;&lt;td&gt;0.667&lt;/td&gt;&lt;td&gt;1&lt;/td&gt;&lt;td&gt;0.333&lt;/td&gt;&lt;td&gt;1&lt;/td&gt;&lt;td&gt;0.333&lt;/td&gt;&lt;/tr&gt;</v>
      </c>
    </row>
    <row r="206" spans="1:23" x14ac:dyDescent="0.25">
      <c r="A206" s="10">
        <v>5</v>
      </c>
      <c r="B206" s="12" t="s">
        <v>324</v>
      </c>
      <c r="C206" s="12">
        <v>9</v>
      </c>
      <c r="D206" s="12">
        <v>7</v>
      </c>
      <c r="E206" s="12">
        <v>19</v>
      </c>
      <c r="F206" s="12">
        <v>1</v>
      </c>
      <c r="G206" s="12">
        <v>6</v>
      </c>
      <c r="H206" s="12">
        <v>1</v>
      </c>
      <c r="I206" s="12">
        <v>3</v>
      </c>
      <c r="J206" s="16">
        <f t="shared" si="9"/>
        <v>16</v>
      </c>
      <c r="K206" s="12">
        <v>11</v>
      </c>
      <c r="L206" s="12">
        <v>13</v>
      </c>
      <c r="M206" s="16">
        <f t="shared" si="10"/>
        <v>24</v>
      </c>
      <c r="N206" s="12">
        <v>6</v>
      </c>
      <c r="O206" s="12">
        <v>14</v>
      </c>
      <c r="P206" s="12">
        <v>7</v>
      </c>
      <c r="Q206" s="12">
        <v>0</v>
      </c>
      <c r="R206" s="12">
        <v>6</v>
      </c>
      <c r="S206" s="16">
        <v>0</v>
      </c>
      <c r="T206" s="12">
        <v>107</v>
      </c>
      <c r="U206" s="12" t="s">
        <v>41</v>
      </c>
      <c r="W206" s="10" t="str">
        <f t="shared" si="8"/>
        <v>&lt;tr&gt;&lt;td&gt;Jordan Kashton&lt;/td&gt;&lt;td&gt;GCC&lt;/td&gt;&lt;td&gt;9&lt;/td&gt;&lt;td&gt;16&lt;/td&gt;&lt;td&gt;1.778&lt;/td&gt;&lt;td&gt;7&lt;/td&gt;&lt;td&gt;19&lt;/td&gt;&lt;td&gt;0.368&lt;/td&gt;&lt;td&gt;1&lt;/td&gt;&lt;td&gt;6&lt;/td&gt;&lt;td&gt;0.167&lt;/td&gt;&lt;td&gt;1&lt;/td&gt;&lt;td&gt;3&lt;/td&gt;&lt;td&gt;0.333&lt;/td&gt;&lt;td&gt;11&lt;/td&gt;&lt;td&gt;13&lt;/td&gt;&lt;td&gt;24&lt;/td&gt;&lt;td&gt;2.667&lt;/td&gt;&lt;td&gt;14&lt;/td&gt;&lt;td&gt;1.556&lt;/td&gt;&lt;td&gt;6&lt;/td&gt;&lt;td&gt;0.667&lt;/td&gt;&lt;td&gt;0&lt;/td&gt;&lt;td&gt;0.000&lt;/td&gt;&lt;/tr&gt;</v>
      </c>
    </row>
    <row r="207" spans="1:23" x14ac:dyDescent="0.25">
      <c r="A207" s="10">
        <v>11</v>
      </c>
      <c r="B207" s="12" t="s">
        <v>351</v>
      </c>
      <c r="C207" s="12">
        <v>7</v>
      </c>
      <c r="D207" s="12">
        <v>7</v>
      </c>
      <c r="E207" s="12">
        <v>19</v>
      </c>
      <c r="F207" s="12">
        <v>0</v>
      </c>
      <c r="G207" s="12">
        <v>8</v>
      </c>
      <c r="H207" s="12">
        <v>2</v>
      </c>
      <c r="I207" s="12">
        <v>5</v>
      </c>
      <c r="J207" s="16">
        <f t="shared" si="9"/>
        <v>16</v>
      </c>
      <c r="K207" s="12">
        <v>4</v>
      </c>
      <c r="L207" s="12">
        <v>10</v>
      </c>
      <c r="M207" s="16">
        <f t="shared" si="10"/>
        <v>14</v>
      </c>
      <c r="N207" s="12">
        <v>7</v>
      </c>
      <c r="O207" s="12">
        <v>1</v>
      </c>
      <c r="P207" s="12">
        <v>6</v>
      </c>
      <c r="Q207" s="12">
        <v>3</v>
      </c>
      <c r="R207" s="12">
        <v>2</v>
      </c>
      <c r="S207" s="16">
        <v>0</v>
      </c>
      <c r="T207" s="12">
        <v>54</v>
      </c>
      <c r="U207" s="12" t="s">
        <v>60</v>
      </c>
      <c r="W207" s="10" t="str">
        <f t="shared" si="8"/>
        <v>&lt;tr&gt;&lt;td&gt;Markos Bockru&lt;/td&gt;&lt;td&gt;DCI&lt;/td&gt;&lt;td&gt;7&lt;/td&gt;&lt;td&gt;16&lt;/td&gt;&lt;td&gt;2.286&lt;/td&gt;&lt;td&gt;7&lt;/td&gt;&lt;td&gt;19&lt;/td&gt;&lt;td&gt;0.368&lt;/td&gt;&lt;td&gt;0&lt;/td&gt;&lt;td&gt;8&lt;/td&gt;&lt;td&gt;0.000&lt;/td&gt;&lt;td&gt;2&lt;/td&gt;&lt;td&gt;5&lt;/td&gt;&lt;td&gt;0.400&lt;/td&gt;&lt;td&gt;4&lt;/td&gt;&lt;td&gt;10&lt;/td&gt;&lt;td&gt;14&lt;/td&gt;&lt;td&gt;2.000&lt;/td&gt;&lt;td&gt;1&lt;/td&gt;&lt;td&gt;0.143&lt;/td&gt;&lt;td&gt;2&lt;/td&gt;&lt;td&gt;0.286&lt;/td&gt;&lt;td&gt;3&lt;/td&gt;&lt;td&gt;0.429&lt;/td&gt;&lt;/tr&gt;</v>
      </c>
    </row>
    <row r="208" spans="1:23" x14ac:dyDescent="0.25">
      <c r="A208" s="10">
        <v>7</v>
      </c>
      <c r="B208" s="12" t="s">
        <v>487</v>
      </c>
      <c r="C208" s="12">
        <v>6</v>
      </c>
      <c r="D208" s="12">
        <v>6</v>
      </c>
      <c r="E208" s="12">
        <v>23</v>
      </c>
      <c r="F208" s="12">
        <v>4</v>
      </c>
      <c r="G208" s="12">
        <v>15</v>
      </c>
      <c r="H208" s="12">
        <v>0</v>
      </c>
      <c r="I208" s="12">
        <v>0</v>
      </c>
      <c r="J208" s="16">
        <f t="shared" si="9"/>
        <v>16</v>
      </c>
      <c r="K208" s="12">
        <v>1</v>
      </c>
      <c r="L208" s="12">
        <v>3</v>
      </c>
      <c r="M208" s="16">
        <f t="shared" si="10"/>
        <v>4</v>
      </c>
      <c r="N208" s="12">
        <v>3</v>
      </c>
      <c r="O208" s="12">
        <v>3</v>
      </c>
      <c r="P208" s="12">
        <v>3</v>
      </c>
      <c r="Q208" s="12">
        <v>0</v>
      </c>
      <c r="R208" s="12">
        <v>2</v>
      </c>
      <c r="S208" s="16">
        <v>0</v>
      </c>
      <c r="T208" s="12">
        <v>39</v>
      </c>
      <c r="U208" s="12" t="s">
        <v>48</v>
      </c>
      <c r="W208" s="10" t="str">
        <f t="shared" si="8"/>
        <v>&lt;tr&gt;&lt;td&gt;Mathew Luo&lt;/td&gt;&lt;td&gt;MMC&lt;/td&gt;&lt;td&gt;6&lt;/td&gt;&lt;td&gt;16&lt;/td&gt;&lt;td&gt;2.667&lt;/td&gt;&lt;td&gt;6&lt;/td&gt;&lt;td&gt;23&lt;/td&gt;&lt;td&gt;0.261&lt;/td&gt;&lt;td&gt;4&lt;/td&gt;&lt;td&gt;15&lt;/td&gt;&lt;td&gt;0.267&lt;/td&gt;&lt;td&gt;0&lt;/td&gt;&lt;td&gt;0&lt;/td&gt;&lt;td&gt;0.000&lt;/td&gt;&lt;td&gt;1&lt;/td&gt;&lt;td&gt;3&lt;/td&gt;&lt;td&gt;4&lt;/td&gt;&lt;td&gt;0.667&lt;/td&gt;&lt;td&gt;3&lt;/td&gt;&lt;td&gt;0.500&lt;/td&gt;&lt;td&gt;2&lt;/td&gt;&lt;td&gt;0.333&lt;/td&gt;&lt;td&gt;0&lt;/td&gt;&lt;td&gt;0.000&lt;/td&gt;&lt;/tr&gt;</v>
      </c>
    </row>
    <row r="209" spans="1:23" x14ac:dyDescent="0.25">
      <c r="A209" s="10">
        <v>15</v>
      </c>
      <c r="B209" s="12" t="s">
        <v>481</v>
      </c>
      <c r="C209" s="12">
        <v>5</v>
      </c>
      <c r="D209" s="12">
        <v>3</v>
      </c>
      <c r="E209" s="12">
        <v>16</v>
      </c>
      <c r="F209" s="12">
        <v>0</v>
      </c>
      <c r="G209" s="12">
        <v>2</v>
      </c>
      <c r="H209" s="12">
        <v>10</v>
      </c>
      <c r="I209" s="12">
        <v>18</v>
      </c>
      <c r="J209" s="16">
        <f t="shared" si="9"/>
        <v>16</v>
      </c>
      <c r="K209" s="12">
        <v>4</v>
      </c>
      <c r="L209" s="12">
        <v>5</v>
      </c>
      <c r="M209" s="16">
        <f t="shared" si="10"/>
        <v>9</v>
      </c>
      <c r="N209" s="12">
        <v>8</v>
      </c>
      <c r="O209" s="12">
        <v>0</v>
      </c>
      <c r="P209" s="12">
        <v>6</v>
      </c>
      <c r="Q209" s="12">
        <v>0</v>
      </c>
      <c r="R209" s="12">
        <v>5</v>
      </c>
      <c r="S209" s="16">
        <v>0</v>
      </c>
      <c r="T209" s="12">
        <v>60</v>
      </c>
      <c r="U209" s="12" t="s">
        <v>64</v>
      </c>
      <c r="W209" s="10" t="str">
        <f t="shared" si="8"/>
        <v>&lt;tr&gt;&lt;td&gt;Stephan Labossiere&lt;/td&gt;&lt;td&gt;JHB&lt;/td&gt;&lt;td&gt;5&lt;/td&gt;&lt;td&gt;16&lt;/td&gt;&lt;td&gt;3.200&lt;/td&gt;&lt;td&gt;3&lt;/td&gt;&lt;td&gt;16&lt;/td&gt;&lt;td&gt;0.188&lt;/td&gt;&lt;td&gt;0&lt;/td&gt;&lt;td&gt;2&lt;/td&gt;&lt;td&gt;0.000&lt;/td&gt;&lt;td&gt;10&lt;/td&gt;&lt;td&gt;18&lt;/td&gt;&lt;td&gt;0.556&lt;/td&gt;&lt;td&gt;4&lt;/td&gt;&lt;td&gt;5&lt;/td&gt;&lt;td&gt;9&lt;/td&gt;&lt;td&gt;1.800&lt;/td&gt;&lt;td&gt;0&lt;/td&gt;&lt;td&gt;0.000&lt;/td&gt;&lt;td&gt;5&lt;/td&gt;&lt;td&gt;1.000&lt;/td&gt;&lt;td&gt;0&lt;/td&gt;&lt;td&gt;0.000&lt;/td&gt;&lt;/tr&gt;</v>
      </c>
    </row>
    <row r="210" spans="1:23" x14ac:dyDescent="0.25">
      <c r="A210" s="10">
        <v>8</v>
      </c>
      <c r="B210" s="12" t="s">
        <v>336</v>
      </c>
      <c r="C210" s="12">
        <v>5</v>
      </c>
      <c r="D210" s="12">
        <v>8</v>
      </c>
      <c r="E210" s="12">
        <v>22</v>
      </c>
      <c r="F210" s="12">
        <v>0</v>
      </c>
      <c r="G210" s="12">
        <v>2</v>
      </c>
      <c r="H210" s="12">
        <v>0</v>
      </c>
      <c r="I210" s="12">
        <v>0</v>
      </c>
      <c r="J210" s="16">
        <f t="shared" si="9"/>
        <v>16</v>
      </c>
      <c r="K210" s="12">
        <v>1</v>
      </c>
      <c r="L210" s="12">
        <v>10</v>
      </c>
      <c r="M210" s="16">
        <f t="shared" si="10"/>
        <v>11</v>
      </c>
      <c r="N210" s="12">
        <v>6</v>
      </c>
      <c r="O210" s="12">
        <v>3</v>
      </c>
      <c r="P210" s="12">
        <v>3</v>
      </c>
      <c r="Q210" s="12">
        <v>0</v>
      </c>
      <c r="R210" s="12">
        <v>8</v>
      </c>
      <c r="S210" s="16">
        <v>0</v>
      </c>
      <c r="T210" s="12">
        <v>66</v>
      </c>
      <c r="U210" s="12" t="s">
        <v>92</v>
      </c>
      <c r="W210" s="10" t="str">
        <f t="shared" si="8"/>
        <v>&lt;tr&gt;&lt;td&gt;Jordan Thomas&lt;/td&gt;&lt;td&gt;SJHS&lt;/td&gt;&lt;td&gt;5&lt;/td&gt;&lt;td&gt;16&lt;/td&gt;&lt;td&gt;3.200&lt;/td&gt;&lt;td&gt;8&lt;/td&gt;&lt;td&gt;22&lt;/td&gt;&lt;td&gt;0.364&lt;/td&gt;&lt;td&gt;0&lt;/td&gt;&lt;td&gt;2&lt;/td&gt;&lt;td&gt;0.000&lt;/td&gt;&lt;td&gt;0&lt;/td&gt;&lt;td&gt;0&lt;/td&gt;&lt;td&gt;0.000&lt;/td&gt;&lt;td&gt;1&lt;/td&gt;&lt;td&gt;10&lt;/td&gt;&lt;td&gt;11&lt;/td&gt;&lt;td&gt;2.200&lt;/td&gt;&lt;td&gt;3&lt;/td&gt;&lt;td&gt;0.600&lt;/td&gt;&lt;td&gt;8&lt;/td&gt;&lt;td&gt;1.600&lt;/td&gt;&lt;td&gt;0&lt;/td&gt;&lt;td&gt;0.000&lt;/td&gt;&lt;/tr&gt;</v>
      </c>
    </row>
    <row r="211" spans="1:23" x14ac:dyDescent="0.25">
      <c r="A211" s="10">
        <v>5</v>
      </c>
      <c r="B211" s="12" t="s">
        <v>461</v>
      </c>
      <c r="C211" s="12">
        <v>5</v>
      </c>
      <c r="D211" s="12">
        <v>6</v>
      </c>
      <c r="E211" s="12">
        <v>28</v>
      </c>
      <c r="F211" s="12">
        <v>2</v>
      </c>
      <c r="G211" s="12">
        <v>10</v>
      </c>
      <c r="H211" s="12">
        <v>2</v>
      </c>
      <c r="I211" s="12">
        <v>7</v>
      </c>
      <c r="J211" s="16">
        <f t="shared" si="9"/>
        <v>16</v>
      </c>
      <c r="K211" s="12">
        <v>5</v>
      </c>
      <c r="L211" s="12">
        <v>18</v>
      </c>
      <c r="M211" s="16">
        <f t="shared" si="10"/>
        <v>23</v>
      </c>
      <c r="N211" s="12">
        <v>0</v>
      </c>
      <c r="O211" s="12">
        <v>1</v>
      </c>
      <c r="P211" s="12">
        <v>11</v>
      </c>
      <c r="Q211" s="12">
        <v>1</v>
      </c>
      <c r="R211" s="12">
        <v>6</v>
      </c>
      <c r="S211" s="16">
        <v>0</v>
      </c>
      <c r="T211" s="12">
        <v>89</v>
      </c>
      <c r="U211" s="12" t="s">
        <v>98</v>
      </c>
      <c r="W211" s="10" t="str">
        <f t="shared" si="8"/>
        <v>&lt;tr&gt;&lt;td&gt;Joshua Nowosad&lt;/td&gt;&lt;td&gt;WWC&lt;/td&gt;&lt;td&gt;5&lt;/td&gt;&lt;td&gt;16&lt;/td&gt;&lt;td&gt;3.200&lt;/td&gt;&lt;td&gt;6&lt;/td&gt;&lt;td&gt;28&lt;/td&gt;&lt;td&gt;0.214&lt;/td&gt;&lt;td&gt;2&lt;/td&gt;&lt;td&gt;10&lt;/td&gt;&lt;td&gt;0.200&lt;/td&gt;&lt;td&gt;2&lt;/td&gt;&lt;td&gt;7&lt;/td&gt;&lt;td&gt;0.286&lt;/td&gt;&lt;td&gt;5&lt;/td&gt;&lt;td&gt;18&lt;/td&gt;&lt;td&gt;23&lt;/td&gt;&lt;td&gt;4.600&lt;/td&gt;&lt;td&gt;1&lt;/td&gt;&lt;td&gt;0.200&lt;/td&gt;&lt;td&gt;6&lt;/td&gt;&lt;td&gt;1.200&lt;/td&gt;&lt;td&gt;1&lt;/td&gt;&lt;td&gt;0.200&lt;/td&gt;&lt;/tr&gt;</v>
      </c>
    </row>
    <row r="212" spans="1:23" x14ac:dyDescent="0.25">
      <c r="A212" s="10">
        <v>1</v>
      </c>
      <c r="B212" s="12" t="s">
        <v>701</v>
      </c>
      <c r="C212" s="12">
        <v>3</v>
      </c>
      <c r="D212" s="12">
        <v>6</v>
      </c>
      <c r="E212" s="12">
        <v>14</v>
      </c>
      <c r="F212" s="12">
        <v>0</v>
      </c>
      <c r="G212" s="12">
        <v>3</v>
      </c>
      <c r="H212" s="12">
        <v>4</v>
      </c>
      <c r="I212" s="12">
        <v>5</v>
      </c>
      <c r="J212" s="16">
        <f t="shared" si="9"/>
        <v>16</v>
      </c>
      <c r="K212" s="12">
        <v>1</v>
      </c>
      <c r="L212" s="12">
        <v>2</v>
      </c>
      <c r="M212" s="16">
        <f t="shared" si="10"/>
        <v>3</v>
      </c>
      <c r="N212" s="12">
        <v>5</v>
      </c>
      <c r="O212" s="12">
        <v>5</v>
      </c>
      <c r="P212" s="12">
        <v>6</v>
      </c>
      <c r="Q212" s="12">
        <v>0</v>
      </c>
      <c r="R212" s="12">
        <v>3</v>
      </c>
      <c r="S212" s="16">
        <v>0</v>
      </c>
      <c r="T212" s="12">
        <v>49</v>
      </c>
      <c r="U212" s="12" t="s">
        <v>70</v>
      </c>
      <c r="W212" s="10" t="str">
        <f t="shared" si="8"/>
        <v>&lt;tr&gt;&lt;td&gt;Andrew Ly&lt;/td&gt;&lt;td&gt;JTC&lt;/td&gt;&lt;td&gt;3&lt;/td&gt;&lt;td&gt;16&lt;/td&gt;&lt;td&gt;5.333&lt;/td&gt;&lt;td&gt;6&lt;/td&gt;&lt;td&gt;14&lt;/td&gt;&lt;td&gt;0.429&lt;/td&gt;&lt;td&gt;0&lt;/td&gt;&lt;td&gt;3&lt;/td&gt;&lt;td&gt;0.000&lt;/td&gt;&lt;td&gt;4&lt;/td&gt;&lt;td&gt;5&lt;/td&gt;&lt;td&gt;0.800&lt;/td&gt;&lt;td&gt;1&lt;/td&gt;&lt;td&gt;2&lt;/td&gt;&lt;td&gt;3&lt;/td&gt;&lt;td&gt;1.000&lt;/td&gt;&lt;td&gt;5&lt;/td&gt;&lt;td&gt;1.667&lt;/td&gt;&lt;td&gt;3&lt;/td&gt;&lt;td&gt;1.000&lt;/td&gt;&lt;td&gt;0&lt;/td&gt;&lt;td&gt;0.000&lt;/td&gt;&lt;/tr&gt;</v>
      </c>
    </row>
    <row r="213" spans="1:23" x14ac:dyDescent="0.25">
      <c r="A213" s="10">
        <v>12</v>
      </c>
      <c r="B213" s="12" t="s">
        <v>697</v>
      </c>
      <c r="C213" s="12">
        <v>2</v>
      </c>
      <c r="D213" s="12">
        <v>8</v>
      </c>
      <c r="E213" s="12">
        <v>17</v>
      </c>
      <c r="F213" s="12">
        <v>0</v>
      </c>
      <c r="G213" s="12">
        <v>3</v>
      </c>
      <c r="H213" s="12">
        <v>0</v>
      </c>
      <c r="I213" s="12">
        <v>0</v>
      </c>
      <c r="J213" s="16">
        <f t="shared" si="9"/>
        <v>16</v>
      </c>
      <c r="K213" s="12">
        <v>5</v>
      </c>
      <c r="L213" s="12">
        <v>8</v>
      </c>
      <c r="M213" s="16">
        <f t="shared" si="10"/>
        <v>13</v>
      </c>
      <c r="N213" s="12">
        <v>1</v>
      </c>
      <c r="O213" s="12">
        <v>6</v>
      </c>
      <c r="P213" s="12">
        <v>1</v>
      </c>
      <c r="Q213" s="12">
        <v>1</v>
      </c>
      <c r="R213" s="12">
        <v>1</v>
      </c>
      <c r="S213" s="16">
        <v>0</v>
      </c>
      <c r="T213" s="12">
        <v>31</v>
      </c>
      <c r="U213" s="12" t="s">
        <v>78</v>
      </c>
      <c r="W213" s="10" t="str">
        <f t="shared" si="8"/>
        <v>&lt;tr&gt;&lt;td&gt;Stephen Crew&lt;/td&gt;&lt;td&gt;SPHS&lt;/td&gt;&lt;td&gt;2&lt;/td&gt;&lt;td&gt;16&lt;/td&gt;&lt;td&gt;8.000&lt;/td&gt;&lt;td&gt;8&lt;/td&gt;&lt;td&gt;17&lt;/td&gt;&lt;td&gt;0.471&lt;/td&gt;&lt;td&gt;0&lt;/td&gt;&lt;td&gt;3&lt;/td&gt;&lt;td&gt;0.000&lt;/td&gt;&lt;td&gt;0&lt;/td&gt;&lt;td&gt;0&lt;/td&gt;&lt;td&gt;0.000&lt;/td&gt;&lt;td&gt;5&lt;/td&gt;&lt;td&gt;8&lt;/td&gt;&lt;td&gt;13&lt;/td&gt;&lt;td&gt;6.500&lt;/td&gt;&lt;td&gt;6&lt;/td&gt;&lt;td&gt;3.000&lt;/td&gt;&lt;td&gt;1&lt;/td&gt;&lt;td&gt;0.500&lt;/td&gt;&lt;td&gt;1&lt;/td&gt;&lt;td&gt;0.500&lt;/td&gt;&lt;/tr&gt;</v>
      </c>
    </row>
    <row r="214" spans="1:23" x14ac:dyDescent="0.25">
      <c r="A214" s="10">
        <v>2</v>
      </c>
      <c r="B214" s="12" t="s">
        <v>514</v>
      </c>
      <c r="C214" s="12">
        <v>11</v>
      </c>
      <c r="D214" s="12">
        <v>6</v>
      </c>
      <c r="E214" s="12">
        <v>18</v>
      </c>
      <c r="F214" s="12">
        <v>1</v>
      </c>
      <c r="G214" s="12">
        <v>10</v>
      </c>
      <c r="H214" s="12">
        <v>2</v>
      </c>
      <c r="I214" s="12">
        <v>6</v>
      </c>
      <c r="J214" s="16">
        <f t="shared" si="9"/>
        <v>15</v>
      </c>
      <c r="K214" s="12">
        <v>4</v>
      </c>
      <c r="L214" s="12">
        <v>10</v>
      </c>
      <c r="M214" s="16">
        <f t="shared" si="10"/>
        <v>14</v>
      </c>
      <c r="N214" s="12">
        <v>17</v>
      </c>
      <c r="O214" s="12">
        <v>6</v>
      </c>
      <c r="P214" s="12">
        <v>17</v>
      </c>
      <c r="Q214" s="12">
        <v>0</v>
      </c>
      <c r="R214" s="12">
        <v>4</v>
      </c>
      <c r="S214" s="16">
        <v>0</v>
      </c>
      <c r="T214" s="12">
        <v>111</v>
      </c>
      <c r="U214" s="12" t="s">
        <v>62</v>
      </c>
      <c r="W214" s="10" t="str">
        <f t="shared" si="8"/>
        <v>&lt;tr&gt;&lt;td&gt;Angus Peng&lt;/td&gt;&lt;td&gt;GCI&lt;/td&gt;&lt;td&gt;11&lt;/td&gt;&lt;td&gt;15&lt;/td&gt;&lt;td&gt;1.364&lt;/td&gt;&lt;td&gt;6&lt;/td&gt;&lt;td&gt;18&lt;/td&gt;&lt;td&gt;0.333&lt;/td&gt;&lt;td&gt;1&lt;/td&gt;&lt;td&gt;10&lt;/td&gt;&lt;td&gt;0.100&lt;/td&gt;&lt;td&gt;2&lt;/td&gt;&lt;td&gt;6&lt;/td&gt;&lt;td&gt;0.333&lt;/td&gt;&lt;td&gt;4&lt;/td&gt;&lt;td&gt;10&lt;/td&gt;&lt;td&gt;14&lt;/td&gt;&lt;td&gt;1.273&lt;/td&gt;&lt;td&gt;6&lt;/td&gt;&lt;td&gt;0.545&lt;/td&gt;&lt;td&gt;4&lt;/td&gt;&lt;td&gt;0.364&lt;/td&gt;&lt;td&gt;0&lt;/td&gt;&lt;td&gt;0.000&lt;/td&gt;&lt;/tr&gt;</v>
      </c>
    </row>
    <row r="215" spans="1:23" x14ac:dyDescent="0.25">
      <c r="A215" s="10">
        <v>2</v>
      </c>
      <c r="B215" s="12" t="s">
        <v>673</v>
      </c>
      <c r="C215" s="12">
        <v>6</v>
      </c>
      <c r="D215" s="12">
        <v>7</v>
      </c>
      <c r="E215" s="12">
        <v>23</v>
      </c>
      <c r="F215" s="12">
        <v>0</v>
      </c>
      <c r="G215" s="12">
        <v>7</v>
      </c>
      <c r="H215" s="12">
        <v>1</v>
      </c>
      <c r="I215" s="12">
        <v>2</v>
      </c>
      <c r="J215" s="16">
        <f t="shared" si="9"/>
        <v>15</v>
      </c>
      <c r="K215" s="12">
        <v>1</v>
      </c>
      <c r="L215" s="12">
        <v>11</v>
      </c>
      <c r="M215" s="16">
        <f t="shared" si="10"/>
        <v>12</v>
      </c>
      <c r="N215" s="12">
        <v>8</v>
      </c>
      <c r="O215" s="12">
        <v>6</v>
      </c>
      <c r="P215" s="12">
        <v>8</v>
      </c>
      <c r="Q215" s="12">
        <v>0</v>
      </c>
      <c r="R215" s="12">
        <v>3</v>
      </c>
      <c r="S215" s="16">
        <v>0</v>
      </c>
      <c r="T215" s="12">
        <v>71</v>
      </c>
      <c r="U215" s="12" t="s">
        <v>82</v>
      </c>
      <c r="W215" s="10" t="str">
        <f t="shared" si="8"/>
        <v>&lt;tr&gt;&lt;td&gt;Emmanuel Hakizimana&lt;/td&gt;&lt;td&gt;DMCI&lt;/td&gt;&lt;td&gt;6&lt;/td&gt;&lt;td&gt;15&lt;/td&gt;&lt;td&gt;2.500&lt;/td&gt;&lt;td&gt;7&lt;/td&gt;&lt;td&gt;23&lt;/td&gt;&lt;td&gt;0.304&lt;/td&gt;&lt;td&gt;0&lt;/td&gt;&lt;td&gt;7&lt;/td&gt;&lt;td&gt;0.000&lt;/td&gt;&lt;td&gt;1&lt;/td&gt;&lt;td&gt;2&lt;/td&gt;&lt;td&gt;0.500&lt;/td&gt;&lt;td&gt;1&lt;/td&gt;&lt;td&gt;11&lt;/td&gt;&lt;td&gt;12&lt;/td&gt;&lt;td&gt;2.000&lt;/td&gt;&lt;td&gt;6&lt;/td&gt;&lt;td&gt;1.000&lt;/td&gt;&lt;td&gt;3&lt;/td&gt;&lt;td&gt;0.500&lt;/td&gt;&lt;td&gt;0&lt;/td&gt;&lt;td&gt;0.000&lt;/td&gt;&lt;/tr&gt;</v>
      </c>
    </row>
    <row r="216" spans="1:23" x14ac:dyDescent="0.25">
      <c r="A216" s="10">
        <v>12</v>
      </c>
      <c r="B216" s="12" t="s">
        <v>329</v>
      </c>
      <c r="C216" s="12">
        <v>5</v>
      </c>
      <c r="D216" s="12">
        <v>7</v>
      </c>
      <c r="E216" s="12">
        <v>15</v>
      </c>
      <c r="F216" s="12">
        <v>0</v>
      </c>
      <c r="G216" s="12">
        <v>0</v>
      </c>
      <c r="H216" s="12">
        <v>1</v>
      </c>
      <c r="I216" s="12">
        <v>2</v>
      </c>
      <c r="J216" s="16">
        <f t="shared" si="9"/>
        <v>15</v>
      </c>
      <c r="K216" s="12">
        <v>5</v>
      </c>
      <c r="L216" s="12">
        <v>4</v>
      </c>
      <c r="M216" s="16">
        <f t="shared" si="10"/>
        <v>9</v>
      </c>
      <c r="N216" s="12">
        <v>7</v>
      </c>
      <c r="O216" s="12">
        <v>1</v>
      </c>
      <c r="P216" s="12">
        <v>0</v>
      </c>
      <c r="Q216" s="12">
        <v>0</v>
      </c>
      <c r="R216" s="12">
        <v>5</v>
      </c>
      <c r="S216" s="16">
        <v>0</v>
      </c>
      <c r="T216" s="12">
        <v>38</v>
      </c>
      <c r="U216" s="12" t="s">
        <v>41</v>
      </c>
      <c r="W216" s="10" t="str">
        <f t="shared" ref="W216:W279" si="11">"&lt;tr&gt;&lt;td&gt;"&amp;B216&amp;"&lt;/td&gt;&lt;td&gt;"&amp;U216&amp;"&lt;/td&gt;&lt;td&gt;"&amp;C216&amp;"&lt;/td&gt;&lt;td&gt;"&amp;J216&amp;"&lt;/td&gt;&lt;td&gt;"&amp;IF(OR(C216=0,J216=0),"0.000",IF(ROUND(J216/C216,3)=1,"1.000",TEXT(ROUND(J216/C216,3),"0.000")))&amp;"&lt;/td&gt;&lt;td&gt;"&amp;D216&amp;"&lt;/td&gt;&lt;td&gt;"&amp;E216&amp;"&lt;/td&gt;&lt;td&gt;"&amp;IF(OR(D216=0,E216=0),"0.000",IF(ROUND(D216/E216,3)=1,"1.000",TEXT(ROUND(D216/E216,3),"0.000")))&amp;"&lt;/td&gt;&lt;td&gt;"&amp;F216&amp;"&lt;/td&gt;&lt;td&gt;"&amp;G216&amp;"&lt;/td&gt;&lt;td&gt;"&amp;IF(OR(F216=0,G216=0),"0.000",IF(ROUND(F216/G216,3)=1,"1.000",TEXT(ROUND(F216/G216,3),"0.000")))&amp;"&lt;/td&gt;&lt;td&gt;"&amp;H216&amp;"&lt;/td&gt;&lt;td&gt;"&amp;I216&amp;"&lt;/td&gt;&lt;td&gt;"&amp;IF(OR(H216=0,I216=0),"0.000",IF(ROUND(H216/I216,3)=1,"1.000",TEXT(ROUND(H216/I216,3),"0.000")))&amp;"&lt;/td&gt;&lt;td&gt;"&amp;K216&amp;"&lt;/td&gt;&lt;td&gt;"&amp;L216&amp;"&lt;/td&gt;&lt;td&gt;"&amp;M216&amp;"&lt;/td&gt;&lt;td&gt;"&amp;IF(OR(M216=0,C216=0),"0.000",IF(ROUND(M216/C216,3)=1,"1.000",TEXT(ROUND(M216/C216,3),"0.000")))&amp;"&lt;/td&gt;&lt;td&gt;"&amp;O216&amp;"&lt;/td&gt;&lt;td&gt;"&amp;IF(OR(O216=0,C216=0),"0.000",IF(ROUND(O216/C216,3)=1,"1.000",TEXT(ROUND(O216/C216,3),"0.000")))&amp;"&lt;/td&gt;&lt;td&gt;"&amp;R216&amp;"&lt;/td&gt;&lt;td&gt;"&amp;IF(OR(R216=0,C216=0),"0.000",IF(ROUND(R216/C216,3)=1,"1.000",TEXT(ROUND(R216/C216,3),"0.000")))&amp;"&lt;/td&gt;&lt;td&gt;"&amp;Q216&amp;"&lt;/td&gt;&lt;td&gt;"&amp;IF(OR(Q216=0,C216=0),"0.000",IF(ROUND(Q216/C216,3)=1,"1.000",TEXT(ROUND(Q216/C216,3),"0.000")))&amp;"&lt;/td&gt;&lt;/tr&gt;"</f>
        <v>&lt;tr&gt;&lt;td&gt;Riley Francey&lt;/td&gt;&lt;td&gt;GCC&lt;/td&gt;&lt;td&gt;5&lt;/td&gt;&lt;td&gt;15&lt;/td&gt;&lt;td&gt;3.000&lt;/td&gt;&lt;td&gt;7&lt;/td&gt;&lt;td&gt;15&lt;/td&gt;&lt;td&gt;0.467&lt;/td&gt;&lt;td&gt;0&lt;/td&gt;&lt;td&gt;0&lt;/td&gt;&lt;td&gt;0.000&lt;/td&gt;&lt;td&gt;1&lt;/td&gt;&lt;td&gt;2&lt;/td&gt;&lt;td&gt;0.500&lt;/td&gt;&lt;td&gt;5&lt;/td&gt;&lt;td&gt;4&lt;/td&gt;&lt;td&gt;9&lt;/td&gt;&lt;td&gt;1.800&lt;/td&gt;&lt;td&gt;1&lt;/td&gt;&lt;td&gt;0.200&lt;/td&gt;&lt;td&gt;5&lt;/td&gt;&lt;td&gt;1.000&lt;/td&gt;&lt;td&gt;0&lt;/td&gt;&lt;td&gt;0.000&lt;/td&gt;&lt;/tr&gt;</v>
      </c>
    </row>
    <row r="217" spans="1:23" x14ac:dyDescent="0.25">
      <c r="A217" s="10">
        <v>4</v>
      </c>
      <c r="B217" s="12" t="s">
        <v>334</v>
      </c>
      <c r="C217" s="12">
        <v>5</v>
      </c>
      <c r="D217" s="12">
        <v>6</v>
      </c>
      <c r="E217" s="12">
        <v>22</v>
      </c>
      <c r="F217" s="12">
        <v>2</v>
      </c>
      <c r="G217" s="12">
        <v>10</v>
      </c>
      <c r="H217" s="12">
        <v>1</v>
      </c>
      <c r="I217" s="12">
        <v>4</v>
      </c>
      <c r="J217" s="16">
        <f t="shared" si="9"/>
        <v>15</v>
      </c>
      <c r="K217" s="12">
        <v>1</v>
      </c>
      <c r="L217" s="12">
        <v>3</v>
      </c>
      <c r="M217" s="16">
        <f t="shared" si="10"/>
        <v>4</v>
      </c>
      <c r="N217" s="12">
        <v>4</v>
      </c>
      <c r="O217" s="12">
        <v>3</v>
      </c>
      <c r="P217" s="12">
        <v>6</v>
      </c>
      <c r="Q217" s="12">
        <v>0</v>
      </c>
      <c r="R217" s="12">
        <v>6</v>
      </c>
      <c r="S217" s="16">
        <v>0</v>
      </c>
      <c r="T217" s="12">
        <v>54</v>
      </c>
      <c r="U217" s="12" t="s">
        <v>92</v>
      </c>
      <c r="W217" s="10" t="str">
        <f t="shared" si="11"/>
        <v>&lt;tr&gt;&lt;td&gt;Laurence Bisquerra&lt;/td&gt;&lt;td&gt;SJHS&lt;/td&gt;&lt;td&gt;5&lt;/td&gt;&lt;td&gt;15&lt;/td&gt;&lt;td&gt;3.000&lt;/td&gt;&lt;td&gt;6&lt;/td&gt;&lt;td&gt;22&lt;/td&gt;&lt;td&gt;0.273&lt;/td&gt;&lt;td&gt;2&lt;/td&gt;&lt;td&gt;10&lt;/td&gt;&lt;td&gt;0.200&lt;/td&gt;&lt;td&gt;1&lt;/td&gt;&lt;td&gt;4&lt;/td&gt;&lt;td&gt;0.250&lt;/td&gt;&lt;td&gt;1&lt;/td&gt;&lt;td&gt;3&lt;/td&gt;&lt;td&gt;4&lt;/td&gt;&lt;td&gt;0.800&lt;/td&gt;&lt;td&gt;3&lt;/td&gt;&lt;td&gt;0.600&lt;/td&gt;&lt;td&gt;6&lt;/td&gt;&lt;td&gt;1.200&lt;/td&gt;&lt;td&gt;0&lt;/td&gt;&lt;td&gt;0.000&lt;/td&gt;&lt;/tr&gt;</v>
      </c>
    </row>
    <row r="218" spans="1:23" x14ac:dyDescent="0.25">
      <c r="A218" s="10">
        <v>10</v>
      </c>
      <c r="B218" s="12" t="s">
        <v>422</v>
      </c>
      <c r="C218" s="12">
        <v>5</v>
      </c>
      <c r="D218" s="12">
        <v>6</v>
      </c>
      <c r="E218" s="12">
        <v>28</v>
      </c>
      <c r="F218" s="12">
        <v>0</v>
      </c>
      <c r="G218" s="12">
        <v>7</v>
      </c>
      <c r="H218" s="12">
        <v>3</v>
      </c>
      <c r="I218" s="12">
        <v>4</v>
      </c>
      <c r="J218" s="16">
        <f t="shared" si="9"/>
        <v>15</v>
      </c>
      <c r="K218" s="12">
        <v>3</v>
      </c>
      <c r="L218" s="12">
        <v>8</v>
      </c>
      <c r="M218" s="16">
        <f t="shared" si="10"/>
        <v>11</v>
      </c>
      <c r="N218" s="12">
        <v>6</v>
      </c>
      <c r="O218" s="12">
        <v>0</v>
      </c>
      <c r="P218" s="12">
        <v>11</v>
      </c>
      <c r="Q218" s="12">
        <v>0</v>
      </c>
      <c r="R218" s="12">
        <v>3</v>
      </c>
      <c r="S218" s="16">
        <v>0</v>
      </c>
      <c r="T218" s="12">
        <v>106</v>
      </c>
      <c r="U218" s="12" t="s">
        <v>66</v>
      </c>
      <c r="W218" s="10" t="str">
        <f t="shared" si="11"/>
        <v>&lt;tr&gt;&lt;td&gt;Nick Klassen&lt;/td&gt;&lt;td&gt;SRSS&lt;/td&gt;&lt;td&gt;5&lt;/td&gt;&lt;td&gt;15&lt;/td&gt;&lt;td&gt;3.000&lt;/td&gt;&lt;td&gt;6&lt;/td&gt;&lt;td&gt;28&lt;/td&gt;&lt;td&gt;0.214&lt;/td&gt;&lt;td&gt;0&lt;/td&gt;&lt;td&gt;7&lt;/td&gt;&lt;td&gt;0.000&lt;/td&gt;&lt;td&gt;3&lt;/td&gt;&lt;td&gt;4&lt;/td&gt;&lt;td&gt;0.750&lt;/td&gt;&lt;td&gt;3&lt;/td&gt;&lt;td&gt;8&lt;/td&gt;&lt;td&gt;11&lt;/td&gt;&lt;td&gt;2.200&lt;/td&gt;&lt;td&gt;0&lt;/td&gt;&lt;td&gt;0.000&lt;/td&gt;&lt;td&gt;3&lt;/td&gt;&lt;td&gt;0.600&lt;/td&gt;&lt;td&gt;0&lt;/td&gt;&lt;td&gt;0.000&lt;/td&gt;&lt;/tr&gt;</v>
      </c>
    </row>
    <row r="219" spans="1:23" x14ac:dyDescent="0.25">
      <c r="A219" s="10">
        <v>3</v>
      </c>
      <c r="B219" s="12" t="s">
        <v>387</v>
      </c>
      <c r="C219" s="12">
        <v>5</v>
      </c>
      <c r="D219" s="12">
        <v>5</v>
      </c>
      <c r="E219" s="12">
        <v>32</v>
      </c>
      <c r="F219" s="12">
        <v>1</v>
      </c>
      <c r="G219" s="12">
        <v>10</v>
      </c>
      <c r="H219" s="12">
        <v>4</v>
      </c>
      <c r="I219" s="12">
        <v>13</v>
      </c>
      <c r="J219" s="16">
        <f t="shared" si="9"/>
        <v>15</v>
      </c>
      <c r="K219" s="12">
        <v>8</v>
      </c>
      <c r="L219" s="12">
        <v>16</v>
      </c>
      <c r="M219" s="16">
        <f t="shared" si="10"/>
        <v>24</v>
      </c>
      <c r="N219" s="12">
        <v>8</v>
      </c>
      <c r="O219" s="12">
        <v>3</v>
      </c>
      <c r="P219" s="12">
        <v>17</v>
      </c>
      <c r="Q219" s="12">
        <v>0</v>
      </c>
      <c r="R219" s="12">
        <v>13</v>
      </c>
      <c r="S219" s="16">
        <v>0</v>
      </c>
      <c r="T219" s="12">
        <v>125</v>
      </c>
      <c r="U219" s="12" t="s">
        <v>164</v>
      </c>
      <c r="W219" s="10" t="str">
        <f t="shared" si="11"/>
        <v>&lt;tr&gt;&lt;td&gt;Keegan Hildebrand&lt;/td&gt;&lt;td&gt;GVC&lt;/td&gt;&lt;td&gt;5&lt;/td&gt;&lt;td&gt;15&lt;/td&gt;&lt;td&gt;3.000&lt;/td&gt;&lt;td&gt;5&lt;/td&gt;&lt;td&gt;32&lt;/td&gt;&lt;td&gt;0.156&lt;/td&gt;&lt;td&gt;1&lt;/td&gt;&lt;td&gt;10&lt;/td&gt;&lt;td&gt;0.100&lt;/td&gt;&lt;td&gt;4&lt;/td&gt;&lt;td&gt;13&lt;/td&gt;&lt;td&gt;0.308&lt;/td&gt;&lt;td&gt;8&lt;/td&gt;&lt;td&gt;16&lt;/td&gt;&lt;td&gt;24&lt;/td&gt;&lt;td&gt;4.800&lt;/td&gt;&lt;td&gt;3&lt;/td&gt;&lt;td&gt;0.600&lt;/td&gt;&lt;td&gt;13&lt;/td&gt;&lt;td&gt;2.600&lt;/td&gt;&lt;td&gt;0&lt;/td&gt;&lt;td&gt;0.000&lt;/td&gt;&lt;/tr&gt;</v>
      </c>
    </row>
    <row r="220" spans="1:23" x14ac:dyDescent="0.25">
      <c r="A220" s="10">
        <v>11</v>
      </c>
      <c r="B220" s="12" t="s">
        <v>737</v>
      </c>
      <c r="C220" s="12">
        <v>3</v>
      </c>
      <c r="D220" s="12">
        <v>7</v>
      </c>
      <c r="E220" s="12">
        <v>17</v>
      </c>
      <c r="F220" s="12">
        <v>0</v>
      </c>
      <c r="G220" s="12">
        <v>1</v>
      </c>
      <c r="H220" s="12">
        <v>1</v>
      </c>
      <c r="I220" s="12">
        <v>2</v>
      </c>
      <c r="J220" s="16">
        <f t="shared" si="9"/>
        <v>15</v>
      </c>
      <c r="K220" s="12">
        <v>3</v>
      </c>
      <c r="L220" s="12">
        <v>9</v>
      </c>
      <c r="M220" s="16">
        <f t="shared" si="10"/>
        <v>12</v>
      </c>
      <c r="N220" s="12">
        <v>5</v>
      </c>
      <c r="O220" s="12">
        <v>0</v>
      </c>
      <c r="P220" s="12">
        <v>2</v>
      </c>
      <c r="Q220" s="12">
        <v>0</v>
      </c>
      <c r="R220" s="12">
        <v>2</v>
      </c>
      <c r="S220" s="16">
        <v>0</v>
      </c>
      <c r="T220" s="12">
        <v>48</v>
      </c>
      <c r="U220" s="12" t="s">
        <v>96</v>
      </c>
      <c r="W220" s="10" t="str">
        <f t="shared" si="11"/>
        <v>&lt;tr&gt;&lt;td&gt;Carl Alfonso&lt;/td&gt;&lt;td&gt;TVHS&lt;/td&gt;&lt;td&gt;3&lt;/td&gt;&lt;td&gt;15&lt;/td&gt;&lt;td&gt;5.000&lt;/td&gt;&lt;td&gt;7&lt;/td&gt;&lt;td&gt;17&lt;/td&gt;&lt;td&gt;0.412&lt;/td&gt;&lt;td&gt;0&lt;/td&gt;&lt;td&gt;1&lt;/td&gt;&lt;td&gt;0.000&lt;/td&gt;&lt;td&gt;1&lt;/td&gt;&lt;td&gt;2&lt;/td&gt;&lt;td&gt;0.500&lt;/td&gt;&lt;td&gt;3&lt;/td&gt;&lt;td&gt;9&lt;/td&gt;&lt;td&gt;12&lt;/td&gt;&lt;td&gt;4.000&lt;/td&gt;&lt;td&gt;0&lt;/td&gt;&lt;td&gt;0.000&lt;/td&gt;&lt;td&gt;2&lt;/td&gt;&lt;td&gt;0.667&lt;/td&gt;&lt;td&gt;0&lt;/td&gt;&lt;td&gt;0.000&lt;/td&gt;&lt;/tr&gt;</v>
      </c>
    </row>
    <row r="221" spans="1:23" x14ac:dyDescent="0.25">
      <c r="A221" s="10">
        <v>20</v>
      </c>
      <c r="B221" s="12" t="s">
        <v>513</v>
      </c>
      <c r="C221" s="12">
        <v>12</v>
      </c>
      <c r="D221" s="12">
        <v>4</v>
      </c>
      <c r="E221" s="12">
        <v>25</v>
      </c>
      <c r="F221" s="12">
        <v>0</v>
      </c>
      <c r="G221" s="12">
        <v>0</v>
      </c>
      <c r="H221" s="12">
        <v>6</v>
      </c>
      <c r="I221" s="12">
        <v>9</v>
      </c>
      <c r="J221" s="16">
        <f t="shared" si="9"/>
        <v>14</v>
      </c>
      <c r="K221" s="12">
        <v>10</v>
      </c>
      <c r="L221" s="12">
        <v>17</v>
      </c>
      <c r="M221" s="16">
        <f t="shared" si="10"/>
        <v>27</v>
      </c>
      <c r="N221" s="12">
        <v>15</v>
      </c>
      <c r="O221" s="12">
        <v>2</v>
      </c>
      <c r="P221" s="12">
        <v>5</v>
      </c>
      <c r="Q221" s="12">
        <v>2</v>
      </c>
      <c r="R221" s="12">
        <v>3</v>
      </c>
      <c r="S221" s="16">
        <v>0</v>
      </c>
      <c r="T221" s="12">
        <v>113</v>
      </c>
      <c r="U221" s="12" t="s">
        <v>7</v>
      </c>
      <c r="W221" s="10" t="str">
        <f t="shared" si="11"/>
        <v>&lt;tr&gt;&lt;td&gt;Harneil Aulakh&lt;/td&gt;&lt;td&gt;MBCI&lt;/td&gt;&lt;td&gt;12&lt;/td&gt;&lt;td&gt;14&lt;/td&gt;&lt;td&gt;1.167&lt;/td&gt;&lt;td&gt;4&lt;/td&gt;&lt;td&gt;25&lt;/td&gt;&lt;td&gt;0.160&lt;/td&gt;&lt;td&gt;0&lt;/td&gt;&lt;td&gt;0&lt;/td&gt;&lt;td&gt;0.000&lt;/td&gt;&lt;td&gt;6&lt;/td&gt;&lt;td&gt;9&lt;/td&gt;&lt;td&gt;0.667&lt;/td&gt;&lt;td&gt;10&lt;/td&gt;&lt;td&gt;17&lt;/td&gt;&lt;td&gt;27&lt;/td&gt;&lt;td&gt;2.250&lt;/td&gt;&lt;td&gt;2&lt;/td&gt;&lt;td&gt;0.167&lt;/td&gt;&lt;td&gt;3&lt;/td&gt;&lt;td&gt;0.250&lt;/td&gt;&lt;td&gt;2&lt;/td&gt;&lt;td&gt;0.167&lt;/td&gt;&lt;/tr&gt;</v>
      </c>
    </row>
    <row r="222" spans="1:23" x14ac:dyDescent="0.25">
      <c r="A222" s="10">
        <v>4</v>
      </c>
      <c r="B222" s="12" t="s">
        <v>529</v>
      </c>
      <c r="C222" s="12">
        <v>8</v>
      </c>
      <c r="D222" s="12">
        <v>6</v>
      </c>
      <c r="E222" s="12">
        <v>27</v>
      </c>
      <c r="F222" s="12">
        <v>1</v>
      </c>
      <c r="G222" s="12">
        <v>13</v>
      </c>
      <c r="H222" s="12">
        <v>1</v>
      </c>
      <c r="I222" s="12">
        <v>2</v>
      </c>
      <c r="J222" s="16">
        <f t="shared" si="9"/>
        <v>14</v>
      </c>
      <c r="K222" s="12">
        <v>4</v>
      </c>
      <c r="L222" s="12">
        <v>11</v>
      </c>
      <c r="M222" s="16">
        <f t="shared" si="10"/>
        <v>15</v>
      </c>
      <c r="N222" s="12">
        <v>7</v>
      </c>
      <c r="O222" s="12">
        <v>1</v>
      </c>
      <c r="P222" s="12">
        <v>9</v>
      </c>
      <c r="Q222" s="12">
        <v>1</v>
      </c>
      <c r="R222" s="12">
        <v>4</v>
      </c>
      <c r="S222" s="16">
        <v>0</v>
      </c>
      <c r="T222" s="12">
        <v>70</v>
      </c>
      <c r="U222" s="12" t="s">
        <v>68</v>
      </c>
      <c r="W222" s="10" t="str">
        <f t="shared" si="11"/>
        <v>&lt;tr&gt;&lt;td&gt;Emmanuel Adesida&lt;/td&gt;&lt;td&gt;FRC&lt;/td&gt;&lt;td&gt;8&lt;/td&gt;&lt;td&gt;14&lt;/td&gt;&lt;td&gt;1.750&lt;/td&gt;&lt;td&gt;6&lt;/td&gt;&lt;td&gt;27&lt;/td&gt;&lt;td&gt;0.222&lt;/td&gt;&lt;td&gt;1&lt;/td&gt;&lt;td&gt;13&lt;/td&gt;&lt;td&gt;0.077&lt;/td&gt;&lt;td&gt;1&lt;/td&gt;&lt;td&gt;2&lt;/td&gt;&lt;td&gt;0.500&lt;/td&gt;&lt;td&gt;4&lt;/td&gt;&lt;td&gt;11&lt;/td&gt;&lt;td&gt;15&lt;/td&gt;&lt;td&gt;1.875&lt;/td&gt;&lt;td&gt;1&lt;/td&gt;&lt;td&gt;0.125&lt;/td&gt;&lt;td&gt;4&lt;/td&gt;&lt;td&gt;0.500&lt;/td&gt;&lt;td&gt;1&lt;/td&gt;&lt;td&gt;0.125&lt;/td&gt;&lt;/tr&gt;</v>
      </c>
    </row>
    <row r="223" spans="1:23" x14ac:dyDescent="0.25">
      <c r="A223" s="10">
        <v>26</v>
      </c>
      <c r="B223" s="12" t="s">
        <v>384</v>
      </c>
      <c r="C223" s="12">
        <v>7</v>
      </c>
      <c r="D223" s="12">
        <v>5</v>
      </c>
      <c r="E223" s="12">
        <v>18</v>
      </c>
      <c r="F223" s="12">
        <v>1</v>
      </c>
      <c r="G223" s="12">
        <v>6</v>
      </c>
      <c r="H223" s="12">
        <v>3</v>
      </c>
      <c r="I223" s="12">
        <v>8</v>
      </c>
      <c r="J223" s="16">
        <f t="shared" si="9"/>
        <v>14</v>
      </c>
      <c r="K223" s="12">
        <v>6</v>
      </c>
      <c r="L223" s="12">
        <v>10</v>
      </c>
      <c r="M223" s="16">
        <f t="shared" si="10"/>
        <v>16</v>
      </c>
      <c r="N223" s="12">
        <v>13</v>
      </c>
      <c r="O223" s="12">
        <v>4</v>
      </c>
      <c r="P223" s="12">
        <v>8</v>
      </c>
      <c r="Q223" s="12">
        <v>2</v>
      </c>
      <c r="R223" s="12">
        <v>5</v>
      </c>
      <c r="S223" s="16">
        <v>0</v>
      </c>
      <c r="T223" s="12">
        <v>83</v>
      </c>
      <c r="U223" s="12" t="s">
        <v>72</v>
      </c>
      <c r="W223" s="10" t="str">
        <f t="shared" si="11"/>
        <v>&lt;tr&gt;&lt;td&gt;Brendan Paukovic&lt;/td&gt;&lt;td&gt;KHS&lt;/td&gt;&lt;td&gt;7&lt;/td&gt;&lt;td&gt;14&lt;/td&gt;&lt;td&gt;2.000&lt;/td&gt;&lt;td&gt;5&lt;/td&gt;&lt;td&gt;18&lt;/td&gt;&lt;td&gt;0.278&lt;/td&gt;&lt;td&gt;1&lt;/td&gt;&lt;td&gt;6&lt;/td&gt;&lt;td&gt;0.167&lt;/td&gt;&lt;td&gt;3&lt;/td&gt;&lt;td&gt;8&lt;/td&gt;&lt;td&gt;0.375&lt;/td&gt;&lt;td&gt;6&lt;/td&gt;&lt;td&gt;10&lt;/td&gt;&lt;td&gt;16&lt;/td&gt;&lt;td&gt;2.286&lt;/td&gt;&lt;td&gt;4&lt;/td&gt;&lt;td&gt;0.571&lt;/td&gt;&lt;td&gt;5&lt;/td&gt;&lt;td&gt;0.714&lt;/td&gt;&lt;td&gt;2&lt;/td&gt;&lt;td&gt;0.286&lt;/td&gt;&lt;/tr&gt;</v>
      </c>
    </row>
    <row r="224" spans="1:23" x14ac:dyDescent="0.25">
      <c r="A224" s="10">
        <v>8</v>
      </c>
      <c r="B224" s="12" t="s">
        <v>496</v>
      </c>
      <c r="C224" s="12">
        <v>7</v>
      </c>
      <c r="D224" s="12">
        <v>5</v>
      </c>
      <c r="E224" s="12">
        <v>31</v>
      </c>
      <c r="F224" s="12">
        <v>4</v>
      </c>
      <c r="G224" s="12">
        <v>24</v>
      </c>
      <c r="H224" s="12">
        <v>0</v>
      </c>
      <c r="I224" s="12">
        <v>2</v>
      </c>
      <c r="J224" s="16">
        <f t="shared" si="9"/>
        <v>14</v>
      </c>
      <c r="K224" s="12">
        <v>1</v>
      </c>
      <c r="L224" s="12">
        <v>13</v>
      </c>
      <c r="M224" s="16">
        <f t="shared" si="10"/>
        <v>14</v>
      </c>
      <c r="N224" s="12">
        <v>15</v>
      </c>
      <c r="O224" s="12">
        <v>7</v>
      </c>
      <c r="P224" s="12">
        <v>16</v>
      </c>
      <c r="Q224" s="12">
        <v>1</v>
      </c>
      <c r="R224" s="12">
        <v>8</v>
      </c>
      <c r="S224" s="16">
        <v>0</v>
      </c>
      <c r="T224" s="12">
        <v>121</v>
      </c>
      <c r="U224" s="12" t="s">
        <v>52</v>
      </c>
      <c r="W224" s="10" t="str">
        <f t="shared" si="11"/>
        <v>&lt;tr&gt;&lt;td&gt;Devine Osabutey&lt;/td&gt;&lt;td&gt;REC&lt;/td&gt;&lt;td&gt;7&lt;/td&gt;&lt;td&gt;14&lt;/td&gt;&lt;td&gt;2.000&lt;/td&gt;&lt;td&gt;5&lt;/td&gt;&lt;td&gt;31&lt;/td&gt;&lt;td&gt;0.161&lt;/td&gt;&lt;td&gt;4&lt;/td&gt;&lt;td&gt;24&lt;/td&gt;&lt;td&gt;0.167&lt;/td&gt;&lt;td&gt;0&lt;/td&gt;&lt;td&gt;2&lt;/td&gt;&lt;td&gt;0.000&lt;/td&gt;&lt;td&gt;1&lt;/td&gt;&lt;td&gt;13&lt;/td&gt;&lt;td&gt;14&lt;/td&gt;&lt;td&gt;2.000&lt;/td&gt;&lt;td&gt;7&lt;/td&gt;&lt;td&gt;1.000&lt;/td&gt;&lt;td&gt;8&lt;/td&gt;&lt;td&gt;1.143&lt;/td&gt;&lt;td&gt;1&lt;/td&gt;&lt;td&gt;0.143&lt;/td&gt;&lt;/tr&gt;</v>
      </c>
    </row>
    <row r="225" spans="1:23" x14ac:dyDescent="0.25">
      <c r="A225" s="10">
        <v>9</v>
      </c>
      <c r="B225" s="12" t="s">
        <v>534</v>
      </c>
      <c r="C225" s="12">
        <v>6</v>
      </c>
      <c r="D225" s="12">
        <v>3</v>
      </c>
      <c r="E225" s="12">
        <v>12</v>
      </c>
      <c r="F225" s="12">
        <v>2</v>
      </c>
      <c r="G225" s="12">
        <v>7</v>
      </c>
      <c r="H225" s="12">
        <v>6</v>
      </c>
      <c r="I225" s="12">
        <v>10</v>
      </c>
      <c r="J225" s="16">
        <f t="shared" si="9"/>
        <v>14</v>
      </c>
      <c r="K225" s="12">
        <v>1</v>
      </c>
      <c r="L225" s="12">
        <v>5</v>
      </c>
      <c r="M225" s="16">
        <f t="shared" si="10"/>
        <v>6</v>
      </c>
      <c r="N225" s="12">
        <v>2</v>
      </c>
      <c r="O225" s="12">
        <v>3</v>
      </c>
      <c r="P225" s="12">
        <v>7</v>
      </c>
      <c r="Q225" s="12">
        <v>0</v>
      </c>
      <c r="R225" s="12">
        <v>0</v>
      </c>
      <c r="S225" s="16">
        <v>0</v>
      </c>
      <c r="T225" s="12">
        <v>43</v>
      </c>
      <c r="U225" s="12" t="s">
        <v>68</v>
      </c>
      <c r="W225" s="10" t="str">
        <f t="shared" si="11"/>
        <v>&lt;tr&gt;&lt;td&gt;Shreyas Chaudhari&lt;/td&gt;&lt;td&gt;FRC&lt;/td&gt;&lt;td&gt;6&lt;/td&gt;&lt;td&gt;14&lt;/td&gt;&lt;td&gt;2.333&lt;/td&gt;&lt;td&gt;3&lt;/td&gt;&lt;td&gt;12&lt;/td&gt;&lt;td&gt;0.250&lt;/td&gt;&lt;td&gt;2&lt;/td&gt;&lt;td&gt;7&lt;/td&gt;&lt;td&gt;0.286&lt;/td&gt;&lt;td&gt;6&lt;/td&gt;&lt;td&gt;10&lt;/td&gt;&lt;td&gt;0.600&lt;/td&gt;&lt;td&gt;1&lt;/td&gt;&lt;td&gt;5&lt;/td&gt;&lt;td&gt;6&lt;/td&gt;&lt;td&gt;1.000&lt;/td&gt;&lt;td&gt;3&lt;/td&gt;&lt;td&gt;0.500&lt;/td&gt;&lt;td&gt;0&lt;/td&gt;&lt;td&gt;0.000&lt;/td&gt;&lt;td&gt;0&lt;/td&gt;&lt;td&gt;0.000&lt;/td&gt;&lt;/tr&gt;</v>
      </c>
    </row>
    <row r="226" spans="1:23" x14ac:dyDescent="0.25">
      <c r="A226" s="10">
        <v>15</v>
      </c>
      <c r="B226" s="12" t="s">
        <v>539</v>
      </c>
      <c r="C226" s="12">
        <v>6</v>
      </c>
      <c r="D226" s="12">
        <v>6</v>
      </c>
      <c r="E226" s="12">
        <v>18</v>
      </c>
      <c r="F226" s="12">
        <v>0</v>
      </c>
      <c r="G226" s="12">
        <v>3</v>
      </c>
      <c r="H226" s="12">
        <v>2</v>
      </c>
      <c r="I226" s="12">
        <v>3</v>
      </c>
      <c r="J226" s="16">
        <f t="shared" si="9"/>
        <v>14</v>
      </c>
      <c r="K226" s="12">
        <v>7</v>
      </c>
      <c r="L226" s="12">
        <v>10</v>
      </c>
      <c r="M226" s="16">
        <f t="shared" si="10"/>
        <v>17</v>
      </c>
      <c r="N226" s="12">
        <v>4</v>
      </c>
      <c r="O226" s="12">
        <v>3</v>
      </c>
      <c r="P226" s="12">
        <v>5</v>
      </c>
      <c r="Q226" s="12">
        <v>0</v>
      </c>
      <c r="R226" s="12">
        <v>1</v>
      </c>
      <c r="S226" s="16">
        <v>0</v>
      </c>
      <c r="T226" s="12">
        <v>47</v>
      </c>
      <c r="U226" s="12" t="s">
        <v>68</v>
      </c>
      <c r="W226" s="10" t="str">
        <f t="shared" si="11"/>
        <v>&lt;tr&gt;&lt;td&gt;Tyler Minarik&lt;/td&gt;&lt;td&gt;FRC&lt;/td&gt;&lt;td&gt;6&lt;/td&gt;&lt;td&gt;14&lt;/td&gt;&lt;td&gt;2.333&lt;/td&gt;&lt;td&gt;6&lt;/td&gt;&lt;td&gt;18&lt;/td&gt;&lt;td&gt;0.333&lt;/td&gt;&lt;td&gt;0&lt;/td&gt;&lt;td&gt;3&lt;/td&gt;&lt;td&gt;0.000&lt;/td&gt;&lt;td&gt;2&lt;/td&gt;&lt;td&gt;3&lt;/td&gt;&lt;td&gt;0.667&lt;/td&gt;&lt;td&gt;7&lt;/td&gt;&lt;td&gt;10&lt;/td&gt;&lt;td&gt;17&lt;/td&gt;&lt;td&gt;2.833&lt;/td&gt;&lt;td&gt;3&lt;/td&gt;&lt;td&gt;0.500&lt;/td&gt;&lt;td&gt;1&lt;/td&gt;&lt;td&gt;0.167&lt;/td&gt;&lt;td&gt;0&lt;/td&gt;&lt;td&gt;0.000&lt;/td&gt;&lt;/tr&gt;</v>
      </c>
    </row>
    <row r="227" spans="1:23" x14ac:dyDescent="0.25">
      <c r="A227" s="10">
        <v>13</v>
      </c>
      <c r="B227" s="12" t="s">
        <v>746</v>
      </c>
      <c r="C227" s="12">
        <v>2</v>
      </c>
      <c r="D227" s="12">
        <v>5</v>
      </c>
      <c r="E227" s="12">
        <v>12</v>
      </c>
      <c r="F227" s="12">
        <v>4</v>
      </c>
      <c r="G227" s="12">
        <v>8</v>
      </c>
      <c r="H227" s="12">
        <v>0</v>
      </c>
      <c r="I227" s="12">
        <v>0</v>
      </c>
      <c r="J227" s="16">
        <f t="shared" si="9"/>
        <v>14</v>
      </c>
      <c r="K227" s="12">
        <v>0</v>
      </c>
      <c r="L227" s="12">
        <v>2</v>
      </c>
      <c r="M227" s="16">
        <f t="shared" si="10"/>
        <v>2</v>
      </c>
      <c r="N227" s="12">
        <v>1</v>
      </c>
      <c r="O227" s="12">
        <v>0</v>
      </c>
      <c r="P227" s="12">
        <v>1</v>
      </c>
      <c r="Q227" s="12">
        <v>0</v>
      </c>
      <c r="R227" s="12">
        <v>0</v>
      </c>
      <c r="S227" s="16">
        <v>0</v>
      </c>
      <c r="T227" s="12">
        <v>23</v>
      </c>
      <c r="U227" s="12" t="s">
        <v>76</v>
      </c>
      <c r="W227" s="10" t="str">
        <f t="shared" si="11"/>
        <v>&lt;tr&gt;&lt;td&gt;Matthew Medina&lt;/td&gt;&lt;td&gt;SiHS&lt;/td&gt;&lt;td&gt;2&lt;/td&gt;&lt;td&gt;14&lt;/td&gt;&lt;td&gt;7.000&lt;/td&gt;&lt;td&gt;5&lt;/td&gt;&lt;td&gt;12&lt;/td&gt;&lt;td&gt;0.417&lt;/td&gt;&lt;td&gt;4&lt;/td&gt;&lt;td&gt;8&lt;/td&gt;&lt;td&gt;0.500&lt;/td&gt;&lt;td&gt;0&lt;/td&gt;&lt;td&gt;0&lt;/td&gt;&lt;td&gt;0.000&lt;/td&gt;&lt;td&gt;0&lt;/td&gt;&lt;td&gt;2&lt;/td&gt;&lt;td&gt;2&lt;/td&gt;&lt;td&gt;1.000&lt;/td&gt;&lt;td&gt;0&lt;/td&gt;&lt;td&gt;0.000&lt;/td&gt;&lt;td&gt;0&lt;/td&gt;&lt;td&gt;0.000&lt;/td&gt;&lt;td&gt;0&lt;/td&gt;&lt;td&gt;0.000&lt;/td&gt;&lt;/tr&gt;</v>
      </c>
    </row>
    <row r="228" spans="1:23" x14ac:dyDescent="0.25">
      <c r="A228" s="10">
        <v>21</v>
      </c>
      <c r="B228" s="12" t="s">
        <v>380</v>
      </c>
      <c r="C228" s="12">
        <v>8</v>
      </c>
      <c r="D228" s="12">
        <v>4</v>
      </c>
      <c r="E228" s="12">
        <v>14</v>
      </c>
      <c r="F228" s="12">
        <v>0</v>
      </c>
      <c r="G228" s="12">
        <v>3</v>
      </c>
      <c r="H228" s="12">
        <v>5</v>
      </c>
      <c r="I228" s="12">
        <v>7</v>
      </c>
      <c r="J228" s="16">
        <f t="shared" si="9"/>
        <v>13</v>
      </c>
      <c r="K228" s="12">
        <v>10</v>
      </c>
      <c r="L228" s="12">
        <v>3</v>
      </c>
      <c r="M228" s="16">
        <f t="shared" si="10"/>
        <v>13</v>
      </c>
      <c r="N228" s="12">
        <v>6</v>
      </c>
      <c r="O228" s="12">
        <v>1</v>
      </c>
      <c r="P228" s="12">
        <v>9</v>
      </c>
      <c r="Q228" s="12">
        <v>0</v>
      </c>
      <c r="R228" s="12">
        <v>0</v>
      </c>
      <c r="S228" s="16">
        <v>0</v>
      </c>
      <c r="T228" s="12">
        <v>68</v>
      </c>
      <c r="U228" s="12" t="s">
        <v>72</v>
      </c>
      <c r="W228" s="10" t="str">
        <f t="shared" si="11"/>
        <v>&lt;tr&gt;&lt;td&gt;Luke Lintz&lt;/td&gt;&lt;td&gt;KHS&lt;/td&gt;&lt;td&gt;8&lt;/td&gt;&lt;td&gt;13&lt;/td&gt;&lt;td&gt;1.625&lt;/td&gt;&lt;td&gt;4&lt;/td&gt;&lt;td&gt;14&lt;/td&gt;&lt;td&gt;0.286&lt;/td&gt;&lt;td&gt;0&lt;/td&gt;&lt;td&gt;3&lt;/td&gt;&lt;td&gt;0.000&lt;/td&gt;&lt;td&gt;5&lt;/td&gt;&lt;td&gt;7&lt;/td&gt;&lt;td&gt;0.714&lt;/td&gt;&lt;td&gt;10&lt;/td&gt;&lt;td&gt;3&lt;/td&gt;&lt;td&gt;13&lt;/td&gt;&lt;td&gt;1.625&lt;/td&gt;&lt;td&gt;1&lt;/td&gt;&lt;td&gt;0.125&lt;/td&gt;&lt;td&gt;0&lt;/td&gt;&lt;td&gt;0.000&lt;/td&gt;&lt;td&gt;0&lt;/td&gt;&lt;td&gt;0.000&lt;/td&gt;&lt;/tr&gt;</v>
      </c>
    </row>
    <row r="229" spans="1:23" x14ac:dyDescent="0.25">
      <c r="A229" s="10">
        <v>20</v>
      </c>
      <c r="B229" s="12" t="s">
        <v>339</v>
      </c>
      <c r="C229" s="12">
        <v>5</v>
      </c>
      <c r="D229" s="12">
        <v>6</v>
      </c>
      <c r="E229" s="12">
        <v>23</v>
      </c>
      <c r="F229" s="12">
        <v>0</v>
      </c>
      <c r="G229" s="12">
        <v>0</v>
      </c>
      <c r="H229" s="12">
        <v>1</v>
      </c>
      <c r="I229" s="12">
        <v>11</v>
      </c>
      <c r="J229" s="16">
        <f t="shared" si="9"/>
        <v>13</v>
      </c>
      <c r="K229" s="12">
        <v>14</v>
      </c>
      <c r="L229" s="12">
        <v>20</v>
      </c>
      <c r="M229" s="16">
        <f t="shared" si="10"/>
        <v>34</v>
      </c>
      <c r="N229" s="12">
        <v>10</v>
      </c>
      <c r="O229" s="12">
        <v>4</v>
      </c>
      <c r="P229" s="12">
        <v>10</v>
      </c>
      <c r="Q229" s="12">
        <v>0</v>
      </c>
      <c r="R229" s="12">
        <v>9</v>
      </c>
      <c r="S229" s="16">
        <v>0</v>
      </c>
      <c r="T229" s="12">
        <v>85</v>
      </c>
      <c r="U229" s="12" t="s">
        <v>92</v>
      </c>
      <c r="W229" s="10" t="str">
        <f t="shared" si="11"/>
        <v>&lt;tr&gt;&lt;td&gt;Mathew Kirby&lt;/td&gt;&lt;td&gt;SJHS&lt;/td&gt;&lt;td&gt;5&lt;/td&gt;&lt;td&gt;13&lt;/td&gt;&lt;td&gt;2.600&lt;/td&gt;&lt;td&gt;6&lt;/td&gt;&lt;td&gt;23&lt;/td&gt;&lt;td&gt;0.261&lt;/td&gt;&lt;td&gt;0&lt;/td&gt;&lt;td&gt;0&lt;/td&gt;&lt;td&gt;0.000&lt;/td&gt;&lt;td&gt;1&lt;/td&gt;&lt;td&gt;11&lt;/td&gt;&lt;td&gt;0.091&lt;/td&gt;&lt;td&gt;14&lt;/td&gt;&lt;td&gt;20&lt;/td&gt;&lt;td&gt;34&lt;/td&gt;&lt;td&gt;6.800&lt;/td&gt;&lt;td&gt;4&lt;/td&gt;&lt;td&gt;0.800&lt;/td&gt;&lt;td&gt;9&lt;/td&gt;&lt;td&gt;1.800&lt;/td&gt;&lt;td&gt;0&lt;/td&gt;&lt;td&gt;0.000&lt;/td&gt;&lt;/tr&gt;</v>
      </c>
    </row>
    <row r="230" spans="1:23" x14ac:dyDescent="0.25">
      <c r="A230" s="10">
        <v>30</v>
      </c>
      <c r="B230" s="12" t="s">
        <v>459</v>
      </c>
      <c r="C230" s="12">
        <v>5</v>
      </c>
      <c r="D230" s="12">
        <v>6</v>
      </c>
      <c r="E230" s="12">
        <v>19</v>
      </c>
      <c r="F230" s="12">
        <v>0</v>
      </c>
      <c r="G230" s="12">
        <v>0</v>
      </c>
      <c r="H230" s="12">
        <v>1</v>
      </c>
      <c r="I230" s="12">
        <v>6</v>
      </c>
      <c r="J230" s="16">
        <f t="shared" si="9"/>
        <v>13</v>
      </c>
      <c r="K230" s="12">
        <v>8</v>
      </c>
      <c r="L230" s="12">
        <v>11</v>
      </c>
      <c r="M230" s="16">
        <f t="shared" si="10"/>
        <v>19</v>
      </c>
      <c r="N230" s="12">
        <v>7</v>
      </c>
      <c r="O230" s="12">
        <v>2</v>
      </c>
      <c r="P230" s="12">
        <v>4</v>
      </c>
      <c r="Q230" s="12">
        <v>0</v>
      </c>
      <c r="R230" s="12">
        <v>5</v>
      </c>
      <c r="S230" s="16">
        <v>0</v>
      </c>
      <c r="T230" s="12">
        <v>93</v>
      </c>
      <c r="U230" s="12" t="s">
        <v>102</v>
      </c>
      <c r="W230" s="10" t="str">
        <f t="shared" si="11"/>
        <v>&lt;tr&gt;&lt;td&gt;Liam Doherty&lt;/td&gt;&lt;td&gt;VMHS&lt;/td&gt;&lt;td&gt;5&lt;/td&gt;&lt;td&gt;13&lt;/td&gt;&lt;td&gt;2.600&lt;/td&gt;&lt;td&gt;6&lt;/td&gt;&lt;td&gt;19&lt;/td&gt;&lt;td&gt;0.316&lt;/td&gt;&lt;td&gt;0&lt;/td&gt;&lt;td&gt;0&lt;/td&gt;&lt;td&gt;0.000&lt;/td&gt;&lt;td&gt;1&lt;/td&gt;&lt;td&gt;6&lt;/td&gt;&lt;td&gt;0.167&lt;/td&gt;&lt;td&gt;8&lt;/td&gt;&lt;td&gt;11&lt;/td&gt;&lt;td&gt;19&lt;/td&gt;&lt;td&gt;3.800&lt;/td&gt;&lt;td&gt;2&lt;/td&gt;&lt;td&gt;0.400&lt;/td&gt;&lt;td&gt;5&lt;/td&gt;&lt;td&gt;1.000&lt;/td&gt;&lt;td&gt;0&lt;/td&gt;&lt;td&gt;0.000&lt;/td&gt;&lt;/tr&gt;</v>
      </c>
    </row>
    <row r="231" spans="1:23" x14ac:dyDescent="0.25">
      <c r="A231" s="10">
        <v>2</v>
      </c>
      <c r="B231" s="12" t="s">
        <v>687</v>
      </c>
      <c r="C231" s="12">
        <v>3</v>
      </c>
      <c r="D231" s="12">
        <v>4</v>
      </c>
      <c r="E231" s="12">
        <v>9</v>
      </c>
      <c r="F231" s="12">
        <v>1</v>
      </c>
      <c r="G231" s="12">
        <v>4</v>
      </c>
      <c r="H231" s="12">
        <v>4</v>
      </c>
      <c r="I231" s="12">
        <v>6</v>
      </c>
      <c r="J231" s="16">
        <f t="shared" si="9"/>
        <v>13</v>
      </c>
      <c r="K231" s="12">
        <v>0</v>
      </c>
      <c r="L231" s="12">
        <v>3</v>
      </c>
      <c r="M231" s="16">
        <f t="shared" si="10"/>
        <v>3</v>
      </c>
      <c r="N231" s="12">
        <v>6</v>
      </c>
      <c r="O231" s="12">
        <v>0</v>
      </c>
      <c r="P231" s="12">
        <v>6</v>
      </c>
      <c r="Q231" s="12">
        <v>0</v>
      </c>
      <c r="R231" s="12">
        <v>2</v>
      </c>
      <c r="S231" s="16">
        <v>0</v>
      </c>
      <c r="T231" s="12">
        <v>29</v>
      </c>
      <c r="U231" s="12" t="s">
        <v>78</v>
      </c>
      <c r="W231" s="10" t="str">
        <f t="shared" si="11"/>
        <v>&lt;tr&gt;&lt;td&gt;Jonah Gall&lt;/td&gt;&lt;td&gt;SPHS&lt;/td&gt;&lt;td&gt;3&lt;/td&gt;&lt;td&gt;13&lt;/td&gt;&lt;td&gt;4.333&lt;/td&gt;&lt;td&gt;4&lt;/td&gt;&lt;td&gt;9&lt;/td&gt;&lt;td&gt;0.444&lt;/td&gt;&lt;td&gt;1&lt;/td&gt;&lt;td&gt;4&lt;/td&gt;&lt;td&gt;0.250&lt;/td&gt;&lt;td&gt;4&lt;/td&gt;&lt;td&gt;6&lt;/td&gt;&lt;td&gt;0.667&lt;/td&gt;&lt;td&gt;0&lt;/td&gt;&lt;td&gt;3&lt;/td&gt;&lt;td&gt;3&lt;/td&gt;&lt;td&gt;1.000&lt;/td&gt;&lt;td&gt;0&lt;/td&gt;&lt;td&gt;0.000&lt;/td&gt;&lt;td&gt;2&lt;/td&gt;&lt;td&gt;0.667&lt;/td&gt;&lt;td&gt;0&lt;/td&gt;&lt;td&gt;0.000&lt;/td&gt;&lt;/tr&gt;</v>
      </c>
    </row>
    <row r="232" spans="1:23" x14ac:dyDescent="0.25">
      <c r="A232" s="10">
        <v>8</v>
      </c>
      <c r="B232" s="12" t="s">
        <v>734</v>
      </c>
      <c r="C232" s="12">
        <v>2</v>
      </c>
      <c r="D232" s="12">
        <v>5</v>
      </c>
      <c r="E232" s="12">
        <v>9</v>
      </c>
      <c r="F232" s="12">
        <v>3</v>
      </c>
      <c r="G232" s="12">
        <v>6</v>
      </c>
      <c r="H232" s="12">
        <v>0</v>
      </c>
      <c r="I232" s="12">
        <v>0</v>
      </c>
      <c r="J232" s="16">
        <f t="shared" si="9"/>
        <v>13</v>
      </c>
      <c r="K232" s="12">
        <v>2</v>
      </c>
      <c r="L232" s="12">
        <v>4</v>
      </c>
      <c r="M232" s="16">
        <f t="shared" si="10"/>
        <v>6</v>
      </c>
      <c r="N232" s="12">
        <v>1</v>
      </c>
      <c r="O232" s="12">
        <v>0</v>
      </c>
      <c r="P232" s="12">
        <v>2</v>
      </c>
      <c r="Q232" s="12">
        <v>1</v>
      </c>
      <c r="R232" s="12">
        <v>0</v>
      </c>
      <c r="S232" s="16">
        <v>0</v>
      </c>
      <c r="T232" s="12">
        <v>26</v>
      </c>
      <c r="U232" s="12" t="s">
        <v>96</v>
      </c>
      <c r="W232" s="10" t="str">
        <f t="shared" si="11"/>
        <v>&lt;tr&gt;&lt;td&gt;Carlo Cabradilla&lt;/td&gt;&lt;td&gt;TVHS&lt;/td&gt;&lt;td&gt;2&lt;/td&gt;&lt;td&gt;13&lt;/td&gt;&lt;td&gt;6.500&lt;/td&gt;&lt;td&gt;5&lt;/td&gt;&lt;td&gt;9&lt;/td&gt;&lt;td&gt;0.556&lt;/td&gt;&lt;td&gt;3&lt;/td&gt;&lt;td&gt;6&lt;/td&gt;&lt;td&gt;0.500&lt;/td&gt;&lt;td&gt;0&lt;/td&gt;&lt;td&gt;0&lt;/td&gt;&lt;td&gt;0.000&lt;/td&gt;&lt;td&gt;2&lt;/td&gt;&lt;td&gt;4&lt;/td&gt;&lt;td&gt;6&lt;/td&gt;&lt;td&gt;3.000&lt;/td&gt;&lt;td&gt;0&lt;/td&gt;&lt;td&gt;0.000&lt;/td&gt;&lt;td&gt;0&lt;/td&gt;&lt;td&gt;0.000&lt;/td&gt;&lt;td&gt;1&lt;/td&gt;&lt;td&gt;0.500&lt;/td&gt;&lt;/tr&gt;</v>
      </c>
    </row>
    <row r="233" spans="1:23" x14ac:dyDescent="0.25">
      <c r="A233" s="10">
        <v>22</v>
      </c>
      <c r="B233" s="12" t="s">
        <v>501</v>
      </c>
      <c r="C233" s="12">
        <v>8</v>
      </c>
      <c r="D233" s="12">
        <v>5</v>
      </c>
      <c r="E233" s="12">
        <v>19</v>
      </c>
      <c r="F233" s="12">
        <v>0</v>
      </c>
      <c r="G233" s="12">
        <v>1</v>
      </c>
      <c r="H233" s="12">
        <v>2</v>
      </c>
      <c r="I233" s="12">
        <v>4</v>
      </c>
      <c r="J233" s="16">
        <f t="shared" si="9"/>
        <v>12</v>
      </c>
      <c r="K233" s="12">
        <v>3</v>
      </c>
      <c r="L233" s="12">
        <v>16</v>
      </c>
      <c r="M233" s="16">
        <f t="shared" si="10"/>
        <v>19</v>
      </c>
      <c r="N233" s="12">
        <v>6</v>
      </c>
      <c r="O233" s="12">
        <v>0</v>
      </c>
      <c r="P233" s="12">
        <v>7</v>
      </c>
      <c r="Q233" s="12">
        <v>0</v>
      </c>
      <c r="R233" s="12">
        <v>4</v>
      </c>
      <c r="S233" s="16">
        <v>0</v>
      </c>
      <c r="T233" s="12">
        <v>91</v>
      </c>
      <c r="U233" s="12" t="s">
        <v>52</v>
      </c>
      <c r="W233" s="10" t="str">
        <f t="shared" si="11"/>
        <v>&lt;tr&gt;&lt;td&gt;Elliot Radford&lt;/td&gt;&lt;td&gt;REC&lt;/td&gt;&lt;td&gt;8&lt;/td&gt;&lt;td&gt;12&lt;/td&gt;&lt;td&gt;1.500&lt;/td&gt;&lt;td&gt;5&lt;/td&gt;&lt;td&gt;19&lt;/td&gt;&lt;td&gt;0.263&lt;/td&gt;&lt;td&gt;0&lt;/td&gt;&lt;td&gt;1&lt;/td&gt;&lt;td&gt;0.000&lt;/td&gt;&lt;td&gt;2&lt;/td&gt;&lt;td&gt;4&lt;/td&gt;&lt;td&gt;0.500&lt;/td&gt;&lt;td&gt;3&lt;/td&gt;&lt;td&gt;16&lt;/td&gt;&lt;td&gt;19&lt;/td&gt;&lt;td&gt;2.375&lt;/td&gt;&lt;td&gt;0&lt;/td&gt;&lt;td&gt;0.000&lt;/td&gt;&lt;td&gt;4&lt;/td&gt;&lt;td&gt;0.500&lt;/td&gt;&lt;td&gt;0&lt;/td&gt;&lt;td&gt;0.000&lt;/td&gt;&lt;/tr&gt;</v>
      </c>
    </row>
    <row r="234" spans="1:23" x14ac:dyDescent="0.25">
      <c r="A234" s="10">
        <v>8</v>
      </c>
      <c r="B234" s="12" t="s">
        <v>519</v>
      </c>
      <c r="C234" s="12">
        <v>8</v>
      </c>
      <c r="D234" s="12">
        <v>6</v>
      </c>
      <c r="E234" s="12">
        <v>16</v>
      </c>
      <c r="F234" s="12">
        <v>0</v>
      </c>
      <c r="G234" s="12">
        <v>1</v>
      </c>
      <c r="H234" s="12">
        <v>0</v>
      </c>
      <c r="I234" s="12">
        <v>0</v>
      </c>
      <c r="J234" s="16">
        <f t="shared" si="9"/>
        <v>12</v>
      </c>
      <c r="K234" s="12">
        <v>6</v>
      </c>
      <c r="L234" s="12">
        <v>8</v>
      </c>
      <c r="M234" s="16">
        <f t="shared" si="10"/>
        <v>14</v>
      </c>
      <c r="N234" s="12">
        <v>15</v>
      </c>
      <c r="O234" s="12">
        <v>0</v>
      </c>
      <c r="P234" s="12">
        <v>7</v>
      </c>
      <c r="Q234" s="12">
        <v>1</v>
      </c>
      <c r="R234" s="12">
        <v>11</v>
      </c>
      <c r="S234" s="16">
        <v>0</v>
      </c>
      <c r="T234" s="12">
        <v>94</v>
      </c>
      <c r="U234" s="12" t="s">
        <v>62</v>
      </c>
      <c r="W234" s="10" t="str">
        <f t="shared" si="11"/>
        <v>&lt;tr&gt;&lt;td&gt;Julian Avila&lt;/td&gt;&lt;td&gt;GCI&lt;/td&gt;&lt;td&gt;8&lt;/td&gt;&lt;td&gt;12&lt;/td&gt;&lt;td&gt;1.500&lt;/td&gt;&lt;td&gt;6&lt;/td&gt;&lt;td&gt;16&lt;/td&gt;&lt;td&gt;0.375&lt;/td&gt;&lt;td&gt;0&lt;/td&gt;&lt;td&gt;1&lt;/td&gt;&lt;td&gt;0.000&lt;/td&gt;&lt;td&gt;0&lt;/td&gt;&lt;td&gt;0&lt;/td&gt;&lt;td&gt;0.000&lt;/td&gt;&lt;td&gt;6&lt;/td&gt;&lt;td&gt;8&lt;/td&gt;&lt;td&gt;14&lt;/td&gt;&lt;td&gt;1.750&lt;/td&gt;&lt;td&gt;0&lt;/td&gt;&lt;td&gt;0.000&lt;/td&gt;&lt;td&gt;11&lt;/td&gt;&lt;td&gt;1.375&lt;/td&gt;&lt;td&gt;1&lt;/td&gt;&lt;td&gt;0.125&lt;/td&gt;&lt;/tr&gt;</v>
      </c>
    </row>
    <row r="235" spans="1:23" x14ac:dyDescent="0.25">
      <c r="A235" s="10">
        <v>2</v>
      </c>
      <c r="B235" s="12" t="s">
        <v>360</v>
      </c>
      <c r="C235" s="12">
        <v>6</v>
      </c>
      <c r="D235" s="12">
        <v>5</v>
      </c>
      <c r="E235" s="12">
        <v>29</v>
      </c>
      <c r="F235" s="12">
        <v>1</v>
      </c>
      <c r="G235" s="12">
        <v>14</v>
      </c>
      <c r="H235" s="12">
        <v>1</v>
      </c>
      <c r="I235" s="12">
        <v>3</v>
      </c>
      <c r="J235" s="16">
        <f t="shared" si="9"/>
        <v>12</v>
      </c>
      <c r="K235" s="12">
        <v>2</v>
      </c>
      <c r="L235" s="12">
        <v>9</v>
      </c>
      <c r="M235" s="16">
        <f t="shared" si="10"/>
        <v>11</v>
      </c>
      <c r="N235" s="12">
        <v>13</v>
      </c>
      <c r="O235" s="12">
        <v>2</v>
      </c>
      <c r="P235" s="12">
        <v>15</v>
      </c>
      <c r="Q235" s="12">
        <v>1</v>
      </c>
      <c r="R235" s="12">
        <v>8</v>
      </c>
      <c r="S235" s="16">
        <v>0</v>
      </c>
      <c r="T235" s="12">
        <v>77</v>
      </c>
      <c r="U235" s="12" t="s">
        <v>100</v>
      </c>
      <c r="W235" s="10" t="str">
        <f t="shared" si="11"/>
        <v>&lt;tr&gt;&lt;td&gt;Colby Goos&lt;/td&gt;&lt;td&gt;CPRS&lt;/td&gt;&lt;td&gt;6&lt;/td&gt;&lt;td&gt;12&lt;/td&gt;&lt;td&gt;2.000&lt;/td&gt;&lt;td&gt;5&lt;/td&gt;&lt;td&gt;29&lt;/td&gt;&lt;td&gt;0.172&lt;/td&gt;&lt;td&gt;1&lt;/td&gt;&lt;td&gt;14&lt;/td&gt;&lt;td&gt;0.071&lt;/td&gt;&lt;td&gt;1&lt;/td&gt;&lt;td&gt;3&lt;/td&gt;&lt;td&gt;0.333&lt;/td&gt;&lt;td&gt;2&lt;/td&gt;&lt;td&gt;9&lt;/td&gt;&lt;td&gt;11&lt;/td&gt;&lt;td&gt;1.833&lt;/td&gt;&lt;td&gt;2&lt;/td&gt;&lt;td&gt;0.333&lt;/td&gt;&lt;td&gt;8&lt;/td&gt;&lt;td&gt;1.333&lt;/td&gt;&lt;td&gt;1&lt;/td&gt;&lt;td&gt;0.167&lt;/td&gt;&lt;/tr&gt;</v>
      </c>
    </row>
    <row r="236" spans="1:23" x14ac:dyDescent="0.25">
      <c r="A236" s="10">
        <v>2</v>
      </c>
      <c r="B236" s="12" t="s">
        <v>434</v>
      </c>
      <c r="C236" s="12">
        <v>5</v>
      </c>
      <c r="D236" s="12">
        <v>3</v>
      </c>
      <c r="E236" s="12">
        <v>10</v>
      </c>
      <c r="F236" s="12">
        <v>0</v>
      </c>
      <c r="G236" s="12">
        <v>2</v>
      </c>
      <c r="H236" s="12">
        <v>6</v>
      </c>
      <c r="I236" s="12">
        <v>8</v>
      </c>
      <c r="J236" s="16">
        <f t="shared" si="9"/>
        <v>12</v>
      </c>
      <c r="K236" s="12">
        <v>1</v>
      </c>
      <c r="L236" s="12">
        <v>4</v>
      </c>
      <c r="M236" s="16">
        <f t="shared" si="10"/>
        <v>5</v>
      </c>
      <c r="N236" s="12">
        <v>1</v>
      </c>
      <c r="O236" s="12">
        <v>0</v>
      </c>
      <c r="P236" s="12">
        <v>1</v>
      </c>
      <c r="Q236" s="12">
        <v>1</v>
      </c>
      <c r="R236" s="12">
        <v>0</v>
      </c>
      <c r="S236" s="16">
        <v>0</v>
      </c>
      <c r="T236" s="12">
        <v>26</v>
      </c>
      <c r="U236" s="12" t="s">
        <v>80</v>
      </c>
      <c r="W236" s="10" t="str">
        <f t="shared" si="11"/>
        <v>&lt;tr&gt;&lt;td&gt;Aaron Sackey&lt;/td&gt;&lt;td&gt;VMC&lt;/td&gt;&lt;td&gt;5&lt;/td&gt;&lt;td&gt;12&lt;/td&gt;&lt;td&gt;2.400&lt;/td&gt;&lt;td&gt;3&lt;/td&gt;&lt;td&gt;10&lt;/td&gt;&lt;td&gt;0.300&lt;/td&gt;&lt;td&gt;0&lt;/td&gt;&lt;td&gt;2&lt;/td&gt;&lt;td&gt;0.000&lt;/td&gt;&lt;td&gt;6&lt;/td&gt;&lt;td&gt;8&lt;/td&gt;&lt;td&gt;0.750&lt;/td&gt;&lt;td&gt;1&lt;/td&gt;&lt;td&gt;4&lt;/td&gt;&lt;td&gt;5&lt;/td&gt;&lt;td&gt;1.000&lt;/td&gt;&lt;td&gt;0&lt;/td&gt;&lt;td&gt;0.000&lt;/td&gt;&lt;td&gt;0&lt;/td&gt;&lt;td&gt;0.000&lt;/td&gt;&lt;td&gt;1&lt;/td&gt;&lt;td&gt;0.200&lt;/td&gt;&lt;/tr&gt;</v>
      </c>
    </row>
    <row r="237" spans="1:23" x14ac:dyDescent="0.25">
      <c r="A237" s="10">
        <v>12</v>
      </c>
      <c r="B237" s="12" t="s">
        <v>465</v>
      </c>
      <c r="C237" s="12">
        <v>3</v>
      </c>
      <c r="D237" s="12">
        <v>5</v>
      </c>
      <c r="E237" s="12">
        <v>16</v>
      </c>
      <c r="F237" s="12">
        <v>0</v>
      </c>
      <c r="G237" s="12">
        <v>0</v>
      </c>
      <c r="H237" s="12">
        <v>2</v>
      </c>
      <c r="I237" s="12">
        <v>6</v>
      </c>
      <c r="J237" s="16">
        <f t="shared" si="9"/>
        <v>12</v>
      </c>
      <c r="K237" s="12">
        <v>4</v>
      </c>
      <c r="L237" s="12">
        <v>8</v>
      </c>
      <c r="M237" s="16">
        <f t="shared" si="10"/>
        <v>12</v>
      </c>
      <c r="N237" s="12">
        <v>10</v>
      </c>
      <c r="O237" s="12">
        <v>0</v>
      </c>
      <c r="P237" s="12">
        <v>9</v>
      </c>
      <c r="Q237" s="12">
        <v>0</v>
      </c>
      <c r="R237" s="12">
        <v>0</v>
      </c>
      <c r="S237" s="16">
        <v>0</v>
      </c>
      <c r="T237" s="12">
        <v>68</v>
      </c>
      <c r="U237" s="12" t="s">
        <v>98</v>
      </c>
      <c r="W237" s="10" t="str">
        <f t="shared" si="11"/>
        <v>&lt;tr&gt;&lt;td&gt;Bryce Wells&lt;/td&gt;&lt;td&gt;WWC&lt;/td&gt;&lt;td&gt;3&lt;/td&gt;&lt;td&gt;12&lt;/td&gt;&lt;td&gt;4.000&lt;/td&gt;&lt;td&gt;5&lt;/td&gt;&lt;td&gt;16&lt;/td&gt;&lt;td&gt;0.313&lt;/td&gt;&lt;td&gt;0&lt;/td&gt;&lt;td&gt;0&lt;/td&gt;&lt;td&gt;0.000&lt;/td&gt;&lt;td&gt;2&lt;/td&gt;&lt;td&gt;6&lt;/td&gt;&lt;td&gt;0.333&lt;/td&gt;&lt;td&gt;4&lt;/td&gt;&lt;td&gt;8&lt;/td&gt;&lt;td&gt;12&lt;/td&gt;&lt;td&gt;4.000&lt;/td&gt;&lt;td&gt;0&lt;/td&gt;&lt;td&gt;0.000&lt;/td&gt;&lt;td&gt;0&lt;/td&gt;&lt;td&gt;0.000&lt;/td&gt;&lt;td&gt;0&lt;/td&gt;&lt;td&gt;0.000&lt;/td&gt;&lt;/tr&gt;</v>
      </c>
    </row>
    <row r="238" spans="1:23" x14ac:dyDescent="0.25">
      <c r="A238" s="10">
        <v>1</v>
      </c>
      <c r="B238" s="12" t="s">
        <v>727</v>
      </c>
      <c r="C238" s="12">
        <v>2</v>
      </c>
      <c r="D238" s="12">
        <v>5</v>
      </c>
      <c r="E238" s="12">
        <v>11</v>
      </c>
      <c r="F238" s="12">
        <v>1</v>
      </c>
      <c r="G238" s="12">
        <v>5</v>
      </c>
      <c r="H238" s="12">
        <v>1</v>
      </c>
      <c r="I238" s="12">
        <v>4</v>
      </c>
      <c r="J238" s="16">
        <f t="shared" si="9"/>
        <v>12</v>
      </c>
      <c r="K238" s="12">
        <v>3</v>
      </c>
      <c r="L238" s="12">
        <v>2</v>
      </c>
      <c r="M238" s="16">
        <f t="shared" si="10"/>
        <v>5</v>
      </c>
      <c r="N238" s="12">
        <v>1</v>
      </c>
      <c r="O238" s="12">
        <v>1</v>
      </c>
      <c r="P238" s="12">
        <v>2</v>
      </c>
      <c r="Q238" s="12">
        <v>0</v>
      </c>
      <c r="R238" s="12">
        <v>0</v>
      </c>
      <c r="S238" s="16">
        <v>0</v>
      </c>
      <c r="T238" s="12">
        <v>18</v>
      </c>
      <c r="U238" s="12" t="s">
        <v>96</v>
      </c>
      <c r="W238" s="10" t="str">
        <f t="shared" si="11"/>
        <v>&lt;tr&gt;&lt;td&gt;Dennis Cook&lt;/td&gt;&lt;td&gt;TVHS&lt;/td&gt;&lt;td&gt;2&lt;/td&gt;&lt;td&gt;12&lt;/td&gt;&lt;td&gt;6.000&lt;/td&gt;&lt;td&gt;5&lt;/td&gt;&lt;td&gt;11&lt;/td&gt;&lt;td&gt;0.455&lt;/td&gt;&lt;td&gt;1&lt;/td&gt;&lt;td&gt;5&lt;/td&gt;&lt;td&gt;0.200&lt;/td&gt;&lt;td&gt;1&lt;/td&gt;&lt;td&gt;4&lt;/td&gt;&lt;td&gt;0.250&lt;/td&gt;&lt;td&gt;3&lt;/td&gt;&lt;td&gt;2&lt;/td&gt;&lt;td&gt;5&lt;/td&gt;&lt;td&gt;2.500&lt;/td&gt;&lt;td&gt;1&lt;/td&gt;&lt;td&gt;0.500&lt;/td&gt;&lt;td&gt;0&lt;/td&gt;&lt;td&gt;0.000&lt;/td&gt;&lt;td&gt;0&lt;/td&gt;&lt;td&gt;0.000&lt;/td&gt;&lt;/tr&gt;</v>
      </c>
    </row>
    <row r="239" spans="1:23" x14ac:dyDescent="0.25">
      <c r="A239" s="10">
        <v>15</v>
      </c>
      <c r="B239" s="12" t="s">
        <v>355</v>
      </c>
      <c r="C239" s="12">
        <v>12</v>
      </c>
      <c r="D239" s="12">
        <v>5</v>
      </c>
      <c r="E239" s="12">
        <v>25</v>
      </c>
      <c r="F239" s="12">
        <v>0</v>
      </c>
      <c r="G239" s="12">
        <v>0</v>
      </c>
      <c r="H239" s="12">
        <v>1</v>
      </c>
      <c r="I239" s="12">
        <v>2</v>
      </c>
      <c r="J239" s="16">
        <f t="shared" si="9"/>
        <v>11</v>
      </c>
      <c r="K239" s="12">
        <v>12</v>
      </c>
      <c r="L239" s="12">
        <v>19</v>
      </c>
      <c r="M239" s="16">
        <f t="shared" si="10"/>
        <v>31</v>
      </c>
      <c r="N239" s="12">
        <v>14</v>
      </c>
      <c r="O239" s="12">
        <v>2</v>
      </c>
      <c r="P239" s="12">
        <v>4</v>
      </c>
      <c r="Q239" s="12">
        <v>2</v>
      </c>
      <c r="R239" s="12">
        <v>0</v>
      </c>
      <c r="S239" s="16">
        <v>0</v>
      </c>
      <c r="T239" s="12">
        <v>107</v>
      </c>
      <c r="U239" s="12" t="s">
        <v>60</v>
      </c>
      <c r="W239" s="10" t="str">
        <f t="shared" si="11"/>
        <v>&lt;tr&gt;&lt;td&gt;Carter Butterfield&lt;/td&gt;&lt;td&gt;DCI&lt;/td&gt;&lt;td&gt;12&lt;/td&gt;&lt;td&gt;11&lt;/td&gt;&lt;td&gt;0.917&lt;/td&gt;&lt;td&gt;5&lt;/td&gt;&lt;td&gt;25&lt;/td&gt;&lt;td&gt;0.200&lt;/td&gt;&lt;td&gt;0&lt;/td&gt;&lt;td&gt;0&lt;/td&gt;&lt;td&gt;0.000&lt;/td&gt;&lt;td&gt;1&lt;/td&gt;&lt;td&gt;2&lt;/td&gt;&lt;td&gt;0.500&lt;/td&gt;&lt;td&gt;12&lt;/td&gt;&lt;td&gt;19&lt;/td&gt;&lt;td&gt;31&lt;/td&gt;&lt;td&gt;2.583&lt;/td&gt;&lt;td&gt;2&lt;/td&gt;&lt;td&gt;0.167&lt;/td&gt;&lt;td&gt;0&lt;/td&gt;&lt;td&gt;0.000&lt;/td&gt;&lt;td&gt;2&lt;/td&gt;&lt;td&gt;0.167&lt;/td&gt;&lt;/tr&gt;</v>
      </c>
    </row>
    <row r="240" spans="1:23" x14ac:dyDescent="0.25">
      <c r="A240" s="10">
        <v>7</v>
      </c>
      <c r="B240" s="12" t="s">
        <v>692</v>
      </c>
      <c r="C240" s="12">
        <v>6</v>
      </c>
      <c r="D240" s="12">
        <v>5</v>
      </c>
      <c r="E240" s="12">
        <v>11</v>
      </c>
      <c r="F240" s="12">
        <v>1</v>
      </c>
      <c r="G240" s="12">
        <v>6</v>
      </c>
      <c r="H240" s="12">
        <v>0</v>
      </c>
      <c r="I240" s="12">
        <v>0</v>
      </c>
      <c r="J240" s="16">
        <f t="shared" si="9"/>
        <v>11</v>
      </c>
      <c r="K240" s="12">
        <v>4</v>
      </c>
      <c r="L240" s="12">
        <v>0</v>
      </c>
      <c r="M240" s="16">
        <f t="shared" si="10"/>
        <v>4</v>
      </c>
      <c r="N240" s="12">
        <v>2</v>
      </c>
      <c r="O240" s="12">
        <v>6</v>
      </c>
      <c r="P240" s="12">
        <v>2</v>
      </c>
      <c r="Q240" s="12">
        <v>0</v>
      </c>
      <c r="R240" s="12">
        <v>3</v>
      </c>
      <c r="S240" s="16">
        <v>0</v>
      </c>
      <c r="T240" s="12">
        <v>43</v>
      </c>
      <c r="U240" s="12" t="s">
        <v>78</v>
      </c>
      <c r="W240" s="10" t="str">
        <f t="shared" si="11"/>
        <v>&lt;tr&gt;&lt;td&gt;Tommy Semchyshyn&lt;/td&gt;&lt;td&gt;SPHS&lt;/td&gt;&lt;td&gt;6&lt;/td&gt;&lt;td&gt;11&lt;/td&gt;&lt;td&gt;1.833&lt;/td&gt;&lt;td&gt;5&lt;/td&gt;&lt;td&gt;11&lt;/td&gt;&lt;td&gt;0.455&lt;/td&gt;&lt;td&gt;1&lt;/td&gt;&lt;td&gt;6&lt;/td&gt;&lt;td&gt;0.167&lt;/td&gt;&lt;td&gt;0&lt;/td&gt;&lt;td&gt;0&lt;/td&gt;&lt;td&gt;0.000&lt;/td&gt;&lt;td&gt;4&lt;/td&gt;&lt;td&gt;0&lt;/td&gt;&lt;td&gt;4&lt;/td&gt;&lt;td&gt;0.667&lt;/td&gt;&lt;td&gt;6&lt;/td&gt;&lt;td&gt;1.000&lt;/td&gt;&lt;td&gt;3&lt;/td&gt;&lt;td&gt;0.500&lt;/td&gt;&lt;td&gt;0&lt;/td&gt;&lt;td&gt;0.000&lt;/td&gt;&lt;/tr&gt;</v>
      </c>
    </row>
    <row r="241" spans="1:23" x14ac:dyDescent="0.25">
      <c r="A241" s="10">
        <v>3</v>
      </c>
      <c r="B241" s="12" t="s">
        <v>449</v>
      </c>
      <c r="C241" s="12">
        <v>6</v>
      </c>
      <c r="D241" s="12">
        <v>4</v>
      </c>
      <c r="E241" s="12">
        <v>27</v>
      </c>
      <c r="F241" s="12">
        <v>0</v>
      </c>
      <c r="G241" s="12">
        <v>3</v>
      </c>
      <c r="H241" s="12">
        <v>3</v>
      </c>
      <c r="I241" s="12">
        <v>10</v>
      </c>
      <c r="J241" s="16">
        <f t="shared" si="9"/>
        <v>11</v>
      </c>
      <c r="K241" s="12">
        <v>6</v>
      </c>
      <c r="L241" s="12">
        <v>9</v>
      </c>
      <c r="M241" s="16">
        <f t="shared" si="10"/>
        <v>15</v>
      </c>
      <c r="N241" s="12">
        <v>8</v>
      </c>
      <c r="O241" s="12">
        <v>2</v>
      </c>
      <c r="P241" s="12">
        <v>13</v>
      </c>
      <c r="Q241" s="12">
        <v>0</v>
      </c>
      <c r="R241" s="12">
        <v>2</v>
      </c>
      <c r="S241" s="16">
        <v>0</v>
      </c>
      <c r="T241" s="12">
        <v>70</v>
      </c>
      <c r="U241" s="12" t="s">
        <v>102</v>
      </c>
      <c r="W241" s="10" t="str">
        <f t="shared" si="11"/>
        <v>&lt;tr&gt;&lt;td&gt;Joel Engel&lt;/td&gt;&lt;td&gt;VMHS&lt;/td&gt;&lt;td&gt;6&lt;/td&gt;&lt;td&gt;11&lt;/td&gt;&lt;td&gt;1.833&lt;/td&gt;&lt;td&gt;4&lt;/td&gt;&lt;td&gt;27&lt;/td&gt;&lt;td&gt;0.148&lt;/td&gt;&lt;td&gt;0&lt;/td&gt;&lt;td&gt;3&lt;/td&gt;&lt;td&gt;0.000&lt;/td&gt;&lt;td&gt;3&lt;/td&gt;&lt;td&gt;10&lt;/td&gt;&lt;td&gt;0.300&lt;/td&gt;&lt;td&gt;6&lt;/td&gt;&lt;td&gt;9&lt;/td&gt;&lt;td&gt;15&lt;/td&gt;&lt;td&gt;2.500&lt;/td&gt;&lt;td&gt;2&lt;/td&gt;&lt;td&gt;0.333&lt;/td&gt;&lt;td&gt;2&lt;/td&gt;&lt;td&gt;0.333&lt;/td&gt;&lt;td&gt;0&lt;/td&gt;&lt;td&gt;0.000&lt;/td&gt;&lt;/tr&gt;</v>
      </c>
    </row>
    <row r="242" spans="1:23" x14ac:dyDescent="0.25">
      <c r="A242" s="10">
        <v>20</v>
      </c>
      <c r="B242" s="12" t="s">
        <v>453</v>
      </c>
      <c r="C242" s="12">
        <v>5</v>
      </c>
      <c r="D242" s="12">
        <v>4</v>
      </c>
      <c r="E242" s="12">
        <v>15</v>
      </c>
      <c r="F242" s="12">
        <v>3</v>
      </c>
      <c r="G242" s="12">
        <v>11</v>
      </c>
      <c r="H242" s="12">
        <v>0</v>
      </c>
      <c r="I242" s="12">
        <v>0</v>
      </c>
      <c r="J242" s="16">
        <f t="shared" si="9"/>
        <v>11</v>
      </c>
      <c r="K242" s="12">
        <v>2</v>
      </c>
      <c r="L242" s="12">
        <v>5</v>
      </c>
      <c r="M242" s="16">
        <f t="shared" si="10"/>
        <v>7</v>
      </c>
      <c r="N242" s="12">
        <v>5</v>
      </c>
      <c r="O242" s="12">
        <v>0</v>
      </c>
      <c r="P242" s="12">
        <v>4</v>
      </c>
      <c r="Q242" s="12">
        <v>0</v>
      </c>
      <c r="R242" s="12">
        <v>1</v>
      </c>
      <c r="S242" s="16">
        <v>0</v>
      </c>
      <c r="T242" s="12">
        <v>41</v>
      </c>
      <c r="U242" s="12" t="s">
        <v>102</v>
      </c>
      <c r="W242" s="10" t="str">
        <f t="shared" si="11"/>
        <v>&lt;tr&gt;&lt;td&gt;Cory Dysart-Moody&lt;/td&gt;&lt;td&gt;VMHS&lt;/td&gt;&lt;td&gt;5&lt;/td&gt;&lt;td&gt;11&lt;/td&gt;&lt;td&gt;2.200&lt;/td&gt;&lt;td&gt;4&lt;/td&gt;&lt;td&gt;15&lt;/td&gt;&lt;td&gt;0.267&lt;/td&gt;&lt;td&gt;3&lt;/td&gt;&lt;td&gt;11&lt;/td&gt;&lt;td&gt;0.273&lt;/td&gt;&lt;td&gt;0&lt;/td&gt;&lt;td&gt;0&lt;/td&gt;&lt;td&gt;0.000&lt;/td&gt;&lt;td&gt;2&lt;/td&gt;&lt;td&gt;5&lt;/td&gt;&lt;td&gt;7&lt;/td&gt;&lt;td&gt;1.400&lt;/td&gt;&lt;td&gt;0&lt;/td&gt;&lt;td&gt;0.000&lt;/td&gt;&lt;td&gt;1&lt;/td&gt;&lt;td&gt;0.200&lt;/td&gt;&lt;td&gt;0&lt;/td&gt;&lt;td&gt;0.000&lt;/td&gt;&lt;/tr&gt;</v>
      </c>
    </row>
    <row r="243" spans="1:23" x14ac:dyDescent="0.25">
      <c r="A243" s="10">
        <v>16</v>
      </c>
      <c r="B243" s="12" t="s">
        <v>511</v>
      </c>
      <c r="C243" s="12">
        <v>9</v>
      </c>
      <c r="D243" s="12">
        <v>4</v>
      </c>
      <c r="E243" s="12">
        <v>14</v>
      </c>
      <c r="F243" s="12">
        <v>0</v>
      </c>
      <c r="G243" s="12">
        <v>0</v>
      </c>
      <c r="H243" s="12">
        <v>2</v>
      </c>
      <c r="I243" s="12">
        <v>2</v>
      </c>
      <c r="J243" s="16">
        <f t="shared" si="9"/>
        <v>10</v>
      </c>
      <c r="K243" s="12">
        <v>4</v>
      </c>
      <c r="L243" s="12">
        <v>11</v>
      </c>
      <c r="M243" s="16">
        <f t="shared" si="10"/>
        <v>15</v>
      </c>
      <c r="N243" s="12">
        <v>5</v>
      </c>
      <c r="O243" s="12">
        <v>6</v>
      </c>
      <c r="P243" s="12">
        <v>8</v>
      </c>
      <c r="Q243" s="12">
        <v>1</v>
      </c>
      <c r="R243" s="12">
        <v>3</v>
      </c>
      <c r="S243" s="16">
        <v>0</v>
      </c>
      <c r="T243" s="12">
        <v>72</v>
      </c>
      <c r="U243" s="12" t="s">
        <v>7</v>
      </c>
      <c r="W243" s="10" t="str">
        <f t="shared" si="11"/>
        <v>&lt;tr&gt;&lt;td&gt;Owen Fischer&lt;/td&gt;&lt;td&gt;MBCI&lt;/td&gt;&lt;td&gt;9&lt;/td&gt;&lt;td&gt;10&lt;/td&gt;&lt;td&gt;1.111&lt;/td&gt;&lt;td&gt;4&lt;/td&gt;&lt;td&gt;14&lt;/td&gt;&lt;td&gt;0.286&lt;/td&gt;&lt;td&gt;0&lt;/td&gt;&lt;td&gt;0&lt;/td&gt;&lt;td&gt;0.000&lt;/td&gt;&lt;td&gt;2&lt;/td&gt;&lt;td&gt;2&lt;/td&gt;&lt;td&gt;1.000&lt;/td&gt;&lt;td&gt;4&lt;/td&gt;&lt;td&gt;11&lt;/td&gt;&lt;td&gt;15&lt;/td&gt;&lt;td&gt;1.667&lt;/td&gt;&lt;td&gt;6&lt;/td&gt;&lt;td&gt;0.667&lt;/td&gt;&lt;td&gt;3&lt;/td&gt;&lt;td&gt;0.333&lt;/td&gt;&lt;td&gt;1&lt;/td&gt;&lt;td&gt;0.111&lt;/td&gt;&lt;/tr&gt;</v>
      </c>
    </row>
    <row r="244" spans="1:23" x14ac:dyDescent="0.25">
      <c r="A244" s="10">
        <v>12</v>
      </c>
      <c r="B244" s="12" t="s">
        <v>375</v>
      </c>
      <c r="C244" s="12">
        <v>7</v>
      </c>
      <c r="D244" s="12">
        <v>4</v>
      </c>
      <c r="E244" s="12">
        <v>15</v>
      </c>
      <c r="F244" s="12">
        <v>0</v>
      </c>
      <c r="G244" s="12">
        <v>3</v>
      </c>
      <c r="H244" s="12">
        <v>2</v>
      </c>
      <c r="I244" s="12">
        <v>2</v>
      </c>
      <c r="J244" s="16">
        <f t="shared" si="9"/>
        <v>10</v>
      </c>
      <c r="K244" s="12">
        <v>4</v>
      </c>
      <c r="L244" s="12">
        <v>8</v>
      </c>
      <c r="M244" s="16">
        <f t="shared" si="10"/>
        <v>12</v>
      </c>
      <c r="N244" s="12">
        <v>2</v>
      </c>
      <c r="O244" s="12">
        <v>3</v>
      </c>
      <c r="P244" s="12">
        <v>3</v>
      </c>
      <c r="Q244" s="12">
        <v>0</v>
      </c>
      <c r="R244" s="12">
        <v>4</v>
      </c>
      <c r="S244" s="16">
        <v>0</v>
      </c>
      <c r="T244" s="12">
        <v>55</v>
      </c>
      <c r="U244" s="12" t="s">
        <v>72</v>
      </c>
      <c r="W244" s="10" t="str">
        <f t="shared" si="11"/>
        <v>&lt;tr&gt;&lt;td&gt;Kieran Hall&lt;/td&gt;&lt;td&gt;KHS&lt;/td&gt;&lt;td&gt;7&lt;/td&gt;&lt;td&gt;10&lt;/td&gt;&lt;td&gt;1.429&lt;/td&gt;&lt;td&gt;4&lt;/td&gt;&lt;td&gt;15&lt;/td&gt;&lt;td&gt;0.267&lt;/td&gt;&lt;td&gt;0&lt;/td&gt;&lt;td&gt;3&lt;/td&gt;&lt;td&gt;0.000&lt;/td&gt;&lt;td&gt;2&lt;/td&gt;&lt;td&gt;2&lt;/td&gt;&lt;td&gt;1.000&lt;/td&gt;&lt;td&gt;4&lt;/td&gt;&lt;td&gt;8&lt;/td&gt;&lt;td&gt;12&lt;/td&gt;&lt;td&gt;1.714&lt;/td&gt;&lt;td&gt;3&lt;/td&gt;&lt;td&gt;0.429&lt;/td&gt;&lt;td&gt;4&lt;/td&gt;&lt;td&gt;0.571&lt;/td&gt;&lt;td&gt;0&lt;/td&gt;&lt;td&gt;0.000&lt;/td&gt;&lt;/tr&gt;</v>
      </c>
    </row>
    <row r="245" spans="1:23" x14ac:dyDescent="0.25">
      <c r="A245" s="10">
        <v>4</v>
      </c>
      <c r="B245" s="12" t="s">
        <v>397</v>
      </c>
      <c r="C245" s="12">
        <v>5</v>
      </c>
      <c r="D245" s="12">
        <v>4</v>
      </c>
      <c r="E245" s="12">
        <v>6</v>
      </c>
      <c r="F245" s="12">
        <v>2</v>
      </c>
      <c r="G245" s="12">
        <v>3</v>
      </c>
      <c r="H245" s="12">
        <v>0</v>
      </c>
      <c r="I245" s="12">
        <v>0</v>
      </c>
      <c r="J245" s="16">
        <f t="shared" si="9"/>
        <v>10</v>
      </c>
      <c r="K245" s="12">
        <v>0</v>
      </c>
      <c r="L245" s="12">
        <v>6</v>
      </c>
      <c r="M245" s="16">
        <f t="shared" si="10"/>
        <v>6</v>
      </c>
      <c r="N245" s="12">
        <v>3</v>
      </c>
      <c r="O245" s="12">
        <v>1</v>
      </c>
      <c r="P245" s="12">
        <v>5</v>
      </c>
      <c r="Q245" s="12">
        <v>1</v>
      </c>
      <c r="R245" s="12">
        <v>1</v>
      </c>
      <c r="S245" s="16">
        <v>0</v>
      </c>
      <c r="T245" s="12">
        <v>28</v>
      </c>
      <c r="U245" s="12" t="s">
        <v>45</v>
      </c>
      <c r="W245" s="10" t="str">
        <f t="shared" si="11"/>
        <v>&lt;tr&gt;&lt;td&gt;T.J. Sidhu&lt;/td&gt;&lt;td&gt;MC&lt;/td&gt;&lt;td&gt;5&lt;/td&gt;&lt;td&gt;10&lt;/td&gt;&lt;td&gt;2.000&lt;/td&gt;&lt;td&gt;4&lt;/td&gt;&lt;td&gt;6&lt;/td&gt;&lt;td&gt;0.667&lt;/td&gt;&lt;td&gt;2&lt;/td&gt;&lt;td&gt;3&lt;/td&gt;&lt;td&gt;0.667&lt;/td&gt;&lt;td&gt;0&lt;/td&gt;&lt;td&gt;0&lt;/td&gt;&lt;td&gt;0.000&lt;/td&gt;&lt;td&gt;0&lt;/td&gt;&lt;td&gt;6&lt;/td&gt;&lt;td&gt;6&lt;/td&gt;&lt;td&gt;1.200&lt;/td&gt;&lt;td&gt;1&lt;/td&gt;&lt;td&gt;0.200&lt;/td&gt;&lt;td&gt;1&lt;/td&gt;&lt;td&gt;0.200&lt;/td&gt;&lt;td&gt;1&lt;/td&gt;&lt;td&gt;0.200&lt;/td&gt;&lt;/tr&gt;</v>
      </c>
    </row>
    <row r="246" spans="1:23" x14ac:dyDescent="0.25">
      <c r="A246" s="10">
        <v>35</v>
      </c>
      <c r="B246" s="12" t="s">
        <v>457</v>
      </c>
      <c r="C246" s="12">
        <v>5</v>
      </c>
      <c r="D246" s="12">
        <v>5</v>
      </c>
      <c r="E246" s="12">
        <v>10</v>
      </c>
      <c r="F246" s="12">
        <v>0</v>
      </c>
      <c r="G246" s="12">
        <v>0</v>
      </c>
      <c r="H246" s="12">
        <v>0</v>
      </c>
      <c r="I246" s="12">
        <v>2</v>
      </c>
      <c r="J246" s="16">
        <f t="shared" si="9"/>
        <v>10</v>
      </c>
      <c r="K246" s="12">
        <v>3</v>
      </c>
      <c r="L246" s="12">
        <v>23</v>
      </c>
      <c r="M246" s="16">
        <f t="shared" si="10"/>
        <v>26</v>
      </c>
      <c r="N246" s="12">
        <v>3</v>
      </c>
      <c r="O246" s="12">
        <v>2</v>
      </c>
      <c r="P246" s="12">
        <v>7</v>
      </c>
      <c r="Q246" s="12">
        <v>0</v>
      </c>
      <c r="R246" s="12">
        <v>1</v>
      </c>
      <c r="S246" s="16">
        <v>0</v>
      </c>
      <c r="T246" s="12">
        <v>89</v>
      </c>
      <c r="U246" s="12" t="s">
        <v>102</v>
      </c>
      <c r="W246" s="10" t="str">
        <f t="shared" si="11"/>
        <v>&lt;tr&gt;&lt;td&gt;Brandon McKenzie&lt;/td&gt;&lt;td&gt;VMHS&lt;/td&gt;&lt;td&gt;5&lt;/td&gt;&lt;td&gt;10&lt;/td&gt;&lt;td&gt;2.000&lt;/td&gt;&lt;td&gt;5&lt;/td&gt;&lt;td&gt;10&lt;/td&gt;&lt;td&gt;0.500&lt;/td&gt;&lt;td&gt;0&lt;/td&gt;&lt;td&gt;0&lt;/td&gt;&lt;td&gt;0.000&lt;/td&gt;&lt;td&gt;0&lt;/td&gt;&lt;td&gt;2&lt;/td&gt;&lt;td&gt;0.000&lt;/td&gt;&lt;td&gt;3&lt;/td&gt;&lt;td&gt;23&lt;/td&gt;&lt;td&gt;26&lt;/td&gt;&lt;td&gt;5.200&lt;/td&gt;&lt;td&gt;2&lt;/td&gt;&lt;td&gt;0.400&lt;/td&gt;&lt;td&gt;1&lt;/td&gt;&lt;td&gt;0.200&lt;/td&gt;&lt;td&gt;0&lt;/td&gt;&lt;td&gt;0.000&lt;/td&gt;&lt;/tr&gt;</v>
      </c>
    </row>
    <row r="247" spans="1:23" x14ac:dyDescent="0.25">
      <c r="A247" s="10">
        <v>12</v>
      </c>
      <c r="B247" s="12" t="s">
        <v>738</v>
      </c>
      <c r="C247" s="12">
        <v>4</v>
      </c>
      <c r="D247" s="12">
        <v>3</v>
      </c>
      <c r="E247" s="12">
        <v>10</v>
      </c>
      <c r="F247" s="12">
        <v>1</v>
      </c>
      <c r="G247" s="12">
        <v>5</v>
      </c>
      <c r="H247" s="12">
        <v>3</v>
      </c>
      <c r="I247" s="12">
        <v>6</v>
      </c>
      <c r="J247" s="16">
        <f t="shared" si="9"/>
        <v>10</v>
      </c>
      <c r="K247" s="12">
        <v>2</v>
      </c>
      <c r="L247" s="12">
        <v>1</v>
      </c>
      <c r="M247" s="16">
        <f t="shared" si="10"/>
        <v>3</v>
      </c>
      <c r="N247" s="12">
        <v>1</v>
      </c>
      <c r="O247" s="12">
        <v>1</v>
      </c>
      <c r="P247" s="12">
        <v>3</v>
      </c>
      <c r="Q247" s="12">
        <v>0</v>
      </c>
      <c r="R247" s="12">
        <v>0</v>
      </c>
      <c r="S247" s="16">
        <v>0</v>
      </c>
      <c r="T247" s="12">
        <v>44</v>
      </c>
      <c r="U247" s="12" t="s">
        <v>96</v>
      </c>
      <c r="W247" s="10" t="str">
        <f t="shared" si="11"/>
        <v>&lt;tr&gt;&lt;td&gt;Errol Manimtim&lt;/td&gt;&lt;td&gt;TVHS&lt;/td&gt;&lt;td&gt;4&lt;/td&gt;&lt;td&gt;10&lt;/td&gt;&lt;td&gt;2.500&lt;/td&gt;&lt;td&gt;3&lt;/td&gt;&lt;td&gt;10&lt;/td&gt;&lt;td&gt;0.300&lt;/td&gt;&lt;td&gt;1&lt;/td&gt;&lt;td&gt;5&lt;/td&gt;&lt;td&gt;0.200&lt;/td&gt;&lt;td&gt;3&lt;/td&gt;&lt;td&gt;6&lt;/td&gt;&lt;td&gt;0.500&lt;/td&gt;&lt;td&gt;2&lt;/td&gt;&lt;td&gt;1&lt;/td&gt;&lt;td&gt;3&lt;/td&gt;&lt;td&gt;0.750&lt;/td&gt;&lt;td&gt;1&lt;/td&gt;&lt;td&gt;0.250&lt;/td&gt;&lt;td&gt;0&lt;/td&gt;&lt;td&gt;0.000&lt;/td&gt;&lt;td&gt;0&lt;/td&gt;&lt;td&gt;0.000&lt;/td&gt;&lt;/tr&gt;</v>
      </c>
    </row>
    <row r="248" spans="1:23" x14ac:dyDescent="0.25">
      <c r="A248" s="10">
        <v>12</v>
      </c>
      <c r="B248" s="12" t="s">
        <v>352</v>
      </c>
      <c r="C248" s="12">
        <v>10</v>
      </c>
      <c r="D248" s="12">
        <v>4</v>
      </c>
      <c r="E248" s="12">
        <v>12</v>
      </c>
      <c r="F248" s="12">
        <v>1</v>
      </c>
      <c r="G248" s="12">
        <v>4</v>
      </c>
      <c r="H248" s="12">
        <v>0</v>
      </c>
      <c r="I248" s="12">
        <v>2</v>
      </c>
      <c r="J248" s="16">
        <f t="shared" si="9"/>
        <v>9</v>
      </c>
      <c r="K248" s="12">
        <v>3</v>
      </c>
      <c r="L248" s="12">
        <v>9</v>
      </c>
      <c r="M248" s="16">
        <f t="shared" si="10"/>
        <v>12</v>
      </c>
      <c r="N248" s="12">
        <v>8</v>
      </c>
      <c r="O248" s="12">
        <v>5</v>
      </c>
      <c r="P248" s="12">
        <v>13</v>
      </c>
      <c r="Q248" s="12">
        <v>0</v>
      </c>
      <c r="R248" s="12">
        <v>5</v>
      </c>
      <c r="S248" s="16">
        <v>0</v>
      </c>
      <c r="T248" s="12">
        <v>58</v>
      </c>
      <c r="U248" s="12" t="s">
        <v>60</v>
      </c>
      <c r="W248" s="10" t="str">
        <f t="shared" si="11"/>
        <v>&lt;tr&gt;&lt;td&gt;Ankit Raturi&lt;/td&gt;&lt;td&gt;DCI&lt;/td&gt;&lt;td&gt;10&lt;/td&gt;&lt;td&gt;9&lt;/td&gt;&lt;td&gt;0.900&lt;/td&gt;&lt;td&gt;4&lt;/td&gt;&lt;td&gt;12&lt;/td&gt;&lt;td&gt;0.333&lt;/td&gt;&lt;td&gt;1&lt;/td&gt;&lt;td&gt;4&lt;/td&gt;&lt;td&gt;0.250&lt;/td&gt;&lt;td&gt;0&lt;/td&gt;&lt;td&gt;2&lt;/td&gt;&lt;td&gt;0.000&lt;/td&gt;&lt;td&gt;3&lt;/td&gt;&lt;td&gt;9&lt;/td&gt;&lt;td&gt;12&lt;/td&gt;&lt;td&gt;1.200&lt;/td&gt;&lt;td&gt;5&lt;/td&gt;&lt;td&gt;0.500&lt;/td&gt;&lt;td&gt;5&lt;/td&gt;&lt;td&gt;0.500&lt;/td&gt;&lt;td&gt;0&lt;/td&gt;&lt;td&gt;0.000&lt;/td&gt;&lt;/tr&gt;</v>
      </c>
    </row>
    <row r="249" spans="1:23" x14ac:dyDescent="0.25">
      <c r="A249" s="10">
        <v>8</v>
      </c>
      <c r="B249" s="12" t="s">
        <v>311</v>
      </c>
      <c r="C249" s="12">
        <v>8</v>
      </c>
      <c r="D249" s="12">
        <v>4</v>
      </c>
      <c r="E249" s="12">
        <v>14</v>
      </c>
      <c r="F249" s="12">
        <v>1</v>
      </c>
      <c r="G249" s="12">
        <v>5</v>
      </c>
      <c r="H249" s="12">
        <v>0</v>
      </c>
      <c r="I249" s="12">
        <v>0</v>
      </c>
      <c r="J249" s="16">
        <f t="shared" si="9"/>
        <v>9</v>
      </c>
      <c r="K249" s="12">
        <v>2</v>
      </c>
      <c r="L249" s="12">
        <v>5</v>
      </c>
      <c r="M249" s="16">
        <f t="shared" si="10"/>
        <v>7</v>
      </c>
      <c r="N249" s="12">
        <v>11</v>
      </c>
      <c r="O249" s="12">
        <v>2</v>
      </c>
      <c r="P249" s="12">
        <v>7</v>
      </c>
      <c r="Q249" s="12">
        <v>0</v>
      </c>
      <c r="R249" s="12">
        <v>4</v>
      </c>
      <c r="S249" s="16">
        <v>0</v>
      </c>
      <c r="T249" s="12">
        <v>51</v>
      </c>
      <c r="U249" s="12" t="s">
        <v>74</v>
      </c>
      <c r="W249" s="10" t="str">
        <f t="shared" si="11"/>
        <v>&lt;tr&gt;&lt;td&gt;William Nulian&lt;/td&gt;&lt;td&gt;OPHS&lt;/td&gt;&lt;td&gt;8&lt;/td&gt;&lt;td&gt;9&lt;/td&gt;&lt;td&gt;1.125&lt;/td&gt;&lt;td&gt;4&lt;/td&gt;&lt;td&gt;14&lt;/td&gt;&lt;td&gt;0.286&lt;/td&gt;&lt;td&gt;1&lt;/td&gt;&lt;td&gt;5&lt;/td&gt;&lt;td&gt;0.200&lt;/td&gt;&lt;td&gt;0&lt;/td&gt;&lt;td&gt;0&lt;/td&gt;&lt;td&gt;0.000&lt;/td&gt;&lt;td&gt;2&lt;/td&gt;&lt;td&gt;5&lt;/td&gt;&lt;td&gt;7&lt;/td&gt;&lt;td&gt;0.875&lt;/td&gt;&lt;td&gt;2&lt;/td&gt;&lt;td&gt;0.250&lt;/td&gt;&lt;td&gt;4&lt;/td&gt;&lt;td&gt;0.500&lt;/td&gt;&lt;td&gt;0&lt;/td&gt;&lt;td&gt;0.000&lt;/td&gt;&lt;/tr&gt;</v>
      </c>
    </row>
    <row r="250" spans="1:23" x14ac:dyDescent="0.25">
      <c r="A250" s="10">
        <v>7</v>
      </c>
      <c r="B250" s="12" t="s">
        <v>495</v>
      </c>
      <c r="C250" s="12">
        <v>7</v>
      </c>
      <c r="D250" s="12">
        <v>3</v>
      </c>
      <c r="E250" s="12">
        <v>15</v>
      </c>
      <c r="F250" s="12">
        <v>0</v>
      </c>
      <c r="G250" s="12">
        <v>1</v>
      </c>
      <c r="H250" s="12">
        <v>3</v>
      </c>
      <c r="I250" s="12">
        <v>4</v>
      </c>
      <c r="J250" s="16">
        <f t="shared" si="9"/>
        <v>9</v>
      </c>
      <c r="K250" s="12">
        <v>2</v>
      </c>
      <c r="L250" s="12">
        <v>6</v>
      </c>
      <c r="M250" s="16">
        <f t="shared" si="10"/>
        <v>8</v>
      </c>
      <c r="N250" s="12">
        <v>12</v>
      </c>
      <c r="O250" s="12">
        <v>0</v>
      </c>
      <c r="P250" s="12">
        <v>8</v>
      </c>
      <c r="Q250" s="12">
        <v>1</v>
      </c>
      <c r="R250" s="12">
        <v>4</v>
      </c>
      <c r="S250" s="16">
        <v>0</v>
      </c>
      <c r="T250" s="12">
        <v>78</v>
      </c>
      <c r="U250" s="12" t="s">
        <v>52</v>
      </c>
      <c r="W250" s="10" t="str">
        <f t="shared" si="11"/>
        <v>&lt;tr&gt;&lt;td&gt;Evan Krausher&lt;/td&gt;&lt;td&gt;REC&lt;/td&gt;&lt;td&gt;7&lt;/td&gt;&lt;td&gt;9&lt;/td&gt;&lt;td&gt;1.286&lt;/td&gt;&lt;td&gt;3&lt;/td&gt;&lt;td&gt;15&lt;/td&gt;&lt;td&gt;0.200&lt;/td&gt;&lt;td&gt;0&lt;/td&gt;&lt;td&gt;1&lt;/td&gt;&lt;td&gt;0.000&lt;/td&gt;&lt;td&gt;3&lt;/td&gt;&lt;td&gt;4&lt;/td&gt;&lt;td&gt;0.750&lt;/td&gt;&lt;td&gt;2&lt;/td&gt;&lt;td&gt;6&lt;/td&gt;&lt;td&gt;8&lt;/td&gt;&lt;td&gt;1.143&lt;/td&gt;&lt;td&gt;0&lt;/td&gt;&lt;td&gt;0.000&lt;/td&gt;&lt;td&gt;4&lt;/td&gt;&lt;td&gt;0.571&lt;/td&gt;&lt;td&gt;1&lt;/td&gt;&lt;td&gt;0.143&lt;/td&gt;&lt;/tr&gt;</v>
      </c>
    </row>
    <row r="251" spans="1:23" x14ac:dyDescent="0.25">
      <c r="A251" s="10">
        <v>10</v>
      </c>
      <c r="B251" s="12" t="s">
        <v>367</v>
      </c>
      <c r="C251" s="12">
        <v>6</v>
      </c>
      <c r="D251" s="12">
        <v>4</v>
      </c>
      <c r="E251" s="12">
        <v>17</v>
      </c>
      <c r="F251" s="12">
        <v>1</v>
      </c>
      <c r="G251" s="12">
        <v>8</v>
      </c>
      <c r="H251" s="12">
        <v>0</v>
      </c>
      <c r="I251" s="12">
        <v>2</v>
      </c>
      <c r="J251" s="16">
        <f t="shared" si="9"/>
        <v>9</v>
      </c>
      <c r="K251" s="12">
        <v>3</v>
      </c>
      <c r="L251" s="12">
        <v>3</v>
      </c>
      <c r="M251" s="16">
        <f t="shared" si="10"/>
        <v>6</v>
      </c>
      <c r="N251" s="12">
        <v>2</v>
      </c>
      <c r="O251" s="12">
        <v>1</v>
      </c>
      <c r="P251" s="12">
        <v>10</v>
      </c>
      <c r="Q251" s="12">
        <v>0</v>
      </c>
      <c r="R251" s="12">
        <v>1</v>
      </c>
      <c r="S251" s="16">
        <v>0</v>
      </c>
      <c r="T251" s="12">
        <v>44</v>
      </c>
      <c r="U251" s="12" t="s">
        <v>100</v>
      </c>
      <c r="W251" s="10" t="str">
        <f t="shared" si="11"/>
        <v>&lt;tr&gt;&lt;td&gt;Nathan Williamson&lt;/td&gt;&lt;td&gt;CPRS&lt;/td&gt;&lt;td&gt;6&lt;/td&gt;&lt;td&gt;9&lt;/td&gt;&lt;td&gt;1.500&lt;/td&gt;&lt;td&gt;4&lt;/td&gt;&lt;td&gt;17&lt;/td&gt;&lt;td&gt;0.235&lt;/td&gt;&lt;td&gt;1&lt;/td&gt;&lt;td&gt;8&lt;/td&gt;&lt;td&gt;0.125&lt;/td&gt;&lt;td&gt;0&lt;/td&gt;&lt;td&gt;2&lt;/td&gt;&lt;td&gt;0.000&lt;/td&gt;&lt;td&gt;3&lt;/td&gt;&lt;td&gt;3&lt;/td&gt;&lt;td&gt;6&lt;/td&gt;&lt;td&gt;1.000&lt;/td&gt;&lt;td&gt;1&lt;/td&gt;&lt;td&gt;0.167&lt;/td&gt;&lt;td&gt;1&lt;/td&gt;&lt;td&gt;0.167&lt;/td&gt;&lt;td&gt;0&lt;/td&gt;&lt;td&gt;0.000&lt;/td&gt;&lt;/tr&gt;</v>
      </c>
    </row>
    <row r="252" spans="1:23" x14ac:dyDescent="0.25">
      <c r="A252" s="10">
        <v>44</v>
      </c>
      <c r="B252" s="12" t="s">
        <v>504</v>
      </c>
      <c r="C252" s="12">
        <v>6</v>
      </c>
      <c r="D252" s="12">
        <v>4</v>
      </c>
      <c r="E252" s="12">
        <v>8</v>
      </c>
      <c r="F252" s="12">
        <v>1</v>
      </c>
      <c r="G252" s="12">
        <v>2</v>
      </c>
      <c r="H252" s="12">
        <v>0</v>
      </c>
      <c r="I252" s="12">
        <v>0</v>
      </c>
      <c r="J252" s="16">
        <f t="shared" si="9"/>
        <v>9</v>
      </c>
      <c r="K252" s="12">
        <v>3</v>
      </c>
      <c r="L252" s="12">
        <v>3</v>
      </c>
      <c r="M252" s="16">
        <f t="shared" si="10"/>
        <v>6</v>
      </c>
      <c r="N252" s="12">
        <v>1</v>
      </c>
      <c r="O252" s="12">
        <v>3</v>
      </c>
      <c r="P252" s="12">
        <v>7</v>
      </c>
      <c r="Q252" s="12">
        <v>0</v>
      </c>
      <c r="R252" s="12">
        <v>0</v>
      </c>
      <c r="S252" s="16">
        <v>0</v>
      </c>
      <c r="T252" s="12">
        <v>45</v>
      </c>
      <c r="U252" s="12" t="s">
        <v>52</v>
      </c>
      <c r="W252" s="10" t="str">
        <f t="shared" si="11"/>
        <v>&lt;tr&gt;&lt;td&gt;Kyle Berzuk&lt;/td&gt;&lt;td&gt;REC&lt;/td&gt;&lt;td&gt;6&lt;/td&gt;&lt;td&gt;9&lt;/td&gt;&lt;td&gt;1.500&lt;/td&gt;&lt;td&gt;4&lt;/td&gt;&lt;td&gt;8&lt;/td&gt;&lt;td&gt;0.500&lt;/td&gt;&lt;td&gt;1&lt;/td&gt;&lt;td&gt;2&lt;/td&gt;&lt;td&gt;0.500&lt;/td&gt;&lt;td&gt;0&lt;/td&gt;&lt;td&gt;0&lt;/td&gt;&lt;td&gt;0.000&lt;/td&gt;&lt;td&gt;3&lt;/td&gt;&lt;td&gt;3&lt;/td&gt;&lt;td&gt;6&lt;/td&gt;&lt;td&gt;1.000&lt;/td&gt;&lt;td&gt;3&lt;/td&gt;&lt;td&gt;0.500&lt;/td&gt;&lt;td&gt;0&lt;/td&gt;&lt;td&gt;0.000&lt;/td&gt;&lt;td&gt;0&lt;/td&gt;&lt;td&gt;0.000&lt;/td&gt;&lt;/tr&gt;</v>
      </c>
    </row>
    <row r="253" spans="1:23" x14ac:dyDescent="0.25">
      <c r="A253" s="10">
        <v>12</v>
      </c>
      <c r="B253" s="12" t="s">
        <v>424</v>
      </c>
      <c r="C253" s="12">
        <v>5</v>
      </c>
      <c r="D253" s="12">
        <v>3</v>
      </c>
      <c r="E253" s="12">
        <v>12</v>
      </c>
      <c r="F253" s="12">
        <v>0</v>
      </c>
      <c r="G253" s="12">
        <v>2</v>
      </c>
      <c r="H253" s="12">
        <v>3</v>
      </c>
      <c r="I253" s="12">
        <v>4</v>
      </c>
      <c r="J253" s="16">
        <f t="shared" si="9"/>
        <v>9</v>
      </c>
      <c r="K253" s="12">
        <v>5</v>
      </c>
      <c r="L253" s="12">
        <v>3</v>
      </c>
      <c r="M253" s="16">
        <f t="shared" si="10"/>
        <v>8</v>
      </c>
      <c r="N253" s="12">
        <v>1</v>
      </c>
      <c r="O253" s="12">
        <v>1</v>
      </c>
      <c r="P253" s="12">
        <v>9</v>
      </c>
      <c r="Q253" s="12">
        <v>0</v>
      </c>
      <c r="R253" s="12">
        <v>1</v>
      </c>
      <c r="S253" s="16">
        <v>0</v>
      </c>
      <c r="T253" s="12">
        <v>45</v>
      </c>
      <c r="U253" s="12" t="s">
        <v>66</v>
      </c>
      <c r="W253" s="10" t="str">
        <f t="shared" si="11"/>
        <v>&lt;tr&gt;&lt;td&gt;Thomas Ware&lt;/td&gt;&lt;td&gt;SRSS&lt;/td&gt;&lt;td&gt;5&lt;/td&gt;&lt;td&gt;9&lt;/td&gt;&lt;td&gt;1.800&lt;/td&gt;&lt;td&gt;3&lt;/td&gt;&lt;td&gt;12&lt;/td&gt;&lt;td&gt;0.250&lt;/td&gt;&lt;td&gt;0&lt;/td&gt;&lt;td&gt;2&lt;/td&gt;&lt;td&gt;0.000&lt;/td&gt;&lt;td&gt;3&lt;/td&gt;&lt;td&gt;4&lt;/td&gt;&lt;td&gt;0.750&lt;/td&gt;&lt;td&gt;5&lt;/td&gt;&lt;td&gt;3&lt;/td&gt;&lt;td&gt;8&lt;/td&gt;&lt;td&gt;1.600&lt;/td&gt;&lt;td&gt;1&lt;/td&gt;&lt;td&gt;0.200&lt;/td&gt;&lt;td&gt;1&lt;/td&gt;&lt;td&gt;0.200&lt;/td&gt;&lt;td&gt;0&lt;/td&gt;&lt;td&gt;0.000&lt;/td&gt;&lt;/tr&gt;</v>
      </c>
    </row>
    <row r="254" spans="1:23" x14ac:dyDescent="0.25">
      <c r="A254" s="10">
        <v>52</v>
      </c>
      <c r="B254" s="12" t="s">
        <v>791</v>
      </c>
      <c r="C254" s="12">
        <v>5</v>
      </c>
      <c r="D254" s="12">
        <v>4</v>
      </c>
      <c r="E254" s="12">
        <v>11</v>
      </c>
      <c r="F254" s="12">
        <v>0</v>
      </c>
      <c r="G254" s="12">
        <v>0</v>
      </c>
      <c r="H254" s="12">
        <v>1</v>
      </c>
      <c r="I254" s="12">
        <v>4</v>
      </c>
      <c r="J254" s="16">
        <f t="shared" si="9"/>
        <v>9</v>
      </c>
      <c r="K254" s="12">
        <v>2</v>
      </c>
      <c r="L254" s="12">
        <v>4</v>
      </c>
      <c r="M254" s="16">
        <f t="shared" si="10"/>
        <v>6</v>
      </c>
      <c r="N254" s="12">
        <v>3</v>
      </c>
      <c r="O254" s="12">
        <v>0</v>
      </c>
      <c r="P254" s="12">
        <v>3</v>
      </c>
      <c r="Q254" s="12">
        <v>1</v>
      </c>
      <c r="R254" s="12">
        <v>0</v>
      </c>
      <c r="S254" s="16">
        <v>0</v>
      </c>
      <c r="T254" s="12">
        <v>47</v>
      </c>
      <c r="U254" s="12" t="s">
        <v>7</v>
      </c>
      <c r="W254" s="10" t="str">
        <f t="shared" si="11"/>
        <v>&lt;tr&gt;&lt;td&gt;Willem Labun&lt;/td&gt;&lt;td&gt;MBCI&lt;/td&gt;&lt;td&gt;5&lt;/td&gt;&lt;td&gt;9&lt;/td&gt;&lt;td&gt;1.800&lt;/td&gt;&lt;td&gt;4&lt;/td&gt;&lt;td&gt;11&lt;/td&gt;&lt;td&gt;0.364&lt;/td&gt;&lt;td&gt;0&lt;/td&gt;&lt;td&gt;0&lt;/td&gt;&lt;td&gt;0.000&lt;/td&gt;&lt;td&gt;1&lt;/td&gt;&lt;td&gt;4&lt;/td&gt;&lt;td&gt;0.250&lt;/td&gt;&lt;td&gt;2&lt;/td&gt;&lt;td&gt;4&lt;/td&gt;&lt;td&gt;6&lt;/td&gt;&lt;td&gt;1.200&lt;/td&gt;&lt;td&gt;0&lt;/td&gt;&lt;td&gt;0.000&lt;/td&gt;&lt;td&gt;0&lt;/td&gt;&lt;td&gt;0.000&lt;/td&gt;&lt;td&gt;1&lt;/td&gt;&lt;td&gt;0.200&lt;/td&gt;&lt;/tr&gt;</v>
      </c>
    </row>
    <row r="255" spans="1:23" x14ac:dyDescent="0.25">
      <c r="A255" s="10">
        <v>32</v>
      </c>
      <c r="B255" s="12" t="s">
        <v>343</v>
      </c>
      <c r="C255" s="12">
        <v>5</v>
      </c>
      <c r="D255" s="12">
        <v>3</v>
      </c>
      <c r="E255" s="12">
        <v>10</v>
      </c>
      <c r="F255" s="12">
        <v>0</v>
      </c>
      <c r="G255" s="12">
        <v>0</v>
      </c>
      <c r="H255" s="12">
        <v>3</v>
      </c>
      <c r="I255" s="12">
        <v>5</v>
      </c>
      <c r="J255" s="16">
        <f t="shared" si="9"/>
        <v>9</v>
      </c>
      <c r="K255" s="12">
        <v>8</v>
      </c>
      <c r="L255" s="12">
        <v>5</v>
      </c>
      <c r="M255" s="16">
        <f t="shared" si="10"/>
        <v>13</v>
      </c>
      <c r="N255" s="12">
        <v>9</v>
      </c>
      <c r="O255" s="12">
        <v>1</v>
      </c>
      <c r="P255" s="12">
        <v>1</v>
      </c>
      <c r="Q255" s="12">
        <v>0</v>
      </c>
      <c r="R255" s="12">
        <v>0</v>
      </c>
      <c r="S255" s="16">
        <v>0</v>
      </c>
      <c r="T255" s="12">
        <v>57</v>
      </c>
      <c r="U255" s="12" t="s">
        <v>92</v>
      </c>
      <c r="W255" s="10" t="str">
        <f t="shared" si="11"/>
        <v>&lt;tr&gt;&lt;td&gt;Alex Martin&lt;/td&gt;&lt;td&gt;SJHS&lt;/td&gt;&lt;td&gt;5&lt;/td&gt;&lt;td&gt;9&lt;/td&gt;&lt;td&gt;1.800&lt;/td&gt;&lt;td&gt;3&lt;/td&gt;&lt;td&gt;10&lt;/td&gt;&lt;td&gt;0.300&lt;/td&gt;&lt;td&gt;0&lt;/td&gt;&lt;td&gt;0&lt;/td&gt;&lt;td&gt;0.000&lt;/td&gt;&lt;td&gt;3&lt;/td&gt;&lt;td&gt;5&lt;/td&gt;&lt;td&gt;0.600&lt;/td&gt;&lt;td&gt;8&lt;/td&gt;&lt;td&gt;5&lt;/td&gt;&lt;td&gt;13&lt;/td&gt;&lt;td&gt;2.600&lt;/td&gt;&lt;td&gt;1&lt;/td&gt;&lt;td&gt;0.200&lt;/td&gt;&lt;td&gt;0&lt;/td&gt;&lt;td&gt;0.000&lt;/td&gt;&lt;td&gt;0&lt;/td&gt;&lt;td&gt;0.000&lt;/td&gt;&lt;/tr&gt;</v>
      </c>
    </row>
    <row r="256" spans="1:23" x14ac:dyDescent="0.25">
      <c r="A256" s="10">
        <v>7</v>
      </c>
      <c r="B256" s="12" t="s">
        <v>474</v>
      </c>
      <c r="C256" s="12">
        <v>5</v>
      </c>
      <c r="D256" s="12">
        <v>4</v>
      </c>
      <c r="E256" s="12">
        <v>17</v>
      </c>
      <c r="F256" s="12">
        <v>0</v>
      </c>
      <c r="G256" s="12">
        <v>2</v>
      </c>
      <c r="H256" s="12">
        <v>1</v>
      </c>
      <c r="I256" s="12">
        <v>4</v>
      </c>
      <c r="J256" s="16">
        <f t="shared" si="9"/>
        <v>9</v>
      </c>
      <c r="K256" s="12">
        <v>9</v>
      </c>
      <c r="L256" s="12">
        <v>9</v>
      </c>
      <c r="M256" s="16">
        <f t="shared" si="10"/>
        <v>18</v>
      </c>
      <c r="N256" s="12">
        <v>18</v>
      </c>
      <c r="O256" s="12">
        <v>0</v>
      </c>
      <c r="P256" s="12">
        <v>9</v>
      </c>
      <c r="Q256" s="12">
        <v>2</v>
      </c>
      <c r="R256" s="12">
        <v>4</v>
      </c>
      <c r="S256" s="16">
        <v>0</v>
      </c>
      <c r="T256" s="12">
        <v>80</v>
      </c>
      <c r="U256" s="12" t="s">
        <v>64</v>
      </c>
      <c r="W256" s="10" t="str">
        <f t="shared" si="11"/>
        <v>&lt;tr&gt;&lt;td&gt;Alex Guertin&lt;/td&gt;&lt;td&gt;JHB&lt;/td&gt;&lt;td&gt;5&lt;/td&gt;&lt;td&gt;9&lt;/td&gt;&lt;td&gt;1.800&lt;/td&gt;&lt;td&gt;4&lt;/td&gt;&lt;td&gt;17&lt;/td&gt;&lt;td&gt;0.235&lt;/td&gt;&lt;td&gt;0&lt;/td&gt;&lt;td&gt;2&lt;/td&gt;&lt;td&gt;0.000&lt;/td&gt;&lt;td&gt;1&lt;/td&gt;&lt;td&gt;4&lt;/td&gt;&lt;td&gt;0.250&lt;/td&gt;&lt;td&gt;9&lt;/td&gt;&lt;td&gt;9&lt;/td&gt;&lt;td&gt;18&lt;/td&gt;&lt;td&gt;3.600&lt;/td&gt;&lt;td&gt;0&lt;/td&gt;&lt;td&gt;0.000&lt;/td&gt;&lt;td&gt;4&lt;/td&gt;&lt;td&gt;0.800&lt;/td&gt;&lt;td&gt;2&lt;/td&gt;&lt;td&gt;0.400&lt;/td&gt;&lt;/tr&gt;</v>
      </c>
    </row>
    <row r="257" spans="1:23" x14ac:dyDescent="0.25">
      <c r="A257" s="10">
        <v>1</v>
      </c>
      <c r="B257" s="12" t="s">
        <v>385</v>
      </c>
      <c r="C257" s="12">
        <v>5</v>
      </c>
      <c r="D257" s="12">
        <v>4</v>
      </c>
      <c r="E257" s="12">
        <v>15</v>
      </c>
      <c r="F257" s="12">
        <v>1</v>
      </c>
      <c r="G257" s="12">
        <v>5</v>
      </c>
      <c r="H257" s="12">
        <v>0</v>
      </c>
      <c r="I257" s="12">
        <v>0</v>
      </c>
      <c r="J257" s="16">
        <f t="shared" si="9"/>
        <v>9</v>
      </c>
      <c r="K257" s="12">
        <v>5</v>
      </c>
      <c r="L257" s="12">
        <v>8</v>
      </c>
      <c r="M257" s="16">
        <f t="shared" si="10"/>
        <v>13</v>
      </c>
      <c r="N257" s="12">
        <v>8</v>
      </c>
      <c r="O257" s="12">
        <v>4</v>
      </c>
      <c r="P257" s="12">
        <v>18</v>
      </c>
      <c r="Q257" s="12">
        <v>0</v>
      </c>
      <c r="R257" s="12">
        <v>7</v>
      </c>
      <c r="S257" s="16">
        <v>0</v>
      </c>
      <c r="T257" s="12">
        <v>81</v>
      </c>
      <c r="U257" s="12" t="s">
        <v>164</v>
      </c>
      <c r="W257" s="10" t="str">
        <f t="shared" si="11"/>
        <v>&lt;tr&gt;&lt;td&gt;Bobby Matuszewski&lt;/td&gt;&lt;td&gt;GVC&lt;/td&gt;&lt;td&gt;5&lt;/td&gt;&lt;td&gt;9&lt;/td&gt;&lt;td&gt;1.800&lt;/td&gt;&lt;td&gt;4&lt;/td&gt;&lt;td&gt;15&lt;/td&gt;&lt;td&gt;0.267&lt;/td&gt;&lt;td&gt;1&lt;/td&gt;&lt;td&gt;5&lt;/td&gt;&lt;td&gt;0.200&lt;/td&gt;&lt;td&gt;0&lt;/td&gt;&lt;td&gt;0&lt;/td&gt;&lt;td&gt;0.000&lt;/td&gt;&lt;td&gt;5&lt;/td&gt;&lt;td&gt;8&lt;/td&gt;&lt;td&gt;13&lt;/td&gt;&lt;td&gt;2.600&lt;/td&gt;&lt;td&gt;4&lt;/td&gt;&lt;td&gt;0.800&lt;/td&gt;&lt;td&gt;7&lt;/td&gt;&lt;td&gt;1.400&lt;/td&gt;&lt;td&gt;0&lt;/td&gt;&lt;td&gt;0.000&lt;/td&gt;&lt;/tr&gt;</v>
      </c>
    </row>
    <row r="258" spans="1:23" x14ac:dyDescent="0.25">
      <c r="A258" s="10">
        <v>11</v>
      </c>
      <c r="B258" s="12" t="s">
        <v>423</v>
      </c>
      <c r="C258" s="12">
        <v>4</v>
      </c>
      <c r="D258" s="12">
        <v>3</v>
      </c>
      <c r="E258" s="12">
        <v>7</v>
      </c>
      <c r="F258" s="12">
        <v>0</v>
      </c>
      <c r="G258" s="12">
        <v>0</v>
      </c>
      <c r="H258" s="12">
        <v>3</v>
      </c>
      <c r="I258" s="12">
        <v>6</v>
      </c>
      <c r="J258" s="16">
        <f t="shared" ref="J258:J321" si="12">D258*2+F258+H258</f>
        <v>9</v>
      </c>
      <c r="K258" s="12">
        <v>2</v>
      </c>
      <c r="L258" s="12">
        <v>2</v>
      </c>
      <c r="M258" s="16">
        <f t="shared" ref="M258:M321" si="13">K258+L258</f>
        <v>4</v>
      </c>
      <c r="N258" s="12">
        <v>0</v>
      </c>
      <c r="O258" s="12">
        <v>1</v>
      </c>
      <c r="P258" s="12">
        <v>6</v>
      </c>
      <c r="Q258" s="12">
        <v>0</v>
      </c>
      <c r="R258" s="12">
        <v>2</v>
      </c>
      <c r="S258" s="16">
        <v>0</v>
      </c>
      <c r="T258" s="12">
        <v>45</v>
      </c>
      <c r="U258" s="12" t="s">
        <v>66</v>
      </c>
      <c r="W258" s="10" t="str">
        <f t="shared" si="11"/>
        <v>&lt;tr&gt;&lt;td&gt;Jaden Martens&lt;/td&gt;&lt;td&gt;SRSS&lt;/td&gt;&lt;td&gt;4&lt;/td&gt;&lt;td&gt;9&lt;/td&gt;&lt;td&gt;2.250&lt;/td&gt;&lt;td&gt;3&lt;/td&gt;&lt;td&gt;7&lt;/td&gt;&lt;td&gt;0.429&lt;/td&gt;&lt;td&gt;0&lt;/td&gt;&lt;td&gt;0&lt;/td&gt;&lt;td&gt;0.000&lt;/td&gt;&lt;td&gt;3&lt;/td&gt;&lt;td&gt;6&lt;/td&gt;&lt;td&gt;0.500&lt;/td&gt;&lt;td&gt;2&lt;/td&gt;&lt;td&gt;2&lt;/td&gt;&lt;td&gt;4&lt;/td&gt;&lt;td&gt;1.000&lt;/td&gt;&lt;td&gt;1&lt;/td&gt;&lt;td&gt;0.250&lt;/td&gt;&lt;td&gt;2&lt;/td&gt;&lt;td&gt;0.500&lt;/td&gt;&lt;td&gt;0&lt;/td&gt;&lt;td&gt;0.000&lt;/td&gt;&lt;/tr&gt;</v>
      </c>
    </row>
    <row r="259" spans="1:23" x14ac:dyDescent="0.25">
      <c r="A259" s="10">
        <v>3</v>
      </c>
      <c r="B259" s="12" t="s">
        <v>485</v>
      </c>
      <c r="C259" s="12">
        <v>4</v>
      </c>
      <c r="D259" s="12">
        <v>3</v>
      </c>
      <c r="E259" s="12">
        <v>19</v>
      </c>
      <c r="F259" s="12">
        <v>1</v>
      </c>
      <c r="G259" s="12">
        <v>5</v>
      </c>
      <c r="H259" s="12">
        <v>2</v>
      </c>
      <c r="I259" s="12">
        <v>2</v>
      </c>
      <c r="J259" s="16">
        <f t="shared" si="12"/>
        <v>9</v>
      </c>
      <c r="K259" s="12">
        <v>1</v>
      </c>
      <c r="L259" s="12">
        <v>10</v>
      </c>
      <c r="M259" s="16">
        <f t="shared" si="13"/>
        <v>11</v>
      </c>
      <c r="N259" s="12">
        <v>5</v>
      </c>
      <c r="O259" s="12">
        <v>9</v>
      </c>
      <c r="P259" s="12">
        <v>5</v>
      </c>
      <c r="Q259" s="12">
        <v>0</v>
      </c>
      <c r="R259" s="12">
        <v>5</v>
      </c>
      <c r="S259" s="16">
        <v>0</v>
      </c>
      <c r="T259" s="12">
        <v>86</v>
      </c>
      <c r="U259" s="12" t="s">
        <v>48</v>
      </c>
      <c r="W259" s="10" t="str">
        <f t="shared" si="11"/>
        <v>&lt;tr&gt;&lt;td&gt;Manny Stewart&lt;/td&gt;&lt;td&gt;MMC&lt;/td&gt;&lt;td&gt;4&lt;/td&gt;&lt;td&gt;9&lt;/td&gt;&lt;td&gt;2.250&lt;/td&gt;&lt;td&gt;3&lt;/td&gt;&lt;td&gt;19&lt;/td&gt;&lt;td&gt;0.158&lt;/td&gt;&lt;td&gt;1&lt;/td&gt;&lt;td&gt;5&lt;/td&gt;&lt;td&gt;0.200&lt;/td&gt;&lt;td&gt;2&lt;/td&gt;&lt;td&gt;2&lt;/td&gt;&lt;td&gt;1.000&lt;/td&gt;&lt;td&gt;1&lt;/td&gt;&lt;td&gt;10&lt;/td&gt;&lt;td&gt;11&lt;/td&gt;&lt;td&gt;2.750&lt;/td&gt;&lt;td&gt;9&lt;/td&gt;&lt;td&gt;2.250&lt;/td&gt;&lt;td&gt;5&lt;/td&gt;&lt;td&gt;1.250&lt;/td&gt;&lt;td&gt;0&lt;/td&gt;&lt;td&gt;0.000&lt;/td&gt;&lt;/tr&gt;</v>
      </c>
    </row>
    <row r="260" spans="1:23" x14ac:dyDescent="0.25">
      <c r="A260" s="10">
        <v>4</v>
      </c>
      <c r="B260" s="12" t="s">
        <v>704</v>
      </c>
      <c r="C260" s="12">
        <v>3</v>
      </c>
      <c r="D260" s="12">
        <v>4</v>
      </c>
      <c r="E260" s="12">
        <v>10</v>
      </c>
      <c r="F260" s="12">
        <v>1</v>
      </c>
      <c r="G260" s="12">
        <v>2</v>
      </c>
      <c r="H260" s="12">
        <v>0</v>
      </c>
      <c r="I260" s="12">
        <v>0</v>
      </c>
      <c r="J260" s="16">
        <f t="shared" si="12"/>
        <v>9</v>
      </c>
      <c r="K260" s="12">
        <v>4</v>
      </c>
      <c r="L260" s="12">
        <v>5</v>
      </c>
      <c r="M260" s="16">
        <f t="shared" si="13"/>
        <v>9</v>
      </c>
      <c r="N260" s="12">
        <v>3</v>
      </c>
      <c r="O260" s="12">
        <v>13</v>
      </c>
      <c r="P260" s="12">
        <v>10</v>
      </c>
      <c r="Q260" s="12">
        <v>0</v>
      </c>
      <c r="R260" s="12">
        <v>6</v>
      </c>
      <c r="S260" s="16">
        <v>0</v>
      </c>
      <c r="T260" s="12">
        <v>70</v>
      </c>
      <c r="U260" s="12" t="s">
        <v>70</v>
      </c>
      <c r="W260" s="10" t="str">
        <f t="shared" si="11"/>
        <v>&lt;tr&gt;&lt;td&gt;Jason Quaiser&lt;/td&gt;&lt;td&gt;JTC&lt;/td&gt;&lt;td&gt;3&lt;/td&gt;&lt;td&gt;9&lt;/td&gt;&lt;td&gt;3.000&lt;/td&gt;&lt;td&gt;4&lt;/td&gt;&lt;td&gt;10&lt;/td&gt;&lt;td&gt;0.400&lt;/td&gt;&lt;td&gt;1&lt;/td&gt;&lt;td&gt;2&lt;/td&gt;&lt;td&gt;0.500&lt;/td&gt;&lt;td&gt;0&lt;/td&gt;&lt;td&gt;0&lt;/td&gt;&lt;td&gt;0.000&lt;/td&gt;&lt;td&gt;4&lt;/td&gt;&lt;td&gt;5&lt;/td&gt;&lt;td&gt;9&lt;/td&gt;&lt;td&gt;3.000&lt;/td&gt;&lt;td&gt;13&lt;/td&gt;&lt;td&gt;4.333&lt;/td&gt;&lt;td&gt;6&lt;/td&gt;&lt;td&gt;2.000&lt;/td&gt;&lt;td&gt;0&lt;/td&gt;&lt;td&gt;0.000&lt;/td&gt;&lt;/tr&gt;</v>
      </c>
    </row>
    <row r="261" spans="1:23" x14ac:dyDescent="0.25">
      <c r="A261" s="10">
        <v>27</v>
      </c>
      <c r="B261" s="12" t="s">
        <v>524</v>
      </c>
      <c r="C261" s="12">
        <v>7</v>
      </c>
      <c r="D261" s="12">
        <v>2</v>
      </c>
      <c r="E261" s="12">
        <v>5</v>
      </c>
      <c r="F261" s="12">
        <v>1</v>
      </c>
      <c r="G261" s="12">
        <v>2</v>
      </c>
      <c r="H261" s="12">
        <v>3</v>
      </c>
      <c r="I261" s="12">
        <v>4</v>
      </c>
      <c r="J261" s="16">
        <f t="shared" si="12"/>
        <v>8</v>
      </c>
      <c r="K261" s="12">
        <v>1</v>
      </c>
      <c r="L261" s="12">
        <v>5</v>
      </c>
      <c r="M261" s="16">
        <f t="shared" si="13"/>
        <v>6</v>
      </c>
      <c r="N261" s="12">
        <v>2</v>
      </c>
      <c r="O261" s="12">
        <v>0</v>
      </c>
      <c r="P261" s="12">
        <v>4</v>
      </c>
      <c r="Q261" s="12">
        <v>0</v>
      </c>
      <c r="R261" s="12">
        <v>0</v>
      </c>
      <c r="S261" s="16">
        <v>0</v>
      </c>
      <c r="T261" s="12">
        <v>23</v>
      </c>
      <c r="U261" s="12" t="s">
        <v>62</v>
      </c>
      <c r="W261" s="10" t="str">
        <f t="shared" si="11"/>
        <v>&lt;tr&gt;&lt;td&gt;David Zaffar&lt;/td&gt;&lt;td&gt;GCI&lt;/td&gt;&lt;td&gt;7&lt;/td&gt;&lt;td&gt;8&lt;/td&gt;&lt;td&gt;1.143&lt;/td&gt;&lt;td&gt;2&lt;/td&gt;&lt;td&gt;5&lt;/td&gt;&lt;td&gt;0.400&lt;/td&gt;&lt;td&gt;1&lt;/td&gt;&lt;td&gt;2&lt;/td&gt;&lt;td&gt;0.500&lt;/td&gt;&lt;td&gt;3&lt;/td&gt;&lt;td&gt;4&lt;/td&gt;&lt;td&gt;0.750&lt;/td&gt;&lt;td&gt;1&lt;/td&gt;&lt;td&gt;5&lt;/td&gt;&lt;td&gt;6&lt;/td&gt;&lt;td&gt;0.857&lt;/td&gt;&lt;td&gt;0&lt;/td&gt;&lt;td&gt;0.000&lt;/td&gt;&lt;td&gt;0&lt;/td&gt;&lt;td&gt;0.000&lt;/td&gt;&lt;td&gt;0&lt;/td&gt;&lt;td&gt;0.000&lt;/td&gt;&lt;/tr&gt;</v>
      </c>
    </row>
    <row r="262" spans="1:23" x14ac:dyDescent="0.25">
      <c r="A262" s="10">
        <v>6</v>
      </c>
      <c r="B262" s="12" t="s">
        <v>364</v>
      </c>
      <c r="C262" s="12">
        <v>6</v>
      </c>
      <c r="D262" s="12">
        <v>3</v>
      </c>
      <c r="E262" s="12">
        <v>18</v>
      </c>
      <c r="F262" s="12">
        <v>1</v>
      </c>
      <c r="G262" s="12">
        <v>6</v>
      </c>
      <c r="H262" s="12">
        <v>1</v>
      </c>
      <c r="I262" s="12">
        <v>4</v>
      </c>
      <c r="J262" s="16">
        <f t="shared" si="12"/>
        <v>8</v>
      </c>
      <c r="K262" s="12">
        <v>9</v>
      </c>
      <c r="L262" s="12">
        <v>9</v>
      </c>
      <c r="M262" s="16">
        <f t="shared" si="13"/>
        <v>18</v>
      </c>
      <c r="N262" s="12">
        <v>6</v>
      </c>
      <c r="O262" s="12">
        <v>5</v>
      </c>
      <c r="P262" s="12">
        <v>4</v>
      </c>
      <c r="Q262" s="12">
        <v>1</v>
      </c>
      <c r="R262" s="12">
        <v>7</v>
      </c>
      <c r="S262" s="16">
        <v>0</v>
      </c>
      <c r="T262" s="12">
        <v>58</v>
      </c>
      <c r="U262" s="12" t="s">
        <v>100</v>
      </c>
      <c r="W262" s="10" t="str">
        <f t="shared" si="11"/>
        <v>&lt;tr&gt;&lt;td&gt;David Sadler&lt;/td&gt;&lt;td&gt;CPRS&lt;/td&gt;&lt;td&gt;6&lt;/td&gt;&lt;td&gt;8&lt;/td&gt;&lt;td&gt;1.333&lt;/td&gt;&lt;td&gt;3&lt;/td&gt;&lt;td&gt;18&lt;/td&gt;&lt;td&gt;0.167&lt;/td&gt;&lt;td&gt;1&lt;/td&gt;&lt;td&gt;6&lt;/td&gt;&lt;td&gt;0.167&lt;/td&gt;&lt;td&gt;1&lt;/td&gt;&lt;td&gt;4&lt;/td&gt;&lt;td&gt;0.250&lt;/td&gt;&lt;td&gt;9&lt;/td&gt;&lt;td&gt;9&lt;/td&gt;&lt;td&gt;18&lt;/td&gt;&lt;td&gt;3.000&lt;/td&gt;&lt;td&gt;5&lt;/td&gt;&lt;td&gt;0.833&lt;/td&gt;&lt;td&gt;7&lt;/td&gt;&lt;td&gt;1.167&lt;/td&gt;&lt;td&gt;1&lt;/td&gt;&lt;td&gt;0.167&lt;/td&gt;&lt;/tr&gt;</v>
      </c>
    </row>
    <row r="263" spans="1:23" x14ac:dyDescent="0.25">
      <c r="A263" s="10">
        <v>25</v>
      </c>
      <c r="B263" s="12" t="s">
        <v>419</v>
      </c>
      <c r="C263" s="12">
        <v>6</v>
      </c>
      <c r="D263" s="12">
        <v>4</v>
      </c>
      <c r="E263" s="12">
        <v>14</v>
      </c>
      <c r="F263" s="12">
        <v>0</v>
      </c>
      <c r="G263" s="12">
        <v>6</v>
      </c>
      <c r="H263" s="12">
        <v>0</v>
      </c>
      <c r="I263" s="12">
        <v>2</v>
      </c>
      <c r="J263" s="16">
        <f t="shared" si="12"/>
        <v>8</v>
      </c>
      <c r="K263" s="12">
        <v>6</v>
      </c>
      <c r="L263" s="12">
        <v>9</v>
      </c>
      <c r="M263" s="16">
        <f t="shared" si="13"/>
        <v>15</v>
      </c>
      <c r="N263" s="12">
        <v>5</v>
      </c>
      <c r="O263" s="12">
        <v>7</v>
      </c>
      <c r="P263" s="12">
        <v>11</v>
      </c>
      <c r="Q263" s="12">
        <v>1</v>
      </c>
      <c r="R263" s="12">
        <v>5</v>
      </c>
      <c r="S263" s="16">
        <v>0</v>
      </c>
      <c r="T263" s="12">
        <v>65</v>
      </c>
      <c r="U263" s="12" t="s">
        <v>43</v>
      </c>
      <c r="W263" s="10" t="str">
        <f t="shared" si="11"/>
        <v>&lt;tr&gt;&lt;td&gt;Jerry Ezekwem&lt;/td&gt;&lt;td&gt;KEC&lt;/td&gt;&lt;td&gt;6&lt;/td&gt;&lt;td&gt;8&lt;/td&gt;&lt;td&gt;1.333&lt;/td&gt;&lt;td&gt;4&lt;/td&gt;&lt;td&gt;14&lt;/td&gt;&lt;td&gt;0.286&lt;/td&gt;&lt;td&gt;0&lt;/td&gt;&lt;td&gt;6&lt;/td&gt;&lt;td&gt;0.000&lt;/td&gt;&lt;td&gt;0&lt;/td&gt;&lt;td&gt;2&lt;/td&gt;&lt;td&gt;0.000&lt;/td&gt;&lt;td&gt;6&lt;/td&gt;&lt;td&gt;9&lt;/td&gt;&lt;td&gt;15&lt;/td&gt;&lt;td&gt;2.500&lt;/td&gt;&lt;td&gt;7&lt;/td&gt;&lt;td&gt;1.167&lt;/td&gt;&lt;td&gt;5&lt;/td&gt;&lt;td&gt;0.833&lt;/td&gt;&lt;td&gt;1&lt;/td&gt;&lt;td&gt;0.167&lt;/td&gt;&lt;/tr&gt;</v>
      </c>
    </row>
    <row r="264" spans="1:23" x14ac:dyDescent="0.25">
      <c r="A264" s="10">
        <v>24</v>
      </c>
      <c r="B264" s="12" t="s">
        <v>755</v>
      </c>
      <c r="C264" s="12">
        <v>5</v>
      </c>
      <c r="D264" s="12">
        <v>3</v>
      </c>
      <c r="E264" s="12">
        <v>8</v>
      </c>
      <c r="F264" s="12">
        <v>2</v>
      </c>
      <c r="G264" s="12">
        <v>3</v>
      </c>
      <c r="H264" s="12">
        <v>0</v>
      </c>
      <c r="I264" s="12">
        <v>0</v>
      </c>
      <c r="J264" s="16">
        <f t="shared" si="12"/>
        <v>8</v>
      </c>
      <c r="K264" s="12">
        <v>2</v>
      </c>
      <c r="L264" s="12">
        <v>8</v>
      </c>
      <c r="M264" s="16">
        <f t="shared" si="13"/>
        <v>10</v>
      </c>
      <c r="N264" s="12">
        <v>6</v>
      </c>
      <c r="O264" s="12">
        <v>2</v>
      </c>
      <c r="P264" s="12">
        <v>4</v>
      </c>
      <c r="Q264" s="12">
        <v>0</v>
      </c>
      <c r="R264" s="12">
        <v>5</v>
      </c>
      <c r="S264" s="16">
        <v>0</v>
      </c>
      <c r="T264" s="12">
        <v>43</v>
      </c>
      <c r="U264" s="12" t="s">
        <v>7</v>
      </c>
      <c r="W264" s="10" t="str">
        <f t="shared" si="11"/>
        <v>&lt;tr&gt;&lt;td&gt;Nic Chojczak&lt;/td&gt;&lt;td&gt;MBCI&lt;/td&gt;&lt;td&gt;5&lt;/td&gt;&lt;td&gt;8&lt;/td&gt;&lt;td&gt;1.600&lt;/td&gt;&lt;td&gt;3&lt;/td&gt;&lt;td&gt;8&lt;/td&gt;&lt;td&gt;0.375&lt;/td&gt;&lt;td&gt;2&lt;/td&gt;&lt;td&gt;3&lt;/td&gt;&lt;td&gt;0.667&lt;/td&gt;&lt;td&gt;0&lt;/td&gt;&lt;td&gt;0&lt;/td&gt;&lt;td&gt;0.000&lt;/td&gt;&lt;td&gt;2&lt;/td&gt;&lt;td&gt;8&lt;/td&gt;&lt;td&gt;10&lt;/td&gt;&lt;td&gt;2.000&lt;/td&gt;&lt;td&gt;2&lt;/td&gt;&lt;td&gt;0.400&lt;/td&gt;&lt;td&gt;5&lt;/td&gt;&lt;td&gt;1.000&lt;/td&gt;&lt;td&gt;0&lt;/td&gt;&lt;td&gt;0.000&lt;/td&gt;&lt;/tr&gt;</v>
      </c>
    </row>
    <row r="265" spans="1:23" x14ac:dyDescent="0.25">
      <c r="A265" s="10">
        <v>15</v>
      </c>
      <c r="B265" s="12" t="s">
        <v>427</v>
      </c>
      <c r="C265" s="12">
        <v>5</v>
      </c>
      <c r="D265" s="12">
        <v>4</v>
      </c>
      <c r="E265" s="12">
        <v>22</v>
      </c>
      <c r="F265" s="12">
        <v>0</v>
      </c>
      <c r="G265" s="12">
        <v>2</v>
      </c>
      <c r="H265" s="12">
        <v>0</v>
      </c>
      <c r="I265" s="12">
        <v>0</v>
      </c>
      <c r="J265" s="16">
        <f t="shared" si="12"/>
        <v>8</v>
      </c>
      <c r="K265" s="12">
        <v>6</v>
      </c>
      <c r="L265" s="12">
        <v>7</v>
      </c>
      <c r="M265" s="16">
        <f t="shared" si="13"/>
        <v>13</v>
      </c>
      <c r="N265" s="12">
        <v>5</v>
      </c>
      <c r="O265" s="12">
        <v>1</v>
      </c>
      <c r="P265" s="12">
        <v>4</v>
      </c>
      <c r="Q265" s="12">
        <v>0</v>
      </c>
      <c r="R265" s="12">
        <v>3</v>
      </c>
      <c r="S265" s="16">
        <v>0</v>
      </c>
      <c r="T265" s="12">
        <v>50</v>
      </c>
      <c r="U265" s="12" t="s">
        <v>66</v>
      </c>
      <c r="W265" s="10" t="str">
        <f t="shared" si="11"/>
        <v>&lt;tr&gt;&lt;td&gt;Jonas Neufeld&lt;/td&gt;&lt;td&gt;SRSS&lt;/td&gt;&lt;td&gt;5&lt;/td&gt;&lt;td&gt;8&lt;/td&gt;&lt;td&gt;1.600&lt;/td&gt;&lt;td&gt;4&lt;/td&gt;&lt;td&gt;22&lt;/td&gt;&lt;td&gt;0.182&lt;/td&gt;&lt;td&gt;0&lt;/td&gt;&lt;td&gt;2&lt;/td&gt;&lt;td&gt;0.000&lt;/td&gt;&lt;td&gt;0&lt;/td&gt;&lt;td&gt;0&lt;/td&gt;&lt;td&gt;0.000&lt;/td&gt;&lt;td&gt;6&lt;/td&gt;&lt;td&gt;7&lt;/td&gt;&lt;td&gt;13&lt;/td&gt;&lt;td&gt;2.600&lt;/td&gt;&lt;td&gt;1&lt;/td&gt;&lt;td&gt;0.200&lt;/td&gt;&lt;td&gt;3&lt;/td&gt;&lt;td&gt;0.600&lt;/td&gt;&lt;td&gt;0&lt;/td&gt;&lt;td&gt;0.000&lt;/td&gt;&lt;/tr&gt;</v>
      </c>
    </row>
    <row r="266" spans="1:23" x14ac:dyDescent="0.25">
      <c r="A266" s="10">
        <v>9</v>
      </c>
      <c r="B266" s="12" t="s">
        <v>735</v>
      </c>
      <c r="C266" s="12">
        <v>4</v>
      </c>
      <c r="D266" s="12">
        <v>2</v>
      </c>
      <c r="E266" s="12">
        <v>6</v>
      </c>
      <c r="F266" s="12">
        <v>1</v>
      </c>
      <c r="G266" s="12">
        <v>2</v>
      </c>
      <c r="H266" s="12">
        <v>3</v>
      </c>
      <c r="I266" s="12">
        <v>6</v>
      </c>
      <c r="J266" s="16">
        <f t="shared" si="12"/>
        <v>8</v>
      </c>
      <c r="K266" s="12">
        <v>2</v>
      </c>
      <c r="L266" s="12">
        <v>5</v>
      </c>
      <c r="M266" s="16">
        <f t="shared" si="13"/>
        <v>7</v>
      </c>
      <c r="N266" s="12">
        <v>8</v>
      </c>
      <c r="O266" s="12">
        <v>3</v>
      </c>
      <c r="P266" s="12">
        <v>4</v>
      </c>
      <c r="Q266" s="12">
        <v>0</v>
      </c>
      <c r="R266" s="12">
        <v>2</v>
      </c>
      <c r="S266" s="16">
        <v>0</v>
      </c>
      <c r="T266" s="12">
        <v>50</v>
      </c>
      <c r="U266" s="12" t="s">
        <v>96</v>
      </c>
      <c r="W266" s="10" t="str">
        <f t="shared" si="11"/>
        <v>&lt;tr&gt;&lt;td&gt;Jayden Bannerman&lt;/td&gt;&lt;td&gt;TVHS&lt;/td&gt;&lt;td&gt;4&lt;/td&gt;&lt;td&gt;8&lt;/td&gt;&lt;td&gt;2.000&lt;/td&gt;&lt;td&gt;2&lt;/td&gt;&lt;td&gt;6&lt;/td&gt;&lt;td&gt;0.333&lt;/td&gt;&lt;td&gt;1&lt;/td&gt;&lt;td&gt;2&lt;/td&gt;&lt;td&gt;0.500&lt;/td&gt;&lt;td&gt;3&lt;/td&gt;&lt;td&gt;6&lt;/td&gt;&lt;td&gt;0.500&lt;/td&gt;&lt;td&gt;2&lt;/td&gt;&lt;td&gt;5&lt;/td&gt;&lt;td&gt;7&lt;/td&gt;&lt;td&gt;1.750&lt;/td&gt;&lt;td&gt;3&lt;/td&gt;&lt;td&gt;0.750&lt;/td&gt;&lt;td&gt;2&lt;/td&gt;&lt;td&gt;0.500&lt;/td&gt;&lt;td&gt;0&lt;/td&gt;&lt;td&gt;0.000&lt;/td&gt;&lt;/tr&gt;</v>
      </c>
    </row>
    <row r="267" spans="1:23" x14ac:dyDescent="0.25">
      <c r="A267" s="10">
        <v>9</v>
      </c>
      <c r="B267" s="12" t="s">
        <v>753</v>
      </c>
      <c r="C267" s="12">
        <v>4</v>
      </c>
      <c r="D267" s="12">
        <v>3</v>
      </c>
      <c r="E267" s="12">
        <v>13</v>
      </c>
      <c r="F267" s="12">
        <v>1</v>
      </c>
      <c r="G267" s="12">
        <v>8</v>
      </c>
      <c r="H267" s="12">
        <v>1</v>
      </c>
      <c r="I267" s="12">
        <v>2</v>
      </c>
      <c r="J267" s="16">
        <f t="shared" si="12"/>
        <v>8</v>
      </c>
      <c r="K267" s="12">
        <v>3</v>
      </c>
      <c r="L267" s="12">
        <v>6</v>
      </c>
      <c r="M267" s="16">
        <f t="shared" si="13"/>
        <v>9</v>
      </c>
      <c r="N267" s="12">
        <v>6</v>
      </c>
      <c r="O267" s="12">
        <v>1</v>
      </c>
      <c r="P267" s="12">
        <v>2</v>
      </c>
      <c r="Q267" s="12">
        <v>3</v>
      </c>
      <c r="R267" s="12">
        <v>0</v>
      </c>
      <c r="S267" s="16">
        <v>0</v>
      </c>
      <c r="T267" s="12">
        <v>52</v>
      </c>
      <c r="U267" s="12" t="s">
        <v>7</v>
      </c>
      <c r="W267" s="10" t="str">
        <f t="shared" si="11"/>
        <v>&lt;tr&gt;&lt;td&gt;Partap Hothi&lt;/td&gt;&lt;td&gt;MBCI&lt;/td&gt;&lt;td&gt;4&lt;/td&gt;&lt;td&gt;8&lt;/td&gt;&lt;td&gt;2.000&lt;/td&gt;&lt;td&gt;3&lt;/td&gt;&lt;td&gt;13&lt;/td&gt;&lt;td&gt;0.231&lt;/td&gt;&lt;td&gt;1&lt;/td&gt;&lt;td&gt;8&lt;/td&gt;&lt;td&gt;0.125&lt;/td&gt;&lt;td&gt;1&lt;/td&gt;&lt;td&gt;2&lt;/td&gt;&lt;td&gt;0.500&lt;/td&gt;&lt;td&gt;3&lt;/td&gt;&lt;td&gt;6&lt;/td&gt;&lt;td&gt;9&lt;/td&gt;&lt;td&gt;2.250&lt;/td&gt;&lt;td&gt;1&lt;/td&gt;&lt;td&gt;0.250&lt;/td&gt;&lt;td&gt;0&lt;/td&gt;&lt;td&gt;0.000&lt;/td&gt;&lt;td&gt;3&lt;/td&gt;&lt;td&gt;0.750&lt;/td&gt;&lt;/tr&gt;</v>
      </c>
    </row>
    <row r="268" spans="1:23" x14ac:dyDescent="0.25">
      <c r="A268" s="10">
        <v>14</v>
      </c>
      <c r="B268" s="12" t="s">
        <v>317</v>
      </c>
      <c r="C268" s="12">
        <v>3</v>
      </c>
      <c r="D268" s="12">
        <v>4</v>
      </c>
      <c r="E268" s="12">
        <v>6</v>
      </c>
      <c r="F268" s="12">
        <v>0</v>
      </c>
      <c r="G268" s="12">
        <v>1</v>
      </c>
      <c r="H268" s="12">
        <v>0</v>
      </c>
      <c r="I268" s="12">
        <v>0</v>
      </c>
      <c r="J268" s="16">
        <f t="shared" si="12"/>
        <v>8</v>
      </c>
      <c r="K268" s="12">
        <v>0</v>
      </c>
      <c r="L268" s="12">
        <v>4</v>
      </c>
      <c r="M268" s="16">
        <f t="shared" si="13"/>
        <v>4</v>
      </c>
      <c r="N268" s="12">
        <v>5</v>
      </c>
      <c r="O268" s="12">
        <v>0</v>
      </c>
      <c r="P268" s="12">
        <v>3</v>
      </c>
      <c r="Q268" s="12">
        <v>0</v>
      </c>
      <c r="R268" s="12">
        <v>2</v>
      </c>
      <c r="S268" s="16">
        <v>0</v>
      </c>
      <c r="T268" s="12">
        <v>16</v>
      </c>
      <c r="U268" s="12" t="s">
        <v>74</v>
      </c>
      <c r="W268" s="10" t="str">
        <f t="shared" si="11"/>
        <v>&lt;tr&gt;&lt;td&gt;Adam Bocian&lt;/td&gt;&lt;td&gt;OPHS&lt;/td&gt;&lt;td&gt;3&lt;/td&gt;&lt;td&gt;8&lt;/td&gt;&lt;td&gt;2.667&lt;/td&gt;&lt;td&gt;4&lt;/td&gt;&lt;td&gt;6&lt;/td&gt;&lt;td&gt;0.667&lt;/td&gt;&lt;td&gt;0&lt;/td&gt;&lt;td&gt;1&lt;/td&gt;&lt;td&gt;0.000&lt;/td&gt;&lt;td&gt;0&lt;/td&gt;&lt;td&gt;0&lt;/td&gt;&lt;td&gt;0.000&lt;/td&gt;&lt;td&gt;0&lt;/td&gt;&lt;td&gt;4&lt;/td&gt;&lt;td&gt;4&lt;/td&gt;&lt;td&gt;1.333&lt;/td&gt;&lt;td&gt;0&lt;/td&gt;&lt;td&gt;0.000&lt;/td&gt;&lt;td&gt;2&lt;/td&gt;&lt;td&gt;0.667&lt;/td&gt;&lt;td&gt;0&lt;/td&gt;&lt;td&gt;0.000&lt;/td&gt;&lt;/tr&gt;</v>
      </c>
    </row>
    <row r="269" spans="1:23" x14ac:dyDescent="0.25">
      <c r="A269" s="10">
        <v>13</v>
      </c>
      <c r="B269" s="12" t="s">
        <v>330</v>
      </c>
      <c r="C269" s="12">
        <v>3</v>
      </c>
      <c r="D269" s="12">
        <v>3</v>
      </c>
      <c r="E269" s="12">
        <v>8</v>
      </c>
      <c r="F269" s="12">
        <v>0</v>
      </c>
      <c r="G269" s="12">
        <v>0</v>
      </c>
      <c r="H269" s="12">
        <v>2</v>
      </c>
      <c r="I269" s="12">
        <v>2</v>
      </c>
      <c r="J269" s="16">
        <f t="shared" si="12"/>
        <v>8</v>
      </c>
      <c r="K269" s="12">
        <v>2</v>
      </c>
      <c r="L269" s="12">
        <v>1</v>
      </c>
      <c r="M269" s="16">
        <f t="shared" si="13"/>
        <v>3</v>
      </c>
      <c r="N269" s="12">
        <v>2</v>
      </c>
      <c r="O269" s="12">
        <v>1</v>
      </c>
      <c r="P269" s="12">
        <v>2</v>
      </c>
      <c r="Q269" s="12">
        <v>1</v>
      </c>
      <c r="R269" s="12">
        <v>1</v>
      </c>
      <c r="S269" s="16">
        <v>0</v>
      </c>
      <c r="T269" s="12">
        <v>17</v>
      </c>
      <c r="U269" s="12" t="s">
        <v>41</v>
      </c>
      <c r="W269" s="10" t="str">
        <f t="shared" si="11"/>
        <v>&lt;tr&gt;&lt;td&gt;Brandon Lavallee&lt;/td&gt;&lt;td&gt;GCC&lt;/td&gt;&lt;td&gt;3&lt;/td&gt;&lt;td&gt;8&lt;/td&gt;&lt;td&gt;2.667&lt;/td&gt;&lt;td&gt;3&lt;/td&gt;&lt;td&gt;8&lt;/td&gt;&lt;td&gt;0.375&lt;/td&gt;&lt;td&gt;0&lt;/td&gt;&lt;td&gt;0&lt;/td&gt;&lt;td&gt;0.000&lt;/td&gt;&lt;td&gt;2&lt;/td&gt;&lt;td&gt;2&lt;/td&gt;&lt;td&gt;1.000&lt;/td&gt;&lt;td&gt;2&lt;/td&gt;&lt;td&gt;1&lt;/td&gt;&lt;td&gt;3&lt;/td&gt;&lt;td&gt;1.000&lt;/td&gt;&lt;td&gt;1&lt;/td&gt;&lt;td&gt;0.333&lt;/td&gt;&lt;td&gt;1&lt;/td&gt;&lt;td&gt;0.333&lt;/td&gt;&lt;td&gt;1&lt;/td&gt;&lt;td&gt;0.333&lt;/td&gt;&lt;/tr&gt;</v>
      </c>
    </row>
    <row r="270" spans="1:23" x14ac:dyDescent="0.25">
      <c r="A270" s="10">
        <v>7</v>
      </c>
      <c r="B270" s="12" t="s">
        <v>310</v>
      </c>
      <c r="C270" s="12">
        <v>7</v>
      </c>
      <c r="D270" s="12">
        <v>3</v>
      </c>
      <c r="E270" s="12">
        <v>10</v>
      </c>
      <c r="F270" s="12">
        <v>0</v>
      </c>
      <c r="G270" s="12">
        <v>1</v>
      </c>
      <c r="H270" s="12">
        <v>1</v>
      </c>
      <c r="I270" s="12">
        <v>4</v>
      </c>
      <c r="J270" s="16">
        <f t="shared" si="12"/>
        <v>7</v>
      </c>
      <c r="K270" s="12">
        <v>3</v>
      </c>
      <c r="L270" s="12">
        <v>8</v>
      </c>
      <c r="M270" s="16">
        <f t="shared" si="13"/>
        <v>11</v>
      </c>
      <c r="N270" s="12">
        <v>4</v>
      </c>
      <c r="O270" s="12">
        <v>10</v>
      </c>
      <c r="P270" s="12">
        <v>15</v>
      </c>
      <c r="Q270" s="12">
        <v>0</v>
      </c>
      <c r="R270" s="12">
        <v>8</v>
      </c>
      <c r="S270" s="16">
        <v>0</v>
      </c>
      <c r="T270" s="12">
        <v>56</v>
      </c>
      <c r="U270" s="12" t="s">
        <v>74</v>
      </c>
      <c r="W270" s="10" t="str">
        <f t="shared" si="11"/>
        <v>&lt;tr&gt;&lt;td&gt;Bruce Chen&lt;/td&gt;&lt;td&gt;OPHS&lt;/td&gt;&lt;td&gt;7&lt;/td&gt;&lt;td&gt;7&lt;/td&gt;&lt;td&gt;1.000&lt;/td&gt;&lt;td&gt;3&lt;/td&gt;&lt;td&gt;10&lt;/td&gt;&lt;td&gt;0.300&lt;/td&gt;&lt;td&gt;0&lt;/td&gt;&lt;td&gt;1&lt;/td&gt;&lt;td&gt;0.000&lt;/td&gt;&lt;td&gt;1&lt;/td&gt;&lt;td&gt;4&lt;/td&gt;&lt;td&gt;0.250&lt;/td&gt;&lt;td&gt;3&lt;/td&gt;&lt;td&gt;8&lt;/td&gt;&lt;td&gt;11&lt;/td&gt;&lt;td&gt;1.571&lt;/td&gt;&lt;td&gt;10&lt;/td&gt;&lt;td&gt;1.429&lt;/td&gt;&lt;td&gt;8&lt;/td&gt;&lt;td&gt;1.143&lt;/td&gt;&lt;td&gt;0&lt;/td&gt;&lt;td&gt;0.000&lt;/td&gt;&lt;/tr&gt;</v>
      </c>
    </row>
    <row r="271" spans="1:23" x14ac:dyDescent="0.25">
      <c r="A271" s="10">
        <v>10</v>
      </c>
      <c r="B271" s="12" t="s">
        <v>695</v>
      </c>
      <c r="C271" s="12">
        <v>7</v>
      </c>
      <c r="D271" s="12">
        <v>3</v>
      </c>
      <c r="E271" s="12">
        <v>19</v>
      </c>
      <c r="F271" s="12">
        <v>1</v>
      </c>
      <c r="G271" s="12">
        <v>8</v>
      </c>
      <c r="H271" s="12">
        <v>0</v>
      </c>
      <c r="I271" s="12">
        <v>0</v>
      </c>
      <c r="J271" s="16">
        <f t="shared" si="12"/>
        <v>7</v>
      </c>
      <c r="K271" s="12">
        <v>4</v>
      </c>
      <c r="L271" s="12">
        <v>12</v>
      </c>
      <c r="M271" s="16">
        <f t="shared" si="13"/>
        <v>16</v>
      </c>
      <c r="N271" s="12">
        <v>2</v>
      </c>
      <c r="O271" s="12">
        <v>7</v>
      </c>
      <c r="P271" s="12">
        <v>8</v>
      </c>
      <c r="Q271" s="12">
        <v>0</v>
      </c>
      <c r="R271" s="12">
        <v>5</v>
      </c>
      <c r="S271" s="16">
        <v>0</v>
      </c>
      <c r="T271" s="12">
        <v>97</v>
      </c>
      <c r="U271" s="12" t="s">
        <v>78</v>
      </c>
      <c r="W271" s="10" t="str">
        <f t="shared" si="11"/>
        <v>&lt;tr&gt;&lt;td&gt;Bryce Stubbings&lt;/td&gt;&lt;td&gt;SPHS&lt;/td&gt;&lt;td&gt;7&lt;/td&gt;&lt;td&gt;7&lt;/td&gt;&lt;td&gt;1.000&lt;/td&gt;&lt;td&gt;3&lt;/td&gt;&lt;td&gt;19&lt;/td&gt;&lt;td&gt;0.158&lt;/td&gt;&lt;td&gt;1&lt;/td&gt;&lt;td&gt;8&lt;/td&gt;&lt;td&gt;0.125&lt;/td&gt;&lt;td&gt;0&lt;/td&gt;&lt;td&gt;0&lt;/td&gt;&lt;td&gt;0.000&lt;/td&gt;&lt;td&gt;4&lt;/td&gt;&lt;td&gt;12&lt;/td&gt;&lt;td&gt;16&lt;/td&gt;&lt;td&gt;2.286&lt;/td&gt;&lt;td&gt;7&lt;/td&gt;&lt;td&gt;1.000&lt;/td&gt;&lt;td&gt;5&lt;/td&gt;&lt;td&gt;0.714&lt;/td&gt;&lt;td&gt;0&lt;/td&gt;&lt;td&gt;0.000&lt;/td&gt;&lt;/tr&gt;</v>
      </c>
    </row>
    <row r="272" spans="1:23" x14ac:dyDescent="0.25">
      <c r="A272" s="10">
        <v>11</v>
      </c>
      <c r="B272" s="12" t="s">
        <v>374</v>
      </c>
      <c r="C272" s="12">
        <v>6</v>
      </c>
      <c r="D272" s="12">
        <v>2</v>
      </c>
      <c r="E272" s="12">
        <v>4</v>
      </c>
      <c r="F272" s="12">
        <v>1</v>
      </c>
      <c r="G272" s="12">
        <v>2</v>
      </c>
      <c r="H272" s="12">
        <v>2</v>
      </c>
      <c r="I272" s="12">
        <v>2</v>
      </c>
      <c r="J272" s="16">
        <f t="shared" si="12"/>
        <v>7</v>
      </c>
      <c r="K272" s="12">
        <v>1</v>
      </c>
      <c r="L272" s="12">
        <v>1</v>
      </c>
      <c r="M272" s="16">
        <f t="shared" si="13"/>
        <v>2</v>
      </c>
      <c r="N272" s="12">
        <v>4</v>
      </c>
      <c r="O272" s="12">
        <v>2</v>
      </c>
      <c r="P272" s="12">
        <v>5</v>
      </c>
      <c r="Q272" s="12">
        <v>0</v>
      </c>
      <c r="R272" s="12">
        <v>2</v>
      </c>
      <c r="S272" s="16">
        <v>0</v>
      </c>
      <c r="T272" s="12">
        <v>24</v>
      </c>
      <c r="U272" s="12" t="s">
        <v>72</v>
      </c>
      <c r="W272" s="10" t="str">
        <f t="shared" si="11"/>
        <v>&lt;tr&gt;&lt;td&gt;Renaer Villapane&lt;/td&gt;&lt;td&gt;KHS&lt;/td&gt;&lt;td&gt;6&lt;/td&gt;&lt;td&gt;7&lt;/td&gt;&lt;td&gt;1.167&lt;/td&gt;&lt;td&gt;2&lt;/td&gt;&lt;td&gt;4&lt;/td&gt;&lt;td&gt;0.500&lt;/td&gt;&lt;td&gt;1&lt;/td&gt;&lt;td&gt;2&lt;/td&gt;&lt;td&gt;0.500&lt;/td&gt;&lt;td&gt;2&lt;/td&gt;&lt;td&gt;2&lt;/td&gt;&lt;td&gt;1.000&lt;/td&gt;&lt;td&gt;1&lt;/td&gt;&lt;td&gt;1&lt;/td&gt;&lt;td&gt;2&lt;/td&gt;&lt;td&gt;0.333&lt;/td&gt;&lt;td&gt;2&lt;/td&gt;&lt;td&gt;0.333&lt;/td&gt;&lt;td&gt;2&lt;/td&gt;&lt;td&gt;0.333&lt;/td&gt;&lt;td&gt;0&lt;/td&gt;&lt;td&gt;0.000&lt;/td&gt;&lt;/tr&gt;</v>
      </c>
    </row>
    <row r="273" spans="1:23" x14ac:dyDescent="0.25">
      <c r="A273" s="10">
        <v>13</v>
      </c>
      <c r="B273" s="12" t="s">
        <v>684</v>
      </c>
      <c r="C273" s="12">
        <v>5</v>
      </c>
      <c r="D273" s="12">
        <v>3</v>
      </c>
      <c r="E273" s="12">
        <v>13</v>
      </c>
      <c r="F273" s="12">
        <v>0</v>
      </c>
      <c r="G273" s="12">
        <v>0</v>
      </c>
      <c r="H273" s="12">
        <v>1</v>
      </c>
      <c r="I273" s="12">
        <v>2</v>
      </c>
      <c r="J273" s="16">
        <f t="shared" si="12"/>
        <v>7</v>
      </c>
      <c r="K273" s="12">
        <v>7</v>
      </c>
      <c r="L273" s="12">
        <v>5</v>
      </c>
      <c r="M273" s="16">
        <f t="shared" si="13"/>
        <v>12</v>
      </c>
      <c r="N273" s="12">
        <v>5</v>
      </c>
      <c r="O273" s="12">
        <v>1</v>
      </c>
      <c r="P273" s="12">
        <v>3</v>
      </c>
      <c r="Q273" s="12">
        <v>1</v>
      </c>
      <c r="R273" s="12">
        <v>1</v>
      </c>
      <c r="S273" s="16">
        <v>0</v>
      </c>
      <c r="T273" s="12">
        <v>36</v>
      </c>
      <c r="U273" s="12" t="s">
        <v>82</v>
      </c>
      <c r="W273" s="10" t="str">
        <f t="shared" si="11"/>
        <v>&lt;tr&gt;&lt;td&gt;Gabriel Pembele&lt;/td&gt;&lt;td&gt;DMCI&lt;/td&gt;&lt;td&gt;5&lt;/td&gt;&lt;td&gt;7&lt;/td&gt;&lt;td&gt;1.400&lt;/td&gt;&lt;td&gt;3&lt;/td&gt;&lt;td&gt;13&lt;/td&gt;&lt;td&gt;0.231&lt;/td&gt;&lt;td&gt;0&lt;/td&gt;&lt;td&gt;0&lt;/td&gt;&lt;td&gt;0.000&lt;/td&gt;&lt;td&gt;1&lt;/td&gt;&lt;td&gt;2&lt;/td&gt;&lt;td&gt;0.500&lt;/td&gt;&lt;td&gt;7&lt;/td&gt;&lt;td&gt;5&lt;/td&gt;&lt;td&gt;12&lt;/td&gt;&lt;td&gt;2.400&lt;/td&gt;&lt;td&gt;1&lt;/td&gt;&lt;td&gt;0.200&lt;/td&gt;&lt;td&gt;1&lt;/td&gt;&lt;td&gt;0.200&lt;/td&gt;&lt;td&gt;1&lt;/td&gt;&lt;td&gt;0.200&lt;/td&gt;&lt;/tr&gt;</v>
      </c>
    </row>
    <row r="274" spans="1:23" x14ac:dyDescent="0.25">
      <c r="A274" s="10">
        <v>2</v>
      </c>
      <c r="B274" s="12" t="s">
        <v>527</v>
      </c>
      <c r="C274" s="12">
        <v>5</v>
      </c>
      <c r="D274" s="12">
        <v>3</v>
      </c>
      <c r="E274" s="12">
        <v>23</v>
      </c>
      <c r="F274" s="12">
        <v>1</v>
      </c>
      <c r="G274" s="12">
        <v>6</v>
      </c>
      <c r="H274" s="12">
        <v>0</v>
      </c>
      <c r="I274" s="12">
        <v>0</v>
      </c>
      <c r="J274" s="16">
        <f t="shared" si="12"/>
        <v>7</v>
      </c>
      <c r="K274" s="12">
        <v>2</v>
      </c>
      <c r="L274" s="12">
        <v>5</v>
      </c>
      <c r="M274" s="16">
        <f t="shared" si="13"/>
        <v>7</v>
      </c>
      <c r="N274" s="12">
        <v>7</v>
      </c>
      <c r="O274" s="12">
        <v>1</v>
      </c>
      <c r="P274" s="12">
        <v>9</v>
      </c>
      <c r="Q274" s="12">
        <v>0</v>
      </c>
      <c r="R274" s="12">
        <v>5</v>
      </c>
      <c r="S274" s="16">
        <v>0</v>
      </c>
      <c r="T274" s="12">
        <v>57</v>
      </c>
      <c r="U274" s="12" t="s">
        <v>68</v>
      </c>
      <c r="W274" s="10" t="str">
        <f t="shared" si="11"/>
        <v>&lt;tr&gt;&lt;td&gt;Xizhe Hu&lt;/td&gt;&lt;td&gt;FRC&lt;/td&gt;&lt;td&gt;5&lt;/td&gt;&lt;td&gt;7&lt;/td&gt;&lt;td&gt;1.400&lt;/td&gt;&lt;td&gt;3&lt;/td&gt;&lt;td&gt;23&lt;/td&gt;&lt;td&gt;0.130&lt;/td&gt;&lt;td&gt;1&lt;/td&gt;&lt;td&gt;6&lt;/td&gt;&lt;td&gt;0.167&lt;/td&gt;&lt;td&gt;0&lt;/td&gt;&lt;td&gt;0&lt;/td&gt;&lt;td&gt;0.000&lt;/td&gt;&lt;td&gt;2&lt;/td&gt;&lt;td&gt;5&lt;/td&gt;&lt;td&gt;7&lt;/td&gt;&lt;td&gt;1.400&lt;/td&gt;&lt;td&gt;1&lt;/td&gt;&lt;td&gt;0.200&lt;/td&gt;&lt;td&gt;5&lt;/td&gt;&lt;td&gt;1.000&lt;/td&gt;&lt;td&gt;0&lt;/td&gt;&lt;td&gt;0.000&lt;/td&gt;&lt;/tr&gt;</v>
      </c>
    </row>
    <row r="275" spans="1:23" x14ac:dyDescent="0.25">
      <c r="A275" s="10">
        <v>16</v>
      </c>
      <c r="B275" s="12" t="s">
        <v>491</v>
      </c>
      <c r="C275" s="12">
        <v>3</v>
      </c>
      <c r="D275" s="12">
        <v>3</v>
      </c>
      <c r="E275" s="12">
        <v>7</v>
      </c>
      <c r="F275" s="12">
        <v>0</v>
      </c>
      <c r="G275" s="12">
        <v>0</v>
      </c>
      <c r="H275" s="12">
        <v>1</v>
      </c>
      <c r="I275" s="12">
        <v>6</v>
      </c>
      <c r="J275" s="16">
        <f t="shared" si="12"/>
        <v>7</v>
      </c>
      <c r="K275" s="12">
        <v>7</v>
      </c>
      <c r="L275" s="12">
        <v>12</v>
      </c>
      <c r="M275" s="16">
        <f t="shared" si="13"/>
        <v>19</v>
      </c>
      <c r="N275" s="12">
        <v>1</v>
      </c>
      <c r="O275" s="12">
        <v>3</v>
      </c>
      <c r="P275" s="12">
        <v>7</v>
      </c>
      <c r="Q275" s="12">
        <v>3</v>
      </c>
      <c r="R275" s="12">
        <v>2</v>
      </c>
      <c r="S275" s="16">
        <v>0</v>
      </c>
      <c r="T275" s="12">
        <v>36</v>
      </c>
      <c r="U275" s="12" t="s">
        <v>48</v>
      </c>
      <c r="W275" s="10" t="str">
        <f t="shared" si="11"/>
        <v>&lt;tr&gt;&lt;td&gt;Cheik Basse&lt;/td&gt;&lt;td&gt;MMC&lt;/td&gt;&lt;td&gt;3&lt;/td&gt;&lt;td&gt;7&lt;/td&gt;&lt;td&gt;2.333&lt;/td&gt;&lt;td&gt;3&lt;/td&gt;&lt;td&gt;7&lt;/td&gt;&lt;td&gt;0.429&lt;/td&gt;&lt;td&gt;0&lt;/td&gt;&lt;td&gt;0&lt;/td&gt;&lt;td&gt;0.000&lt;/td&gt;&lt;td&gt;1&lt;/td&gt;&lt;td&gt;6&lt;/td&gt;&lt;td&gt;0.167&lt;/td&gt;&lt;td&gt;7&lt;/td&gt;&lt;td&gt;12&lt;/td&gt;&lt;td&gt;19&lt;/td&gt;&lt;td&gt;6.333&lt;/td&gt;&lt;td&gt;3&lt;/td&gt;&lt;td&gt;1.000&lt;/td&gt;&lt;td&gt;2&lt;/td&gt;&lt;td&gt;0.667&lt;/td&gt;&lt;td&gt;3&lt;/td&gt;&lt;td&gt;1.000&lt;/td&gt;&lt;/tr&gt;</v>
      </c>
    </row>
    <row r="276" spans="1:23" x14ac:dyDescent="0.25">
      <c r="A276" s="10">
        <v>1</v>
      </c>
      <c r="B276" s="12" t="s">
        <v>741</v>
      </c>
      <c r="C276" s="12">
        <v>2</v>
      </c>
      <c r="D276" s="12">
        <v>2</v>
      </c>
      <c r="E276" s="12">
        <v>7</v>
      </c>
      <c r="F276" s="12">
        <v>2</v>
      </c>
      <c r="G276" s="12">
        <v>4</v>
      </c>
      <c r="H276" s="12">
        <v>1</v>
      </c>
      <c r="I276" s="12">
        <v>2</v>
      </c>
      <c r="J276" s="16">
        <f t="shared" si="12"/>
        <v>7</v>
      </c>
      <c r="K276" s="12">
        <v>1</v>
      </c>
      <c r="L276" s="12">
        <v>5</v>
      </c>
      <c r="M276" s="16">
        <f t="shared" si="13"/>
        <v>6</v>
      </c>
      <c r="N276" s="12">
        <v>1</v>
      </c>
      <c r="O276" s="12">
        <v>2</v>
      </c>
      <c r="P276" s="12">
        <v>3</v>
      </c>
      <c r="Q276" s="12">
        <v>0</v>
      </c>
      <c r="R276" s="12">
        <v>0</v>
      </c>
      <c r="S276" s="16">
        <v>0</v>
      </c>
      <c r="T276" s="12">
        <v>23</v>
      </c>
      <c r="U276" s="12" t="s">
        <v>76</v>
      </c>
      <c r="W276" s="10" t="str">
        <f t="shared" si="11"/>
        <v>&lt;tr&gt;&lt;td&gt;James Lucero&lt;/td&gt;&lt;td&gt;SiHS&lt;/td&gt;&lt;td&gt;2&lt;/td&gt;&lt;td&gt;7&lt;/td&gt;&lt;td&gt;3.500&lt;/td&gt;&lt;td&gt;2&lt;/td&gt;&lt;td&gt;7&lt;/td&gt;&lt;td&gt;0.286&lt;/td&gt;&lt;td&gt;2&lt;/td&gt;&lt;td&gt;4&lt;/td&gt;&lt;td&gt;0.500&lt;/td&gt;&lt;td&gt;1&lt;/td&gt;&lt;td&gt;2&lt;/td&gt;&lt;td&gt;0.500&lt;/td&gt;&lt;td&gt;1&lt;/td&gt;&lt;td&gt;5&lt;/td&gt;&lt;td&gt;6&lt;/td&gt;&lt;td&gt;3.000&lt;/td&gt;&lt;td&gt;2&lt;/td&gt;&lt;td&gt;1.000&lt;/td&gt;&lt;td&gt;0&lt;/td&gt;&lt;td&gt;0.000&lt;/td&gt;&lt;td&gt;0&lt;/td&gt;&lt;td&gt;0.000&lt;/td&gt;&lt;/tr&gt;</v>
      </c>
    </row>
    <row r="277" spans="1:23" x14ac:dyDescent="0.25">
      <c r="A277" s="10">
        <v>5</v>
      </c>
      <c r="B277" s="12" t="s">
        <v>705</v>
      </c>
      <c r="C277" s="12">
        <v>1</v>
      </c>
      <c r="D277" s="12">
        <v>2</v>
      </c>
      <c r="E277" s="12">
        <v>6</v>
      </c>
      <c r="F277" s="12">
        <v>1</v>
      </c>
      <c r="G277" s="12">
        <v>3</v>
      </c>
      <c r="H277" s="12">
        <v>2</v>
      </c>
      <c r="I277" s="12">
        <v>4</v>
      </c>
      <c r="J277" s="16">
        <f t="shared" si="12"/>
        <v>7</v>
      </c>
      <c r="K277" s="12">
        <v>1</v>
      </c>
      <c r="L277" s="12">
        <v>4</v>
      </c>
      <c r="M277" s="16">
        <f t="shared" si="13"/>
        <v>5</v>
      </c>
      <c r="N277" s="12">
        <v>2</v>
      </c>
      <c r="O277" s="12">
        <v>2</v>
      </c>
      <c r="P277" s="12">
        <v>4</v>
      </c>
      <c r="Q277" s="12">
        <v>0</v>
      </c>
      <c r="R277" s="12">
        <v>1</v>
      </c>
      <c r="S277" s="16">
        <v>0</v>
      </c>
      <c r="T277" s="12">
        <v>20</v>
      </c>
      <c r="U277" s="12" t="s">
        <v>70</v>
      </c>
      <c r="W277" s="10" t="str">
        <f t="shared" si="11"/>
        <v>&lt;tr&gt;&lt;td&gt;Zack Giesbrecht&lt;/td&gt;&lt;td&gt;JTC&lt;/td&gt;&lt;td&gt;1&lt;/td&gt;&lt;td&gt;7&lt;/td&gt;&lt;td&gt;7.000&lt;/td&gt;&lt;td&gt;2&lt;/td&gt;&lt;td&gt;6&lt;/td&gt;&lt;td&gt;0.333&lt;/td&gt;&lt;td&gt;1&lt;/td&gt;&lt;td&gt;3&lt;/td&gt;&lt;td&gt;0.333&lt;/td&gt;&lt;td&gt;2&lt;/td&gt;&lt;td&gt;4&lt;/td&gt;&lt;td&gt;0.500&lt;/td&gt;&lt;td&gt;1&lt;/td&gt;&lt;td&gt;4&lt;/td&gt;&lt;td&gt;5&lt;/td&gt;&lt;td&gt;5.000&lt;/td&gt;&lt;td&gt;2&lt;/td&gt;&lt;td&gt;2.000&lt;/td&gt;&lt;td&gt;1&lt;/td&gt;&lt;td&gt;1.000&lt;/td&gt;&lt;td&gt;0&lt;/td&gt;&lt;td&gt;0.000&lt;/td&gt;&lt;/tr&gt;</v>
      </c>
    </row>
    <row r="278" spans="1:23" x14ac:dyDescent="0.25">
      <c r="A278" s="10">
        <v>6</v>
      </c>
      <c r="B278" s="12" t="s">
        <v>732</v>
      </c>
      <c r="C278" s="12">
        <v>1</v>
      </c>
      <c r="D278" s="12">
        <v>3</v>
      </c>
      <c r="E278" s="12">
        <v>10</v>
      </c>
      <c r="F278" s="12">
        <v>1</v>
      </c>
      <c r="G278" s="12">
        <v>3</v>
      </c>
      <c r="H278" s="12">
        <v>0</v>
      </c>
      <c r="I278" s="12">
        <v>0</v>
      </c>
      <c r="J278" s="16">
        <f t="shared" si="12"/>
        <v>7</v>
      </c>
      <c r="K278" s="12">
        <v>3</v>
      </c>
      <c r="L278" s="12">
        <v>4</v>
      </c>
      <c r="M278" s="16">
        <f t="shared" si="13"/>
        <v>7</v>
      </c>
      <c r="N278" s="12">
        <v>2</v>
      </c>
      <c r="O278" s="12">
        <v>3</v>
      </c>
      <c r="P278" s="12">
        <v>4</v>
      </c>
      <c r="Q278" s="12">
        <v>0</v>
      </c>
      <c r="R278" s="12">
        <v>3</v>
      </c>
      <c r="S278" s="16">
        <v>0</v>
      </c>
      <c r="T278" s="12">
        <v>25</v>
      </c>
      <c r="U278" s="12" t="s">
        <v>96</v>
      </c>
      <c r="W278" s="10" t="str">
        <f t="shared" si="11"/>
        <v>&lt;tr&gt;&lt;td&gt;Knu Justine Vedua&lt;/td&gt;&lt;td&gt;TVHS&lt;/td&gt;&lt;td&gt;1&lt;/td&gt;&lt;td&gt;7&lt;/td&gt;&lt;td&gt;7.000&lt;/td&gt;&lt;td&gt;3&lt;/td&gt;&lt;td&gt;10&lt;/td&gt;&lt;td&gt;0.300&lt;/td&gt;&lt;td&gt;1&lt;/td&gt;&lt;td&gt;3&lt;/td&gt;&lt;td&gt;0.333&lt;/td&gt;&lt;td&gt;0&lt;/td&gt;&lt;td&gt;0&lt;/td&gt;&lt;td&gt;0.000&lt;/td&gt;&lt;td&gt;3&lt;/td&gt;&lt;td&gt;4&lt;/td&gt;&lt;td&gt;7&lt;/td&gt;&lt;td&gt;7.000&lt;/td&gt;&lt;td&gt;3&lt;/td&gt;&lt;td&gt;3.000&lt;/td&gt;&lt;td&gt;3&lt;/td&gt;&lt;td&gt;3.000&lt;/td&gt;&lt;td&gt;0&lt;/td&gt;&lt;td&gt;0.000&lt;/td&gt;&lt;/tr&gt;</v>
      </c>
    </row>
    <row r="279" spans="1:23" x14ac:dyDescent="0.25">
      <c r="A279" s="10">
        <v>13</v>
      </c>
      <c r="B279" s="12" t="s">
        <v>316</v>
      </c>
      <c r="C279" s="12">
        <v>6</v>
      </c>
      <c r="D279" s="12">
        <v>2</v>
      </c>
      <c r="E279" s="12">
        <v>5</v>
      </c>
      <c r="F279" s="12">
        <v>1</v>
      </c>
      <c r="G279" s="12">
        <v>3</v>
      </c>
      <c r="H279" s="12">
        <v>1</v>
      </c>
      <c r="I279" s="12">
        <v>2</v>
      </c>
      <c r="J279" s="16">
        <f t="shared" si="12"/>
        <v>6</v>
      </c>
      <c r="K279" s="12">
        <v>1</v>
      </c>
      <c r="L279" s="12">
        <v>4</v>
      </c>
      <c r="M279" s="16">
        <f t="shared" si="13"/>
        <v>5</v>
      </c>
      <c r="N279" s="12">
        <v>3</v>
      </c>
      <c r="O279" s="12">
        <v>0</v>
      </c>
      <c r="P279" s="12">
        <v>3</v>
      </c>
      <c r="Q279" s="12">
        <v>0</v>
      </c>
      <c r="R279" s="12">
        <v>0</v>
      </c>
      <c r="S279" s="16">
        <v>0</v>
      </c>
      <c r="T279" s="12">
        <v>29</v>
      </c>
      <c r="U279" s="12" t="s">
        <v>74</v>
      </c>
      <c r="W279" s="10" t="str">
        <f t="shared" si="11"/>
        <v>&lt;tr&gt;&lt;td&gt;Jay Dangerfield&lt;/td&gt;&lt;td&gt;OPHS&lt;/td&gt;&lt;td&gt;6&lt;/td&gt;&lt;td&gt;6&lt;/td&gt;&lt;td&gt;1.000&lt;/td&gt;&lt;td&gt;2&lt;/td&gt;&lt;td&gt;5&lt;/td&gt;&lt;td&gt;0.400&lt;/td&gt;&lt;td&gt;1&lt;/td&gt;&lt;td&gt;3&lt;/td&gt;&lt;td&gt;0.333&lt;/td&gt;&lt;td&gt;1&lt;/td&gt;&lt;td&gt;2&lt;/td&gt;&lt;td&gt;0.500&lt;/td&gt;&lt;td&gt;1&lt;/td&gt;&lt;td&gt;4&lt;/td&gt;&lt;td&gt;5&lt;/td&gt;&lt;td&gt;0.833&lt;/td&gt;&lt;td&gt;0&lt;/td&gt;&lt;td&gt;0.000&lt;/td&gt;&lt;td&gt;0&lt;/td&gt;&lt;td&gt;0.000&lt;/td&gt;&lt;td&gt;0&lt;/td&gt;&lt;td&gt;0.000&lt;/td&gt;&lt;/tr&gt;</v>
      </c>
    </row>
    <row r="280" spans="1:23" x14ac:dyDescent="0.25">
      <c r="A280" s="10">
        <v>44</v>
      </c>
      <c r="B280" s="12" t="s">
        <v>320</v>
      </c>
      <c r="C280" s="12">
        <v>6</v>
      </c>
      <c r="D280" s="12">
        <v>2</v>
      </c>
      <c r="E280" s="12">
        <v>10</v>
      </c>
      <c r="F280" s="12">
        <v>2</v>
      </c>
      <c r="G280" s="12">
        <v>5</v>
      </c>
      <c r="H280" s="12">
        <v>0</v>
      </c>
      <c r="I280" s="12">
        <v>0</v>
      </c>
      <c r="J280" s="16">
        <f t="shared" si="12"/>
        <v>6</v>
      </c>
      <c r="K280" s="12">
        <v>3</v>
      </c>
      <c r="L280" s="12">
        <v>2</v>
      </c>
      <c r="M280" s="16">
        <f t="shared" si="13"/>
        <v>5</v>
      </c>
      <c r="N280" s="12">
        <v>0</v>
      </c>
      <c r="O280" s="12">
        <v>1</v>
      </c>
      <c r="P280" s="12">
        <v>5</v>
      </c>
      <c r="Q280" s="12">
        <v>0</v>
      </c>
      <c r="R280" s="12">
        <v>4</v>
      </c>
      <c r="S280" s="16">
        <v>0</v>
      </c>
      <c r="T280" s="12">
        <v>30</v>
      </c>
      <c r="U280" s="12" t="s">
        <v>74</v>
      </c>
      <c r="W280" s="10" t="str">
        <f t="shared" ref="W280:W346" si="14">"&lt;tr&gt;&lt;td&gt;"&amp;B280&amp;"&lt;/td&gt;&lt;td&gt;"&amp;U280&amp;"&lt;/td&gt;&lt;td&gt;"&amp;C280&amp;"&lt;/td&gt;&lt;td&gt;"&amp;J280&amp;"&lt;/td&gt;&lt;td&gt;"&amp;IF(OR(C280=0,J280=0),"0.000",IF(ROUND(J280/C280,3)=1,"1.000",TEXT(ROUND(J280/C280,3),"0.000")))&amp;"&lt;/td&gt;&lt;td&gt;"&amp;D280&amp;"&lt;/td&gt;&lt;td&gt;"&amp;E280&amp;"&lt;/td&gt;&lt;td&gt;"&amp;IF(OR(D280=0,E280=0),"0.000",IF(ROUND(D280/E280,3)=1,"1.000",TEXT(ROUND(D280/E280,3),"0.000")))&amp;"&lt;/td&gt;&lt;td&gt;"&amp;F280&amp;"&lt;/td&gt;&lt;td&gt;"&amp;G280&amp;"&lt;/td&gt;&lt;td&gt;"&amp;IF(OR(F280=0,G280=0),"0.000",IF(ROUND(F280/G280,3)=1,"1.000",TEXT(ROUND(F280/G280,3),"0.000")))&amp;"&lt;/td&gt;&lt;td&gt;"&amp;H280&amp;"&lt;/td&gt;&lt;td&gt;"&amp;I280&amp;"&lt;/td&gt;&lt;td&gt;"&amp;IF(OR(H280=0,I280=0),"0.000",IF(ROUND(H280/I280,3)=1,"1.000",TEXT(ROUND(H280/I280,3),"0.000")))&amp;"&lt;/td&gt;&lt;td&gt;"&amp;K280&amp;"&lt;/td&gt;&lt;td&gt;"&amp;L280&amp;"&lt;/td&gt;&lt;td&gt;"&amp;M280&amp;"&lt;/td&gt;&lt;td&gt;"&amp;IF(OR(M280=0,C280=0),"0.000",IF(ROUND(M280/C280,3)=1,"1.000",TEXT(ROUND(M280/C280,3),"0.000")))&amp;"&lt;/td&gt;&lt;td&gt;"&amp;O280&amp;"&lt;/td&gt;&lt;td&gt;"&amp;IF(OR(O280=0,C280=0),"0.000",IF(ROUND(O280/C280,3)=1,"1.000",TEXT(ROUND(O280/C280,3),"0.000")))&amp;"&lt;/td&gt;&lt;td&gt;"&amp;R280&amp;"&lt;/td&gt;&lt;td&gt;"&amp;IF(OR(R280=0,C280=0),"0.000",IF(ROUND(R280/C280,3)=1,"1.000",TEXT(ROUND(R280/C280,3),"0.000")))&amp;"&lt;/td&gt;&lt;td&gt;"&amp;Q280&amp;"&lt;/td&gt;&lt;td&gt;"&amp;IF(OR(Q280=0,C280=0),"0.000",IF(ROUND(Q280/C280,3)=1,"1.000",TEXT(ROUND(Q280/C280,3),"0.000")))&amp;"&lt;/td&gt;&lt;/tr&gt;"</f>
        <v>&lt;tr&gt;&lt;td&gt;Jordan Mayo&lt;/td&gt;&lt;td&gt;OPHS&lt;/td&gt;&lt;td&gt;6&lt;/td&gt;&lt;td&gt;6&lt;/td&gt;&lt;td&gt;1.000&lt;/td&gt;&lt;td&gt;2&lt;/td&gt;&lt;td&gt;10&lt;/td&gt;&lt;td&gt;0.200&lt;/td&gt;&lt;td&gt;2&lt;/td&gt;&lt;td&gt;5&lt;/td&gt;&lt;td&gt;0.400&lt;/td&gt;&lt;td&gt;0&lt;/td&gt;&lt;td&gt;0&lt;/td&gt;&lt;td&gt;0.000&lt;/td&gt;&lt;td&gt;3&lt;/td&gt;&lt;td&gt;2&lt;/td&gt;&lt;td&gt;5&lt;/td&gt;&lt;td&gt;0.833&lt;/td&gt;&lt;td&gt;1&lt;/td&gt;&lt;td&gt;0.167&lt;/td&gt;&lt;td&gt;4&lt;/td&gt;&lt;td&gt;0.667&lt;/td&gt;&lt;td&gt;0&lt;/td&gt;&lt;td&gt;0.000&lt;/td&gt;&lt;/tr&gt;</v>
      </c>
    </row>
    <row r="281" spans="1:23" x14ac:dyDescent="0.25">
      <c r="A281" s="10">
        <v>13</v>
      </c>
      <c r="B281" s="12" t="s">
        <v>395</v>
      </c>
      <c r="C281" s="12">
        <v>5</v>
      </c>
      <c r="D281" s="12">
        <v>2</v>
      </c>
      <c r="E281" s="12">
        <v>9</v>
      </c>
      <c r="F281" s="12">
        <v>0</v>
      </c>
      <c r="G281" s="12">
        <v>2</v>
      </c>
      <c r="H281" s="12">
        <v>2</v>
      </c>
      <c r="I281" s="12">
        <v>2</v>
      </c>
      <c r="J281" s="16">
        <f t="shared" si="12"/>
        <v>6</v>
      </c>
      <c r="K281" s="12">
        <v>3</v>
      </c>
      <c r="L281" s="12">
        <v>8</v>
      </c>
      <c r="M281" s="16">
        <f t="shared" si="13"/>
        <v>11</v>
      </c>
      <c r="N281" s="12">
        <v>4</v>
      </c>
      <c r="O281" s="12">
        <v>4</v>
      </c>
      <c r="P281" s="12">
        <v>3</v>
      </c>
      <c r="Q281" s="12">
        <v>0</v>
      </c>
      <c r="R281" s="12">
        <v>0</v>
      </c>
      <c r="S281" s="16">
        <v>0</v>
      </c>
      <c r="T281" s="12">
        <v>54</v>
      </c>
      <c r="U281" s="12" t="s">
        <v>164</v>
      </c>
      <c r="W281" s="10" t="str">
        <f t="shared" si="14"/>
        <v>&lt;tr&gt;&lt;td&gt;Noah Friesen&lt;/td&gt;&lt;td&gt;GVC&lt;/td&gt;&lt;td&gt;5&lt;/td&gt;&lt;td&gt;6&lt;/td&gt;&lt;td&gt;1.200&lt;/td&gt;&lt;td&gt;2&lt;/td&gt;&lt;td&gt;9&lt;/td&gt;&lt;td&gt;0.222&lt;/td&gt;&lt;td&gt;0&lt;/td&gt;&lt;td&gt;2&lt;/td&gt;&lt;td&gt;0.000&lt;/td&gt;&lt;td&gt;2&lt;/td&gt;&lt;td&gt;2&lt;/td&gt;&lt;td&gt;1.000&lt;/td&gt;&lt;td&gt;3&lt;/td&gt;&lt;td&gt;8&lt;/td&gt;&lt;td&gt;11&lt;/td&gt;&lt;td&gt;2.200&lt;/td&gt;&lt;td&gt;4&lt;/td&gt;&lt;td&gt;0.800&lt;/td&gt;&lt;td&gt;0&lt;/td&gt;&lt;td&gt;0.000&lt;/td&gt;&lt;td&gt;0&lt;/td&gt;&lt;td&gt;0.000&lt;/td&gt;&lt;/tr&gt;</v>
      </c>
    </row>
    <row r="282" spans="1:23" x14ac:dyDescent="0.25">
      <c r="A282" s="10">
        <v>22</v>
      </c>
      <c r="B282" s="12" t="s">
        <v>482</v>
      </c>
      <c r="C282" s="12">
        <v>5</v>
      </c>
      <c r="D282" s="12">
        <v>1</v>
      </c>
      <c r="E282" s="12">
        <v>3</v>
      </c>
      <c r="F282" s="12">
        <v>0</v>
      </c>
      <c r="G282" s="12">
        <v>0</v>
      </c>
      <c r="H282" s="12">
        <v>4</v>
      </c>
      <c r="I282" s="12">
        <v>8</v>
      </c>
      <c r="J282" s="16">
        <f t="shared" si="12"/>
        <v>6</v>
      </c>
      <c r="K282" s="12">
        <v>2</v>
      </c>
      <c r="L282" s="12">
        <v>6</v>
      </c>
      <c r="M282" s="16">
        <f t="shared" si="13"/>
        <v>8</v>
      </c>
      <c r="N282" s="12">
        <v>6</v>
      </c>
      <c r="O282" s="12">
        <v>0</v>
      </c>
      <c r="P282" s="12">
        <v>2</v>
      </c>
      <c r="Q282" s="12">
        <v>0</v>
      </c>
      <c r="R282" s="12">
        <v>2</v>
      </c>
      <c r="S282" s="16">
        <v>0</v>
      </c>
      <c r="T282" s="12">
        <v>54</v>
      </c>
      <c r="U282" s="12" t="s">
        <v>64</v>
      </c>
      <c r="W282" s="10" t="str">
        <f t="shared" si="14"/>
        <v>&lt;tr&gt;&lt;td&gt;Riley Unrau&lt;/td&gt;&lt;td&gt;JHB&lt;/td&gt;&lt;td&gt;5&lt;/td&gt;&lt;td&gt;6&lt;/td&gt;&lt;td&gt;1.200&lt;/td&gt;&lt;td&gt;1&lt;/td&gt;&lt;td&gt;3&lt;/td&gt;&lt;td&gt;0.333&lt;/td&gt;&lt;td&gt;0&lt;/td&gt;&lt;td&gt;0&lt;/td&gt;&lt;td&gt;0.000&lt;/td&gt;&lt;td&gt;4&lt;/td&gt;&lt;td&gt;8&lt;/td&gt;&lt;td&gt;0.500&lt;/td&gt;&lt;td&gt;2&lt;/td&gt;&lt;td&gt;6&lt;/td&gt;&lt;td&gt;8&lt;/td&gt;&lt;td&gt;1.600&lt;/td&gt;&lt;td&gt;0&lt;/td&gt;&lt;td&gt;0.000&lt;/td&gt;&lt;td&gt;2&lt;/td&gt;&lt;td&gt;0.400&lt;/td&gt;&lt;td&gt;0&lt;/td&gt;&lt;td&gt;0.000&lt;/td&gt;&lt;/tr&gt;</v>
      </c>
    </row>
    <row r="283" spans="1:23" x14ac:dyDescent="0.25">
      <c r="A283" s="10">
        <v>10</v>
      </c>
      <c r="B283" s="12" t="s">
        <v>477</v>
      </c>
      <c r="C283" s="12">
        <v>5</v>
      </c>
      <c r="D283" s="12">
        <v>2</v>
      </c>
      <c r="E283" s="12">
        <v>16</v>
      </c>
      <c r="F283" s="12">
        <v>0</v>
      </c>
      <c r="G283" s="12">
        <v>0</v>
      </c>
      <c r="H283" s="12">
        <v>2</v>
      </c>
      <c r="I283" s="12">
        <v>6</v>
      </c>
      <c r="J283" s="16">
        <f t="shared" si="12"/>
        <v>6</v>
      </c>
      <c r="K283" s="12">
        <v>7</v>
      </c>
      <c r="L283" s="12">
        <v>13</v>
      </c>
      <c r="M283" s="16">
        <f t="shared" si="13"/>
        <v>20</v>
      </c>
      <c r="N283" s="12">
        <v>8</v>
      </c>
      <c r="O283" s="12">
        <v>2</v>
      </c>
      <c r="P283" s="12">
        <v>8</v>
      </c>
      <c r="Q283" s="12">
        <v>2</v>
      </c>
      <c r="R283" s="12">
        <v>1</v>
      </c>
      <c r="S283" s="16">
        <v>0</v>
      </c>
      <c r="T283" s="12">
        <v>63</v>
      </c>
      <c r="U283" s="12" t="s">
        <v>64</v>
      </c>
      <c r="W283" s="10" t="str">
        <f t="shared" si="14"/>
        <v>&lt;tr&gt;&lt;td&gt;Kelsey Winsor&lt;/td&gt;&lt;td&gt;JHB&lt;/td&gt;&lt;td&gt;5&lt;/td&gt;&lt;td&gt;6&lt;/td&gt;&lt;td&gt;1.200&lt;/td&gt;&lt;td&gt;2&lt;/td&gt;&lt;td&gt;16&lt;/td&gt;&lt;td&gt;0.125&lt;/td&gt;&lt;td&gt;0&lt;/td&gt;&lt;td&gt;0&lt;/td&gt;&lt;td&gt;0.000&lt;/td&gt;&lt;td&gt;2&lt;/td&gt;&lt;td&gt;6&lt;/td&gt;&lt;td&gt;0.333&lt;/td&gt;&lt;td&gt;7&lt;/td&gt;&lt;td&gt;13&lt;/td&gt;&lt;td&gt;20&lt;/td&gt;&lt;td&gt;4.000&lt;/td&gt;&lt;td&gt;2&lt;/td&gt;&lt;td&gt;0.400&lt;/td&gt;&lt;td&gt;1&lt;/td&gt;&lt;td&gt;0.200&lt;/td&gt;&lt;td&gt;2&lt;/td&gt;&lt;td&gt;0.400&lt;/td&gt;&lt;/tr&gt;</v>
      </c>
    </row>
    <row r="284" spans="1:23" x14ac:dyDescent="0.25">
      <c r="A284" s="10">
        <v>13</v>
      </c>
      <c r="B284" s="12" t="s">
        <v>712</v>
      </c>
      <c r="C284" s="12">
        <v>1</v>
      </c>
      <c r="D284" s="12">
        <v>3</v>
      </c>
      <c r="E284" s="12">
        <v>8</v>
      </c>
      <c r="F284" s="12">
        <v>0</v>
      </c>
      <c r="G284" s="12">
        <v>0</v>
      </c>
      <c r="H284" s="12">
        <v>0</v>
      </c>
      <c r="I284" s="12">
        <v>0</v>
      </c>
      <c r="J284" s="16">
        <f t="shared" si="12"/>
        <v>6</v>
      </c>
      <c r="K284" s="12">
        <v>1</v>
      </c>
      <c r="L284" s="12">
        <v>4</v>
      </c>
      <c r="M284" s="16">
        <f t="shared" si="13"/>
        <v>5</v>
      </c>
      <c r="N284" s="12">
        <v>0</v>
      </c>
      <c r="O284" s="12">
        <v>0</v>
      </c>
      <c r="P284" s="12">
        <v>1</v>
      </c>
      <c r="Q284" s="12">
        <v>0</v>
      </c>
      <c r="R284" s="12">
        <v>0</v>
      </c>
      <c r="S284" s="16">
        <v>0</v>
      </c>
      <c r="T284" s="12">
        <v>10</v>
      </c>
      <c r="U284" s="12" t="s">
        <v>70</v>
      </c>
      <c r="W284" s="10" t="str">
        <f t="shared" si="14"/>
        <v>&lt;tr&gt;&lt;td&gt;Kanen Ling&lt;/td&gt;&lt;td&gt;JTC&lt;/td&gt;&lt;td&gt;1&lt;/td&gt;&lt;td&gt;6&lt;/td&gt;&lt;td&gt;6.000&lt;/td&gt;&lt;td&gt;3&lt;/td&gt;&lt;td&gt;8&lt;/td&gt;&lt;td&gt;0.375&lt;/td&gt;&lt;td&gt;0&lt;/td&gt;&lt;td&gt;0&lt;/td&gt;&lt;td&gt;0.000&lt;/td&gt;&lt;td&gt;0&lt;/td&gt;&lt;td&gt;0&lt;/td&gt;&lt;td&gt;0.000&lt;/td&gt;&lt;td&gt;1&lt;/td&gt;&lt;td&gt;4&lt;/td&gt;&lt;td&gt;5&lt;/td&gt;&lt;td&gt;5.000&lt;/td&gt;&lt;td&gt;0&lt;/td&gt;&lt;td&gt;0.000&lt;/td&gt;&lt;td&gt;0&lt;/td&gt;&lt;td&gt;0.000&lt;/td&gt;&lt;td&gt;0&lt;/td&gt;&lt;td&gt;0.000&lt;/td&gt;&lt;/tr&gt;</v>
      </c>
    </row>
    <row r="285" spans="1:23" x14ac:dyDescent="0.25">
      <c r="A285" s="10">
        <v>11</v>
      </c>
      <c r="B285" s="12" t="s">
        <v>478</v>
      </c>
      <c r="C285" s="12">
        <v>5</v>
      </c>
      <c r="D285" s="12">
        <v>2</v>
      </c>
      <c r="E285" s="12">
        <v>9</v>
      </c>
      <c r="F285" s="12">
        <v>1</v>
      </c>
      <c r="G285" s="12">
        <v>8</v>
      </c>
      <c r="H285" s="12">
        <v>0</v>
      </c>
      <c r="I285" s="12">
        <v>0</v>
      </c>
      <c r="J285" s="16">
        <f t="shared" si="12"/>
        <v>5</v>
      </c>
      <c r="K285" s="12">
        <v>1</v>
      </c>
      <c r="L285" s="12">
        <v>2</v>
      </c>
      <c r="M285" s="16">
        <f t="shared" si="13"/>
        <v>3</v>
      </c>
      <c r="N285" s="12">
        <v>1</v>
      </c>
      <c r="O285" s="12">
        <v>0</v>
      </c>
      <c r="P285" s="12">
        <v>5</v>
      </c>
      <c r="Q285" s="12">
        <v>0</v>
      </c>
      <c r="R285" s="12">
        <v>0</v>
      </c>
      <c r="S285" s="16">
        <v>0</v>
      </c>
      <c r="T285" s="12">
        <v>32</v>
      </c>
      <c r="U285" s="12" t="s">
        <v>64</v>
      </c>
      <c r="W285" s="10" t="str">
        <f t="shared" si="14"/>
        <v>&lt;tr&gt;&lt;td&gt;Aaron Cripps&lt;/td&gt;&lt;td&gt;JHB&lt;/td&gt;&lt;td&gt;5&lt;/td&gt;&lt;td&gt;5&lt;/td&gt;&lt;td&gt;1.000&lt;/td&gt;&lt;td&gt;2&lt;/td&gt;&lt;td&gt;9&lt;/td&gt;&lt;td&gt;0.222&lt;/td&gt;&lt;td&gt;1&lt;/td&gt;&lt;td&gt;8&lt;/td&gt;&lt;td&gt;0.125&lt;/td&gt;&lt;td&gt;0&lt;/td&gt;&lt;td&gt;0&lt;/td&gt;&lt;td&gt;0.000&lt;/td&gt;&lt;td&gt;1&lt;/td&gt;&lt;td&gt;2&lt;/td&gt;&lt;td&gt;3&lt;/td&gt;&lt;td&gt;0.600&lt;/td&gt;&lt;td&gt;0&lt;/td&gt;&lt;td&gt;0.000&lt;/td&gt;&lt;td&gt;0&lt;/td&gt;&lt;td&gt;0.000&lt;/td&gt;&lt;td&gt;0&lt;/td&gt;&lt;td&gt;0.000&lt;/td&gt;&lt;/tr&gt;</v>
      </c>
    </row>
    <row r="286" spans="1:23" x14ac:dyDescent="0.25">
      <c r="A286" s="10">
        <v>13</v>
      </c>
      <c r="B286" s="12" t="s">
        <v>425</v>
      </c>
      <c r="C286" s="12">
        <v>5</v>
      </c>
      <c r="D286" s="12">
        <v>1</v>
      </c>
      <c r="E286" s="12">
        <v>1</v>
      </c>
      <c r="F286" s="12">
        <v>0</v>
      </c>
      <c r="G286" s="12">
        <v>0</v>
      </c>
      <c r="H286" s="12">
        <v>3</v>
      </c>
      <c r="I286" s="12">
        <v>4</v>
      </c>
      <c r="J286" s="16">
        <f t="shared" si="12"/>
        <v>5</v>
      </c>
      <c r="K286" s="12">
        <v>2</v>
      </c>
      <c r="L286" s="12">
        <v>4</v>
      </c>
      <c r="M286" s="16">
        <f t="shared" si="13"/>
        <v>6</v>
      </c>
      <c r="N286" s="12">
        <v>15</v>
      </c>
      <c r="O286" s="12">
        <v>3</v>
      </c>
      <c r="P286" s="12">
        <v>13</v>
      </c>
      <c r="Q286" s="12">
        <v>0</v>
      </c>
      <c r="R286" s="12">
        <v>8</v>
      </c>
      <c r="S286" s="16">
        <v>0</v>
      </c>
      <c r="T286" s="12">
        <v>54</v>
      </c>
      <c r="U286" s="12" t="s">
        <v>66</v>
      </c>
      <c r="W286" s="10" t="str">
        <f t="shared" si="14"/>
        <v>&lt;tr&gt;&lt;td&gt;TJ Sawatzky&lt;/td&gt;&lt;td&gt;SRSS&lt;/td&gt;&lt;td&gt;5&lt;/td&gt;&lt;td&gt;5&lt;/td&gt;&lt;td&gt;1.000&lt;/td&gt;&lt;td&gt;1&lt;/td&gt;&lt;td&gt;1&lt;/td&gt;&lt;td&gt;1.000&lt;/td&gt;&lt;td&gt;0&lt;/td&gt;&lt;td&gt;0&lt;/td&gt;&lt;td&gt;0.000&lt;/td&gt;&lt;td&gt;3&lt;/td&gt;&lt;td&gt;4&lt;/td&gt;&lt;td&gt;0.750&lt;/td&gt;&lt;td&gt;2&lt;/td&gt;&lt;td&gt;4&lt;/td&gt;&lt;td&gt;6&lt;/td&gt;&lt;td&gt;1.200&lt;/td&gt;&lt;td&gt;3&lt;/td&gt;&lt;td&gt;0.600&lt;/td&gt;&lt;td&gt;8&lt;/td&gt;&lt;td&gt;1.600&lt;/td&gt;&lt;td&gt;0&lt;/td&gt;&lt;td&gt;0.000&lt;/td&gt;&lt;/tr&gt;</v>
      </c>
    </row>
    <row r="287" spans="1:23" x14ac:dyDescent="0.25">
      <c r="A287" s="10">
        <v>8</v>
      </c>
      <c r="B287" s="12" t="s">
        <v>463</v>
      </c>
      <c r="C287" s="12">
        <v>4</v>
      </c>
      <c r="D287" s="12">
        <v>2</v>
      </c>
      <c r="E287" s="12">
        <v>8</v>
      </c>
      <c r="F287" s="12">
        <v>1</v>
      </c>
      <c r="G287" s="12">
        <v>3</v>
      </c>
      <c r="H287" s="12">
        <v>0</v>
      </c>
      <c r="I287" s="12">
        <v>2</v>
      </c>
      <c r="J287" s="16">
        <f t="shared" si="12"/>
        <v>5</v>
      </c>
      <c r="K287" s="12">
        <v>1</v>
      </c>
      <c r="L287" s="12">
        <v>1</v>
      </c>
      <c r="M287" s="16">
        <f t="shared" si="13"/>
        <v>2</v>
      </c>
      <c r="N287" s="12">
        <v>0</v>
      </c>
      <c r="O287" s="12">
        <v>0</v>
      </c>
      <c r="P287" s="12">
        <v>3</v>
      </c>
      <c r="Q287" s="12">
        <v>0</v>
      </c>
      <c r="R287" s="12">
        <v>0</v>
      </c>
      <c r="S287" s="16">
        <v>0</v>
      </c>
      <c r="T287" s="12">
        <v>38</v>
      </c>
      <c r="U287" s="12" t="s">
        <v>98</v>
      </c>
      <c r="W287" s="10" t="str">
        <f t="shared" si="14"/>
        <v>&lt;tr&gt;&lt;td&gt;Austin Ducharme&lt;/td&gt;&lt;td&gt;WWC&lt;/td&gt;&lt;td&gt;4&lt;/td&gt;&lt;td&gt;5&lt;/td&gt;&lt;td&gt;1.250&lt;/td&gt;&lt;td&gt;2&lt;/td&gt;&lt;td&gt;8&lt;/td&gt;&lt;td&gt;0.250&lt;/td&gt;&lt;td&gt;1&lt;/td&gt;&lt;td&gt;3&lt;/td&gt;&lt;td&gt;0.333&lt;/td&gt;&lt;td&gt;0&lt;/td&gt;&lt;td&gt;2&lt;/td&gt;&lt;td&gt;0.000&lt;/td&gt;&lt;td&gt;1&lt;/td&gt;&lt;td&gt;1&lt;/td&gt;&lt;td&gt;2&lt;/td&gt;&lt;td&gt;0.500&lt;/td&gt;&lt;td&gt;0&lt;/td&gt;&lt;td&gt;0.000&lt;/td&gt;&lt;td&gt;0&lt;/td&gt;&lt;td&gt;0.000&lt;/td&gt;&lt;td&gt;0&lt;/td&gt;&lt;td&gt;0.000&lt;/td&gt;&lt;/tr&gt;</v>
      </c>
    </row>
    <row r="288" spans="1:23" x14ac:dyDescent="0.25">
      <c r="A288" s="10">
        <v>3</v>
      </c>
      <c r="B288" s="12" t="s">
        <v>703</v>
      </c>
      <c r="C288" s="12">
        <v>3</v>
      </c>
      <c r="D288" s="12">
        <v>2</v>
      </c>
      <c r="E288" s="12">
        <v>5</v>
      </c>
      <c r="F288" s="12">
        <v>1</v>
      </c>
      <c r="G288" s="12">
        <v>3</v>
      </c>
      <c r="H288" s="12">
        <v>0</v>
      </c>
      <c r="I288" s="12">
        <v>0</v>
      </c>
      <c r="J288" s="16">
        <f t="shared" si="12"/>
        <v>5</v>
      </c>
      <c r="K288" s="12">
        <v>1</v>
      </c>
      <c r="L288" s="12">
        <v>1</v>
      </c>
      <c r="M288" s="16">
        <f t="shared" si="13"/>
        <v>2</v>
      </c>
      <c r="N288" s="12">
        <v>0</v>
      </c>
      <c r="O288" s="12">
        <v>1</v>
      </c>
      <c r="P288" s="12">
        <v>1</v>
      </c>
      <c r="Q288" s="12">
        <v>0</v>
      </c>
      <c r="R288" s="12">
        <v>1</v>
      </c>
      <c r="S288" s="16">
        <v>0</v>
      </c>
      <c r="T288" s="12">
        <v>17</v>
      </c>
      <c r="U288" s="12" t="s">
        <v>70</v>
      </c>
      <c r="W288" s="10" t="str">
        <f t="shared" si="14"/>
        <v>&lt;tr&gt;&lt;td&gt;Tristan Patson&lt;/td&gt;&lt;td&gt;JTC&lt;/td&gt;&lt;td&gt;3&lt;/td&gt;&lt;td&gt;5&lt;/td&gt;&lt;td&gt;1.667&lt;/td&gt;&lt;td&gt;2&lt;/td&gt;&lt;td&gt;5&lt;/td&gt;&lt;td&gt;0.400&lt;/td&gt;&lt;td&gt;1&lt;/td&gt;&lt;td&gt;3&lt;/td&gt;&lt;td&gt;0.333&lt;/td&gt;&lt;td&gt;0&lt;/td&gt;&lt;td&gt;0&lt;/td&gt;&lt;td&gt;0.000&lt;/td&gt;&lt;td&gt;1&lt;/td&gt;&lt;td&gt;1&lt;/td&gt;&lt;td&gt;2&lt;/td&gt;&lt;td&gt;0.667&lt;/td&gt;&lt;td&gt;1&lt;/td&gt;&lt;td&gt;0.333&lt;/td&gt;&lt;td&gt;1&lt;/td&gt;&lt;td&gt;0.333&lt;/td&gt;&lt;td&gt;0&lt;/td&gt;&lt;td&gt;0.000&lt;/td&gt;&lt;/tr&gt;</v>
      </c>
    </row>
    <row r="289" spans="1:23" x14ac:dyDescent="0.25">
      <c r="A289" s="10">
        <v>15</v>
      </c>
      <c r="B289" s="12" t="s">
        <v>686</v>
      </c>
      <c r="C289" s="12">
        <v>3</v>
      </c>
      <c r="D289" s="12">
        <v>2</v>
      </c>
      <c r="E289" s="12">
        <v>9</v>
      </c>
      <c r="F289" s="12">
        <v>0</v>
      </c>
      <c r="G289" s="12">
        <v>1</v>
      </c>
      <c r="H289" s="12">
        <v>1</v>
      </c>
      <c r="I289" s="12">
        <v>2</v>
      </c>
      <c r="J289" s="16">
        <f t="shared" si="12"/>
        <v>5</v>
      </c>
      <c r="K289" s="12">
        <v>3</v>
      </c>
      <c r="L289" s="12">
        <v>0</v>
      </c>
      <c r="M289" s="16">
        <f t="shared" si="13"/>
        <v>3</v>
      </c>
      <c r="N289" s="12">
        <v>4</v>
      </c>
      <c r="O289" s="12">
        <v>1</v>
      </c>
      <c r="P289" s="12">
        <v>3</v>
      </c>
      <c r="Q289" s="12">
        <v>0</v>
      </c>
      <c r="R289" s="12">
        <v>2</v>
      </c>
      <c r="S289" s="16">
        <v>0</v>
      </c>
      <c r="T289" s="12">
        <v>23</v>
      </c>
      <c r="U289" s="12" t="s">
        <v>82</v>
      </c>
      <c r="W289" s="10" t="str">
        <f t="shared" si="14"/>
        <v>&lt;tr&gt;&lt;td&gt;Nathaniel Alnas&lt;/td&gt;&lt;td&gt;DMCI&lt;/td&gt;&lt;td&gt;3&lt;/td&gt;&lt;td&gt;5&lt;/td&gt;&lt;td&gt;1.667&lt;/td&gt;&lt;td&gt;2&lt;/td&gt;&lt;td&gt;9&lt;/td&gt;&lt;td&gt;0.222&lt;/td&gt;&lt;td&gt;0&lt;/td&gt;&lt;td&gt;1&lt;/td&gt;&lt;td&gt;0.000&lt;/td&gt;&lt;td&gt;1&lt;/td&gt;&lt;td&gt;2&lt;/td&gt;&lt;td&gt;0.500&lt;/td&gt;&lt;td&gt;3&lt;/td&gt;&lt;td&gt;0&lt;/td&gt;&lt;td&gt;3&lt;/td&gt;&lt;td&gt;1.000&lt;/td&gt;&lt;td&gt;1&lt;/td&gt;&lt;td&gt;0.333&lt;/td&gt;&lt;td&gt;2&lt;/td&gt;&lt;td&gt;0.667&lt;/td&gt;&lt;td&gt;0&lt;/td&gt;&lt;td&gt;0.000&lt;/td&gt;&lt;/tr&gt;</v>
      </c>
    </row>
    <row r="290" spans="1:23" x14ac:dyDescent="0.25">
      <c r="A290" s="10">
        <v>16</v>
      </c>
      <c r="B290" s="12" t="s">
        <v>338</v>
      </c>
      <c r="C290" s="12">
        <v>3</v>
      </c>
      <c r="D290" s="12">
        <v>2</v>
      </c>
      <c r="E290" s="12">
        <v>6</v>
      </c>
      <c r="F290" s="12">
        <v>1</v>
      </c>
      <c r="G290" s="12">
        <v>5</v>
      </c>
      <c r="H290" s="12">
        <v>0</v>
      </c>
      <c r="I290" s="12">
        <v>0</v>
      </c>
      <c r="J290" s="16">
        <f t="shared" si="12"/>
        <v>5</v>
      </c>
      <c r="K290" s="12">
        <v>1</v>
      </c>
      <c r="L290" s="12">
        <v>1</v>
      </c>
      <c r="M290" s="16">
        <f t="shared" si="13"/>
        <v>2</v>
      </c>
      <c r="N290" s="12">
        <v>4</v>
      </c>
      <c r="O290" s="12">
        <v>0</v>
      </c>
      <c r="P290" s="12">
        <v>3</v>
      </c>
      <c r="Q290" s="12">
        <v>0</v>
      </c>
      <c r="R290" s="12">
        <v>5</v>
      </c>
      <c r="S290" s="16">
        <v>0</v>
      </c>
      <c r="T290" s="12">
        <v>28</v>
      </c>
      <c r="U290" s="12" t="s">
        <v>92</v>
      </c>
      <c r="W290" s="10" t="str">
        <f t="shared" si="14"/>
        <v>&lt;tr&gt;&lt;td&gt;Nathaniel Laurea&lt;/td&gt;&lt;td&gt;SJHS&lt;/td&gt;&lt;td&gt;3&lt;/td&gt;&lt;td&gt;5&lt;/td&gt;&lt;td&gt;1.667&lt;/td&gt;&lt;td&gt;2&lt;/td&gt;&lt;td&gt;6&lt;/td&gt;&lt;td&gt;0.333&lt;/td&gt;&lt;td&gt;1&lt;/td&gt;&lt;td&gt;5&lt;/td&gt;&lt;td&gt;0.200&lt;/td&gt;&lt;td&gt;0&lt;/td&gt;&lt;td&gt;0&lt;/td&gt;&lt;td&gt;0.000&lt;/td&gt;&lt;td&gt;1&lt;/td&gt;&lt;td&gt;1&lt;/td&gt;&lt;td&gt;2&lt;/td&gt;&lt;td&gt;0.667&lt;/td&gt;&lt;td&gt;0&lt;/td&gt;&lt;td&gt;0.000&lt;/td&gt;&lt;td&gt;5&lt;/td&gt;&lt;td&gt;1.667&lt;/td&gt;&lt;td&gt;0&lt;/td&gt;&lt;td&gt;0.000&lt;/td&gt;&lt;/tr&gt;</v>
      </c>
    </row>
    <row r="291" spans="1:23" x14ac:dyDescent="0.25">
      <c r="A291" s="10">
        <v>14</v>
      </c>
      <c r="B291" s="12" t="s">
        <v>790</v>
      </c>
      <c r="C291" s="12">
        <v>3</v>
      </c>
      <c r="D291" s="12">
        <v>2</v>
      </c>
      <c r="E291" s="12">
        <v>7</v>
      </c>
      <c r="F291" s="12">
        <v>1</v>
      </c>
      <c r="G291" s="12">
        <v>2</v>
      </c>
      <c r="H291" s="12">
        <v>0</v>
      </c>
      <c r="I291" s="12">
        <v>2</v>
      </c>
      <c r="J291" s="16">
        <f t="shared" si="12"/>
        <v>5</v>
      </c>
      <c r="K291" s="12">
        <v>6</v>
      </c>
      <c r="L291" s="12">
        <v>8</v>
      </c>
      <c r="M291" s="16">
        <f t="shared" si="13"/>
        <v>14</v>
      </c>
      <c r="N291" s="12">
        <v>2</v>
      </c>
      <c r="O291" s="12">
        <v>4</v>
      </c>
      <c r="P291" s="12">
        <v>8</v>
      </c>
      <c r="Q291" s="12">
        <v>1</v>
      </c>
      <c r="R291" s="12">
        <v>4</v>
      </c>
      <c r="S291" s="16">
        <v>0</v>
      </c>
      <c r="T291" s="12">
        <v>53</v>
      </c>
      <c r="U291" s="12" t="s">
        <v>68</v>
      </c>
      <c r="W291" s="10" t="str">
        <f t="shared" si="14"/>
        <v>&lt;tr&gt;&lt;td&gt;Ali Bangura&lt;/td&gt;&lt;td&gt;FRC&lt;/td&gt;&lt;td&gt;3&lt;/td&gt;&lt;td&gt;5&lt;/td&gt;&lt;td&gt;1.667&lt;/td&gt;&lt;td&gt;2&lt;/td&gt;&lt;td&gt;7&lt;/td&gt;&lt;td&gt;0.286&lt;/td&gt;&lt;td&gt;1&lt;/td&gt;&lt;td&gt;2&lt;/td&gt;&lt;td&gt;0.500&lt;/td&gt;&lt;td&gt;0&lt;/td&gt;&lt;td&gt;2&lt;/td&gt;&lt;td&gt;0.000&lt;/td&gt;&lt;td&gt;6&lt;/td&gt;&lt;td&gt;8&lt;/td&gt;&lt;td&gt;14&lt;/td&gt;&lt;td&gt;4.667&lt;/td&gt;&lt;td&gt;4&lt;/td&gt;&lt;td&gt;1.333&lt;/td&gt;&lt;td&gt;4&lt;/td&gt;&lt;td&gt;1.333&lt;/td&gt;&lt;td&gt;1&lt;/td&gt;&lt;td&gt;0.333&lt;/td&gt;&lt;/tr&gt;</v>
      </c>
    </row>
    <row r="292" spans="1:23" x14ac:dyDescent="0.25">
      <c r="A292" s="10">
        <v>13</v>
      </c>
      <c r="B292" s="12" t="s">
        <v>805</v>
      </c>
      <c r="C292" s="12">
        <v>2</v>
      </c>
      <c r="D292" s="12">
        <v>2</v>
      </c>
      <c r="E292" s="12">
        <v>3</v>
      </c>
      <c r="F292" s="12">
        <v>0</v>
      </c>
      <c r="G292" s="12">
        <v>0</v>
      </c>
      <c r="H292" s="12">
        <v>1</v>
      </c>
      <c r="I292" s="12">
        <v>2</v>
      </c>
      <c r="J292" s="16">
        <f t="shared" si="12"/>
        <v>5</v>
      </c>
      <c r="K292" s="12">
        <v>2</v>
      </c>
      <c r="L292" s="12">
        <v>3</v>
      </c>
      <c r="M292" s="16">
        <f t="shared" si="13"/>
        <v>5</v>
      </c>
      <c r="N292" s="12">
        <v>2</v>
      </c>
      <c r="O292" s="12">
        <v>0</v>
      </c>
      <c r="P292" s="12">
        <v>0</v>
      </c>
      <c r="Q292" s="12">
        <v>1</v>
      </c>
      <c r="R292" s="12">
        <v>1</v>
      </c>
      <c r="S292" s="16">
        <v>0</v>
      </c>
      <c r="T292" s="12">
        <v>24</v>
      </c>
      <c r="U292" s="12" t="s">
        <v>62</v>
      </c>
      <c r="W292" s="10" t="str">
        <f t="shared" si="14"/>
        <v>&lt;tr&gt;&lt;td&gt;Ryan Hassar&lt;/td&gt;&lt;td&gt;GCI&lt;/td&gt;&lt;td&gt;2&lt;/td&gt;&lt;td&gt;5&lt;/td&gt;&lt;td&gt;2.500&lt;/td&gt;&lt;td&gt;2&lt;/td&gt;&lt;td&gt;3&lt;/td&gt;&lt;td&gt;0.667&lt;/td&gt;&lt;td&gt;0&lt;/td&gt;&lt;td&gt;0&lt;/td&gt;&lt;td&gt;0.000&lt;/td&gt;&lt;td&gt;1&lt;/td&gt;&lt;td&gt;2&lt;/td&gt;&lt;td&gt;0.500&lt;/td&gt;&lt;td&gt;2&lt;/td&gt;&lt;td&gt;3&lt;/td&gt;&lt;td&gt;5&lt;/td&gt;&lt;td&gt;2.500&lt;/td&gt;&lt;td&gt;0&lt;/td&gt;&lt;td&gt;0.000&lt;/td&gt;&lt;td&gt;1&lt;/td&gt;&lt;td&gt;0.500&lt;/td&gt;&lt;td&gt;1&lt;/td&gt;&lt;td&gt;0.500&lt;/td&gt;&lt;/tr&gt;</v>
      </c>
    </row>
    <row r="293" spans="1:23" x14ac:dyDescent="0.25">
      <c r="A293" s="10">
        <v>13</v>
      </c>
      <c r="B293" s="12" t="s">
        <v>353</v>
      </c>
      <c r="C293" s="12">
        <v>8</v>
      </c>
      <c r="D293" s="12">
        <v>2</v>
      </c>
      <c r="E293" s="12">
        <v>6</v>
      </c>
      <c r="F293" s="12">
        <v>0</v>
      </c>
      <c r="G293" s="12">
        <v>2</v>
      </c>
      <c r="H293" s="12">
        <v>0</v>
      </c>
      <c r="I293" s="12">
        <v>0</v>
      </c>
      <c r="J293" s="16">
        <f t="shared" si="12"/>
        <v>4</v>
      </c>
      <c r="K293" s="12">
        <v>3</v>
      </c>
      <c r="L293" s="12">
        <v>2</v>
      </c>
      <c r="M293" s="16">
        <f t="shared" si="13"/>
        <v>5</v>
      </c>
      <c r="N293" s="12">
        <v>6</v>
      </c>
      <c r="O293" s="12">
        <v>0</v>
      </c>
      <c r="P293" s="12">
        <v>3</v>
      </c>
      <c r="Q293" s="12">
        <v>0</v>
      </c>
      <c r="R293" s="12">
        <v>1</v>
      </c>
      <c r="S293" s="16">
        <v>0</v>
      </c>
      <c r="T293" s="12">
        <v>36</v>
      </c>
      <c r="U293" s="12" t="s">
        <v>60</v>
      </c>
      <c r="W293" s="10" t="str">
        <f t="shared" si="14"/>
        <v>&lt;tr&gt;&lt;td&gt;Jas Rehal&lt;/td&gt;&lt;td&gt;DCI&lt;/td&gt;&lt;td&gt;8&lt;/td&gt;&lt;td&gt;4&lt;/td&gt;&lt;td&gt;0.500&lt;/td&gt;&lt;td&gt;2&lt;/td&gt;&lt;td&gt;6&lt;/td&gt;&lt;td&gt;0.333&lt;/td&gt;&lt;td&gt;0&lt;/td&gt;&lt;td&gt;2&lt;/td&gt;&lt;td&gt;0.000&lt;/td&gt;&lt;td&gt;0&lt;/td&gt;&lt;td&gt;0&lt;/td&gt;&lt;td&gt;0.000&lt;/td&gt;&lt;td&gt;3&lt;/td&gt;&lt;td&gt;2&lt;/td&gt;&lt;td&gt;5&lt;/td&gt;&lt;td&gt;0.625&lt;/td&gt;&lt;td&gt;0&lt;/td&gt;&lt;td&gt;0.000&lt;/td&gt;&lt;td&gt;1&lt;/td&gt;&lt;td&gt;0.125&lt;/td&gt;&lt;td&gt;0&lt;/td&gt;&lt;td&gt;0.000&lt;/td&gt;&lt;/tr&gt;</v>
      </c>
    </row>
    <row r="294" spans="1:23" x14ac:dyDescent="0.25">
      <c r="A294" s="10">
        <v>1</v>
      </c>
      <c r="B294" s="12" t="s">
        <v>359</v>
      </c>
      <c r="C294" s="12">
        <v>6</v>
      </c>
      <c r="D294" s="12">
        <v>1</v>
      </c>
      <c r="E294" s="12">
        <v>5</v>
      </c>
      <c r="F294" s="12">
        <v>1</v>
      </c>
      <c r="G294" s="12">
        <v>3</v>
      </c>
      <c r="H294" s="12">
        <v>1</v>
      </c>
      <c r="I294" s="12">
        <v>2</v>
      </c>
      <c r="J294" s="16">
        <f t="shared" si="12"/>
        <v>4</v>
      </c>
      <c r="K294" s="12">
        <v>1</v>
      </c>
      <c r="L294" s="12">
        <v>2</v>
      </c>
      <c r="M294" s="16">
        <f t="shared" si="13"/>
        <v>3</v>
      </c>
      <c r="N294" s="12">
        <v>9</v>
      </c>
      <c r="O294" s="12">
        <v>1</v>
      </c>
      <c r="P294" s="12">
        <v>8</v>
      </c>
      <c r="Q294" s="12">
        <v>1</v>
      </c>
      <c r="R294" s="12">
        <v>3</v>
      </c>
      <c r="S294" s="16">
        <v>0</v>
      </c>
      <c r="T294" s="12">
        <v>63</v>
      </c>
      <c r="U294" s="12" t="s">
        <v>100</v>
      </c>
      <c r="W294" s="10" t="str">
        <f t="shared" si="14"/>
        <v>&lt;tr&gt;&lt;td&gt;Seth Black&lt;/td&gt;&lt;td&gt;CPRS&lt;/td&gt;&lt;td&gt;6&lt;/td&gt;&lt;td&gt;4&lt;/td&gt;&lt;td&gt;0.667&lt;/td&gt;&lt;td&gt;1&lt;/td&gt;&lt;td&gt;5&lt;/td&gt;&lt;td&gt;0.200&lt;/td&gt;&lt;td&gt;1&lt;/td&gt;&lt;td&gt;3&lt;/td&gt;&lt;td&gt;0.333&lt;/td&gt;&lt;td&gt;1&lt;/td&gt;&lt;td&gt;2&lt;/td&gt;&lt;td&gt;0.500&lt;/td&gt;&lt;td&gt;1&lt;/td&gt;&lt;td&gt;2&lt;/td&gt;&lt;td&gt;3&lt;/td&gt;&lt;td&gt;0.500&lt;/td&gt;&lt;td&gt;1&lt;/td&gt;&lt;td&gt;0.167&lt;/td&gt;&lt;td&gt;3&lt;/td&gt;&lt;td&gt;0.500&lt;/td&gt;&lt;td&gt;1&lt;/td&gt;&lt;td&gt;0.167&lt;/td&gt;&lt;/tr&gt;</v>
      </c>
    </row>
    <row r="295" spans="1:23" x14ac:dyDescent="0.25">
      <c r="A295" s="10">
        <v>7</v>
      </c>
      <c r="B295" s="12" t="s">
        <v>439</v>
      </c>
      <c r="C295" s="12">
        <v>5</v>
      </c>
      <c r="D295" s="12">
        <v>1</v>
      </c>
      <c r="E295" s="12">
        <v>4</v>
      </c>
      <c r="F295" s="12">
        <v>0</v>
      </c>
      <c r="G295" s="12">
        <v>0</v>
      </c>
      <c r="H295" s="12">
        <v>2</v>
      </c>
      <c r="I295" s="12">
        <v>2</v>
      </c>
      <c r="J295" s="16">
        <f t="shared" si="12"/>
        <v>4</v>
      </c>
      <c r="K295" s="12">
        <v>3</v>
      </c>
      <c r="L295" s="12">
        <v>2</v>
      </c>
      <c r="M295" s="16">
        <f t="shared" si="13"/>
        <v>5</v>
      </c>
      <c r="N295" s="12">
        <v>5</v>
      </c>
      <c r="O295" s="12">
        <v>0</v>
      </c>
      <c r="P295" s="12">
        <v>3</v>
      </c>
      <c r="Q295" s="12">
        <v>0</v>
      </c>
      <c r="R295" s="12">
        <v>2</v>
      </c>
      <c r="S295" s="16">
        <v>0</v>
      </c>
      <c r="T295" s="12">
        <v>20</v>
      </c>
      <c r="U295" s="12" t="s">
        <v>80</v>
      </c>
      <c r="W295" s="10" t="str">
        <f t="shared" si="14"/>
        <v>&lt;tr&gt;&lt;td&gt;Neelansh Visen&lt;/td&gt;&lt;td&gt;VMC&lt;/td&gt;&lt;td&gt;5&lt;/td&gt;&lt;td&gt;4&lt;/td&gt;&lt;td&gt;0.800&lt;/td&gt;&lt;td&gt;1&lt;/td&gt;&lt;td&gt;4&lt;/td&gt;&lt;td&gt;0.250&lt;/td&gt;&lt;td&gt;0&lt;/td&gt;&lt;td&gt;0&lt;/td&gt;&lt;td&gt;0.000&lt;/td&gt;&lt;td&gt;2&lt;/td&gt;&lt;td&gt;2&lt;/td&gt;&lt;td&gt;1.000&lt;/td&gt;&lt;td&gt;3&lt;/td&gt;&lt;td&gt;2&lt;/td&gt;&lt;td&gt;5&lt;/td&gt;&lt;td&gt;1.000&lt;/td&gt;&lt;td&gt;0&lt;/td&gt;&lt;td&gt;0.000&lt;/td&gt;&lt;td&gt;2&lt;/td&gt;&lt;td&gt;0.400&lt;/td&gt;&lt;td&gt;0&lt;/td&gt;&lt;td&gt;0.000&lt;/td&gt;&lt;/tr&gt;</v>
      </c>
    </row>
    <row r="296" spans="1:23" x14ac:dyDescent="0.25">
      <c r="A296" s="10">
        <v>6</v>
      </c>
      <c r="B296" s="12" t="s">
        <v>677</v>
      </c>
      <c r="C296" s="12">
        <v>5</v>
      </c>
      <c r="D296" s="12">
        <v>1</v>
      </c>
      <c r="E296" s="12">
        <v>7</v>
      </c>
      <c r="F296" s="12">
        <v>0</v>
      </c>
      <c r="G296" s="12">
        <v>0</v>
      </c>
      <c r="H296" s="12">
        <v>2</v>
      </c>
      <c r="I296" s="12">
        <v>2</v>
      </c>
      <c r="J296" s="16">
        <f t="shared" si="12"/>
        <v>4</v>
      </c>
      <c r="K296" s="12">
        <v>2</v>
      </c>
      <c r="L296" s="12">
        <v>5</v>
      </c>
      <c r="M296" s="16">
        <f t="shared" si="13"/>
        <v>7</v>
      </c>
      <c r="N296" s="12">
        <v>8</v>
      </c>
      <c r="O296" s="12">
        <v>1</v>
      </c>
      <c r="P296" s="12">
        <v>1</v>
      </c>
      <c r="Q296" s="12">
        <v>0</v>
      </c>
      <c r="R296" s="12">
        <v>0</v>
      </c>
      <c r="S296" s="16">
        <v>0</v>
      </c>
      <c r="T296" s="12">
        <v>38</v>
      </c>
      <c r="U296" s="12" t="s">
        <v>82</v>
      </c>
      <c r="W296" s="10" t="str">
        <f t="shared" si="14"/>
        <v>&lt;tr&gt;&lt;td&gt;Rayn Brooks&lt;/td&gt;&lt;td&gt;DMCI&lt;/td&gt;&lt;td&gt;5&lt;/td&gt;&lt;td&gt;4&lt;/td&gt;&lt;td&gt;0.800&lt;/td&gt;&lt;td&gt;1&lt;/td&gt;&lt;td&gt;7&lt;/td&gt;&lt;td&gt;0.143&lt;/td&gt;&lt;td&gt;0&lt;/td&gt;&lt;td&gt;0&lt;/td&gt;&lt;td&gt;0.000&lt;/td&gt;&lt;td&gt;2&lt;/td&gt;&lt;td&gt;2&lt;/td&gt;&lt;td&gt;1.000&lt;/td&gt;&lt;td&gt;2&lt;/td&gt;&lt;td&gt;5&lt;/td&gt;&lt;td&gt;7&lt;/td&gt;&lt;td&gt;1.400&lt;/td&gt;&lt;td&gt;1&lt;/td&gt;&lt;td&gt;0.200&lt;/td&gt;&lt;td&gt;0&lt;/td&gt;&lt;td&gt;0.000&lt;/td&gt;&lt;td&gt;0&lt;/td&gt;&lt;td&gt;0.000&lt;/td&gt;&lt;/tr&gt;</v>
      </c>
    </row>
    <row r="297" spans="1:23" x14ac:dyDescent="0.25">
      <c r="A297" s="10">
        <v>14</v>
      </c>
      <c r="B297" s="12" t="s">
        <v>467</v>
      </c>
      <c r="C297" s="12">
        <v>4</v>
      </c>
      <c r="D297" s="12">
        <v>2</v>
      </c>
      <c r="E297" s="12">
        <v>4</v>
      </c>
      <c r="F297" s="12">
        <v>0</v>
      </c>
      <c r="G297" s="12">
        <v>1</v>
      </c>
      <c r="H297" s="12">
        <v>0</v>
      </c>
      <c r="I297" s="12">
        <v>0</v>
      </c>
      <c r="J297" s="16">
        <f t="shared" si="12"/>
        <v>4</v>
      </c>
      <c r="K297" s="12">
        <v>3</v>
      </c>
      <c r="L297" s="12">
        <v>4</v>
      </c>
      <c r="M297" s="16">
        <f t="shared" si="13"/>
        <v>7</v>
      </c>
      <c r="N297" s="12">
        <v>3</v>
      </c>
      <c r="O297" s="12">
        <v>0</v>
      </c>
      <c r="P297" s="12">
        <v>4</v>
      </c>
      <c r="Q297" s="12">
        <v>0</v>
      </c>
      <c r="R297" s="12">
        <v>1</v>
      </c>
      <c r="S297" s="16">
        <v>0</v>
      </c>
      <c r="T297" s="12">
        <v>53</v>
      </c>
      <c r="U297" s="12" t="s">
        <v>98</v>
      </c>
      <c r="W297" s="10" t="str">
        <f t="shared" si="14"/>
        <v>&lt;tr&gt;&lt;td&gt;Nic Doerksen&lt;/td&gt;&lt;td&gt;WWC&lt;/td&gt;&lt;td&gt;4&lt;/td&gt;&lt;td&gt;4&lt;/td&gt;&lt;td&gt;1.000&lt;/td&gt;&lt;td&gt;2&lt;/td&gt;&lt;td&gt;4&lt;/td&gt;&lt;td&gt;0.500&lt;/td&gt;&lt;td&gt;0&lt;/td&gt;&lt;td&gt;1&lt;/td&gt;&lt;td&gt;0.000&lt;/td&gt;&lt;td&gt;0&lt;/td&gt;&lt;td&gt;0&lt;/td&gt;&lt;td&gt;0.000&lt;/td&gt;&lt;td&gt;3&lt;/td&gt;&lt;td&gt;4&lt;/td&gt;&lt;td&gt;7&lt;/td&gt;&lt;td&gt;1.750&lt;/td&gt;&lt;td&gt;0&lt;/td&gt;&lt;td&gt;0.000&lt;/td&gt;&lt;td&gt;1&lt;/td&gt;&lt;td&gt;0.250&lt;/td&gt;&lt;td&gt;0&lt;/td&gt;&lt;td&gt;0.000&lt;/td&gt;&lt;/tr&gt;</v>
      </c>
    </row>
    <row r="298" spans="1:23" x14ac:dyDescent="0.25">
      <c r="A298" s="10">
        <v>26</v>
      </c>
      <c r="B298" s="12" t="s">
        <v>759</v>
      </c>
      <c r="C298" s="12">
        <v>2</v>
      </c>
      <c r="D298" s="12">
        <v>2</v>
      </c>
      <c r="E298" s="12">
        <v>8</v>
      </c>
      <c r="F298" s="12">
        <v>0</v>
      </c>
      <c r="G298" s="12">
        <v>2</v>
      </c>
      <c r="H298" s="12">
        <v>0</v>
      </c>
      <c r="I298" s="12">
        <v>0</v>
      </c>
      <c r="J298" s="16">
        <f t="shared" si="12"/>
        <v>4</v>
      </c>
      <c r="K298" s="12">
        <v>2</v>
      </c>
      <c r="L298" s="12">
        <v>3</v>
      </c>
      <c r="M298" s="16">
        <f t="shared" si="13"/>
        <v>5</v>
      </c>
      <c r="N298" s="12">
        <v>1</v>
      </c>
      <c r="O298" s="12">
        <v>3</v>
      </c>
      <c r="P298" s="12">
        <v>3</v>
      </c>
      <c r="Q298" s="12">
        <v>0</v>
      </c>
      <c r="R298" s="12">
        <v>0</v>
      </c>
      <c r="S298" s="16">
        <v>0</v>
      </c>
      <c r="T298" s="12">
        <v>16</v>
      </c>
      <c r="U298" s="12" t="s">
        <v>72</v>
      </c>
      <c r="W298" s="10" t="str">
        <f t="shared" si="14"/>
        <v>&lt;tr&gt;&lt;td&gt;Asad Shariff&lt;/td&gt;&lt;td&gt;KHS&lt;/td&gt;&lt;td&gt;2&lt;/td&gt;&lt;td&gt;4&lt;/td&gt;&lt;td&gt;2.000&lt;/td&gt;&lt;td&gt;2&lt;/td&gt;&lt;td&gt;8&lt;/td&gt;&lt;td&gt;0.250&lt;/td&gt;&lt;td&gt;0&lt;/td&gt;&lt;td&gt;2&lt;/td&gt;&lt;td&gt;0.000&lt;/td&gt;&lt;td&gt;0&lt;/td&gt;&lt;td&gt;0&lt;/td&gt;&lt;td&gt;0.000&lt;/td&gt;&lt;td&gt;2&lt;/td&gt;&lt;td&gt;3&lt;/td&gt;&lt;td&gt;5&lt;/td&gt;&lt;td&gt;2.500&lt;/td&gt;&lt;td&gt;3&lt;/td&gt;&lt;td&gt;1.500&lt;/td&gt;&lt;td&gt;0&lt;/td&gt;&lt;td&gt;0.000&lt;/td&gt;&lt;td&gt;0&lt;/td&gt;&lt;td&gt;0.000&lt;/td&gt;&lt;/tr&gt;</v>
      </c>
    </row>
    <row r="299" spans="1:23" x14ac:dyDescent="0.25">
      <c r="A299" s="10">
        <v>6</v>
      </c>
      <c r="B299" s="12" t="s">
        <v>691</v>
      </c>
      <c r="C299" s="12">
        <v>2</v>
      </c>
      <c r="D299" s="12">
        <v>2</v>
      </c>
      <c r="E299" s="12">
        <v>8</v>
      </c>
      <c r="F299" s="12">
        <v>0</v>
      </c>
      <c r="G299" s="12">
        <v>3</v>
      </c>
      <c r="H299" s="12">
        <v>0</v>
      </c>
      <c r="I299" s="12">
        <v>1</v>
      </c>
      <c r="J299" s="16">
        <f t="shared" si="12"/>
        <v>4</v>
      </c>
      <c r="K299" s="12">
        <v>0</v>
      </c>
      <c r="L299" s="12">
        <v>2</v>
      </c>
      <c r="M299" s="16">
        <f t="shared" si="13"/>
        <v>2</v>
      </c>
      <c r="N299" s="12">
        <v>0</v>
      </c>
      <c r="O299" s="12">
        <v>1</v>
      </c>
      <c r="P299" s="12">
        <v>0</v>
      </c>
      <c r="Q299" s="12">
        <v>1</v>
      </c>
      <c r="R299" s="12">
        <v>0</v>
      </c>
      <c r="S299" s="16">
        <v>0</v>
      </c>
      <c r="T299" s="12">
        <v>16</v>
      </c>
      <c r="U299" s="12" t="s">
        <v>78</v>
      </c>
      <c r="W299" s="10" t="str">
        <f t="shared" si="14"/>
        <v>&lt;tr&gt;&lt;td&gt;Aaron Sawbo&lt;/td&gt;&lt;td&gt;SPHS&lt;/td&gt;&lt;td&gt;2&lt;/td&gt;&lt;td&gt;4&lt;/td&gt;&lt;td&gt;2.000&lt;/td&gt;&lt;td&gt;2&lt;/td&gt;&lt;td&gt;8&lt;/td&gt;&lt;td&gt;0.250&lt;/td&gt;&lt;td&gt;0&lt;/td&gt;&lt;td&gt;3&lt;/td&gt;&lt;td&gt;0.000&lt;/td&gt;&lt;td&gt;0&lt;/td&gt;&lt;td&gt;1&lt;/td&gt;&lt;td&gt;0.000&lt;/td&gt;&lt;td&gt;0&lt;/td&gt;&lt;td&gt;2&lt;/td&gt;&lt;td&gt;2&lt;/td&gt;&lt;td&gt;1.000&lt;/td&gt;&lt;td&gt;1&lt;/td&gt;&lt;td&gt;0.500&lt;/td&gt;&lt;td&gt;0&lt;/td&gt;&lt;td&gt;0.000&lt;/td&gt;&lt;td&gt;1&lt;/td&gt;&lt;td&gt;0.500&lt;/td&gt;&lt;/tr&gt;</v>
      </c>
    </row>
    <row r="300" spans="1:23" x14ac:dyDescent="0.25">
      <c r="A300" s="10">
        <v>15</v>
      </c>
      <c r="B300" s="12" t="s">
        <v>370</v>
      </c>
      <c r="C300" s="12">
        <v>6</v>
      </c>
      <c r="D300" s="12">
        <v>1</v>
      </c>
      <c r="E300" s="12">
        <v>11</v>
      </c>
      <c r="F300" s="12">
        <v>1</v>
      </c>
      <c r="G300" s="12">
        <v>11</v>
      </c>
      <c r="H300" s="12">
        <v>0</v>
      </c>
      <c r="I300" s="12">
        <v>0</v>
      </c>
      <c r="J300" s="16">
        <f t="shared" si="12"/>
        <v>3</v>
      </c>
      <c r="K300" s="12">
        <v>3</v>
      </c>
      <c r="L300" s="12">
        <v>1</v>
      </c>
      <c r="M300" s="16">
        <f t="shared" si="13"/>
        <v>4</v>
      </c>
      <c r="N300" s="12">
        <v>4</v>
      </c>
      <c r="O300" s="12">
        <v>1</v>
      </c>
      <c r="P300" s="12">
        <v>3</v>
      </c>
      <c r="Q300" s="12">
        <v>0</v>
      </c>
      <c r="R300" s="12">
        <v>0</v>
      </c>
      <c r="S300" s="16">
        <v>0</v>
      </c>
      <c r="T300" s="12">
        <v>35</v>
      </c>
      <c r="U300" s="12" t="s">
        <v>100</v>
      </c>
      <c r="W300" s="10" t="str">
        <f t="shared" si="14"/>
        <v>&lt;tr&gt;&lt;td&gt;Bryce McDonald-Norman&lt;/td&gt;&lt;td&gt;CPRS&lt;/td&gt;&lt;td&gt;6&lt;/td&gt;&lt;td&gt;3&lt;/td&gt;&lt;td&gt;0.500&lt;/td&gt;&lt;td&gt;1&lt;/td&gt;&lt;td&gt;11&lt;/td&gt;&lt;td&gt;0.091&lt;/td&gt;&lt;td&gt;1&lt;/td&gt;&lt;td&gt;11&lt;/td&gt;&lt;td&gt;0.091&lt;/td&gt;&lt;td&gt;0&lt;/td&gt;&lt;td&gt;0&lt;/td&gt;&lt;td&gt;0.000&lt;/td&gt;&lt;td&gt;3&lt;/td&gt;&lt;td&gt;1&lt;/td&gt;&lt;td&gt;4&lt;/td&gt;&lt;td&gt;0.667&lt;/td&gt;&lt;td&gt;1&lt;/td&gt;&lt;td&gt;0.167&lt;/td&gt;&lt;td&gt;0&lt;/td&gt;&lt;td&gt;0.000&lt;/td&gt;&lt;td&gt;0&lt;/td&gt;&lt;td&gt;0.000&lt;/td&gt;&lt;/tr&gt;</v>
      </c>
    </row>
    <row r="301" spans="1:23" x14ac:dyDescent="0.25">
      <c r="A301" s="10">
        <v>6</v>
      </c>
      <c r="B301" s="12" t="s">
        <v>473</v>
      </c>
      <c r="C301" s="12">
        <v>5</v>
      </c>
      <c r="D301" s="12">
        <v>1</v>
      </c>
      <c r="E301" s="12">
        <v>10</v>
      </c>
      <c r="F301" s="12">
        <v>1</v>
      </c>
      <c r="G301" s="12">
        <v>7</v>
      </c>
      <c r="H301" s="12">
        <v>0</v>
      </c>
      <c r="I301" s="12">
        <v>0</v>
      </c>
      <c r="J301" s="16">
        <f t="shared" si="12"/>
        <v>3</v>
      </c>
      <c r="K301" s="12">
        <v>4</v>
      </c>
      <c r="L301" s="12">
        <v>0</v>
      </c>
      <c r="M301" s="16">
        <f t="shared" si="13"/>
        <v>4</v>
      </c>
      <c r="N301" s="12">
        <v>1</v>
      </c>
      <c r="O301" s="12">
        <v>0</v>
      </c>
      <c r="P301" s="12">
        <v>2</v>
      </c>
      <c r="Q301" s="12">
        <v>0</v>
      </c>
      <c r="R301" s="12">
        <v>2</v>
      </c>
      <c r="S301" s="16">
        <v>0</v>
      </c>
      <c r="T301" s="12">
        <v>31</v>
      </c>
      <c r="U301" s="12" t="s">
        <v>64</v>
      </c>
      <c r="W301" s="10" t="str">
        <f t="shared" si="14"/>
        <v>&lt;tr&gt;&lt;td&gt;Jason Tran&lt;/td&gt;&lt;td&gt;JHB&lt;/td&gt;&lt;td&gt;5&lt;/td&gt;&lt;td&gt;3&lt;/td&gt;&lt;td&gt;0.600&lt;/td&gt;&lt;td&gt;1&lt;/td&gt;&lt;td&gt;10&lt;/td&gt;&lt;td&gt;0.100&lt;/td&gt;&lt;td&gt;1&lt;/td&gt;&lt;td&gt;7&lt;/td&gt;&lt;td&gt;0.143&lt;/td&gt;&lt;td&gt;0&lt;/td&gt;&lt;td&gt;0&lt;/td&gt;&lt;td&gt;0.000&lt;/td&gt;&lt;td&gt;4&lt;/td&gt;&lt;td&gt;0&lt;/td&gt;&lt;td&gt;4&lt;/td&gt;&lt;td&gt;0.800&lt;/td&gt;&lt;td&gt;0&lt;/td&gt;&lt;td&gt;0.000&lt;/td&gt;&lt;td&gt;2&lt;/td&gt;&lt;td&gt;0.400&lt;/td&gt;&lt;td&gt;0&lt;/td&gt;&lt;td&gt;0.000&lt;/td&gt;&lt;/tr&gt;</v>
      </c>
    </row>
    <row r="302" spans="1:23" x14ac:dyDescent="0.25">
      <c r="A302" s="10">
        <v>3</v>
      </c>
      <c r="B302" s="12" t="s">
        <v>674</v>
      </c>
      <c r="C302" s="12">
        <v>4</v>
      </c>
      <c r="D302" s="12">
        <v>1</v>
      </c>
      <c r="E302" s="12">
        <v>4</v>
      </c>
      <c r="F302" s="12">
        <v>0</v>
      </c>
      <c r="G302" s="12">
        <v>0</v>
      </c>
      <c r="H302" s="12">
        <v>1</v>
      </c>
      <c r="I302" s="12">
        <v>2</v>
      </c>
      <c r="J302" s="16">
        <f t="shared" si="12"/>
        <v>3</v>
      </c>
      <c r="K302" s="12">
        <v>1</v>
      </c>
      <c r="L302" s="12">
        <v>3</v>
      </c>
      <c r="M302" s="16">
        <f t="shared" si="13"/>
        <v>4</v>
      </c>
      <c r="N302" s="12">
        <v>0</v>
      </c>
      <c r="O302" s="12">
        <v>2</v>
      </c>
      <c r="P302" s="12">
        <v>5</v>
      </c>
      <c r="Q302" s="12">
        <v>0</v>
      </c>
      <c r="R302" s="12">
        <v>6</v>
      </c>
      <c r="S302" s="16">
        <v>0</v>
      </c>
      <c r="T302" s="12">
        <v>21</v>
      </c>
      <c r="U302" s="12" t="s">
        <v>82</v>
      </c>
      <c r="W302" s="10" t="str">
        <f t="shared" si="14"/>
        <v>&lt;tr&gt;&lt;td&gt;Elijah Ochogi&lt;/td&gt;&lt;td&gt;DMCI&lt;/td&gt;&lt;td&gt;4&lt;/td&gt;&lt;td&gt;3&lt;/td&gt;&lt;td&gt;0.750&lt;/td&gt;&lt;td&gt;1&lt;/td&gt;&lt;td&gt;4&lt;/td&gt;&lt;td&gt;0.250&lt;/td&gt;&lt;td&gt;0&lt;/td&gt;&lt;td&gt;0&lt;/td&gt;&lt;td&gt;0.000&lt;/td&gt;&lt;td&gt;1&lt;/td&gt;&lt;td&gt;2&lt;/td&gt;&lt;td&gt;0.500&lt;/td&gt;&lt;td&gt;1&lt;/td&gt;&lt;td&gt;3&lt;/td&gt;&lt;td&gt;4&lt;/td&gt;&lt;td&gt;1.000&lt;/td&gt;&lt;td&gt;2&lt;/td&gt;&lt;td&gt;0.500&lt;/td&gt;&lt;td&gt;6&lt;/td&gt;&lt;td&gt;1.500&lt;/td&gt;&lt;td&gt;0&lt;/td&gt;&lt;td&gt;0.000&lt;/td&gt;&lt;/tr&gt;</v>
      </c>
    </row>
    <row r="303" spans="1:23" x14ac:dyDescent="0.25">
      <c r="A303" s="10">
        <v>6</v>
      </c>
      <c r="B303" s="12" t="s">
        <v>438</v>
      </c>
      <c r="C303" s="12">
        <v>4</v>
      </c>
      <c r="D303" s="12">
        <v>1</v>
      </c>
      <c r="E303" s="12">
        <v>9</v>
      </c>
      <c r="F303" s="12">
        <v>1</v>
      </c>
      <c r="G303" s="12">
        <v>9</v>
      </c>
      <c r="H303" s="12">
        <v>0</v>
      </c>
      <c r="I303" s="12">
        <v>0</v>
      </c>
      <c r="J303" s="16">
        <f t="shared" si="12"/>
        <v>3</v>
      </c>
      <c r="K303" s="12">
        <v>0</v>
      </c>
      <c r="L303" s="12">
        <v>1</v>
      </c>
      <c r="M303" s="16">
        <f t="shared" si="13"/>
        <v>1</v>
      </c>
      <c r="N303" s="12">
        <v>3</v>
      </c>
      <c r="O303" s="12">
        <v>2</v>
      </c>
      <c r="P303" s="12">
        <v>0</v>
      </c>
      <c r="Q303" s="12">
        <v>0</v>
      </c>
      <c r="R303" s="12">
        <v>1</v>
      </c>
      <c r="S303" s="16">
        <v>0</v>
      </c>
      <c r="T303" s="12">
        <v>23</v>
      </c>
      <c r="U303" s="12" t="s">
        <v>80</v>
      </c>
      <c r="W303" s="10" t="str">
        <f t="shared" si="14"/>
        <v>&lt;tr&gt;&lt;td&gt;Shazil Ghourri&lt;/td&gt;&lt;td&gt;VMC&lt;/td&gt;&lt;td&gt;4&lt;/td&gt;&lt;td&gt;3&lt;/td&gt;&lt;td&gt;0.750&lt;/td&gt;&lt;td&gt;1&lt;/td&gt;&lt;td&gt;9&lt;/td&gt;&lt;td&gt;0.111&lt;/td&gt;&lt;td&gt;1&lt;/td&gt;&lt;td&gt;9&lt;/td&gt;&lt;td&gt;0.111&lt;/td&gt;&lt;td&gt;0&lt;/td&gt;&lt;td&gt;0&lt;/td&gt;&lt;td&gt;0.000&lt;/td&gt;&lt;td&gt;0&lt;/td&gt;&lt;td&gt;1&lt;/td&gt;&lt;td&gt;1&lt;/td&gt;&lt;td&gt;0.250&lt;/td&gt;&lt;td&gt;2&lt;/td&gt;&lt;td&gt;0.500&lt;/td&gt;&lt;td&gt;1&lt;/td&gt;&lt;td&gt;0.250&lt;/td&gt;&lt;td&gt;0&lt;/td&gt;&lt;td&gt;0.000&lt;/td&gt;&lt;/tr&gt;</v>
      </c>
    </row>
    <row r="304" spans="1:23" x14ac:dyDescent="0.25">
      <c r="A304" s="10">
        <v>38</v>
      </c>
      <c r="B304" s="12" t="s">
        <v>503</v>
      </c>
      <c r="C304" s="12">
        <v>4</v>
      </c>
      <c r="D304" s="12">
        <v>1</v>
      </c>
      <c r="E304" s="12">
        <v>5</v>
      </c>
      <c r="F304" s="12">
        <v>0</v>
      </c>
      <c r="G304" s="12">
        <v>0</v>
      </c>
      <c r="H304" s="12">
        <v>1</v>
      </c>
      <c r="I304" s="12">
        <v>2</v>
      </c>
      <c r="J304" s="16">
        <f t="shared" si="12"/>
        <v>3</v>
      </c>
      <c r="K304" s="12">
        <v>4</v>
      </c>
      <c r="L304" s="12">
        <v>4</v>
      </c>
      <c r="M304" s="16">
        <f t="shared" si="13"/>
        <v>8</v>
      </c>
      <c r="N304" s="12">
        <v>3</v>
      </c>
      <c r="O304" s="12">
        <v>3</v>
      </c>
      <c r="P304" s="12">
        <v>4</v>
      </c>
      <c r="Q304" s="12">
        <v>0</v>
      </c>
      <c r="R304" s="12">
        <v>1</v>
      </c>
      <c r="S304" s="16">
        <v>0</v>
      </c>
      <c r="T304" s="12">
        <v>32</v>
      </c>
      <c r="U304" s="12" t="s">
        <v>52</v>
      </c>
      <c r="W304" s="10" t="str">
        <f t="shared" si="14"/>
        <v>&lt;tr&gt;&lt;td&gt;Michele Killge&lt;/td&gt;&lt;td&gt;REC&lt;/td&gt;&lt;td&gt;4&lt;/td&gt;&lt;td&gt;3&lt;/td&gt;&lt;td&gt;0.750&lt;/td&gt;&lt;td&gt;1&lt;/td&gt;&lt;td&gt;5&lt;/td&gt;&lt;td&gt;0.200&lt;/td&gt;&lt;td&gt;0&lt;/td&gt;&lt;td&gt;0&lt;/td&gt;&lt;td&gt;0.000&lt;/td&gt;&lt;td&gt;1&lt;/td&gt;&lt;td&gt;2&lt;/td&gt;&lt;td&gt;0.500&lt;/td&gt;&lt;td&gt;4&lt;/td&gt;&lt;td&gt;4&lt;/td&gt;&lt;td&gt;8&lt;/td&gt;&lt;td&gt;2.000&lt;/td&gt;&lt;td&gt;3&lt;/td&gt;&lt;td&gt;0.750&lt;/td&gt;&lt;td&gt;1&lt;/td&gt;&lt;td&gt;0.250&lt;/td&gt;&lt;td&gt;0&lt;/td&gt;&lt;td&gt;0.000&lt;/td&gt;&lt;/tr&gt;</v>
      </c>
    </row>
    <row r="305" spans="1:23" x14ac:dyDescent="0.25">
      <c r="A305" s="10">
        <v>42</v>
      </c>
      <c r="B305" s="12" t="s">
        <v>757</v>
      </c>
      <c r="C305" s="12">
        <v>3</v>
      </c>
      <c r="D305" s="12">
        <v>1</v>
      </c>
      <c r="E305" s="12">
        <v>9</v>
      </c>
      <c r="F305" s="12">
        <v>1</v>
      </c>
      <c r="G305" s="12">
        <v>6</v>
      </c>
      <c r="H305" s="12">
        <v>0</v>
      </c>
      <c r="I305" s="12">
        <v>0</v>
      </c>
      <c r="J305" s="16">
        <f t="shared" si="12"/>
        <v>3</v>
      </c>
      <c r="K305" s="12">
        <v>2</v>
      </c>
      <c r="L305" s="12">
        <v>2</v>
      </c>
      <c r="M305" s="16">
        <f t="shared" si="13"/>
        <v>4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6">
        <v>0</v>
      </c>
      <c r="T305" s="12">
        <v>8</v>
      </c>
      <c r="U305" s="12" t="s">
        <v>7</v>
      </c>
      <c r="W305" s="10" t="str">
        <f t="shared" si="14"/>
        <v>&lt;tr&gt;&lt;td&gt;Vikram Sandhu&lt;/td&gt;&lt;td&gt;MBCI&lt;/td&gt;&lt;td&gt;3&lt;/td&gt;&lt;td&gt;3&lt;/td&gt;&lt;td&gt;1.000&lt;/td&gt;&lt;td&gt;1&lt;/td&gt;&lt;td&gt;9&lt;/td&gt;&lt;td&gt;0.111&lt;/td&gt;&lt;td&gt;1&lt;/td&gt;&lt;td&gt;6&lt;/td&gt;&lt;td&gt;0.167&lt;/td&gt;&lt;td&gt;0&lt;/td&gt;&lt;td&gt;0&lt;/td&gt;&lt;td&gt;0.000&lt;/td&gt;&lt;td&gt;2&lt;/td&gt;&lt;td&gt;2&lt;/td&gt;&lt;td&gt;4&lt;/td&gt;&lt;td&gt;1.333&lt;/td&gt;&lt;td&gt;0&lt;/td&gt;&lt;td&gt;0.000&lt;/td&gt;&lt;td&gt;0&lt;/td&gt;&lt;td&gt;0.000&lt;/td&gt;&lt;td&gt;0&lt;/td&gt;&lt;td&gt;0.000&lt;/td&gt;&lt;/tr&gt;</v>
      </c>
    </row>
    <row r="306" spans="1:23" x14ac:dyDescent="0.25">
      <c r="A306" s="10">
        <v>30</v>
      </c>
      <c r="B306" s="12" t="s">
        <v>794</v>
      </c>
      <c r="C306" s="12">
        <v>3</v>
      </c>
      <c r="D306" s="12">
        <v>1</v>
      </c>
      <c r="E306" s="12">
        <v>5</v>
      </c>
      <c r="F306" s="12">
        <v>1</v>
      </c>
      <c r="G306" s="12">
        <v>3</v>
      </c>
      <c r="H306" s="12">
        <v>0</v>
      </c>
      <c r="I306" s="12">
        <v>0</v>
      </c>
      <c r="J306" s="16">
        <f t="shared" si="12"/>
        <v>3</v>
      </c>
      <c r="K306" s="12">
        <v>0</v>
      </c>
      <c r="L306" s="12">
        <v>0</v>
      </c>
      <c r="M306" s="16">
        <f t="shared" si="13"/>
        <v>0</v>
      </c>
      <c r="N306" s="12">
        <v>1</v>
      </c>
      <c r="O306" s="12">
        <v>0</v>
      </c>
      <c r="P306" s="12">
        <v>0</v>
      </c>
      <c r="Q306" s="12">
        <v>0</v>
      </c>
      <c r="R306" s="12">
        <v>0</v>
      </c>
      <c r="S306" s="16">
        <v>0</v>
      </c>
      <c r="T306" s="12">
        <v>11</v>
      </c>
      <c r="U306" s="12" t="s">
        <v>52</v>
      </c>
      <c r="W306" s="10" t="str">
        <f t="shared" si="14"/>
        <v>&lt;tr&gt;&lt;td&gt;Alasdair DeKoning&lt;/td&gt;&lt;td&gt;REC&lt;/td&gt;&lt;td&gt;3&lt;/td&gt;&lt;td&gt;3&lt;/td&gt;&lt;td&gt;1.000&lt;/td&gt;&lt;td&gt;1&lt;/td&gt;&lt;td&gt;5&lt;/td&gt;&lt;td&gt;0.200&lt;/td&gt;&lt;td&gt;1&lt;/td&gt;&lt;td&gt;3&lt;/td&gt;&lt;td&gt;0.333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07" spans="1:23" x14ac:dyDescent="0.25">
      <c r="A307" s="10">
        <v>17</v>
      </c>
      <c r="B307" s="12" t="s">
        <v>792</v>
      </c>
      <c r="C307" s="12">
        <v>2</v>
      </c>
      <c r="D307" s="12">
        <v>1</v>
      </c>
      <c r="E307" s="12">
        <v>3</v>
      </c>
      <c r="F307" s="12">
        <v>1</v>
      </c>
      <c r="G307" s="12">
        <v>2</v>
      </c>
      <c r="H307" s="12">
        <v>0</v>
      </c>
      <c r="I307" s="12">
        <v>0</v>
      </c>
      <c r="J307" s="16">
        <f t="shared" si="12"/>
        <v>3</v>
      </c>
      <c r="K307" s="12">
        <v>0</v>
      </c>
      <c r="L307" s="12">
        <v>1</v>
      </c>
      <c r="M307" s="16">
        <f t="shared" si="13"/>
        <v>1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6">
        <v>0</v>
      </c>
      <c r="T307" s="12">
        <v>5</v>
      </c>
      <c r="U307" s="12" t="s">
        <v>52</v>
      </c>
      <c r="W307" s="10" t="str">
        <f t="shared" si="14"/>
        <v>&lt;tr&gt;&lt;td&gt;Evan Warnock&lt;/td&gt;&lt;td&gt;REC&lt;/td&gt;&lt;td&gt;2&lt;/td&gt;&lt;td&gt;3&lt;/td&gt;&lt;td&gt;1.500&lt;/td&gt;&lt;td&gt;1&lt;/td&gt;&lt;td&gt;3&lt;/td&gt;&lt;td&gt;0.333&lt;/td&gt;&lt;td&gt;1&lt;/td&gt;&lt;td&gt;2&lt;/td&gt;&lt;td&gt;0.500&lt;/td&gt;&lt;td&gt;0&lt;/td&gt;&lt;td&gt;0&lt;/td&gt;&lt;td&gt;0.000&lt;/td&gt;&lt;td&gt;0&lt;/td&gt;&lt;td&gt;1&lt;/td&gt;&lt;td&gt;1&lt;/td&gt;&lt;td&gt;0.500&lt;/td&gt;&lt;td&gt;0&lt;/td&gt;&lt;td&gt;0.000&lt;/td&gt;&lt;td&gt;0&lt;/td&gt;&lt;td&gt;0.000&lt;/td&gt;&lt;td&gt;0&lt;/td&gt;&lt;td&gt;0.000&lt;/td&gt;&lt;/tr&gt;</v>
      </c>
    </row>
    <row r="308" spans="1:23" x14ac:dyDescent="0.25">
      <c r="A308" s="10">
        <v>14</v>
      </c>
      <c r="B308" s="12" t="s">
        <v>713</v>
      </c>
      <c r="C308" s="12">
        <v>2</v>
      </c>
      <c r="D308" s="12">
        <v>1</v>
      </c>
      <c r="E308" s="12">
        <v>1</v>
      </c>
      <c r="F308" s="12">
        <v>1</v>
      </c>
      <c r="G308" s="12">
        <v>1</v>
      </c>
      <c r="H308" s="12">
        <v>0</v>
      </c>
      <c r="I308" s="12">
        <v>0</v>
      </c>
      <c r="J308" s="16">
        <f t="shared" si="12"/>
        <v>3</v>
      </c>
      <c r="K308" s="12">
        <v>0</v>
      </c>
      <c r="L308" s="12">
        <v>2</v>
      </c>
      <c r="M308" s="16">
        <f t="shared" si="13"/>
        <v>2</v>
      </c>
      <c r="N308" s="12">
        <v>1</v>
      </c>
      <c r="O308" s="12">
        <v>0</v>
      </c>
      <c r="P308" s="12">
        <v>1</v>
      </c>
      <c r="Q308" s="12">
        <v>0</v>
      </c>
      <c r="R308" s="12">
        <v>0</v>
      </c>
      <c r="S308" s="16">
        <v>0</v>
      </c>
      <c r="T308" s="12">
        <v>6</v>
      </c>
      <c r="U308" s="12" t="s">
        <v>70</v>
      </c>
      <c r="W308" s="10" t="str">
        <f t="shared" si="14"/>
        <v>&lt;tr&gt;&lt;td&gt;Brett Armstrong&lt;/td&gt;&lt;td&gt;JTC&lt;/td&gt;&lt;td&gt;2&lt;/td&gt;&lt;td&gt;3&lt;/td&gt;&lt;td&gt;1.500&lt;/td&gt;&lt;td&gt;1&lt;/td&gt;&lt;td&gt;1&lt;/td&gt;&lt;td&gt;1.000&lt;/td&gt;&lt;td&gt;1&lt;/td&gt;&lt;td&gt;1&lt;/td&gt;&lt;td&gt;1.000&lt;/td&gt;&lt;td&gt;0&lt;/td&gt;&lt;td&gt;0&lt;/td&gt;&lt;td&gt;0.000&lt;/td&gt;&lt;td&gt;0&lt;/td&gt;&lt;td&gt;2&lt;/td&gt;&lt;td&gt;2&lt;/td&gt;&lt;td&gt;1.000&lt;/td&gt;&lt;td&gt;0&lt;/td&gt;&lt;td&gt;0.000&lt;/td&gt;&lt;td&gt;0&lt;/td&gt;&lt;td&gt;0.000&lt;/td&gt;&lt;td&gt;0&lt;/td&gt;&lt;td&gt;0.000&lt;/td&gt;&lt;/tr&gt;</v>
      </c>
    </row>
    <row r="309" spans="1:23" x14ac:dyDescent="0.25">
      <c r="A309" s="10">
        <v>9</v>
      </c>
      <c r="B309" s="12" t="s">
        <v>547</v>
      </c>
      <c r="C309" s="12">
        <v>10</v>
      </c>
      <c r="D309" s="12">
        <v>1</v>
      </c>
      <c r="E309" s="12">
        <v>10</v>
      </c>
      <c r="F309" s="12">
        <v>0</v>
      </c>
      <c r="G309" s="12">
        <v>0</v>
      </c>
      <c r="H309" s="12">
        <v>0</v>
      </c>
      <c r="I309" s="12">
        <v>2</v>
      </c>
      <c r="J309" s="16">
        <f t="shared" si="12"/>
        <v>2</v>
      </c>
      <c r="K309" s="12">
        <v>4</v>
      </c>
      <c r="L309" s="12">
        <v>14</v>
      </c>
      <c r="M309" s="16">
        <f t="shared" si="13"/>
        <v>18</v>
      </c>
      <c r="N309" s="12">
        <v>16</v>
      </c>
      <c r="O309" s="12">
        <v>1</v>
      </c>
      <c r="P309" s="12">
        <v>11</v>
      </c>
      <c r="Q309" s="12">
        <v>2</v>
      </c>
      <c r="R309" s="12">
        <v>1</v>
      </c>
      <c r="S309" s="16">
        <v>0</v>
      </c>
      <c r="T309" s="12">
        <v>143</v>
      </c>
      <c r="U309" s="12" t="s">
        <v>540</v>
      </c>
      <c r="W309" s="10" t="str">
        <f t="shared" si="14"/>
        <v>&lt;tr&gt;&lt;td&gt;Charn Brar&lt;/td&gt;&lt;td&gt;SJR&lt;/td&gt;&lt;td&gt;10&lt;/td&gt;&lt;td&gt;2&lt;/td&gt;&lt;td&gt;0.200&lt;/td&gt;&lt;td&gt;1&lt;/td&gt;&lt;td&gt;10&lt;/td&gt;&lt;td&gt;0.100&lt;/td&gt;&lt;td&gt;0&lt;/td&gt;&lt;td&gt;0&lt;/td&gt;&lt;td&gt;0.000&lt;/td&gt;&lt;td&gt;0&lt;/td&gt;&lt;td&gt;2&lt;/td&gt;&lt;td&gt;0.000&lt;/td&gt;&lt;td&gt;4&lt;/td&gt;&lt;td&gt;14&lt;/td&gt;&lt;td&gt;18&lt;/td&gt;&lt;td&gt;1.800&lt;/td&gt;&lt;td&gt;1&lt;/td&gt;&lt;td&gt;0.100&lt;/td&gt;&lt;td&gt;1&lt;/td&gt;&lt;td&gt;0.100&lt;/td&gt;&lt;td&gt;2&lt;/td&gt;&lt;td&gt;0.200&lt;/td&gt;&lt;/tr&gt;</v>
      </c>
    </row>
    <row r="310" spans="1:23" x14ac:dyDescent="0.25">
      <c r="A310" s="10">
        <v>12</v>
      </c>
      <c r="B310" s="12" t="s">
        <v>415</v>
      </c>
      <c r="C310" s="12">
        <v>7</v>
      </c>
      <c r="D310" s="12">
        <v>1</v>
      </c>
      <c r="E310" s="12">
        <v>11</v>
      </c>
      <c r="F310" s="12">
        <v>0</v>
      </c>
      <c r="G310" s="12">
        <v>1</v>
      </c>
      <c r="H310" s="12">
        <v>0</v>
      </c>
      <c r="I310" s="12">
        <v>0</v>
      </c>
      <c r="J310" s="16">
        <f t="shared" si="12"/>
        <v>2</v>
      </c>
      <c r="K310" s="12">
        <v>3</v>
      </c>
      <c r="L310" s="12">
        <v>2</v>
      </c>
      <c r="M310" s="16">
        <f t="shared" si="13"/>
        <v>5</v>
      </c>
      <c r="N310" s="12">
        <v>4</v>
      </c>
      <c r="O310" s="12">
        <v>1</v>
      </c>
      <c r="P310" s="12">
        <v>4</v>
      </c>
      <c r="Q310" s="12">
        <v>0</v>
      </c>
      <c r="R310" s="12">
        <v>2</v>
      </c>
      <c r="S310" s="16">
        <v>0</v>
      </c>
      <c r="T310" s="12">
        <v>70</v>
      </c>
      <c r="U310" s="12" t="s">
        <v>43</v>
      </c>
      <c r="W310" s="10" t="str">
        <f t="shared" si="14"/>
        <v>&lt;tr&gt;&lt;td&gt;Adrian Uliczko&lt;/td&gt;&lt;td&gt;KEC&lt;/td&gt;&lt;td&gt;7&lt;/td&gt;&lt;td&gt;2&lt;/td&gt;&lt;td&gt;0.286&lt;/td&gt;&lt;td&gt;1&lt;/td&gt;&lt;td&gt;11&lt;/td&gt;&lt;td&gt;0.091&lt;/td&gt;&lt;td&gt;0&lt;/td&gt;&lt;td&gt;1&lt;/td&gt;&lt;td&gt;0.000&lt;/td&gt;&lt;td&gt;0&lt;/td&gt;&lt;td&gt;0&lt;/td&gt;&lt;td&gt;0.000&lt;/td&gt;&lt;td&gt;3&lt;/td&gt;&lt;td&gt;2&lt;/td&gt;&lt;td&gt;5&lt;/td&gt;&lt;td&gt;0.714&lt;/td&gt;&lt;td&gt;1&lt;/td&gt;&lt;td&gt;0.143&lt;/td&gt;&lt;td&gt;2&lt;/td&gt;&lt;td&gt;0.286&lt;/td&gt;&lt;td&gt;0&lt;/td&gt;&lt;td&gt;0.000&lt;/td&gt;&lt;/tr&gt;</v>
      </c>
    </row>
    <row r="311" spans="1:23" x14ac:dyDescent="0.25">
      <c r="A311" s="10">
        <v>10</v>
      </c>
      <c r="B311" s="12" t="s">
        <v>313</v>
      </c>
      <c r="C311" s="12">
        <v>6</v>
      </c>
      <c r="D311" s="12">
        <v>1</v>
      </c>
      <c r="E311" s="12">
        <v>3</v>
      </c>
      <c r="F311" s="12">
        <v>0</v>
      </c>
      <c r="G311" s="12">
        <v>1</v>
      </c>
      <c r="H311" s="12">
        <v>0</v>
      </c>
      <c r="I311" s="12">
        <v>2</v>
      </c>
      <c r="J311" s="16">
        <f t="shared" si="12"/>
        <v>2</v>
      </c>
      <c r="K311" s="12">
        <v>0</v>
      </c>
      <c r="L311" s="12">
        <v>3</v>
      </c>
      <c r="M311" s="16">
        <f t="shared" si="13"/>
        <v>3</v>
      </c>
      <c r="N311" s="12">
        <v>4</v>
      </c>
      <c r="O311" s="12">
        <v>0</v>
      </c>
      <c r="P311" s="12">
        <v>3</v>
      </c>
      <c r="Q311" s="12">
        <v>0</v>
      </c>
      <c r="R311" s="12">
        <v>0</v>
      </c>
      <c r="S311" s="16">
        <v>0</v>
      </c>
      <c r="T311" s="12">
        <v>25</v>
      </c>
      <c r="U311" s="12" t="s">
        <v>74</v>
      </c>
      <c r="W311" s="10" t="str">
        <f t="shared" si="14"/>
        <v>&lt;tr&gt;&lt;td&gt;Enrico Arecga&lt;/td&gt;&lt;td&gt;OPHS&lt;/td&gt;&lt;td&gt;6&lt;/td&gt;&lt;td&gt;2&lt;/td&gt;&lt;td&gt;0.333&lt;/td&gt;&lt;td&gt;1&lt;/td&gt;&lt;td&gt;3&lt;/td&gt;&lt;td&gt;0.333&lt;/td&gt;&lt;td&gt;0&lt;/td&gt;&lt;td&gt;1&lt;/td&gt;&lt;td&gt;0.000&lt;/td&gt;&lt;td&gt;0&lt;/td&gt;&lt;td&gt;2&lt;/td&gt;&lt;td&gt;0.000&lt;/td&gt;&lt;td&gt;0&lt;/td&gt;&lt;td&gt;3&lt;/td&gt;&lt;td&gt;3&lt;/td&gt;&lt;td&gt;0.500&lt;/td&gt;&lt;td&gt;0&lt;/td&gt;&lt;td&gt;0.000&lt;/td&gt;&lt;td&gt;0&lt;/td&gt;&lt;td&gt;0.000&lt;/td&gt;&lt;td&gt;0&lt;/td&gt;&lt;td&gt;0.000&lt;/td&gt;&lt;/tr&gt;</v>
      </c>
    </row>
    <row r="312" spans="1:23" x14ac:dyDescent="0.25">
      <c r="A312" s="10">
        <v>5</v>
      </c>
      <c r="B312" s="12" t="s">
        <v>486</v>
      </c>
      <c r="C312" s="12">
        <v>6</v>
      </c>
      <c r="D312" s="12">
        <v>0</v>
      </c>
      <c r="E312" s="12">
        <v>14</v>
      </c>
      <c r="F312" s="12">
        <v>0</v>
      </c>
      <c r="G312" s="12">
        <v>9</v>
      </c>
      <c r="H312" s="12">
        <v>2</v>
      </c>
      <c r="I312" s="12">
        <v>4</v>
      </c>
      <c r="J312" s="16">
        <f t="shared" si="12"/>
        <v>2</v>
      </c>
      <c r="K312" s="12">
        <v>1</v>
      </c>
      <c r="L312" s="12">
        <v>7</v>
      </c>
      <c r="M312" s="16">
        <f t="shared" si="13"/>
        <v>8</v>
      </c>
      <c r="N312" s="12">
        <v>7</v>
      </c>
      <c r="O312" s="12">
        <v>1</v>
      </c>
      <c r="P312" s="12">
        <v>8</v>
      </c>
      <c r="Q312" s="12">
        <v>0</v>
      </c>
      <c r="R312" s="12">
        <v>1</v>
      </c>
      <c r="S312" s="16">
        <v>0</v>
      </c>
      <c r="T312" s="12">
        <v>61</v>
      </c>
      <c r="U312" s="12" t="s">
        <v>48</v>
      </c>
      <c r="W312" s="10" t="str">
        <f t="shared" si="14"/>
        <v>&lt;tr&gt;&lt;td&gt;Liam Gerus&lt;/td&gt;&lt;td&gt;MMC&lt;/td&gt;&lt;td&gt;6&lt;/td&gt;&lt;td&gt;2&lt;/td&gt;&lt;td&gt;0.333&lt;/td&gt;&lt;td&gt;0&lt;/td&gt;&lt;td&gt;14&lt;/td&gt;&lt;td&gt;0.000&lt;/td&gt;&lt;td&gt;0&lt;/td&gt;&lt;td&gt;9&lt;/td&gt;&lt;td&gt;0.000&lt;/td&gt;&lt;td&gt;2&lt;/td&gt;&lt;td&gt;4&lt;/td&gt;&lt;td&gt;0.500&lt;/td&gt;&lt;td&gt;1&lt;/td&gt;&lt;td&gt;7&lt;/td&gt;&lt;td&gt;8&lt;/td&gt;&lt;td&gt;1.333&lt;/td&gt;&lt;td&gt;1&lt;/td&gt;&lt;td&gt;0.167&lt;/td&gt;&lt;td&gt;1&lt;/td&gt;&lt;td&gt;0.167&lt;/td&gt;&lt;td&gt;0&lt;/td&gt;&lt;td&gt;0.000&lt;/td&gt;&lt;/tr&gt;</v>
      </c>
    </row>
    <row r="313" spans="1:23" x14ac:dyDescent="0.25">
      <c r="A313" s="10">
        <v>11</v>
      </c>
      <c r="B313" s="12" t="s">
        <v>368</v>
      </c>
      <c r="C313" s="12">
        <v>5</v>
      </c>
      <c r="D313" s="12">
        <v>1</v>
      </c>
      <c r="E313" s="12">
        <v>7</v>
      </c>
      <c r="F313" s="12">
        <v>0</v>
      </c>
      <c r="G313" s="12">
        <v>0</v>
      </c>
      <c r="H313" s="12">
        <v>0</v>
      </c>
      <c r="I313" s="12">
        <v>0</v>
      </c>
      <c r="J313" s="16">
        <f t="shared" si="12"/>
        <v>2</v>
      </c>
      <c r="K313" s="12">
        <v>1</v>
      </c>
      <c r="L313" s="12">
        <v>2</v>
      </c>
      <c r="M313" s="16">
        <f t="shared" si="13"/>
        <v>3</v>
      </c>
      <c r="N313" s="12">
        <v>6</v>
      </c>
      <c r="O313" s="12">
        <v>1</v>
      </c>
      <c r="P313" s="12">
        <v>2</v>
      </c>
      <c r="Q313" s="12">
        <v>1</v>
      </c>
      <c r="R313" s="12">
        <v>1</v>
      </c>
      <c r="S313" s="16">
        <v>0</v>
      </c>
      <c r="T313" s="12">
        <v>42</v>
      </c>
      <c r="U313" s="12" t="s">
        <v>100</v>
      </c>
      <c r="W313" s="10" t="str">
        <f t="shared" si="14"/>
        <v>&lt;tr&gt;&lt;td&gt;Cameron McPhail&lt;/td&gt;&lt;td&gt;CPRS&lt;/td&gt;&lt;td&gt;5&lt;/td&gt;&lt;td&gt;2&lt;/td&gt;&lt;td&gt;0.400&lt;/td&gt;&lt;td&gt;1&lt;/td&gt;&lt;td&gt;7&lt;/td&gt;&lt;td&gt;0.143&lt;/td&gt;&lt;td&gt;0&lt;/td&gt;&lt;td&gt;0&lt;/td&gt;&lt;td&gt;0.000&lt;/td&gt;&lt;td&gt;0&lt;/td&gt;&lt;td&gt;0&lt;/td&gt;&lt;td&gt;0.000&lt;/td&gt;&lt;td&gt;1&lt;/td&gt;&lt;td&gt;2&lt;/td&gt;&lt;td&gt;3&lt;/td&gt;&lt;td&gt;0.600&lt;/td&gt;&lt;td&gt;1&lt;/td&gt;&lt;td&gt;0.200&lt;/td&gt;&lt;td&gt;1&lt;/td&gt;&lt;td&gt;0.200&lt;/td&gt;&lt;td&gt;1&lt;/td&gt;&lt;td&gt;0.200&lt;/td&gt;&lt;/tr&gt;</v>
      </c>
    </row>
    <row r="314" spans="1:23" x14ac:dyDescent="0.25">
      <c r="A314" s="10">
        <v>15</v>
      </c>
      <c r="B314" s="12" t="s">
        <v>468</v>
      </c>
      <c r="C314" s="12">
        <v>5</v>
      </c>
      <c r="D314" s="12">
        <v>1</v>
      </c>
      <c r="E314" s="12">
        <v>8</v>
      </c>
      <c r="F314" s="12">
        <v>0</v>
      </c>
      <c r="G314" s="12">
        <v>0</v>
      </c>
      <c r="H314" s="12">
        <v>0</v>
      </c>
      <c r="I314" s="12">
        <v>0</v>
      </c>
      <c r="J314" s="16">
        <f t="shared" si="12"/>
        <v>2</v>
      </c>
      <c r="K314" s="12">
        <v>5</v>
      </c>
      <c r="L314" s="12">
        <v>10</v>
      </c>
      <c r="M314" s="16">
        <f t="shared" si="13"/>
        <v>15</v>
      </c>
      <c r="N314" s="12">
        <v>6</v>
      </c>
      <c r="O314" s="12">
        <v>1</v>
      </c>
      <c r="P314" s="12">
        <v>7</v>
      </c>
      <c r="Q314" s="12">
        <v>1</v>
      </c>
      <c r="R314" s="12">
        <v>2</v>
      </c>
      <c r="S314" s="16">
        <v>0</v>
      </c>
      <c r="T314" s="12">
        <v>91</v>
      </c>
      <c r="U314" s="12" t="s">
        <v>98</v>
      </c>
      <c r="W314" s="10" t="str">
        <f t="shared" si="14"/>
        <v>&lt;tr&gt;&lt;td&gt;Jayden Rodych&lt;/td&gt;&lt;td&gt;WWC&lt;/td&gt;&lt;td&gt;5&lt;/td&gt;&lt;td&gt;2&lt;/td&gt;&lt;td&gt;0.400&lt;/td&gt;&lt;td&gt;1&lt;/td&gt;&lt;td&gt;8&lt;/td&gt;&lt;td&gt;0.125&lt;/td&gt;&lt;td&gt;0&lt;/td&gt;&lt;td&gt;0&lt;/td&gt;&lt;td&gt;0.000&lt;/td&gt;&lt;td&gt;0&lt;/td&gt;&lt;td&gt;0&lt;/td&gt;&lt;td&gt;0.000&lt;/td&gt;&lt;td&gt;5&lt;/td&gt;&lt;td&gt;10&lt;/td&gt;&lt;td&gt;15&lt;/td&gt;&lt;td&gt;3.000&lt;/td&gt;&lt;td&gt;1&lt;/td&gt;&lt;td&gt;0.200&lt;/td&gt;&lt;td&gt;2&lt;/td&gt;&lt;td&gt;0.400&lt;/td&gt;&lt;td&gt;1&lt;/td&gt;&lt;td&gt;0.200&lt;/td&gt;&lt;/tr&gt;</v>
      </c>
    </row>
    <row r="315" spans="1:23" x14ac:dyDescent="0.25">
      <c r="A315" s="10">
        <v>9</v>
      </c>
      <c r="B315" s="12" t="s">
        <v>392</v>
      </c>
      <c r="C315" s="12">
        <v>4</v>
      </c>
      <c r="D315" s="12">
        <v>0</v>
      </c>
      <c r="E315" s="12">
        <v>4</v>
      </c>
      <c r="F315" s="12">
        <v>0</v>
      </c>
      <c r="G315" s="12">
        <v>0</v>
      </c>
      <c r="H315" s="12">
        <v>2</v>
      </c>
      <c r="I315" s="12">
        <v>2</v>
      </c>
      <c r="J315" s="16">
        <f t="shared" si="12"/>
        <v>2</v>
      </c>
      <c r="K315" s="12">
        <v>4</v>
      </c>
      <c r="L315" s="12">
        <v>8</v>
      </c>
      <c r="M315" s="16">
        <f t="shared" si="13"/>
        <v>12</v>
      </c>
      <c r="N315" s="12">
        <v>1</v>
      </c>
      <c r="O315" s="12">
        <v>1</v>
      </c>
      <c r="P315" s="12">
        <v>3</v>
      </c>
      <c r="Q315" s="12">
        <v>0</v>
      </c>
      <c r="R315" s="12">
        <v>2</v>
      </c>
      <c r="S315" s="16">
        <v>0</v>
      </c>
      <c r="T315" s="12">
        <v>43</v>
      </c>
      <c r="U315" s="12" t="s">
        <v>164</v>
      </c>
      <c r="W315" s="10" t="str">
        <f t="shared" si="14"/>
        <v>&lt;tr&gt;&lt;td&gt;Joey Wilson&lt;/td&gt;&lt;td&gt;GVC&lt;/td&gt;&lt;td&gt;4&lt;/td&gt;&lt;td&gt;2&lt;/td&gt;&lt;td&gt;0.500&lt;/td&gt;&lt;td&gt;0&lt;/td&gt;&lt;td&gt;4&lt;/td&gt;&lt;td&gt;0.000&lt;/td&gt;&lt;td&gt;0&lt;/td&gt;&lt;td&gt;0&lt;/td&gt;&lt;td&gt;0.000&lt;/td&gt;&lt;td&gt;2&lt;/td&gt;&lt;td&gt;2&lt;/td&gt;&lt;td&gt;1.000&lt;/td&gt;&lt;td&gt;4&lt;/td&gt;&lt;td&gt;8&lt;/td&gt;&lt;td&gt;12&lt;/td&gt;&lt;td&gt;3.000&lt;/td&gt;&lt;td&gt;1&lt;/td&gt;&lt;td&gt;0.250&lt;/td&gt;&lt;td&gt;2&lt;/td&gt;&lt;td&gt;0.500&lt;/td&gt;&lt;td&gt;0&lt;/td&gt;&lt;td&gt;0.000&lt;/td&gt;&lt;/tr&gt;</v>
      </c>
    </row>
    <row r="316" spans="1:23" x14ac:dyDescent="0.25">
      <c r="A316" s="10">
        <v>6</v>
      </c>
      <c r="B316" s="12" t="s">
        <v>808</v>
      </c>
      <c r="C316" s="12">
        <v>3</v>
      </c>
      <c r="D316" s="12">
        <v>1</v>
      </c>
      <c r="E316" s="12">
        <v>15</v>
      </c>
      <c r="F316" s="12">
        <v>0</v>
      </c>
      <c r="G316" s="12">
        <v>7</v>
      </c>
      <c r="H316" s="12">
        <v>0</v>
      </c>
      <c r="I316" s="12">
        <v>2</v>
      </c>
      <c r="J316" s="16">
        <f t="shared" si="12"/>
        <v>2</v>
      </c>
      <c r="K316" s="12">
        <v>1</v>
      </c>
      <c r="L316" s="12">
        <v>4</v>
      </c>
      <c r="M316" s="16">
        <f t="shared" si="13"/>
        <v>5</v>
      </c>
      <c r="N316" s="12">
        <v>6</v>
      </c>
      <c r="O316" s="12">
        <v>3</v>
      </c>
      <c r="P316" s="12">
        <v>3</v>
      </c>
      <c r="Q316" s="12">
        <v>0</v>
      </c>
      <c r="R316" s="12">
        <v>4</v>
      </c>
      <c r="S316" s="16">
        <v>0</v>
      </c>
      <c r="T316" s="12">
        <v>28</v>
      </c>
      <c r="U316" s="12" t="s">
        <v>48</v>
      </c>
      <c r="W316" s="10" t="str">
        <f t="shared" si="14"/>
        <v>&lt;tr&gt;&lt;td&gt;Hameid Sofizada&lt;/td&gt;&lt;td&gt;MMC&lt;/td&gt;&lt;td&gt;3&lt;/td&gt;&lt;td&gt;2&lt;/td&gt;&lt;td&gt;0.667&lt;/td&gt;&lt;td&gt;1&lt;/td&gt;&lt;td&gt;15&lt;/td&gt;&lt;td&gt;0.067&lt;/td&gt;&lt;td&gt;0&lt;/td&gt;&lt;td&gt;7&lt;/td&gt;&lt;td&gt;0.000&lt;/td&gt;&lt;td&gt;0&lt;/td&gt;&lt;td&gt;2&lt;/td&gt;&lt;td&gt;0.000&lt;/td&gt;&lt;td&gt;1&lt;/td&gt;&lt;td&gt;4&lt;/td&gt;&lt;td&gt;5&lt;/td&gt;&lt;td&gt;1.667&lt;/td&gt;&lt;td&gt;3&lt;/td&gt;&lt;td&gt;1.000&lt;/td&gt;&lt;td&gt;4&lt;/td&gt;&lt;td&gt;1.333&lt;/td&gt;&lt;td&gt;0&lt;/td&gt;&lt;td&gt;0.000&lt;/td&gt;&lt;/tr&gt;</v>
      </c>
    </row>
    <row r="317" spans="1:23" x14ac:dyDescent="0.25">
      <c r="A317" s="10">
        <v>12</v>
      </c>
      <c r="B317" s="12" t="s">
        <v>711</v>
      </c>
      <c r="C317" s="12">
        <v>2</v>
      </c>
      <c r="D317" s="12">
        <v>1</v>
      </c>
      <c r="E317" s="12">
        <v>5</v>
      </c>
      <c r="F317" s="12">
        <v>0</v>
      </c>
      <c r="G317" s="12">
        <v>1</v>
      </c>
      <c r="H317" s="12">
        <v>0</v>
      </c>
      <c r="I317" s="12">
        <v>0</v>
      </c>
      <c r="J317" s="16">
        <f t="shared" si="12"/>
        <v>2</v>
      </c>
      <c r="K317" s="12">
        <v>0</v>
      </c>
      <c r="L317" s="12">
        <v>3</v>
      </c>
      <c r="M317" s="16">
        <f t="shared" si="13"/>
        <v>3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6">
        <v>0</v>
      </c>
      <c r="T317" s="12">
        <v>8</v>
      </c>
      <c r="U317" s="12" t="s">
        <v>70</v>
      </c>
      <c r="W317" s="10" t="str">
        <f t="shared" si="14"/>
        <v>&lt;tr&gt;&lt;td&gt;Jared Muise&lt;/td&gt;&lt;td&gt;JTC&lt;/td&gt;&lt;td&gt;2&lt;/td&gt;&lt;td&gt;2&lt;/td&gt;&lt;td&gt;1.000&lt;/td&gt;&lt;td&gt;1&lt;/td&gt;&lt;td&gt;5&lt;/td&gt;&lt;td&gt;0.200&lt;/td&gt;&lt;td&gt;0&lt;/td&gt;&lt;td&gt;1&lt;/td&gt;&lt;td&gt;0.000&lt;/td&gt;&lt;td&gt;0&lt;/td&gt;&lt;td&gt;0&lt;/td&gt;&lt;td&gt;0.000&lt;/td&gt;&lt;td&gt;0&lt;/td&gt;&lt;td&gt;3&lt;/td&gt;&lt;td&gt;3&lt;/td&gt;&lt;td&gt;1.500&lt;/td&gt;&lt;td&gt;0&lt;/td&gt;&lt;td&gt;0.000&lt;/td&gt;&lt;td&gt;0&lt;/td&gt;&lt;td&gt;0.000&lt;/td&gt;&lt;td&gt;0&lt;/td&gt;&lt;td&gt;0.000&lt;/td&gt;&lt;/tr&gt;</v>
      </c>
    </row>
    <row r="318" spans="1:23" x14ac:dyDescent="0.25">
      <c r="A318" s="10">
        <v>34</v>
      </c>
      <c r="B318" s="12" t="s">
        <v>752</v>
      </c>
      <c r="C318" s="12">
        <v>2</v>
      </c>
      <c r="D318" s="12">
        <v>1</v>
      </c>
      <c r="E318" s="12">
        <v>5</v>
      </c>
      <c r="F318" s="12">
        <v>0</v>
      </c>
      <c r="G318" s="12">
        <v>1</v>
      </c>
      <c r="H318" s="12">
        <v>0</v>
      </c>
      <c r="I318" s="12">
        <v>0</v>
      </c>
      <c r="J318" s="16">
        <f t="shared" si="12"/>
        <v>2</v>
      </c>
      <c r="K318" s="12">
        <v>2</v>
      </c>
      <c r="L318" s="12">
        <v>3</v>
      </c>
      <c r="M318" s="16">
        <f t="shared" si="13"/>
        <v>5</v>
      </c>
      <c r="N318" s="12">
        <v>2</v>
      </c>
      <c r="O318" s="12">
        <v>0</v>
      </c>
      <c r="P318" s="12">
        <v>2</v>
      </c>
      <c r="Q318" s="12">
        <v>1</v>
      </c>
      <c r="R318" s="12">
        <v>1</v>
      </c>
      <c r="S318" s="16">
        <v>0</v>
      </c>
      <c r="T318" s="12">
        <v>21</v>
      </c>
      <c r="U318" s="12" t="s">
        <v>76</v>
      </c>
      <c r="W318" s="10" t="str">
        <f t="shared" si="14"/>
        <v>&lt;tr&gt;&lt;td&gt;Janssen Paguio&lt;/td&gt;&lt;td&gt;SiHS&lt;/td&gt;&lt;td&gt;2&lt;/td&gt;&lt;td&gt;2&lt;/td&gt;&lt;td&gt;1.000&lt;/td&gt;&lt;td&gt;1&lt;/td&gt;&lt;td&gt;5&lt;/td&gt;&lt;td&gt;0.200&lt;/td&gt;&lt;td&gt;0&lt;/td&gt;&lt;td&gt;1&lt;/td&gt;&lt;td&gt;0.000&lt;/td&gt;&lt;td&gt;0&lt;/td&gt;&lt;td&gt;0&lt;/td&gt;&lt;td&gt;0.000&lt;/td&gt;&lt;td&gt;2&lt;/td&gt;&lt;td&gt;3&lt;/td&gt;&lt;td&gt;5&lt;/td&gt;&lt;td&gt;2.500&lt;/td&gt;&lt;td&gt;0&lt;/td&gt;&lt;td&gt;0.000&lt;/td&gt;&lt;td&gt;1&lt;/td&gt;&lt;td&gt;0.500&lt;/td&gt;&lt;td&gt;1&lt;/td&gt;&lt;td&gt;0.500&lt;/td&gt;&lt;/tr&gt;</v>
      </c>
    </row>
    <row r="319" spans="1:23" x14ac:dyDescent="0.25">
      <c r="A319" s="10">
        <v>11</v>
      </c>
      <c r="B319" s="12" t="s">
        <v>810</v>
      </c>
      <c r="C319" s="12">
        <v>2</v>
      </c>
      <c r="D319" s="12">
        <v>1</v>
      </c>
      <c r="E319" s="12">
        <v>6</v>
      </c>
      <c r="F319" s="12">
        <v>0</v>
      </c>
      <c r="G319" s="12">
        <v>4</v>
      </c>
      <c r="H319" s="12">
        <v>0</v>
      </c>
      <c r="I319" s="12">
        <v>0</v>
      </c>
      <c r="J319" s="16">
        <f t="shared" si="12"/>
        <v>2</v>
      </c>
      <c r="K319" s="12">
        <v>0</v>
      </c>
      <c r="L319" s="12">
        <v>2</v>
      </c>
      <c r="M319" s="16">
        <f t="shared" si="13"/>
        <v>2</v>
      </c>
      <c r="N319" s="12">
        <v>2</v>
      </c>
      <c r="O319" s="12">
        <v>1</v>
      </c>
      <c r="P319" s="12">
        <v>5</v>
      </c>
      <c r="Q319" s="12">
        <v>0</v>
      </c>
      <c r="R319" s="12">
        <v>2</v>
      </c>
      <c r="S319" s="16">
        <v>0</v>
      </c>
      <c r="T319" s="12">
        <v>31</v>
      </c>
      <c r="U319" s="12" t="s">
        <v>96</v>
      </c>
      <c r="W319" s="10" t="str">
        <f t="shared" si="14"/>
        <v>&lt;tr&gt;&lt;td&gt;James Diaz&lt;/td&gt;&lt;td&gt;TVHS&lt;/td&gt;&lt;td&gt;2&lt;/td&gt;&lt;td&gt;2&lt;/td&gt;&lt;td&gt;1.000&lt;/td&gt;&lt;td&gt;1&lt;/td&gt;&lt;td&gt;6&lt;/td&gt;&lt;td&gt;0.167&lt;/td&gt;&lt;td&gt;0&lt;/td&gt;&lt;td&gt;4&lt;/td&gt;&lt;td&gt;0.000&lt;/td&gt;&lt;td&gt;0&lt;/td&gt;&lt;td&gt;0&lt;/td&gt;&lt;td&gt;0.000&lt;/td&gt;&lt;td&gt;0&lt;/td&gt;&lt;td&gt;2&lt;/td&gt;&lt;td&gt;2&lt;/td&gt;&lt;td&gt;1.000&lt;/td&gt;&lt;td&gt;1&lt;/td&gt;&lt;td&gt;0.500&lt;/td&gt;&lt;td&gt;2&lt;/td&gt;&lt;td&gt;1.000&lt;/td&gt;&lt;td&gt;0&lt;/td&gt;&lt;td&gt;0.000&lt;/td&gt;&lt;/tr&gt;</v>
      </c>
    </row>
    <row r="320" spans="1:23" x14ac:dyDescent="0.25">
      <c r="A320" s="10">
        <v>33</v>
      </c>
      <c r="B320" s="12" t="s">
        <v>751</v>
      </c>
      <c r="C320" s="12">
        <v>1</v>
      </c>
      <c r="D320" s="12">
        <v>1</v>
      </c>
      <c r="E320" s="12">
        <v>1</v>
      </c>
      <c r="F320" s="12">
        <v>0</v>
      </c>
      <c r="G320" s="12">
        <v>0</v>
      </c>
      <c r="H320" s="12">
        <v>0</v>
      </c>
      <c r="I320" s="12">
        <v>0</v>
      </c>
      <c r="J320" s="16">
        <f t="shared" si="12"/>
        <v>2</v>
      </c>
      <c r="K320" s="12">
        <v>0</v>
      </c>
      <c r="L320" s="12">
        <v>0</v>
      </c>
      <c r="M320" s="16">
        <f t="shared" si="13"/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6">
        <v>0</v>
      </c>
      <c r="T320" s="12">
        <v>8</v>
      </c>
      <c r="U320" s="12" t="s">
        <v>76</v>
      </c>
      <c r="W320" s="10" t="str">
        <f t="shared" si="14"/>
        <v>&lt;tr&gt;&lt;td&gt;Rey Jr. Liberato&lt;/td&gt;&lt;td&gt;SiHS&lt;/td&gt;&lt;td&gt;1&lt;/td&gt;&lt;td&gt;2&lt;/td&gt;&lt;td&gt;2.000&lt;/td&gt;&lt;td&gt;1&lt;/td&gt;&lt;td&gt;1&lt;/td&gt;&lt;td&gt;1.000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1" spans="1:23" x14ac:dyDescent="0.25">
      <c r="A321" s="10">
        <v>22</v>
      </c>
      <c r="B321" s="12" t="s">
        <v>381</v>
      </c>
      <c r="C321" s="12">
        <v>5</v>
      </c>
      <c r="D321" s="12">
        <v>0</v>
      </c>
      <c r="E321" s="12">
        <v>5</v>
      </c>
      <c r="F321" s="12">
        <v>0</v>
      </c>
      <c r="G321" s="12">
        <v>4</v>
      </c>
      <c r="H321" s="12">
        <v>1</v>
      </c>
      <c r="I321" s="12">
        <v>2</v>
      </c>
      <c r="J321" s="16">
        <f t="shared" si="12"/>
        <v>1</v>
      </c>
      <c r="K321" s="12">
        <v>2</v>
      </c>
      <c r="L321" s="12">
        <v>3</v>
      </c>
      <c r="M321" s="16">
        <f t="shared" si="13"/>
        <v>5</v>
      </c>
      <c r="N321" s="12">
        <v>3</v>
      </c>
      <c r="O321" s="12">
        <v>0</v>
      </c>
      <c r="P321" s="12">
        <v>2</v>
      </c>
      <c r="Q321" s="12">
        <v>0</v>
      </c>
      <c r="R321" s="12">
        <v>1</v>
      </c>
      <c r="S321" s="16">
        <v>0</v>
      </c>
      <c r="T321" s="12">
        <v>29</v>
      </c>
      <c r="U321" s="12" t="s">
        <v>72</v>
      </c>
      <c r="W321" s="10" t="str">
        <f t="shared" si="14"/>
        <v>&lt;tr&gt;&lt;td&gt;Thomas Kanu&lt;/td&gt;&lt;td&gt;KHS&lt;/td&gt;&lt;td&gt;5&lt;/td&gt;&lt;td&gt;1&lt;/td&gt;&lt;td&gt;0.200&lt;/td&gt;&lt;td&gt;0&lt;/td&gt;&lt;td&gt;5&lt;/td&gt;&lt;td&gt;0.000&lt;/td&gt;&lt;td&gt;0&lt;/td&gt;&lt;td&gt;4&lt;/td&gt;&lt;td&gt;0.000&lt;/td&gt;&lt;td&gt;1&lt;/td&gt;&lt;td&gt;2&lt;/td&gt;&lt;td&gt;0.500&lt;/td&gt;&lt;td&gt;2&lt;/td&gt;&lt;td&gt;3&lt;/td&gt;&lt;td&gt;5&lt;/td&gt;&lt;td&gt;1.000&lt;/td&gt;&lt;td&gt;0&lt;/td&gt;&lt;td&gt;0.000&lt;/td&gt;&lt;td&gt;1&lt;/td&gt;&lt;td&gt;0.200&lt;/td&gt;&lt;td&gt;0&lt;/td&gt;&lt;td&gt;0.000&lt;/td&gt;&lt;/tr&gt;</v>
      </c>
    </row>
    <row r="322" spans="1:23" x14ac:dyDescent="0.25">
      <c r="A322" s="10">
        <v>4</v>
      </c>
      <c r="B322" s="12" t="s">
        <v>371</v>
      </c>
      <c r="C322" s="12">
        <v>7</v>
      </c>
      <c r="D322" s="12">
        <v>0</v>
      </c>
      <c r="E322" s="12">
        <v>7</v>
      </c>
      <c r="F322" s="12">
        <v>0</v>
      </c>
      <c r="G322" s="12">
        <v>1</v>
      </c>
      <c r="H322" s="12">
        <v>0</v>
      </c>
      <c r="I322" s="12">
        <v>0</v>
      </c>
      <c r="J322" s="16">
        <f t="shared" ref="J322:J362" si="15">D322*2+F322+H322</f>
        <v>0</v>
      </c>
      <c r="K322" s="12">
        <v>1</v>
      </c>
      <c r="L322" s="12">
        <v>3</v>
      </c>
      <c r="M322" s="16">
        <f t="shared" ref="M322:M362" si="16">K322+L322</f>
        <v>4</v>
      </c>
      <c r="N322" s="12">
        <v>6</v>
      </c>
      <c r="O322" s="12">
        <v>1</v>
      </c>
      <c r="P322" s="12">
        <v>2</v>
      </c>
      <c r="Q322" s="12">
        <v>0</v>
      </c>
      <c r="R322" s="12">
        <v>2</v>
      </c>
      <c r="S322" s="16">
        <v>0</v>
      </c>
      <c r="T322" s="12">
        <v>42</v>
      </c>
      <c r="U322" s="12" t="s">
        <v>72</v>
      </c>
      <c r="W322" s="10" t="str">
        <f t="shared" si="14"/>
        <v>&lt;tr&gt;&lt;td&gt;Cyril Hernandez&lt;/td&gt;&lt;td&gt;KHS&lt;/td&gt;&lt;td&gt;7&lt;/td&gt;&lt;td&gt;0&lt;/td&gt;&lt;td&gt;0.000&lt;/td&gt;&lt;td&gt;0&lt;/td&gt;&lt;td&gt;7&lt;/td&gt;&lt;td&gt;0.000&lt;/td&gt;&lt;td&gt;0&lt;/td&gt;&lt;td&gt;1&lt;/td&gt;&lt;td&gt;0.000&lt;/td&gt;&lt;td&gt;0&lt;/td&gt;&lt;td&gt;0&lt;/td&gt;&lt;td&gt;0.000&lt;/td&gt;&lt;td&gt;1&lt;/td&gt;&lt;td&gt;3&lt;/td&gt;&lt;td&gt;4&lt;/td&gt;&lt;td&gt;0.571&lt;/td&gt;&lt;td&gt;1&lt;/td&gt;&lt;td&gt;0.143&lt;/td&gt;&lt;td&gt;2&lt;/td&gt;&lt;td&gt;0.286&lt;/td&gt;&lt;td&gt;0&lt;/td&gt;&lt;td&gt;0.000&lt;/td&gt;&lt;/tr&gt;</v>
      </c>
    </row>
    <row r="323" spans="1:23" x14ac:dyDescent="0.25">
      <c r="A323" s="10">
        <v>4</v>
      </c>
      <c r="B323" s="12" t="s">
        <v>307</v>
      </c>
      <c r="C323" s="12">
        <v>5</v>
      </c>
      <c r="D323" s="12">
        <v>0</v>
      </c>
      <c r="E323" s="12">
        <v>6</v>
      </c>
      <c r="F323" s="12">
        <v>0</v>
      </c>
      <c r="G323" s="12">
        <v>3</v>
      </c>
      <c r="H323" s="12">
        <v>0</v>
      </c>
      <c r="I323" s="12">
        <v>0</v>
      </c>
      <c r="J323" s="16">
        <f t="shared" si="15"/>
        <v>0</v>
      </c>
      <c r="K323" s="12">
        <v>2</v>
      </c>
      <c r="L323" s="12">
        <v>1</v>
      </c>
      <c r="M323" s="16">
        <f t="shared" si="16"/>
        <v>3</v>
      </c>
      <c r="N323" s="12">
        <v>1</v>
      </c>
      <c r="O323" s="12">
        <v>0</v>
      </c>
      <c r="P323" s="12">
        <v>0</v>
      </c>
      <c r="Q323" s="12">
        <v>0</v>
      </c>
      <c r="R323" s="12">
        <v>1</v>
      </c>
      <c r="S323" s="16">
        <v>0</v>
      </c>
      <c r="T323" s="12">
        <v>15</v>
      </c>
      <c r="U323" s="12" t="s">
        <v>74</v>
      </c>
      <c r="W323" s="10" t="str">
        <f t="shared" si="14"/>
        <v>&lt;tr&gt;&lt;td&gt;Huy Luu&lt;/td&gt;&lt;td&gt;OPHS&lt;/td&gt;&lt;td&gt;5&lt;/td&gt;&lt;td&gt;0&lt;/td&gt;&lt;td&gt;0.000&lt;/td&gt;&lt;td&gt;0&lt;/td&gt;&lt;td&gt;6&lt;/td&gt;&lt;td&gt;0.000&lt;/td&gt;&lt;td&gt;0&lt;/td&gt;&lt;td&gt;3&lt;/td&gt;&lt;td&gt;0.000&lt;/td&gt;&lt;td&gt;0&lt;/td&gt;&lt;td&gt;0&lt;/td&gt;&lt;td&gt;0.000&lt;/td&gt;&lt;td&gt;2&lt;/td&gt;&lt;td&gt;1&lt;/td&gt;&lt;td&gt;3&lt;/td&gt;&lt;td&gt;0.600&lt;/td&gt;&lt;td&gt;0&lt;/td&gt;&lt;td&gt;0.000&lt;/td&gt;&lt;td&gt;1&lt;/td&gt;&lt;td&gt;0.200&lt;/td&gt;&lt;td&gt;0&lt;/td&gt;&lt;td&gt;0.000&lt;/td&gt;&lt;/tr&gt;</v>
      </c>
    </row>
    <row r="324" spans="1:23" x14ac:dyDescent="0.25">
      <c r="A324" s="10">
        <v>22</v>
      </c>
      <c r="B324" s="12" t="s">
        <v>319</v>
      </c>
      <c r="C324" s="12">
        <v>5</v>
      </c>
      <c r="D324" s="12">
        <v>0</v>
      </c>
      <c r="E324" s="12">
        <v>8</v>
      </c>
      <c r="F324" s="12">
        <v>0</v>
      </c>
      <c r="G324" s="12">
        <v>4</v>
      </c>
      <c r="H324" s="12">
        <v>0</v>
      </c>
      <c r="I324" s="12">
        <v>0</v>
      </c>
      <c r="J324" s="16">
        <f t="shared" si="15"/>
        <v>0</v>
      </c>
      <c r="K324" s="12">
        <v>1</v>
      </c>
      <c r="L324" s="12">
        <v>4</v>
      </c>
      <c r="M324" s="16">
        <f t="shared" si="16"/>
        <v>5</v>
      </c>
      <c r="N324" s="12">
        <v>2</v>
      </c>
      <c r="O324" s="12">
        <v>0</v>
      </c>
      <c r="P324" s="12">
        <v>3</v>
      </c>
      <c r="Q324" s="12">
        <v>0</v>
      </c>
      <c r="R324" s="12">
        <v>1</v>
      </c>
      <c r="S324" s="16">
        <v>0</v>
      </c>
      <c r="T324" s="12">
        <v>17</v>
      </c>
      <c r="U324" s="12" t="s">
        <v>74</v>
      </c>
      <c r="W324" s="10" t="str">
        <f t="shared" si="14"/>
        <v>&lt;tr&gt;&lt;td&gt;Thomas Devlin&lt;/td&gt;&lt;td&gt;OPHS&lt;/td&gt;&lt;td&gt;5&lt;/td&gt;&lt;td&gt;0&lt;/td&gt;&lt;td&gt;0.000&lt;/td&gt;&lt;td&gt;0&lt;/td&gt;&lt;td&gt;8&lt;/td&gt;&lt;td&gt;0.000&lt;/td&gt;&lt;td&gt;0&lt;/td&gt;&lt;td&gt;4&lt;/td&gt;&lt;td&gt;0.000&lt;/td&gt;&lt;td&gt;0&lt;/td&gt;&lt;td&gt;0&lt;/td&gt;&lt;td&gt;0.000&lt;/td&gt;&lt;td&gt;1&lt;/td&gt;&lt;td&gt;4&lt;/td&gt;&lt;td&gt;5&lt;/td&gt;&lt;td&gt;1.000&lt;/td&gt;&lt;td&gt;0&lt;/td&gt;&lt;td&gt;0.000&lt;/td&gt;&lt;td&gt;1&lt;/td&gt;&lt;td&gt;0.200&lt;/td&gt;&lt;td&gt;0&lt;/td&gt;&lt;td&gt;0.000&lt;/td&gt;&lt;/tr&gt;</v>
      </c>
    </row>
    <row r="325" spans="1:23" x14ac:dyDescent="0.25">
      <c r="A325" s="10">
        <v>8</v>
      </c>
      <c r="B325" s="12" t="s">
        <v>475</v>
      </c>
      <c r="C325" s="12">
        <v>5</v>
      </c>
      <c r="D325" s="12">
        <v>0</v>
      </c>
      <c r="E325" s="12">
        <v>7</v>
      </c>
      <c r="F325" s="12">
        <v>0</v>
      </c>
      <c r="G325" s="12">
        <v>3</v>
      </c>
      <c r="H325" s="12">
        <v>0</v>
      </c>
      <c r="I325" s="12">
        <v>0</v>
      </c>
      <c r="J325" s="16">
        <f t="shared" si="15"/>
        <v>0</v>
      </c>
      <c r="K325" s="12">
        <v>1</v>
      </c>
      <c r="L325" s="12">
        <v>8</v>
      </c>
      <c r="M325" s="16">
        <f t="shared" si="16"/>
        <v>9</v>
      </c>
      <c r="N325" s="12">
        <v>5</v>
      </c>
      <c r="O325" s="12">
        <v>1</v>
      </c>
      <c r="P325" s="12">
        <v>7</v>
      </c>
      <c r="Q325" s="12">
        <v>0</v>
      </c>
      <c r="R325" s="12">
        <v>1</v>
      </c>
      <c r="S325" s="16">
        <v>0</v>
      </c>
      <c r="T325" s="12">
        <v>34</v>
      </c>
      <c r="U325" s="12" t="s">
        <v>64</v>
      </c>
      <c r="W325" s="10" t="str">
        <f t="shared" si="14"/>
        <v>&lt;tr&gt;&lt;td&gt;Josh Magri&lt;/td&gt;&lt;td&gt;JHB&lt;/td&gt;&lt;td&gt;5&lt;/td&gt;&lt;td&gt;0&lt;/td&gt;&lt;td&gt;0.000&lt;/td&gt;&lt;td&gt;0&lt;/td&gt;&lt;td&gt;7&lt;/td&gt;&lt;td&gt;0.000&lt;/td&gt;&lt;td&gt;0&lt;/td&gt;&lt;td&gt;3&lt;/td&gt;&lt;td&gt;0.000&lt;/td&gt;&lt;td&gt;0&lt;/td&gt;&lt;td&gt;0&lt;/td&gt;&lt;td&gt;0.000&lt;/td&gt;&lt;td&gt;1&lt;/td&gt;&lt;td&gt;8&lt;/td&gt;&lt;td&gt;9&lt;/td&gt;&lt;td&gt;1.800&lt;/td&gt;&lt;td&gt;1&lt;/td&gt;&lt;td&gt;0.200&lt;/td&gt;&lt;td&gt;1&lt;/td&gt;&lt;td&gt;0.200&lt;/td&gt;&lt;td&gt;0&lt;/td&gt;&lt;td&gt;0.000&lt;/td&gt;&lt;/tr&gt;</v>
      </c>
    </row>
    <row r="326" spans="1:23" x14ac:dyDescent="0.25">
      <c r="A326" s="10">
        <v>3</v>
      </c>
      <c r="B326" s="12" t="s">
        <v>420</v>
      </c>
      <c r="C326" s="12">
        <v>5</v>
      </c>
      <c r="D326" s="12">
        <v>0</v>
      </c>
      <c r="E326" s="12">
        <v>3</v>
      </c>
      <c r="F326" s="12">
        <v>0</v>
      </c>
      <c r="G326" s="12">
        <v>3</v>
      </c>
      <c r="H326" s="12">
        <v>0</v>
      </c>
      <c r="I326" s="12">
        <v>0</v>
      </c>
      <c r="J326" s="16">
        <f t="shared" si="15"/>
        <v>0</v>
      </c>
      <c r="K326" s="12">
        <v>0</v>
      </c>
      <c r="L326" s="12">
        <v>3</v>
      </c>
      <c r="M326" s="16">
        <f t="shared" si="16"/>
        <v>3</v>
      </c>
      <c r="N326" s="12">
        <v>5</v>
      </c>
      <c r="O326" s="12">
        <v>1</v>
      </c>
      <c r="P326" s="12">
        <v>11</v>
      </c>
      <c r="Q326" s="12">
        <v>0</v>
      </c>
      <c r="R326" s="12">
        <v>1</v>
      </c>
      <c r="S326" s="16">
        <v>0</v>
      </c>
      <c r="T326" s="12">
        <v>44</v>
      </c>
      <c r="U326" s="12" t="s">
        <v>66</v>
      </c>
      <c r="W326" s="10" t="str">
        <f t="shared" si="14"/>
        <v>&lt;tr&gt;&lt;td&gt;CJ Knelsen&lt;/td&gt;&lt;td&gt;SRSS&lt;/td&gt;&lt;td&gt;5&lt;/td&gt;&lt;td&gt;0&lt;/td&gt;&lt;td&gt;0.000&lt;/td&gt;&lt;td&gt;0&lt;/td&gt;&lt;td&gt;3&lt;/td&gt;&lt;td&gt;0.000&lt;/td&gt;&lt;td&gt;0&lt;/td&gt;&lt;td&gt;3&lt;/td&gt;&lt;td&gt;0.000&lt;/td&gt;&lt;td&gt;0&lt;/td&gt;&lt;td&gt;0&lt;/td&gt;&lt;td&gt;0.000&lt;/td&gt;&lt;td&gt;0&lt;/td&gt;&lt;td&gt;3&lt;/td&gt;&lt;td&gt;3&lt;/td&gt;&lt;td&gt;0.600&lt;/td&gt;&lt;td&gt;1&lt;/td&gt;&lt;td&gt;0.200&lt;/td&gt;&lt;td&gt;1&lt;/td&gt;&lt;td&gt;0.200&lt;/td&gt;&lt;td&gt;0&lt;/td&gt;&lt;td&gt;0.000&lt;/td&gt;&lt;/tr&gt;</v>
      </c>
    </row>
    <row r="327" spans="1:23" x14ac:dyDescent="0.25">
      <c r="A327" s="10">
        <v>6</v>
      </c>
      <c r="B327" s="12" t="s">
        <v>346</v>
      </c>
      <c r="C327" s="12">
        <v>4</v>
      </c>
      <c r="D327" s="12">
        <v>0</v>
      </c>
      <c r="E327" s="12">
        <v>2</v>
      </c>
      <c r="F327" s="12">
        <v>0</v>
      </c>
      <c r="G327" s="12">
        <v>0</v>
      </c>
      <c r="H327" s="12">
        <v>0</v>
      </c>
      <c r="I327" s="12">
        <v>0</v>
      </c>
      <c r="J327" s="16">
        <f t="shared" si="15"/>
        <v>0</v>
      </c>
      <c r="K327" s="12">
        <v>0</v>
      </c>
      <c r="L327" s="12">
        <v>0</v>
      </c>
      <c r="M327" s="16">
        <f t="shared" si="16"/>
        <v>0</v>
      </c>
      <c r="N327" s="12">
        <v>2</v>
      </c>
      <c r="O327" s="12">
        <v>0</v>
      </c>
      <c r="P327" s="12">
        <v>0</v>
      </c>
      <c r="Q327" s="12">
        <v>1</v>
      </c>
      <c r="R327" s="12">
        <v>0</v>
      </c>
      <c r="S327" s="16">
        <v>0</v>
      </c>
      <c r="T327" s="12">
        <v>9</v>
      </c>
      <c r="U327" s="12" t="s">
        <v>60</v>
      </c>
      <c r="W327" s="10" t="str">
        <f t="shared" si="14"/>
        <v>&lt;tr&gt;&lt;td&gt;Trent Favoni-Grossart&lt;/td&gt;&lt;td&gt;DCI&lt;/td&gt;&lt;td&gt;4&lt;/td&gt;&lt;td&gt;0&lt;/td&gt;&lt;td&gt;0.000&lt;/td&gt;&lt;td&gt;0&lt;/td&gt;&lt;td&gt;2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1&lt;/td&gt;&lt;td&gt;0.250&lt;/td&gt;&lt;/tr&gt;</v>
      </c>
    </row>
    <row r="328" spans="1:23" x14ac:dyDescent="0.25">
      <c r="A328" s="10">
        <v>21</v>
      </c>
      <c r="B328" s="12" t="s">
        <v>428</v>
      </c>
      <c r="C328" s="12">
        <v>2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6">
        <f t="shared" si="15"/>
        <v>0</v>
      </c>
      <c r="K328" s="12">
        <v>0</v>
      </c>
      <c r="L328" s="12">
        <v>0</v>
      </c>
      <c r="M328" s="16">
        <f t="shared" si="16"/>
        <v>0</v>
      </c>
      <c r="N328" s="12">
        <v>0</v>
      </c>
      <c r="O328" s="12">
        <v>0</v>
      </c>
      <c r="P328" s="12">
        <v>0</v>
      </c>
      <c r="Q328" s="12">
        <v>0</v>
      </c>
      <c r="R328" s="12">
        <v>0</v>
      </c>
      <c r="S328" s="16">
        <v>0</v>
      </c>
      <c r="T328" s="12">
        <v>1</v>
      </c>
      <c r="U328" s="12" t="s">
        <v>66</v>
      </c>
      <c r="W328" s="10" t="str">
        <f t="shared" si="14"/>
        <v>&lt;tr&gt;&lt;td&gt;Keegan Teetaert&lt;/td&gt;&lt;td&gt;SRSS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29" spans="1:23" x14ac:dyDescent="0.25">
      <c r="A329" s="10">
        <v>1</v>
      </c>
      <c r="B329" s="12" t="s">
        <v>806</v>
      </c>
      <c r="C329" s="12">
        <v>1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6">
        <f t="shared" si="15"/>
        <v>0</v>
      </c>
      <c r="K329" s="12">
        <v>0</v>
      </c>
      <c r="L329" s="12">
        <v>0</v>
      </c>
      <c r="M329" s="16">
        <f t="shared" si="16"/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6">
        <v>0</v>
      </c>
      <c r="T329" s="12">
        <v>2</v>
      </c>
      <c r="U329" s="12" t="s">
        <v>48</v>
      </c>
      <c r="W329" s="10" t="str">
        <f t="shared" si="14"/>
        <v>&lt;tr&gt;&lt;td&gt;Frank Rukundo&lt;/td&gt;&lt;td&gt;MM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30" spans="1:23" x14ac:dyDescent="0.25">
      <c r="A330" s="10">
        <v>9</v>
      </c>
      <c r="B330" s="12" t="s">
        <v>708</v>
      </c>
      <c r="C330" s="12">
        <v>1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6">
        <f t="shared" si="15"/>
        <v>0</v>
      </c>
      <c r="K330" s="12">
        <v>0</v>
      </c>
      <c r="L330" s="12">
        <v>1</v>
      </c>
      <c r="M330" s="16">
        <f t="shared" si="16"/>
        <v>1</v>
      </c>
      <c r="N330" s="12">
        <v>0</v>
      </c>
      <c r="O330" s="12">
        <v>0</v>
      </c>
      <c r="P330" s="12">
        <v>1</v>
      </c>
      <c r="Q330" s="12">
        <v>0</v>
      </c>
      <c r="R330" s="12">
        <v>0</v>
      </c>
      <c r="S330" s="16">
        <v>0</v>
      </c>
      <c r="T330" s="12">
        <v>3</v>
      </c>
      <c r="U330" s="12" t="s">
        <v>70</v>
      </c>
      <c r="W330" s="10" t="str">
        <f t="shared" si="14"/>
        <v>&lt;tr&gt;&lt;td&gt;Tae Won Kim&lt;/td&gt;&lt;td&gt;JT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0&lt;/td&gt;&lt;td&gt;0.000&lt;/td&gt;&lt;/tr&gt;</v>
      </c>
    </row>
    <row r="331" spans="1:23" x14ac:dyDescent="0.25">
      <c r="A331" s="10">
        <v>5</v>
      </c>
      <c r="B331" s="12" t="s">
        <v>807</v>
      </c>
      <c r="C331" s="12">
        <v>1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6">
        <f t="shared" si="15"/>
        <v>0</v>
      </c>
      <c r="K331" s="12">
        <v>0</v>
      </c>
      <c r="L331" s="12">
        <v>1</v>
      </c>
      <c r="M331" s="16">
        <f t="shared" si="16"/>
        <v>1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6">
        <v>0</v>
      </c>
      <c r="T331" s="12">
        <v>6</v>
      </c>
      <c r="U331" s="12" t="s">
        <v>48</v>
      </c>
      <c r="W331" s="10" t="str">
        <f t="shared" si="14"/>
        <v>&lt;tr&gt;&lt;td&gt;Beruk Weldearguy&lt;/td&gt;&lt;td&gt;MMC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0&lt;/td&gt;&lt;td&gt;0.000&lt;/td&gt;&lt;/tr&gt;</v>
      </c>
    </row>
    <row r="332" spans="1:23" x14ac:dyDescent="0.25">
      <c r="A332" s="10">
        <v>23</v>
      </c>
      <c r="B332" s="12" t="s">
        <v>715</v>
      </c>
      <c r="C332" s="12">
        <v>1</v>
      </c>
      <c r="D332" s="12">
        <v>0</v>
      </c>
      <c r="E332" s="12">
        <v>4</v>
      </c>
      <c r="F332" s="12">
        <v>0</v>
      </c>
      <c r="G332" s="12">
        <v>1</v>
      </c>
      <c r="H332" s="12">
        <v>0</v>
      </c>
      <c r="I332" s="12">
        <v>0</v>
      </c>
      <c r="J332" s="16">
        <f t="shared" si="15"/>
        <v>0</v>
      </c>
      <c r="K332" s="12">
        <v>0</v>
      </c>
      <c r="L332" s="12">
        <v>0</v>
      </c>
      <c r="M332" s="16">
        <f t="shared" si="16"/>
        <v>0</v>
      </c>
      <c r="N332" s="12">
        <v>2</v>
      </c>
      <c r="O332" s="12">
        <v>1</v>
      </c>
      <c r="P332" s="12">
        <v>1</v>
      </c>
      <c r="Q332" s="12">
        <v>0</v>
      </c>
      <c r="R332" s="12">
        <v>0</v>
      </c>
      <c r="S332" s="16">
        <v>0</v>
      </c>
      <c r="T332" s="12">
        <v>8</v>
      </c>
      <c r="U332" s="12" t="s">
        <v>70</v>
      </c>
      <c r="W332" s="10" t="str">
        <f t="shared" si="14"/>
        <v>&lt;tr&gt;&lt;td&gt;Ben Allarie&lt;/td&gt;&lt;td&gt;JTC&lt;/td&gt;&lt;td&gt;1&lt;/td&gt;&lt;td&gt;0&lt;/td&gt;&lt;td&gt;0.000&lt;/td&gt;&lt;td&gt;0&lt;/td&gt;&lt;td&gt;4&lt;/td&gt;&lt;td&gt;0.000&lt;/td&gt;&lt;td&gt;0&lt;/td&gt;&lt;td&gt;1&lt;/td&gt;&lt;td&gt;0.000&lt;/td&gt;&lt;td&gt;0&lt;/td&gt;&lt;td&gt;0&lt;/td&gt;&lt;td&gt;0.000&lt;/td&gt;&lt;td&gt;0&lt;/td&gt;&lt;td&gt;0&lt;/td&gt;&lt;td&gt;0&lt;/td&gt;&lt;td&gt;0.000&lt;/td&gt;&lt;td&gt;1&lt;/td&gt;&lt;td&gt;1.000&lt;/td&gt;&lt;td&gt;0&lt;/td&gt;&lt;td&gt;0.000&lt;/td&gt;&lt;td&gt;0&lt;/td&gt;&lt;td&gt;0.000&lt;/td&gt;&lt;/tr&gt;</v>
      </c>
    </row>
    <row r="333" spans="1:23" x14ac:dyDescent="0.25">
      <c r="A333" s="10">
        <v>0</v>
      </c>
      <c r="B333" s="12" t="s">
        <v>716</v>
      </c>
      <c r="C333" s="12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6">
        <f t="shared" si="15"/>
        <v>0</v>
      </c>
      <c r="K333" s="12">
        <v>0</v>
      </c>
      <c r="L333" s="12">
        <v>0</v>
      </c>
      <c r="M333" s="16">
        <f t="shared" si="16"/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6">
        <v>0</v>
      </c>
      <c r="T333" s="12">
        <v>0</v>
      </c>
      <c r="U333" s="12" t="s">
        <v>70</v>
      </c>
      <c r="W333" s="10" t="str">
        <f t="shared" si="14"/>
        <v>&lt;tr&gt;&lt;td&gt;Devon Michelle&lt;/td&gt;&lt;td&gt;JT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34" spans="1:23" x14ac:dyDescent="0.25">
      <c r="A334" s="10">
        <v>15</v>
      </c>
      <c r="B334" s="12" t="s">
        <v>714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6">
        <f t="shared" si="15"/>
        <v>0</v>
      </c>
      <c r="K334" s="12">
        <v>0</v>
      </c>
      <c r="L334" s="12">
        <v>0</v>
      </c>
      <c r="M334" s="16">
        <f t="shared" si="16"/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6">
        <v>0</v>
      </c>
      <c r="T334" s="12">
        <v>0</v>
      </c>
      <c r="U334" s="12" t="s">
        <v>70</v>
      </c>
      <c r="W334" s="10" t="str">
        <f t="shared" si="14"/>
        <v>&lt;tr&gt;&lt;td&gt;Pajack Obeing&lt;/td&gt;&lt;td&gt;JT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35" spans="1:23" x14ac:dyDescent="0.25">
      <c r="A335" s="10">
        <v>26</v>
      </c>
      <c r="B335" s="12" t="s">
        <v>717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6">
        <f t="shared" si="15"/>
        <v>0</v>
      </c>
      <c r="K335" s="12">
        <v>0</v>
      </c>
      <c r="L335" s="12">
        <v>0</v>
      </c>
      <c r="M335" s="16">
        <f t="shared" si="16"/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6">
        <v>0</v>
      </c>
      <c r="T335" s="12">
        <v>0</v>
      </c>
      <c r="U335" s="12" t="s">
        <v>70</v>
      </c>
      <c r="W335" s="10" t="str">
        <f t="shared" si="14"/>
        <v>&lt;tr&gt;&lt;td&gt;Hunter Coates&lt;/td&gt;&lt;td&gt;JT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36" spans="1:23" x14ac:dyDescent="0.25">
      <c r="A336" s="10">
        <v>2</v>
      </c>
      <c r="B336" s="12" t="s">
        <v>742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6">
        <f t="shared" si="15"/>
        <v>0</v>
      </c>
      <c r="K336" s="12">
        <v>0</v>
      </c>
      <c r="L336" s="12">
        <v>0</v>
      </c>
      <c r="M336" s="16">
        <f t="shared" si="16"/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6">
        <v>0</v>
      </c>
      <c r="T336" s="12">
        <v>0</v>
      </c>
      <c r="U336" s="12" t="s">
        <v>76</v>
      </c>
      <c r="W336" s="10" t="str">
        <f t="shared" si="14"/>
        <v>&lt;tr&gt;&lt;td&gt;Alec Canteras&lt;/td&gt;&lt;td&gt;SiHS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337" spans="10:23" x14ac:dyDescent="0.25">
      <c r="J337" s="16">
        <f t="shared" si="15"/>
        <v>0</v>
      </c>
      <c r="M337" s="16">
        <f t="shared" si="16"/>
        <v>0</v>
      </c>
      <c r="S337" s="16">
        <v>0</v>
      </c>
      <c r="W337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38" spans="10:23" x14ac:dyDescent="0.25">
      <c r="J338" s="16">
        <f t="shared" si="15"/>
        <v>0</v>
      </c>
      <c r="M338" s="16">
        <f t="shared" si="16"/>
        <v>0</v>
      </c>
      <c r="S338" s="16">
        <v>0</v>
      </c>
      <c r="W338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39" spans="10:23" x14ac:dyDescent="0.25">
      <c r="J339" s="16">
        <f t="shared" si="15"/>
        <v>0</v>
      </c>
      <c r="M339" s="16">
        <f t="shared" si="16"/>
        <v>0</v>
      </c>
      <c r="S339" s="16">
        <v>0</v>
      </c>
      <c r="W339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0" spans="10:23" x14ac:dyDescent="0.25">
      <c r="J340" s="16">
        <f t="shared" si="15"/>
        <v>0</v>
      </c>
      <c r="M340" s="16">
        <f t="shared" si="16"/>
        <v>0</v>
      </c>
      <c r="S340" s="16">
        <v>0</v>
      </c>
      <c r="W340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1" spans="10:23" x14ac:dyDescent="0.25">
      <c r="J341" s="16">
        <f t="shared" si="15"/>
        <v>0</v>
      </c>
      <c r="M341" s="16">
        <f t="shared" si="16"/>
        <v>0</v>
      </c>
      <c r="S341" s="16">
        <v>0</v>
      </c>
      <c r="W341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2" spans="10:23" x14ac:dyDescent="0.25">
      <c r="J342" s="16">
        <f t="shared" si="15"/>
        <v>0</v>
      </c>
      <c r="M342" s="16">
        <f t="shared" si="16"/>
        <v>0</v>
      </c>
      <c r="S342" s="16">
        <v>0</v>
      </c>
      <c r="W342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3" spans="10:23" x14ac:dyDescent="0.25">
      <c r="J343" s="16">
        <f t="shared" si="15"/>
        <v>0</v>
      </c>
      <c r="M343" s="16">
        <f t="shared" si="16"/>
        <v>0</v>
      </c>
      <c r="S343" s="16">
        <v>0</v>
      </c>
      <c r="W343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4" spans="10:23" x14ac:dyDescent="0.25">
      <c r="J344" s="16">
        <f t="shared" si="15"/>
        <v>0</v>
      </c>
      <c r="M344" s="16">
        <f t="shared" si="16"/>
        <v>0</v>
      </c>
      <c r="S344" s="16">
        <v>0</v>
      </c>
      <c r="W344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5" spans="10:23" x14ac:dyDescent="0.25">
      <c r="J345" s="16">
        <f t="shared" si="15"/>
        <v>0</v>
      </c>
      <c r="M345" s="16">
        <f t="shared" si="16"/>
        <v>0</v>
      </c>
      <c r="S345" s="16">
        <v>0</v>
      </c>
      <c r="W345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6" spans="10:23" x14ac:dyDescent="0.25">
      <c r="J346" s="16">
        <f t="shared" si="15"/>
        <v>0</v>
      </c>
      <c r="M346" s="16">
        <f t="shared" si="16"/>
        <v>0</v>
      </c>
      <c r="S346" s="16">
        <v>0</v>
      </c>
      <c r="W346" s="10" t="str">
        <f t="shared" si="14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7" spans="10:23" x14ac:dyDescent="0.25">
      <c r="J347" s="16">
        <f t="shared" si="15"/>
        <v>0</v>
      </c>
      <c r="M347" s="16">
        <f t="shared" si="16"/>
        <v>0</v>
      </c>
      <c r="S347" s="16">
        <v>0</v>
      </c>
      <c r="W347" s="10" t="str">
        <f t="shared" ref="W347:W362" si="17">"&lt;tr&gt;&lt;td&gt;"&amp;B347&amp;"&lt;/td&gt;&lt;td&gt;"&amp;U347&amp;"&lt;/td&gt;&lt;td&gt;"&amp;C347&amp;"&lt;/td&gt;&lt;td&gt;"&amp;J347&amp;"&lt;/td&gt;&lt;td&gt;"&amp;IF(OR(C347=0,J347=0),"0.000",IF(ROUND(J347/C347,3)=1,"1.000",TEXT(ROUND(J347/C347,3),"0.000")))&amp;"&lt;/td&gt;&lt;td&gt;"&amp;D347&amp;"&lt;/td&gt;&lt;td&gt;"&amp;E347&amp;"&lt;/td&gt;&lt;td&gt;"&amp;IF(OR(D347=0,E347=0),"0.000",IF(ROUND(D347/E347,3)=1,"1.000",TEXT(ROUND(D347/E347,3),"0.000")))&amp;"&lt;/td&gt;&lt;td&gt;"&amp;F347&amp;"&lt;/td&gt;&lt;td&gt;"&amp;G347&amp;"&lt;/td&gt;&lt;td&gt;"&amp;IF(OR(F347=0,G347=0),"0.000",IF(ROUND(F347/G347,3)=1,"1.000",TEXT(ROUND(F347/G347,3),"0.000")))&amp;"&lt;/td&gt;&lt;td&gt;"&amp;H347&amp;"&lt;/td&gt;&lt;td&gt;"&amp;I347&amp;"&lt;/td&gt;&lt;td&gt;"&amp;IF(OR(H347=0,I347=0),"0.000",IF(ROUND(H347/I347,3)=1,"1.000",TEXT(ROUND(H347/I347,3),"0.000")))&amp;"&lt;/td&gt;&lt;td&gt;"&amp;K347&amp;"&lt;/td&gt;&lt;td&gt;"&amp;L347&amp;"&lt;/td&gt;&lt;td&gt;"&amp;M347&amp;"&lt;/td&gt;&lt;td&gt;"&amp;IF(OR(M347=0,C347=0),"0.000",IF(ROUND(M347/C347,3)=1,"1.000",TEXT(ROUND(M347/C347,3),"0.000")))&amp;"&lt;/td&gt;&lt;td&gt;"&amp;O347&amp;"&lt;/td&gt;&lt;td&gt;"&amp;IF(OR(O347=0,C347=0),"0.000",IF(ROUND(O347/C347,3)=1,"1.000",TEXT(ROUND(O347/C347,3),"0.000")))&amp;"&lt;/td&gt;&lt;td&gt;"&amp;R347&amp;"&lt;/td&gt;&lt;td&gt;"&amp;IF(OR(R347=0,C347=0),"0.000",IF(ROUND(R347/C347,3)=1,"1.000",TEXT(ROUND(R347/C347,3),"0.000")))&amp;"&lt;/td&gt;&lt;td&gt;"&amp;Q347&amp;"&lt;/td&gt;&lt;td&gt;"&amp;IF(OR(Q347=0,C347=0),"0.000",IF(ROUND(Q347/C347,3)=1,"1.000",TEXT(ROUND(Q347/C347,3),"0.000")))&amp;"&lt;/td&gt;&lt;/tr&gt;"</f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8" spans="10:23" x14ac:dyDescent="0.25">
      <c r="J348" s="16">
        <f t="shared" si="15"/>
        <v>0</v>
      </c>
      <c r="M348" s="16">
        <f t="shared" si="16"/>
        <v>0</v>
      </c>
      <c r="S348" s="16">
        <v>0</v>
      </c>
      <c r="W348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49" spans="10:23" x14ac:dyDescent="0.25">
      <c r="J349" s="16">
        <f t="shared" si="15"/>
        <v>0</v>
      </c>
      <c r="M349" s="16">
        <f t="shared" si="16"/>
        <v>0</v>
      </c>
      <c r="S349" s="16">
        <v>0</v>
      </c>
      <c r="W349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0" spans="10:23" x14ac:dyDescent="0.25">
      <c r="J350" s="16">
        <f t="shared" si="15"/>
        <v>0</v>
      </c>
      <c r="M350" s="16">
        <f t="shared" si="16"/>
        <v>0</v>
      </c>
      <c r="S350" s="16">
        <v>0</v>
      </c>
      <c r="W350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1" spans="10:23" x14ac:dyDescent="0.25">
      <c r="J351" s="16">
        <f t="shared" si="15"/>
        <v>0</v>
      </c>
      <c r="M351" s="16">
        <f t="shared" si="16"/>
        <v>0</v>
      </c>
      <c r="S351" s="16">
        <v>0</v>
      </c>
      <c r="W351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2" spans="10:23" x14ac:dyDescent="0.25">
      <c r="J352" s="16">
        <f t="shared" si="15"/>
        <v>0</v>
      </c>
      <c r="M352" s="16">
        <f t="shared" si="16"/>
        <v>0</v>
      </c>
      <c r="S352" s="16">
        <v>0</v>
      </c>
      <c r="W352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3" spans="10:23" x14ac:dyDescent="0.25">
      <c r="J353" s="16">
        <f t="shared" si="15"/>
        <v>0</v>
      </c>
      <c r="M353" s="16">
        <f t="shared" si="16"/>
        <v>0</v>
      </c>
      <c r="S353" s="16">
        <v>0</v>
      </c>
      <c r="W353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4" spans="10:23" x14ac:dyDescent="0.25">
      <c r="J354" s="16">
        <f t="shared" si="15"/>
        <v>0</v>
      </c>
      <c r="M354" s="16">
        <f t="shared" si="16"/>
        <v>0</v>
      </c>
      <c r="S354" s="16">
        <v>0</v>
      </c>
      <c r="W354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5" spans="10:23" x14ac:dyDescent="0.25">
      <c r="J355" s="16">
        <f t="shared" si="15"/>
        <v>0</v>
      </c>
      <c r="M355" s="16">
        <f t="shared" si="16"/>
        <v>0</v>
      </c>
      <c r="S355" s="16">
        <v>0</v>
      </c>
      <c r="W355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6" spans="10:23" x14ac:dyDescent="0.25">
      <c r="J356" s="16">
        <f t="shared" si="15"/>
        <v>0</v>
      </c>
      <c r="M356" s="16">
        <f t="shared" si="16"/>
        <v>0</v>
      </c>
      <c r="S356" s="16">
        <v>0</v>
      </c>
      <c r="W356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7" spans="10:23" x14ac:dyDescent="0.25">
      <c r="J357" s="16">
        <f t="shared" si="15"/>
        <v>0</v>
      </c>
      <c r="M357" s="16">
        <f t="shared" si="16"/>
        <v>0</v>
      </c>
      <c r="S357" s="16">
        <v>0</v>
      </c>
      <c r="W357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8" spans="10:23" x14ac:dyDescent="0.25">
      <c r="J358" s="16">
        <f t="shared" si="15"/>
        <v>0</v>
      </c>
      <c r="M358" s="16">
        <f t="shared" si="16"/>
        <v>0</v>
      </c>
      <c r="S358" s="16">
        <v>0</v>
      </c>
      <c r="W358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59" spans="10:23" x14ac:dyDescent="0.25">
      <c r="J359" s="16">
        <f t="shared" si="15"/>
        <v>0</v>
      </c>
      <c r="M359" s="16">
        <f t="shared" si="16"/>
        <v>0</v>
      </c>
      <c r="S359" s="16">
        <v>0</v>
      </c>
      <c r="W359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60" spans="10:23" x14ac:dyDescent="0.25">
      <c r="J360" s="16">
        <f t="shared" si="15"/>
        <v>0</v>
      </c>
      <c r="M360" s="16">
        <f t="shared" si="16"/>
        <v>0</v>
      </c>
      <c r="S360" s="16">
        <v>0</v>
      </c>
      <c r="W360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61" spans="10:23" x14ac:dyDescent="0.25">
      <c r="J361" s="16">
        <f t="shared" si="15"/>
        <v>0</v>
      </c>
      <c r="M361" s="16">
        <f t="shared" si="16"/>
        <v>0</v>
      </c>
      <c r="S361" s="16">
        <v>0</v>
      </c>
      <c r="W361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362" spans="10:23" x14ac:dyDescent="0.25">
      <c r="J362" s="16">
        <f t="shared" si="15"/>
        <v>0</v>
      </c>
      <c r="M362" s="16">
        <f t="shared" si="16"/>
        <v>0</v>
      </c>
      <c r="S362" s="16">
        <v>0</v>
      </c>
      <c r="W362" s="10" t="str">
        <f t="shared" si="17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</sheetData>
  <sheetProtection formatCells="0" formatColumns="0" formatRows="0" insertColumns="0" insertRows="0" insertHyperlinks="0" deleteColumns="0" deleteRows="0" selectLockedCells="1" sort="0" autoFilter="0" pivotTables="0"/>
  <sortState ref="A2:U362">
    <sortCondition descending="1" ref="J2:J362"/>
    <sortCondition descending="1" ref="C2:C362"/>
    <sortCondition ref="T2:T362"/>
    <sortCondition ref="U2:U362"/>
    <sortCondition ref="A2:A362"/>
  </sortState>
  <dataValidations count="1">
    <dataValidation type="whole" operator="equal" allowBlank="1" showInputMessage="1" showErrorMessage="1" sqref="S1:S1048576">
      <formula1>0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221"/>
  <sheetViews>
    <sheetView workbookViewId="0">
      <pane ySplit="1" topLeftCell="A80" activePane="bottomLeft" state="frozen"/>
      <selection pane="bottomLeft" activeCell="W2" sqref="W2:W83"/>
    </sheetView>
  </sheetViews>
  <sheetFormatPr defaultRowHeight="15" x14ac:dyDescent="0.25"/>
  <cols>
    <col min="1" max="1" width="3" style="12" bestFit="1" customWidth="1"/>
    <col min="2" max="2" width="24.42578125" style="12" bestFit="1" customWidth="1"/>
    <col min="3" max="3" width="3" style="12" bestFit="1" customWidth="1"/>
    <col min="4" max="4" width="5" style="12" bestFit="1" customWidth="1"/>
    <col min="5" max="5" width="4.5703125" style="12" bestFit="1" customWidth="1"/>
    <col min="6" max="6" width="4.85546875" style="12" bestFit="1" customWidth="1"/>
    <col min="7" max="7" width="4.42578125" style="12" bestFit="1" customWidth="1"/>
    <col min="8" max="8" width="4.7109375" style="12" bestFit="1" customWidth="1"/>
    <col min="9" max="9" width="4.28515625" style="12" bestFit="1" customWidth="1"/>
    <col min="10" max="10" width="4.140625" bestFit="1" customWidth="1"/>
    <col min="11" max="11" width="4.7109375" style="12" bestFit="1" customWidth="1"/>
    <col min="12" max="12" width="4.5703125" style="12" bestFit="1" customWidth="1"/>
    <col min="13" max="13" width="4" bestFit="1" customWidth="1"/>
    <col min="14" max="14" width="3.140625" style="12" bestFit="1" customWidth="1"/>
    <col min="15" max="15" width="4.28515625" style="12" bestFit="1" customWidth="1"/>
    <col min="16" max="16" width="3.42578125" style="12" bestFit="1" customWidth="1"/>
    <col min="17" max="17" width="3.140625" style="12" bestFit="1" customWidth="1"/>
    <col min="18" max="18" width="3" style="12" bestFit="1" customWidth="1"/>
    <col min="19" max="19" width="3.5703125" bestFit="1" customWidth="1"/>
    <col min="20" max="20" width="4.7109375" style="12" customWidth="1"/>
    <col min="21" max="21" width="5.85546875" style="12" bestFit="1" customWidth="1"/>
    <col min="23" max="23" width="1.7109375" style="12" customWidth="1"/>
  </cols>
  <sheetData>
    <row r="1" spans="1:23" x14ac:dyDescent="0.25">
      <c r="A1" s="10" t="s">
        <v>115</v>
      </c>
      <c r="B1" s="10" t="s">
        <v>116</v>
      </c>
      <c r="C1" s="10" t="s">
        <v>117</v>
      </c>
      <c r="D1" s="11" t="s">
        <v>118</v>
      </c>
      <c r="E1" s="11" t="s">
        <v>119</v>
      </c>
      <c r="F1" s="11" t="s">
        <v>120</v>
      </c>
      <c r="G1" s="11" t="s">
        <v>121</v>
      </c>
      <c r="H1" s="11" t="s">
        <v>122</v>
      </c>
      <c r="I1" s="11" t="s">
        <v>123</v>
      </c>
      <c r="J1" s="4" t="s">
        <v>124</v>
      </c>
      <c r="K1" s="10" t="s">
        <v>125</v>
      </c>
      <c r="L1" s="10" t="s">
        <v>126</v>
      </c>
      <c r="M1" s="4" t="s">
        <v>127</v>
      </c>
      <c r="N1" s="10" t="s">
        <v>128</v>
      </c>
      <c r="O1" s="10" t="s">
        <v>129</v>
      </c>
      <c r="P1" s="10" t="s">
        <v>130</v>
      </c>
      <c r="Q1" s="10" t="s">
        <v>131</v>
      </c>
      <c r="R1" s="10" t="s">
        <v>132</v>
      </c>
      <c r="S1" s="4" t="s">
        <v>133</v>
      </c>
      <c r="T1" s="10" t="s">
        <v>134</v>
      </c>
      <c r="U1" s="10" t="s">
        <v>0</v>
      </c>
    </row>
    <row r="2" spans="1:23" x14ac:dyDescent="0.25">
      <c r="A2" s="12">
        <v>3</v>
      </c>
      <c r="B2" s="12" t="s">
        <v>587</v>
      </c>
      <c r="C2" s="12">
        <v>3</v>
      </c>
      <c r="D2" s="12">
        <v>24</v>
      </c>
      <c r="E2" s="12">
        <v>48</v>
      </c>
      <c r="F2" s="12">
        <v>11</v>
      </c>
      <c r="G2" s="12">
        <v>28</v>
      </c>
      <c r="H2" s="12">
        <v>3</v>
      </c>
      <c r="I2" s="12">
        <v>6</v>
      </c>
      <c r="J2">
        <f t="shared" ref="J2:J33" si="0">D2*2+F2+H2</f>
        <v>62</v>
      </c>
      <c r="K2" s="12">
        <v>3</v>
      </c>
      <c r="L2" s="12">
        <v>11</v>
      </c>
      <c r="M2">
        <f t="shared" ref="M2:M33" si="1">K2+L2</f>
        <v>14</v>
      </c>
      <c r="N2" s="12">
        <v>3</v>
      </c>
      <c r="O2" s="12">
        <v>6</v>
      </c>
      <c r="P2" s="12">
        <v>9</v>
      </c>
      <c r="Q2" s="12">
        <v>2</v>
      </c>
      <c r="R2" s="12">
        <v>7</v>
      </c>
      <c r="S2">
        <v>0</v>
      </c>
      <c r="T2" s="12">
        <v>96</v>
      </c>
      <c r="U2" s="12" t="s">
        <v>74</v>
      </c>
      <c r="W2" s="10" t="str">
        <f>"&lt;tr&gt;&lt;td&gt;"&amp;B2&amp;"&lt;/td&gt;&lt;td&gt;"&amp;U2&amp;"&lt;/td&gt;&lt;td&gt;"&amp;C2&amp;"&lt;/td&gt;&lt;td&gt;"&amp;J2&amp;"&lt;/td&gt;&lt;td&gt;"&amp;IF(OR(C2=0,J2=0),"0.000",IF(ROUND(J2/C2,3)=1,"1.000",TEXT(ROUND(J2/C2,3),"0.000")))&amp;"&lt;/td&gt;&lt;td&gt;"&amp;D2&amp;"&lt;/td&gt;&lt;td&gt;"&amp;E2&amp;"&lt;/td&gt;&lt;td&gt;"&amp;IF(OR(D2=0,E2=0),"0.000",IF(ROUND(D2/E2,3)=1,"1.000",TEXT(ROUND(D2/E2,3),"0.000")))&amp;"&lt;/td&gt;&lt;td&gt;"&amp;F2&amp;"&lt;/td&gt;&lt;td&gt;"&amp;G2&amp;"&lt;/td&gt;&lt;td&gt;"&amp;IF(OR(F2=0,G2=0),"0.000",IF(ROUND(F2/G2,3)=1,"1.000",TEXT(ROUND(F2/G2,3),"0.000")))&amp;"&lt;/td&gt;&lt;td&gt;"&amp;H2&amp;"&lt;/td&gt;&lt;td&gt;"&amp;I2&amp;"&lt;/td&gt;&lt;td&gt;"&amp;IF(OR(H2=0,I2=0),"0.000",IF(ROUND(H2/I2,3)=1,"1.000",TEXT(ROUND(H2/I2,3),"0.000")))&amp;"&lt;/td&gt;&lt;td&gt;"&amp;K2&amp;"&lt;/td&gt;&lt;td&gt;"&amp;L2&amp;"&lt;/td&gt;&lt;td&gt;"&amp;M2&amp;"&lt;/td&gt;&lt;td&gt;"&amp;IF(OR(M2=0,C2=0),"0.000",IF(ROUND(M2/C2,3)=1,"1.000",TEXT(ROUND(M2/C2,3),"0.000")))&amp;"&lt;/td&gt;&lt;td&gt;"&amp;O2&amp;"&lt;/td&gt;&lt;td&gt;"&amp;IF(OR(O2=0,C2=0),"0.000",IF(ROUND(O2/C2,3)=1,"1.000",TEXT(ROUND(O2/C2,3),"0.000")))&amp;"&lt;/td&gt;&lt;td&gt;"&amp;R2&amp;"&lt;/td&gt;&lt;td&gt;"&amp;IF(OR(R2=0,C2=0),"0.000",IF(ROUND(R2/C2,3)=1,"1.000",TEXT(ROUND(R2/C2,3),"0.000")))&amp;"&lt;/td&gt;&lt;td&gt;"&amp;Q2&amp;"&lt;/td&gt;&lt;td&gt;"&amp;IF(OR(Q2=0,C2=0),"0.000",IF(ROUND(Q2/C2,3)=1,"1.000",TEXT(ROUND(Q2/C2,3),"0.000")))&amp;"&lt;/td&gt;&lt;/tr&gt;"</f>
        <v>&lt;tr&gt;&lt;td&gt;Deidre Bartlett&lt;/td&gt;&lt;td&gt;OPHS&lt;/td&gt;&lt;td&gt;3&lt;/td&gt;&lt;td&gt;62&lt;/td&gt;&lt;td&gt;20.667&lt;/td&gt;&lt;td&gt;24&lt;/td&gt;&lt;td&gt;48&lt;/td&gt;&lt;td&gt;0.500&lt;/td&gt;&lt;td&gt;11&lt;/td&gt;&lt;td&gt;28&lt;/td&gt;&lt;td&gt;0.393&lt;/td&gt;&lt;td&gt;3&lt;/td&gt;&lt;td&gt;6&lt;/td&gt;&lt;td&gt;0.500&lt;/td&gt;&lt;td&gt;3&lt;/td&gt;&lt;td&gt;11&lt;/td&gt;&lt;td&gt;14&lt;/td&gt;&lt;td&gt;4.667&lt;/td&gt;&lt;td&gt;6&lt;/td&gt;&lt;td&gt;2.000&lt;/td&gt;&lt;td&gt;7&lt;/td&gt;&lt;td&gt;2.333&lt;/td&gt;&lt;td&gt;2&lt;/td&gt;&lt;td&gt;0.667&lt;/td&gt;&lt;/tr&gt;</v>
      </c>
    </row>
    <row r="3" spans="1:23" x14ac:dyDescent="0.25">
      <c r="A3" s="12">
        <v>12</v>
      </c>
      <c r="B3" s="12" t="s">
        <v>655</v>
      </c>
      <c r="C3" s="12">
        <v>3</v>
      </c>
      <c r="D3" s="12">
        <v>23</v>
      </c>
      <c r="E3" s="12">
        <v>83</v>
      </c>
      <c r="F3" s="12">
        <v>11</v>
      </c>
      <c r="G3" s="12">
        <v>23</v>
      </c>
      <c r="H3" s="12">
        <v>4</v>
      </c>
      <c r="I3" s="12">
        <v>9</v>
      </c>
      <c r="J3">
        <f t="shared" si="0"/>
        <v>61</v>
      </c>
      <c r="K3" s="12">
        <v>8</v>
      </c>
      <c r="L3" s="12">
        <v>13</v>
      </c>
      <c r="M3">
        <f t="shared" si="1"/>
        <v>21</v>
      </c>
      <c r="N3" s="12">
        <v>10</v>
      </c>
      <c r="O3" s="12">
        <v>6</v>
      </c>
      <c r="P3" s="12">
        <v>10</v>
      </c>
      <c r="Q3" s="12">
        <v>1</v>
      </c>
      <c r="R3" s="12">
        <v>10</v>
      </c>
      <c r="S3">
        <v>0</v>
      </c>
      <c r="T3" s="12">
        <v>113</v>
      </c>
      <c r="U3" s="12" t="s">
        <v>70</v>
      </c>
      <c r="W3" s="10" t="str">
        <f t="shared" ref="W3:W221" si="2">"&lt;tr&gt;&lt;td&gt;"&amp;B3&amp;"&lt;/td&gt;&lt;td&gt;"&amp;U3&amp;"&lt;/td&gt;&lt;td&gt;"&amp;C3&amp;"&lt;/td&gt;&lt;td&gt;"&amp;J3&amp;"&lt;/td&gt;&lt;td&gt;"&amp;IF(OR(C3=0,J3=0),"0.000",IF(ROUND(J3/C3,3)=1,"1.000",TEXT(ROUND(J3/C3,3),"0.000")))&amp;"&lt;/td&gt;&lt;td&gt;"&amp;D3&amp;"&lt;/td&gt;&lt;td&gt;"&amp;E3&amp;"&lt;/td&gt;&lt;td&gt;"&amp;IF(OR(D3=0,E3=0),"0.000",IF(ROUND(D3/E3,3)=1,"1.000",TEXT(ROUND(D3/E3,3),"0.000")))&amp;"&lt;/td&gt;&lt;td&gt;"&amp;F3&amp;"&lt;/td&gt;&lt;td&gt;"&amp;G3&amp;"&lt;/td&gt;&lt;td&gt;"&amp;IF(OR(F3=0,G3=0),"0.000",IF(ROUND(F3/G3,3)=1,"1.000",TEXT(ROUND(F3/G3,3),"0.000")))&amp;"&lt;/td&gt;&lt;td&gt;"&amp;H3&amp;"&lt;/td&gt;&lt;td&gt;"&amp;I3&amp;"&lt;/td&gt;&lt;td&gt;"&amp;IF(OR(H3=0,I3=0),"0.000",IF(ROUND(H3/I3,3)=1,"1.000",TEXT(ROUND(H3/I3,3),"0.000")))&amp;"&lt;/td&gt;&lt;td&gt;"&amp;K3&amp;"&lt;/td&gt;&lt;td&gt;"&amp;L3&amp;"&lt;/td&gt;&lt;td&gt;"&amp;M3&amp;"&lt;/td&gt;&lt;td&gt;"&amp;IF(OR(M3=0,C3=0),"0.000",IF(ROUND(M3/C3,3)=1,"1.000",TEXT(ROUND(M3/C3,3),"0.000")))&amp;"&lt;/td&gt;&lt;td&gt;"&amp;O3&amp;"&lt;/td&gt;&lt;td&gt;"&amp;IF(OR(O3=0,C3=0),"0.000",IF(ROUND(O3/C3,3)=1,"1.000",TEXT(ROUND(O3/C3,3),"0.000")))&amp;"&lt;/td&gt;&lt;td&gt;"&amp;R3&amp;"&lt;/td&gt;&lt;td&gt;"&amp;IF(OR(R3=0,C3=0),"0.000",IF(ROUND(R3/C3,3)=1,"1.000",TEXT(ROUND(R3/C3,3),"0.000")))&amp;"&lt;/td&gt;&lt;td&gt;"&amp;Q3&amp;"&lt;/td&gt;&lt;td&gt;"&amp;IF(OR(Q3=0,C3=0),"0.000",IF(ROUND(Q3/C3,3)=1,"1.000",TEXT(ROUND(Q3/C3,3),"0.000")))&amp;"&lt;/td&gt;&lt;/tr&gt;"</f>
        <v>&lt;tr&gt;&lt;td&gt;Sienna Miller&lt;/td&gt;&lt;td&gt;JTC&lt;/td&gt;&lt;td&gt;3&lt;/td&gt;&lt;td&gt;61&lt;/td&gt;&lt;td&gt;20.333&lt;/td&gt;&lt;td&gt;23&lt;/td&gt;&lt;td&gt;83&lt;/td&gt;&lt;td&gt;0.277&lt;/td&gt;&lt;td&gt;11&lt;/td&gt;&lt;td&gt;23&lt;/td&gt;&lt;td&gt;0.478&lt;/td&gt;&lt;td&gt;4&lt;/td&gt;&lt;td&gt;9&lt;/td&gt;&lt;td&gt;0.444&lt;/td&gt;&lt;td&gt;8&lt;/td&gt;&lt;td&gt;13&lt;/td&gt;&lt;td&gt;21&lt;/td&gt;&lt;td&gt;7.000&lt;/td&gt;&lt;td&gt;6&lt;/td&gt;&lt;td&gt;2.000&lt;/td&gt;&lt;td&gt;10&lt;/td&gt;&lt;td&gt;3.333&lt;/td&gt;&lt;td&gt;1&lt;/td&gt;&lt;td&gt;0.333&lt;/td&gt;&lt;/tr&gt;</v>
      </c>
    </row>
    <row r="4" spans="1:23" x14ac:dyDescent="0.25">
      <c r="A4" s="12">
        <v>20</v>
      </c>
      <c r="B4" s="12" t="s">
        <v>627</v>
      </c>
      <c r="C4" s="12">
        <v>3</v>
      </c>
      <c r="D4" s="12">
        <v>25</v>
      </c>
      <c r="E4" s="12">
        <v>61</v>
      </c>
      <c r="F4" s="12">
        <v>0</v>
      </c>
      <c r="G4" s="12">
        <v>0</v>
      </c>
      <c r="H4" s="12">
        <v>9</v>
      </c>
      <c r="I4" s="12">
        <v>14</v>
      </c>
      <c r="J4">
        <f t="shared" si="0"/>
        <v>59</v>
      </c>
      <c r="K4" s="12">
        <v>15</v>
      </c>
      <c r="L4" s="12">
        <v>27</v>
      </c>
      <c r="M4">
        <f t="shared" si="1"/>
        <v>42</v>
      </c>
      <c r="N4" s="12">
        <v>10</v>
      </c>
      <c r="O4" s="12">
        <v>1</v>
      </c>
      <c r="P4" s="12">
        <v>19</v>
      </c>
      <c r="Q4" s="12">
        <v>9</v>
      </c>
      <c r="R4" s="12">
        <v>8</v>
      </c>
      <c r="S4">
        <v>0</v>
      </c>
      <c r="T4" s="12">
        <v>112</v>
      </c>
      <c r="U4" s="12" t="s">
        <v>60</v>
      </c>
      <c r="W4" s="10" t="str">
        <f t="shared" si="2"/>
        <v>&lt;tr&gt;&lt;td&gt;Emerson Martin&lt;/td&gt;&lt;td&gt;DCI&lt;/td&gt;&lt;td&gt;3&lt;/td&gt;&lt;td&gt;59&lt;/td&gt;&lt;td&gt;19.667&lt;/td&gt;&lt;td&gt;25&lt;/td&gt;&lt;td&gt;61&lt;/td&gt;&lt;td&gt;0.410&lt;/td&gt;&lt;td&gt;0&lt;/td&gt;&lt;td&gt;0&lt;/td&gt;&lt;td&gt;0.000&lt;/td&gt;&lt;td&gt;9&lt;/td&gt;&lt;td&gt;14&lt;/td&gt;&lt;td&gt;0.643&lt;/td&gt;&lt;td&gt;15&lt;/td&gt;&lt;td&gt;27&lt;/td&gt;&lt;td&gt;42&lt;/td&gt;&lt;td&gt;14.000&lt;/td&gt;&lt;td&gt;1&lt;/td&gt;&lt;td&gt;0.333&lt;/td&gt;&lt;td&gt;8&lt;/td&gt;&lt;td&gt;2.667&lt;/td&gt;&lt;td&gt;9&lt;/td&gt;&lt;td&gt;3.000&lt;/td&gt;&lt;/tr&gt;</v>
      </c>
    </row>
    <row r="5" spans="1:23" x14ac:dyDescent="0.25">
      <c r="A5" s="12">
        <v>10</v>
      </c>
      <c r="B5" s="12" t="s">
        <v>615</v>
      </c>
      <c r="C5" s="12">
        <v>3</v>
      </c>
      <c r="D5" s="12">
        <v>21</v>
      </c>
      <c r="E5" s="12">
        <v>65</v>
      </c>
      <c r="F5" s="12">
        <v>10</v>
      </c>
      <c r="G5" s="12">
        <v>37</v>
      </c>
      <c r="H5" s="12">
        <v>2</v>
      </c>
      <c r="I5" s="12">
        <v>4</v>
      </c>
      <c r="J5">
        <f t="shared" si="0"/>
        <v>54</v>
      </c>
      <c r="K5" s="12">
        <v>9</v>
      </c>
      <c r="L5" s="12">
        <v>15</v>
      </c>
      <c r="M5">
        <f t="shared" si="1"/>
        <v>24</v>
      </c>
      <c r="N5" s="12">
        <v>9</v>
      </c>
      <c r="O5" s="12">
        <v>5</v>
      </c>
      <c r="P5" s="12">
        <v>11</v>
      </c>
      <c r="Q5" s="12">
        <v>2</v>
      </c>
      <c r="R5" s="12">
        <v>16</v>
      </c>
      <c r="S5">
        <v>0</v>
      </c>
      <c r="T5" s="12">
        <v>95</v>
      </c>
      <c r="U5" s="12" t="s">
        <v>82</v>
      </c>
      <c r="W5" s="10" t="str">
        <f t="shared" si="2"/>
        <v>&lt;tr&gt;&lt;td&gt;Liyanah Serapio&lt;/td&gt;&lt;td&gt;DMCI&lt;/td&gt;&lt;td&gt;3&lt;/td&gt;&lt;td&gt;54&lt;/td&gt;&lt;td&gt;18.000&lt;/td&gt;&lt;td&gt;21&lt;/td&gt;&lt;td&gt;65&lt;/td&gt;&lt;td&gt;0.323&lt;/td&gt;&lt;td&gt;10&lt;/td&gt;&lt;td&gt;37&lt;/td&gt;&lt;td&gt;0.270&lt;/td&gt;&lt;td&gt;2&lt;/td&gt;&lt;td&gt;4&lt;/td&gt;&lt;td&gt;0.500&lt;/td&gt;&lt;td&gt;9&lt;/td&gt;&lt;td&gt;15&lt;/td&gt;&lt;td&gt;24&lt;/td&gt;&lt;td&gt;8.000&lt;/td&gt;&lt;td&gt;5&lt;/td&gt;&lt;td&gt;1.667&lt;/td&gt;&lt;td&gt;16&lt;/td&gt;&lt;td&gt;5.333&lt;/td&gt;&lt;td&gt;2&lt;/td&gt;&lt;td&gt;0.667&lt;/td&gt;&lt;/tr&gt;</v>
      </c>
    </row>
    <row r="6" spans="1:23" x14ac:dyDescent="0.25">
      <c r="A6" s="12">
        <v>8</v>
      </c>
      <c r="B6" s="12" t="s">
        <v>599</v>
      </c>
      <c r="C6" s="12">
        <v>3</v>
      </c>
      <c r="D6" s="12">
        <v>17</v>
      </c>
      <c r="E6" s="12">
        <v>41</v>
      </c>
      <c r="F6" s="12">
        <v>2</v>
      </c>
      <c r="G6" s="12">
        <v>7</v>
      </c>
      <c r="H6" s="12">
        <v>12</v>
      </c>
      <c r="I6" s="12">
        <v>16</v>
      </c>
      <c r="J6">
        <f t="shared" si="0"/>
        <v>48</v>
      </c>
      <c r="K6" s="12">
        <v>13</v>
      </c>
      <c r="L6" s="12">
        <v>24</v>
      </c>
      <c r="M6">
        <f t="shared" si="1"/>
        <v>37</v>
      </c>
      <c r="N6" s="12">
        <v>7</v>
      </c>
      <c r="O6" s="12">
        <v>5</v>
      </c>
      <c r="P6" s="12">
        <v>7</v>
      </c>
      <c r="Q6" s="12">
        <v>2</v>
      </c>
      <c r="R6" s="12">
        <v>9</v>
      </c>
      <c r="S6">
        <v>0</v>
      </c>
      <c r="T6" s="12">
        <v>97</v>
      </c>
      <c r="U6" s="12" t="s">
        <v>98</v>
      </c>
      <c r="W6" s="10" t="str">
        <f t="shared" si="2"/>
        <v>&lt;tr&gt;&lt;td&gt;Jessica Marx-Houndle&lt;/td&gt;&lt;td&gt;WWC&lt;/td&gt;&lt;td&gt;3&lt;/td&gt;&lt;td&gt;48&lt;/td&gt;&lt;td&gt;16.000&lt;/td&gt;&lt;td&gt;17&lt;/td&gt;&lt;td&gt;41&lt;/td&gt;&lt;td&gt;0.415&lt;/td&gt;&lt;td&gt;2&lt;/td&gt;&lt;td&gt;7&lt;/td&gt;&lt;td&gt;0.286&lt;/td&gt;&lt;td&gt;12&lt;/td&gt;&lt;td&gt;16&lt;/td&gt;&lt;td&gt;0.750&lt;/td&gt;&lt;td&gt;13&lt;/td&gt;&lt;td&gt;24&lt;/td&gt;&lt;td&gt;37&lt;/td&gt;&lt;td&gt;12.333&lt;/td&gt;&lt;td&gt;5&lt;/td&gt;&lt;td&gt;1.667&lt;/td&gt;&lt;td&gt;9&lt;/td&gt;&lt;td&gt;3.000&lt;/td&gt;&lt;td&gt;2&lt;/td&gt;&lt;td&gt;0.667&lt;/td&gt;&lt;/tr&gt;</v>
      </c>
    </row>
    <row r="7" spans="1:23" x14ac:dyDescent="0.25">
      <c r="A7" s="12">
        <v>10</v>
      </c>
      <c r="B7" s="12" t="s">
        <v>592</v>
      </c>
      <c r="C7" s="12">
        <v>3</v>
      </c>
      <c r="D7" s="12">
        <v>18</v>
      </c>
      <c r="E7" s="12">
        <v>44</v>
      </c>
      <c r="F7" s="12">
        <v>0</v>
      </c>
      <c r="G7" s="12">
        <v>0</v>
      </c>
      <c r="H7" s="12">
        <v>9</v>
      </c>
      <c r="I7" s="12">
        <v>14</v>
      </c>
      <c r="J7">
        <f t="shared" si="0"/>
        <v>45</v>
      </c>
      <c r="K7" s="12">
        <v>6</v>
      </c>
      <c r="L7" s="12">
        <v>14</v>
      </c>
      <c r="M7">
        <f t="shared" si="1"/>
        <v>20</v>
      </c>
      <c r="N7" s="12">
        <v>4</v>
      </c>
      <c r="O7" s="12">
        <v>6</v>
      </c>
      <c r="P7" s="12">
        <v>11</v>
      </c>
      <c r="Q7" s="12">
        <v>3</v>
      </c>
      <c r="R7" s="12">
        <v>11</v>
      </c>
      <c r="S7">
        <v>0</v>
      </c>
      <c r="T7" s="12">
        <v>64</v>
      </c>
      <c r="U7" s="12" t="s">
        <v>74</v>
      </c>
      <c r="W7" s="10" t="str">
        <f t="shared" si="2"/>
        <v>&lt;tr&gt;&lt;td&gt;Jessica Dyck&lt;/td&gt;&lt;td&gt;OPHS&lt;/td&gt;&lt;td&gt;3&lt;/td&gt;&lt;td&gt;45&lt;/td&gt;&lt;td&gt;15.000&lt;/td&gt;&lt;td&gt;18&lt;/td&gt;&lt;td&gt;44&lt;/td&gt;&lt;td&gt;0.409&lt;/td&gt;&lt;td&gt;0&lt;/td&gt;&lt;td&gt;0&lt;/td&gt;&lt;td&gt;0.000&lt;/td&gt;&lt;td&gt;9&lt;/td&gt;&lt;td&gt;14&lt;/td&gt;&lt;td&gt;0.643&lt;/td&gt;&lt;td&gt;6&lt;/td&gt;&lt;td&gt;14&lt;/td&gt;&lt;td&gt;20&lt;/td&gt;&lt;td&gt;6.667&lt;/td&gt;&lt;td&gt;6&lt;/td&gt;&lt;td&gt;2.000&lt;/td&gt;&lt;td&gt;11&lt;/td&gt;&lt;td&gt;3.667&lt;/td&gt;&lt;td&gt;3&lt;/td&gt;&lt;td&gt;1.000&lt;/td&gt;&lt;/tr&gt;</v>
      </c>
    </row>
    <row r="8" spans="1:23" x14ac:dyDescent="0.25">
      <c r="A8" s="12">
        <v>13</v>
      </c>
      <c r="B8" s="12" t="s">
        <v>603</v>
      </c>
      <c r="C8" s="12">
        <v>3</v>
      </c>
      <c r="D8" s="12">
        <v>18</v>
      </c>
      <c r="E8" s="12">
        <v>63</v>
      </c>
      <c r="F8" s="12">
        <v>3</v>
      </c>
      <c r="G8" s="12">
        <v>15</v>
      </c>
      <c r="H8" s="12">
        <v>4</v>
      </c>
      <c r="I8" s="12">
        <v>4</v>
      </c>
      <c r="J8">
        <f t="shared" si="0"/>
        <v>43</v>
      </c>
      <c r="K8" s="12">
        <v>11</v>
      </c>
      <c r="L8" s="12">
        <v>15</v>
      </c>
      <c r="M8">
        <f t="shared" si="1"/>
        <v>26</v>
      </c>
      <c r="N8" s="12">
        <v>3</v>
      </c>
      <c r="O8" s="12">
        <v>3</v>
      </c>
      <c r="P8" s="12">
        <v>8</v>
      </c>
      <c r="Q8" s="12">
        <v>0</v>
      </c>
      <c r="R8" s="12">
        <v>10</v>
      </c>
      <c r="S8">
        <v>0</v>
      </c>
      <c r="T8" s="12">
        <v>101</v>
      </c>
      <c r="U8" s="12" t="s">
        <v>98</v>
      </c>
      <c r="W8" s="10" t="str">
        <f t="shared" ref="W8" si="3">"&lt;tr&gt;&lt;td&gt;"&amp;B8&amp;"&lt;/td&gt;&lt;td&gt;"&amp;U8&amp;"&lt;/td&gt;&lt;td&gt;"&amp;C8&amp;"&lt;/td&gt;&lt;td&gt;"&amp;J8&amp;"&lt;/td&gt;&lt;td&gt;"&amp;IF(OR(C8=0,J8=0),"0.000",IF(ROUND(J8/C8,3)=1,"1.000",TEXT(ROUND(J8/C8,3),"0.000")))&amp;"&lt;/td&gt;&lt;td&gt;"&amp;D8&amp;"&lt;/td&gt;&lt;td&gt;"&amp;E8&amp;"&lt;/td&gt;&lt;td&gt;"&amp;IF(OR(D8=0,E8=0),"0.000",IF(ROUND(D8/E8,3)=1,"1.000",TEXT(ROUND(D8/E8,3),"0.000")))&amp;"&lt;/td&gt;&lt;td&gt;"&amp;F8&amp;"&lt;/td&gt;&lt;td&gt;"&amp;G8&amp;"&lt;/td&gt;&lt;td&gt;"&amp;IF(OR(F8=0,G8=0),"0.000",IF(ROUND(F8/G8,3)=1,"1.000",TEXT(ROUND(F8/G8,3),"0.000")))&amp;"&lt;/td&gt;&lt;td&gt;"&amp;H8&amp;"&lt;/td&gt;&lt;td&gt;"&amp;I8&amp;"&lt;/td&gt;&lt;td&gt;"&amp;IF(OR(H8=0,I8=0),"0.000",IF(ROUND(H8/I8,3)=1,"1.000",TEXT(ROUND(H8/I8,3),"0.000")))&amp;"&lt;/td&gt;&lt;td&gt;"&amp;K8&amp;"&lt;/td&gt;&lt;td&gt;"&amp;L8&amp;"&lt;/td&gt;&lt;td&gt;"&amp;M8&amp;"&lt;/td&gt;&lt;td&gt;"&amp;IF(OR(M8=0,C8=0),"0.000",IF(ROUND(M8/C8,3)=1,"1.000",TEXT(ROUND(M8/C8,3),"0.000")))&amp;"&lt;/td&gt;&lt;td&gt;"&amp;O8&amp;"&lt;/td&gt;&lt;td&gt;"&amp;IF(OR(O8=0,C8=0),"0.000",IF(ROUND(O8/C8,3)=1,"1.000",TEXT(ROUND(O8/C8,3),"0.000")))&amp;"&lt;/td&gt;&lt;td&gt;"&amp;R8&amp;"&lt;/td&gt;&lt;td&gt;"&amp;IF(OR(R8=0,C8=0),"0.000",IF(ROUND(R8/C8,3)=1,"1.000",TEXT(ROUND(R8/C8,3),"0.000")))&amp;"&lt;/td&gt;&lt;td&gt;"&amp;Q8&amp;"&lt;/td&gt;&lt;td&gt;"&amp;IF(OR(Q8=0,C8=0),"0.000",IF(ROUND(Q8/C8,3)=1,"1.000",TEXT(ROUND(Q8/C8,3),"0.000")))&amp;"&lt;/td&gt;&lt;/tr&gt;"</f>
        <v>&lt;tr&gt;&lt;td&gt;Brianna Hayward&lt;/td&gt;&lt;td&gt;WWC&lt;/td&gt;&lt;td&gt;3&lt;/td&gt;&lt;td&gt;43&lt;/td&gt;&lt;td&gt;14.333&lt;/td&gt;&lt;td&gt;18&lt;/td&gt;&lt;td&gt;63&lt;/td&gt;&lt;td&gt;0.286&lt;/td&gt;&lt;td&gt;3&lt;/td&gt;&lt;td&gt;15&lt;/td&gt;&lt;td&gt;0.200&lt;/td&gt;&lt;td&gt;4&lt;/td&gt;&lt;td&gt;4&lt;/td&gt;&lt;td&gt;1.000&lt;/td&gt;&lt;td&gt;11&lt;/td&gt;&lt;td&gt;15&lt;/td&gt;&lt;td&gt;26&lt;/td&gt;&lt;td&gt;8.667&lt;/td&gt;&lt;td&gt;3&lt;/td&gt;&lt;td&gt;1.000&lt;/td&gt;&lt;td&gt;10&lt;/td&gt;&lt;td&gt;3.333&lt;/td&gt;&lt;td&gt;0&lt;/td&gt;&lt;td&gt;0.000&lt;/td&gt;&lt;/tr&gt;</v>
      </c>
    </row>
    <row r="9" spans="1:23" x14ac:dyDescent="0.25">
      <c r="A9" s="12">
        <v>4</v>
      </c>
      <c r="B9" s="12" t="s">
        <v>588</v>
      </c>
      <c r="C9" s="12">
        <v>3</v>
      </c>
      <c r="D9" s="12">
        <v>18</v>
      </c>
      <c r="E9" s="12">
        <v>33</v>
      </c>
      <c r="F9" s="12">
        <v>4</v>
      </c>
      <c r="G9" s="12">
        <v>8</v>
      </c>
      <c r="H9" s="12">
        <v>3</v>
      </c>
      <c r="I9" s="12">
        <v>6</v>
      </c>
      <c r="J9">
        <f t="shared" si="0"/>
        <v>43</v>
      </c>
      <c r="K9" s="12">
        <v>4</v>
      </c>
      <c r="L9" s="12">
        <v>17</v>
      </c>
      <c r="M9">
        <f t="shared" si="1"/>
        <v>21</v>
      </c>
      <c r="N9" s="12">
        <v>5</v>
      </c>
      <c r="O9" s="12">
        <v>15</v>
      </c>
      <c r="P9" s="12">
        <v>14</v>
      </c>
      <c r="Q9" s="12">
        <v>1</v>
      </c>
      <c r="R9" s="12">
        <v>15</v>
      </c>
      <c r="S9">
        <v>0</v>
      </c>
      <c r="T9" s="12">
        <v>86</v>
      </c>
      <c r="U9" s="12" t="s">
        <v>74</v>
      </c>
      <c r="W9" s="10" t="str">
        <f t="shared" ref="W9:W10" si="4">"&lt;tr&gt;&lt;td&gt;"&amp;B9&amp;"&lt;/td&gt;&lt;td&gt;"&amp;U9&amp;"&lt;/td&gt;&lt;td&gt;"&amp;C9&amp;"&lt;/td&gt;&lt;td&gt;"&amp;J9&amp;"&lt;/td&gt;&lt;td&gt;"&amp;IF(OR(C9=0,J9=0),"0.000",IF(ROUND(J9/C9,3)=1,"1.000",TEXT(ROUND(J9/C9,3),"0.000")))&amp;"&lt;/td&gt;&lt;td&gt;"&amp;D9&amp;"&lt;/td&gt;&lt;td&gt;"&amp;E9&amp;"&lt;/td&gt;&lt;td&gt;"&amp;IF(OR(D9=0,E9=0),"0.000",IF(ROUND(D9/E9,3)=1,"1.000",TEXT(ROUND(D9/E9,3),"0.000")))&amp;"&lt;/td&gt;&lt;td&gt;"&amp;F9&amp;"&lt;/td&gt;&lt;td&gt;"&amp;G9&amp;"&lt;/td&gt;&lt;td&gt;"&amp;IF(OR(F9=0,G9=0),"0.000",IF(ROUND(F9/G9,3)=1,"1.000",TEXT(ROUND(F9/G9,3),"0.000")))&amp;"&lt;/td&gt;&lt;td&gt;"&amp;H9&amp;"&lt;/td&gt;&lt;td&gt;"&amp;I9&amp;"&lt;/td&gt;&lt;td&gt;"&amp;IF(OR(H9=0,I9=0),"0.000",IF(ROUND(H9/I9,3)=1,"1.000",TEXT(ROUND(H9/I9,3),"0.000")))&amp;"&lt;/td&gt;&lt;td&gt;"&amp;K9&amp;"&lt;/td&gt;&lt;td&gt;"&amp;L9&amp;"&lt;/td&gt;&lt;td&gt;"&amp;M9&amp;"&lt;/td&gt;&lt;td&gt;"&amp;IF(OR(M9=0,C9=0),"0.000",IF(ROUND(M9/C9,3)=1,"1.000",TEXT(ROUND(M9/C9,3),"0.000")))&amp;"&lt;/td&gt;&lt;td&gt;"&amp;O9&amp;"&lt;/td&gt;&lt;td&gt;"&amp;IF(OR(O9=0,C9=0),"0.000",IF(ROUND(O9/C9,3)=1,"1.000",TEXT(ROUND(O9/C9,3),"0.000")))&amp;"&lt;/td&gt;&lt;td&gt;"&amp;R9&amp;"&lt;/td&gt;&lt;td&gt;"&amp;IF(OR(R9=0,C9=0),"0.000",IF(ROUND(R9/C9,3)=1,"1.000",TEXT(ROUND(R9/C9,3),"0.000")))&amp;"&lt;/td&gt;&lt;td&gt;"&amp;Q9&amp;"&lt;/td&gt;&lt;td&gt;"&amp;IF(OR(Q9=0,C9=0),"0.000",IF(ROUND(Q9/C9,3)=1,"1.000",TEXT(ROUND(Q9/C9,3),"0.000")))&amp;"&lt;/td&gt;&lt;/tr&gt;"</f>
        <v>&lt;tr&gt;&lt;td&gt;Lauren Bartlett&lt;/td&gt;&lt;td&gt;OPHS&lt;/td&gt;&lt;td&gt;3&lt;/td&gt;&lt;td&gt;43&lt;/td&gt;&lt;td&gt;14.333&lt;/td&gt;&lt;td&gt;18&lt;/td&gt;&lt;td&gt;33&lt;/td&gt;&lt;td&gt;0.545&lt;/td&gt;&lt;td&gt;4&lt;/td&gt;&lt;td&gt;8&lt;/td&gt;&lt;td&gt;0.500&lt;/td&gt;&lt;td&gt;3&lt;/td&gt;&lt;td&gt;6&lt;/td&gt;&lt;td&gt;0.500&lt;/td&gt;&lt;td&gt;4&lt;/td&gt;&lt;td&gt;17&lt;/td&gt;&lt;td&gt;21&lt;/td&gt;&lt;td&gt;7.000&lt;/td&gt;&lt;td&gt;15&lt;/td&gt;&lt;td&gt;5.000&lt;/td&gt;&lt;td&gt;15&lt;/td&gt;&lt;td&gt;5.000&lt;/td&gt;&lt;td&gt;1&lt;/td&gt;&lt;td&gt;0.333&lt;/td&gt;&lt;/tr&gt;</v>
      </c>
    </row>
    <row r="10" spans="1:23" x14ac:dyDescent="0.25">
      <c r="A10" s="12">
        <v>3</v>
      </c>
      <c r="B10" s="12" t="s">
        <v>632</v>
      </c>
      <c r="C10" s="12">
        <v>3</v>
      </c>
      <c r="D10" s="12">
        <v>14</v>
      </c>
      <c r="E10" s="12">
        <v>46</v>
      </c>
      <c r="F10" s="12">
        <v>5</v>
      </c>
      <c r="G10" s="12">
        <v>18</v>
      </c>
      <c r="H10" s="12">
        <v>4</v>
      </c>
      <c r="I10" s="12">
        <v>16</v>
      </c>
      <c r="J10">
        <f t="shared" si="0"/>
        <v>37</v>
      </c>
      <c r="K10" s="12">
        <v>6</v>
      </c>
      <c r="L10" s="12">
        <v>17</v>
      </c>
      <c r="M10">
        <f t="shared" si="1"/>
        <v>23</v>
      </c>
      <c r="N10" s="12">
        <v>8</v>
      </c>
      <c r="O10" s="12">
        <v>6</v>
      </c>
      <c r="P10" s="12">
        <v>22</v>
      </c>
      <c r="Q10" s="12">
        <v>1</v>
      </c>
      <c r="R10" s="12">
        <v>9</v>
      </c>
      <c r="S10">
        <v>0</v>
      </c>
      <c r="T10" s="12">
        <v>100</v>
      </c>
      <c r="U10" s="12" t="s">
        <v>100</v>
      </c>
      <c r="W10" s="10" t="str">
        <f t="shared" si="4"/>
        <v>&lt;tr&gt;&lt;td&gt;Shanelle Haliuk&lt;/td&gt;&lt;td&gt;CPRS&lt;/td&gt;&lt;td&gt;3&lt;/td&gt;&lt;td&gt;37&lt;/td&gt;&lt;td&gt;12.333&lt;/td&gt;&lt;td&gt;14&lt;/td&gt;&lt;td&gt;46&lt;/td&gt;&lt;td&gt;0.304&lt;/td&gt;&lt;td&gt;5&lt;/td&gt;&lt;td&gt;18&lt;/td&gt;&lt;td&gt;0.278&lt;/td&gt;&lt;td&gt;4&lt;/td&gt;&lt;td&gt;16&lt;/td&gt;&lt;td&gt;0.250&lt;/td&gt;&lt;td&gt;6&lt;/td&gt;&lt;td&gt;17&lt;/td&gt;&lt;td&gt;23&lt;/td&gt;&lt;td&gt;7.667&lt;/td&gt;&lt;td&gt;6&lt;/td&gt;&lt;td&gt;2.000&lt;/td&gt;&lt;td&gt;9&lt;/td&gt;&lt;td&gt;3.000&lt;/td&gt;&lt;td&gt;1&lt;/td&gt;&lt;td&gt;0.333&lt;/td&gt;&lt;/tr&gt;</v>
      </c>
    </row>
    <row r="11" spans="1:23" x14ac:dyDescent="0.25">
      <c r="A11" s="12">
        <v>5</v>
      </c>
      <c r="B11" s="12" t="s">
        <v>634</v>
      </c>
      <c r="C11" s="12">
        <v>3</v>
      </c>
      <c r="D11" s="12">
        <v>15</v>
      </c>
      <c r="E11" s="12">
        <v>45</v>
      </c>
      <c r="F11" s="12">
        <v>3</v>
      </c>
      <c r="G11" s="12">
        <v>19</v>
      </c>
      <c r="H11" s="12">
        <v>4</v>
      </c>
      <c r="I11" s="12">
        <v>10</v>
      </c>
      <c r="J11">
        <f t="shared" si="0"/>
        <v>37</v>
      </c>
      <c r="K11" s="12">
        <v>7</v>
      </c>
      <c r="L11" s="12">
        <v>22</v>
      </c>
      <c r="M11">
        <f t="shared" si="1"/>
        <v>29</v>
      </c>
      <c r="N11" s="12">
        <v>4</v>
      </c>
      <c r="O11" s="12">
        <v>10</v>
      </c>
      <c r="P11" s="12">
        <v>20</v>
      </c>
      <c r="Q11" s="12">
        <v>2</v>
      </c>
      <c r="R11" s="12">
        <v>11</v>
      </c>
      <c r="S11">
        <v>0</v>
      </c>
      <c r="T11" s="12">
        <v>94</v>
      </c>
      <c r="U11" s="12" t="s">
        <v>100</v>
      </c>
      <c r="W11" s="10" t="str">
        <f t="shared" si="2"/>
        <v>&lt;tr&gt;&lt;td&gt;Paige Donald&lt;/td&gt;&lt;td&gt;CPRS&lt;/td&gt;&lt;td&gt;3&lt;/td&gt;&lt;td&gt;37&lt;/td&gt;&lt;td&gt;12.333&lt;/td&gt;&lt;td&gt;15&lt;/td&gt;&lt;td&gt;45&lt;/td&gt;&lt;td&gt;0.333&lt;/td&gt;&lt;td&gt;3&lt;/td&gt;&lt;td&gt;19&lt;/td&gt;&lt;td&gt;0.158&lt;/td&gt;&lt;td&gt;4&lt;/td&gt;&lt;td&gt;10&lt;/td&gt;&lt;td&gt;0.400&lt;/td&gt;&lt;td&gt;7&lt;/td&gt;&lt;td&gt;22&lt;/td&gt;&lt;td&gt;29&lt;/td&gt;&lt;td&gt;9.667&lt;/td&gt;&lt;td&gt;10&lt;/td&gt;&lt;td&gt;3.333&lt;/td&gt;&lt;td&gt;11&lt;/td&gt;&lt;td&gt;3.667&lt;/td&gt;&lt;td&gt;2&lt;/td&gt;&lt;td&gt;0.667&lt;/td&gt;&lt;/tr&gt;</v>
      </c>
    </row>
    <row r="12" spans="1:23" x14ac:dyDescent="0.25">
      <c r="A12" s="12">
        <v>13</v>
      </c>
      <c r="B12" s="12" t="s">
        <v>647</v>
      </c>
      <c r="C12" s="12">
        <v>3</v>
      </c>
      <c r="D12" s="12">
        <v>13</v>
      </c>
      <c r="E12" s="12">
        <v>39</v>
      </c>
      <c r="F12" s="12">
        <v>0</v>
      </c>
      <c r="G12" s="12">
        <v>0</v>
      </c>
      <c r="H12" s="12">
        <v>10</v>
      </c>
      <c r="I12" s="12">
        <v>16</v>
      </c>
      <c r="J12">
        <f t="shared" si="0"/>
        <v>36</v>
      </c>
      <c r="K12" s="12">
        <v>24</v>
      </c>
      <c r="L12" s="12">
        <v>19</v>
      </c>
      <c r="M12">
        <f t="shared" si="1"/>
        <v>43</v>
      </c>
      <c r="N12" s="12">
        <v>2</v>
      </c>
      <c r="O12" s="12">
        <v>2</v>
      </c>
      <c r="P12" s="12">
        <v>5</v>
      </c>
      <c r="Q12" s="12">
        <v>2</v>
      </c>
      <c r="R12" s="12">
        <v>5</v>
      </c>
      <c r="S12">
        <v>0</v>
      </c>
      <c r="T12" s="12">
        <v>78</v>
      </c>
      <c r="U12" s="12" t="s">
        <v>54</v>
      </c>
      <c r="W12" s="10" t="str">
        <f t="shared" si="2"/>
        <v>&lt;tr&gt;&lt;td&gt;Jillian Tompkins&lt;/td&gt;&lt;td&gt;LS&lt;/td&gt;&lt;td&gt;3&lt;/td&gt;&lt;td&gt;36&lt;/td&gt;&lt;td&gt;12.000&lt;/td&gt;&lt;td&gt;13&lt;/td&gt;&lt;td&gt;39&lt;/td&gt;&lt;td&gt;0.333&lt;/td&gt;&lt;td&gt;0&lt;/td&gt;&lt;td&gt;0&lt;/td&gt;&lt;td&gt;0.000&lt;/td&gt;&lt;td&gt;10&lt;/td&gt;&lt;td&gt;16&lt;/td&gt;&lt;td&gt;0.625&lt;/td&gt;&lt;td&gt;24&lt;/td&gt;&lt;td&gt;19&lt;/td&gt;&lt;td&gt;43&lt;/td&gt;&lt;td&gt;14.333&lt;/td&gt;&lt;td&gt;2&lt;/td&gt;&lt;td&gt;0.667&lt;/td&gt;&lt;td&gt;5&lt;/td&gt;&lt;td&gt;1.667&lt;/td&gt;&lt;td&gt;2&lt;/td&gt;&lt;td&gt;0.667&lt;/td&gt;&lt;/tr&gt;</v>
      </c>
    </row>
    <row r="13" spans="1:23" x14ac:dyDescent="0.25">
      <c r="A13" s="12">
        <v>2</v>
      </c>
      <c r="B13" s="12" t="s">
        <v>586</v>
      </c>
      <c r="C13" s="12">
        <v>3</v>
      </c>
      <c r="D13" s="12">
        <v>14</v>
      </c>
      <c r="E13" s="12">
        <v>37</v>
      </c>
      <c r="F13" s="12">
        <v>4</v>
      </c>
      <c r="G13" s="12">
        <v>7</v>
      </c>
      <c r="H13" s="12">
        <v>3</v>
      </c>
      <c r="I13" s="12">
        <v>9</v>
      </c>
      <c r="J13">
        <f t="shared" si="0"/>
        <v>35</v>
      </c>
      <c r="K13" s="12">
        <v>10</v>
      </c>
      <c r="L13" s="12">
        <v>12</v>
      </c>
      <c r="M13">
        <f t="shared" si="1"/>
        <v>22</v>
      </c>
      <c r="N13" s="12">
        <v>5</v>
      </c>
      <c r="O13" s="12">
        <v>11</v>
      </c>
      <c r="P13" s="12">
        <v>6</v>
      </c>
      <c r="Q13" s="12">
        <v>0</v>
      </c>
      <c r="R13" s="12">
        <v>7</v>
      </c>
      <c r="S13">
        <v>0</v>
      </c>
      <c r="T13" s="12">
        <v>102</v>
      </c>
      <c r="U13" s="12" t="s">
        <v>74</v>
      </c>
      <c r="W13" s="10" t="str">
        <f t="shared" si="2"/>
        <v>&lt;tr&gt;&lt;td&gt;Annaka Webber&lt;/td&gt;&lt;td&gt;OPHS&lt;/td&gt;&lt;td&gt;3&lt;/td&gt;&lt;td&gt;35&lt;/td&gt;&lt;td&gt;11.667&lt;/td&gt;&lt;td&gt;14&lt;/td&gt;&lt;td&gt;37&lt;/td&gt;&lt;td&gt;0.378&lt;/td&gt;&lt;td&gt;4&lt;/td&gt;&lt;td&gt;7&lt;/td&gt;&lt;td&gt;0.571&lt;/td&gt;&lt;td&gt;3&lt;/td&gt;&lt;td&gt;9&lt;/td&gt;&lt;td&gt;0.333&lt;/td&gt;&lt;td&gt;10&lt;/td&gt;&lt;td&gt;12&lt;/td&gt;&lt;td&gt;22&lt;/td&gt;&lt;td&gt;7.333&lt;/td&gt;&lt;td&gt;11&lt;/td&gt;&lt;td&gt;3.667&lt;/td&gt;&lt;td&gt;7&lt;/td&gt;&lt;td&gt;2.333&lt;/td&gt;&lt;td&gt;0&lt;/td&gt;&lt;td&gt;0.000&lt;/td&gt;&lt;/tr&gt;</v>
      </c>
    </row>
    <row r="14" spans="1:23" x14ac:dyDescent="0.25">
      <c r="A14" s="12">
        <v>23</v>
      </c>
      <c r="B14" s="12" t="s">
        <v>665</v>
      </c>
      <c r="C14" s="12">
        <v>3</v>
      </c>
      <c r="D14" s="12">
        <v>15</v>
      </c>
      <c r="E14" s="12">
        <v>66</v>
      </c>
      <c r="F14" s="12">
        <v>0</v>
      </c>
      <c r="G14" s="12">
        <v>5</v>
      </c>
      <c r="H14" s="12">
        <v>2</v>
      </c>
      <c r="I14" s="12">
        <v>4</v>
      </c>
      <c r="J14">
        <f t="shared" si="0"/>
        <v>32</v>
      </c>
      <c r="K14" s="12">
        <v>10</v>
      </c>
      <c r="L14" s="12">
        <v>20</v>
      </c>
      <c r="M14">
        <f t="shared" si="1"/>
        <v>30</v>
      </c>
      <c r="N14" s="12">
        <v>5</v>
      </c>
      <c r="O14" s="12">
        <v>3</v>
      </c>
      <c r="P14" s="12">
        <v>5</v>
      </c>
      <c r="Q14" s="12">
        <v>1</v>
      </c>
      <c r="R14" s="12">
        <v>11</v>
      </c>
      <c r="S14">
        <v>0</v>
      </c>
      <c r="T14" s="12">
        <v>118</v>
      </c>
      <c r="U14" s="12" t="s">
        <v>52</v>
      </c>
      <c r="W14" s="10" t="str">
        <f t="shared" si="2"/>
        <v>&lt;tr&gt;&lt;td&gt;Katarina Gomes&lt;/td&gt;&lt;td&gt;REC&lt;/td&gt;&lt;td&gt;3&lt;/td&gt;&lt;td&gt;32&lt;/td&gt;&lt;td&gt;10.667&lt;/td&gt;&lt;td&gt;15&lt;/td&gt;&lt;td&gt;66&lt;/td&gt;&lt;td&gt;0.227&lt;/td&gt;&lt;td&gt;0&lt;/td&gt;&lt;td&gt;5&lt;/td&gt;&lt;td&gt;0.000&lt;/td&gt;&lt;td&gt;2&lt;/td&gt;&lt;td&gt;4&lt;/td&gt;&lt;td&gt;0.500&lt;/td&gt;&lt;td&gt;10&lt;/td&gt;&lt;td&gt;20&lt;/td&gt;&lt;td&gt;30&lt;/td&gt;&lt;td&gt;10.000&lt;/td&gt;&lt;td&gt;3&lt;/td&gt;&lt;td&gt;1.000&lt;/td&gt;&lt;td&gt;11&lt;/td&gt;&lt;td&gt;3.667&lt;/td&gt;&lt;td&gt;1&lt;/td&gt;&lt;td&gt;0.333&lt;/td&gt;&lt;/tr&gt;</v>
      </c>
    </row>
    <row r="15" spans="1:23" x14ac:dyDescent="0.25">
      <c r="A15" s="12">
        <v>7</v>
      </c>
      <c r="B15" s="12" t="s">
        <v>612</v>
      </c>
      <c r="C15" s="12">
        <v>3</v>
      </c>
      <c r="D15" s="12">
        <v>10</v>
      </c>
      <c r="E15" s="12">
        <v>37</v>
      </c>
      <c r="F15" s="12">
        <v>8</v>
      </c>
      <c r="G15" s="12">
        <v>22</v>
      </c>
      <c r="H15" s="12">
        <v>2</v>
      </c>
      <c r="I15" s="12">
        <v>10</v>
      </c>
      <c r="J15">
        <f t="shared" si="0"/>
        <v>30</v>
      </c>
      <c r="K15" s="12">
        <v>5</v>
      </c>
      <c r="L15" s="12">
        <v>13</v>
      </c>
      <c r="M15">
        <f t="shared" si="1"/>
        <v>18</v>
      </c>
      <c r="N15" s="12">
        <v>8</v>
      </c>
      <c r="O15" s="12">
        <v>3</v>
      </c>
      <c r="P15" s="12">
        <v>10</v>
      </c>
      <c r="Q15" s="12">
        <v>1</v>
      </c>
      <c r="R15" s="12">
        <v>14</v>
      </c>
      <c r="S15">
        <v>0</v>
      </c>
      <c r="T15" s="12">
        <v>85</v>
      </c>
      <c r="U15" s="12" t="s">
        <v>82</v>
      </c>
      <c r="W15" s="10" t="str">
        <f t="shared" si="2"/>
        <v>&lt;tr&gt;&lt;td&gt;Jayvee Altasin&lt;/td&gt;&lt;td&gt;DMCI&lt;/td&gt;&lt;td&gt;3&lt;/td&gt;&lt;td&gt;30&lt;/td&gt;&lt;td&gt;10.000&lt;/td&gt;&lt;td&gt;10&lt;/td&gt;&lt;td&gt;37&lt;/td&gt;&lt;td&gt;0.270&lt;/td&gt;&lt;td&gt;8&lt;/td&gt;&lt;td&gt;22&lt;/td&gt;&lt;td&gt;0.364&lt;/td&gt;&lt;td&gt;2&lt;/td&gt;&lt;td&gt;10&lt;/td&gt;&lt;td&gt;0.200&lt;/td&gt;&lt;td&gt;5&lt;/td&gt;&lt;td&gt;13&lt;/td&gt;&lt;td&gt;18&lt;/td&gt;&lt;td&gt;6.000&lt;/td&gt;&lt;td&gt;3&lt;/td&gt;&lt;td&gt;1.000&lt;/td&gt;&lt;td&gt;14&lt;/td&gt;&lt;td&gt;4.667&lt;/td&gt;&lt;td&gt;1&lt;/td&gt;&lt;td&gt;0.333&lt;/td&gt;&lt;/tr&gt;</v>
      </c>
    </row>
    <row r="16" spans="1:23" x14ac:dyDescent="0.25">
      <c r="A16" s="12">
        <v>5</v>
      </c>
      <c r="B16" s="12" t="s">
        <v>589</v>
      </c>
      <c r="C16" s="12">
        <v>3</v>
      </c>
      <c r="D16" s="12">
        <v>14</v>
      </c>
      <c r="E16" s="12">
        <v>27</v>
      </c>
      <c r="F16" s="12">
        <v>0</v>
      </c>
      <c r="G16" s="12">
        <v>0</v>
      </c>
      <c r="H16" s="12">
        <v>2</v>
      </c>
      <c r="I16" s="12">
        <v>2</v>
      </c>
      <c r="J16">
        <f t="shared" si="0"/>
        <v>30</v>
      </c>
      <c r="K16" s="12">
        <v>9</v>
      </c>
      <c r="L16" s="12">
        <v>21</v>
      </c>
      <c r="M16">
        <f t="shared" si="1"/>
        <v>30</v>
      </c>
      <c r="N16" s="12">
        <v>7</v>
      </c>
      <c r="O16" s="12">
        <v>0</v>
      </c>
      <c r="P16" s="12">
        <v>6</v>
      </c>
      <c r="Q16" s="12">
        <v>8</v>
      </c>
      <c r="R16" s="12">
        <v>5</v>
      </c>
      <c r="S16">
        <v>0</v>
      </c>
      <c r="T16" s="12">
        <v>76</v>
      </c>
      <c r="U16" s="12" t="s">
        <v>74</v>
      </c>
      <c r="W16" s="10" t="str">
        <f t="shared" si="2"/>
        <v>&lt;tr&gt;&lt;td&gt;Laura Wall&lt;/td&gt;&lt;td&gt;OPHS&lt;/td&gt;&lt;td&gt;3&lt;/td&gt;&lt;td&gt;30&lt;/td&gt;&lt;td&gt;10.000&lt;/td&gt;&lt;td&gt;14&lt;/td&gt;&lt;td&gt;27&lt;/td&gt;&lt;td&gt;0.519&lt;/td&gt;&lt;td&gt;0&lt;/td&gt;&lt;td&gt;0&lt;/td&gt;&lt;td&gt;0.000&lt;/td&gt;&lt;td&gt;2&lt;/td&gt;&lt;td&gt;2&lt;/td&gt;&lt;td&gt;1.000&lt;/td&gt;&lt;td&gt;9&lt;/td&gt;&lt;td&gt;21&lt;/td&gt;&lt;td&gt;30&lt;/td&gt;&lt;td&gt;10.000&lt;/td&gt;&lt;td&gt;0&lt;/td&gt;&lt;td&gt;0.000&lt;/td&gt;&lt;td&gt;5&lt;/td&gt;&lt;td&gt;1.667&lt;/td&gt;&lt;td&gt;8&lt;/td&gt;&lt;td&gt;2.667&lt;/td&gt;&lt;/tr&gt;</v>
      </c>
    </row>
    <row r="17" spans="1:23" x14ac:dyDescent="0.25">
      <c r="A17" s="12">
        <v>22</v>
      </c>
      <c r="B17" s="12" t="s">
        <v>651</v>
      </c>
      <c r="C17" s="12">
        <v>3</v>
      </c>
      <c r="D17" s="12">
        <v>11</v>
      </c>
      <c r="E17" s="12">
        <v>37</v>
      </c>
      <c r="F17" s="12">
        <v>4</v>
      </c>
      <c r="G17" s="12">
        <v>16</v>
      </c>
      <c r="H17" s="12">
        <v>3</v>
      </c>
      <c r="I17" s="12">
        <v>4</v>
      </c>
      <c r="J17">
        <f t="shared" si="0"/>
        <v>29</v>
      </c>
      <c r="K17" s="12">
        <v>7</v>
      </c>
      <c r="L17" s="12">
        <v>20</v>
      </c>
      <c r="M17">
        <f t="shared" si="1"/>
        <v>27</v>
      </c>
      <c r="N17" s="12">
        <v>4</v>
      </c>
      <c r="O17" s="12">
        <v>8</v>
      </c>
      <c r="P17" s="12">
        <v>19</v>
      </c>
      <c r="Q17" s="12">
        <v>8</v>
      </c>
      <c r="R17" s="12">
        <v>3</v>
      </c>
      <c r="S17">
        <v>0</v>
      </c>
      <c r="T17" s="12">
        <v>84</v>
      </c>
      <c r="U17" s="12" t="s">
        <v>54</v>
      </c>
      <c r="W17" s="10" t="str">
        <f t="shared" si="2"/>
        <v>&lt;tr&gt;&lt;td&gt;Danielle Hallson&lt;/td&gt;&lt;td&gt;LS&lt;/td&gt;&lt;td&gt;3&lt;/td&gt;&lt;td&gt;29&lt;/td&gt;&lt;td&gt;9.667&lt;/td&gt;&lt;td&gt;11&lt;/td&gt;&lt;td&gt;37&lt;/td&gt;&lt;td&gt;0.297&lt;/td&gt;&lt;td&gt;4&lt;/td&gt;&lt;td&gt;16&lt;/td&gt;&lt;td&gt;0.250&lt;/td&gt;&lt;td&gt;3&lt;/td&gt;&lt;td&gt;4&lt;/td&gt;&lt;td&gt;0.750&lt;/td&gt;&lt;td&gt;7&lt;/td&gt;&lt;td&gt;20&lt;/td&gt;&lt;td&gt;27&lt;/td&gt;&lt;td&gt;9.000&lt;/td&gt;&lt;td&gt;8&lt;/td&gt;&lt;td&gt;2.667&lt;/td&gt;&lt;td&gt;3&lt;/td&gt;&lt;td&gt;1.000&lt;/td&gt;&lt;td&gt;8&lt;/td&gt;&lt;td&gt;2.667&lt;/td&gt;&lt;/tr&gt;</v>
      </c>
    </row>
    <row r="18" spans="1:23" x14ac:dyDescent="0.25">
      <c r="A18" s="12">
        <v>11</v>
      </c>
      <c r="B18" s="12" t="s">
        <v>616</v>
      </c>
      <c r="C18" s="12">
        <v>3</v>
      </c>
      <c r="D18" s="12">
        <v>11</v>
      </c>
      <c r="E18" s="12">
        <v>46</v>
      </c>
      <c r="F18" s="12">
        <v>4</v>
      </c>
      <c r="G18" s="12">
        <v>18</v>
      </c>
      <c r="H18" s="12">
        <v>2</v>
      </c>
      <c r="I18" s="12">
        <v>5</v>
      </c>
      <c r="J18">
        <f t="shared" si="0"/>
        <v>28</v>
      </c>
      <c r="K18" s="12">
        <v>5</v>
      </c>
      <c r="L18" s="12">
        <v>11</v>
      </c>
      <c r="M18">
        <f t="shared" si="1"/>
        <v>16</v>
      </c>
      <c r="N18" s="12">
        <v>2</v>
      </c>
      <c r="O18" s="12">
        <v>8</v>
      </c>
      <c r="P18" s="12">
        <v>10</v>
      </c>
      <c r="Q18" s="12">
        <v>2</v>
      </c>
      <c r="R18" s="12">
        <v>17</v>
      </c>
      <c r="S18">
        <v>0</v>
      </c>
      <c r="T18" s="12">
        <v>102</v>
      </c>
      <c r="U18" s="12" t="s">
        <v>82</v>
      </c>
      <c r="W18" s="10" t="str">
        <f t="shared" si="2"/>
        <v>&lt;tr&gt;&lt;td&gt;Jasmine Fauni&lt;/td&gt;&lt;td&gt;DMCI&lt;/td&gt;&lt;td&gt;3&lt;/td&gt;&lt;td&gt;28&lt;/td&gt;&lt;td&gt;9.333&lt;/td&gt;&lt;td&gt;11&lt;/td&gt;&lt;td&gt;46&lt;/td&gt;&lt;td&gt;0.239&lt;/td&gt;&lt;td&gt;4&lt;/td&gt;&lt;td&gt;18&lt;/td&gt;&lt;td&gt;0.222&lt;/td&gt;&lt;td&gt;2&lt;/td&gt;&lt;td&gt;5&lt;/td&gt;&lt;td&gt;0.400&lt;/td&gt;&lt;td&gt;5&lt;/td&gt;&lt;td&gt;11&lt;/td&gt;&lt;td&gt;16&lt;/td&gt;&lt;td&gt;5.333&lt;/td&gt;&lt;td&gt;8&lt;/td&gt;&lt;td&gt;2.667&lt;/td&gt;&lt;td&gt;17&lt;/td&gt;&lt;td&gt;5.667&lt;/td&gt;&lt;td&gt;2&lt;/td&gt;&lt;td&gt;0.667&lt;/td&gt;&lt;/tr&gt;</v>
      </c>
    </row>
    <row r="19" spans="1:23" x14ac:dyDescent="0.25">
      <c r="A19" s="12">
        <v>12</v>
      </c>
      <c r="B19" s="12" t="s">
        <v>625</v>
      </c>
      <c r="C19" s="12">
        <v>2</v>
      </c>
      <c r="D19" s="12">
        <v>10</v>
      </c>
      <c r="E19" s="12">
        <v>38</v>
      </c>
      <c r="F19" s="12">
        <v>3</v>
      </c>
      <c r="G19" s="12">
        <v>8</v>
      </c>
      <c r="H19" s="12">
        <v>4</v>
      </c>
      <c r="I19" s="12">
        <v>4</v>
      </c>
      <c r="J19">
        <f t="shared" si="0"/>
        <v>27</v>
      </c>
      <c r="K19" s="12">
        <v>1</v>
      </c>
      <c r="L19" s="12">
        <v>9</v>
      </c>
      <c r="M19">
        <f t="shared" si="1"/>
        <v>10</v>
      </c>
      <c r="N19" s="12">
        <v>4</v>
      </c>
      <c r="O19" s="12">
        <v>6</v>
      </c>
      <c r="P19" s="12">
        <v>15</v>
      </c>
      <c r="Q19" s="12">
        <v>2</v>
      </c>
      <c r="R19" s="12">
        <v>4</v>
      </c>
      <c r="S19">
        <v>0</v>
      </c>
      <c r="T19" s="12">
        <v>60</v>
      </c>
      <c r="U19" s="12" t="s">
        <v>60</v>
      </c>
      <c r="W19" s="10" t="str">
        <f t="shared" si="2"/>
        <v>&lt;tr&gt;&lt;td&gt;Amina Mohammed&lt;/td&gt;&lt;td&gt;DCI&lt;/td&gt;&lt;td&gt;2&lt;/td&gt;&lt;td&gt;27&lt;/td&gt;&lt;td&gt;13.500&lt;/td&gt;&lt;td&gt;10&lt;/td&gt;&lt;td&gt;38&lt;/td&gt;&lt;td&gt;0.263&lt;/td&gt;&lt;td&gt;3&lt;/td&gt;&lt;td&gt;8&lt;/td&gt;&lt;td&gt;0.375&lt;/td&gt;&lt;td&gt;4&lt;/td&gt;&lt;td&gt;4&lt;/td&gt;&lt;td&gt;1.000&lt;/td&gt;&lt;td&gt;1&lt;/td&gt;&lt;td&gt;9&lt;/td&gt;&lt;td&gt;10&lt;/td&gt;&lt;td&gt;5.000&lt;/td&gt;&lt;td&gt;6&lt;/td&gt;&lt;td&gt;3.000&lt;/td&gt;&lt;td&gt;4&lt;/td&gt;&lt;td&gt;2.000&lt;/td&gt;&lt;td&gt;2&lt;/td&gt;&lt;td&gt;1.000&lt;/td&gt;&lt;/tr&gt;</v>
      </c>
    </row>
    <row r="20" spans="1:23" x14ac:dyDescent="0.25">
      <c r="A20" s="12">
        <v>9</v>
      </c>
      <c r="B20" s="12" t="s">
        <v>600</v>
      </c>
      <c r="C20" s="12">
        <v>3</v>
      </c>
      <c r="D20" s="12">
        <v>12</v>
      </c>
      <c r="E20" s="12">
        <v>32</v>
      </c>
      <c r="F20" s="12">
        <v>0</v>
      </c>
      <c r="G20" s="12">
        <v>5</v>
      </c>
      <c r="H20" s="12">
        <v>2</v>
      </c>
      <c r="I20" s="12">
        <v>3</v>
      </c>
      <c r="J20">
        <f t="shared" si="0"/>
        <v>26</v>
      </c>
      <c r="K20" s="12">
        <v>8</v>
      </c>
      <c r="L20" s="12">
        <v>21</v>
      </c>
      <c r="M20">
        <f t="shared" si="1"/>
        <v>29</v>
      </c>
      <c r="N20" s="12">
        <v>6</v>
      </c>
      <c r="O20" s="12">
        <v>11</v>
      </c>
      <c r="P20" s="12">
        <v>10</v>
      </c>
      <c r="Q20" s="12">
        <v>2</v>
      </c>
      <c r="R20" s="12">
        <v>11</v>
      </c>
      <c r="S20">
        <v>0</v>
      </c>
      <c r="T20" s="12">
        <v>99</v>
      </c>
      <c r="U20" s="12" t="s">
        <v>98</v>
      </c>
      <c r="W20" s="10" t="str">
        <f t="shared" si="2"/>
        <v>&lt;tr&gt;&lt;td&gt;Shemenu Dayassa&lt;/td&gt;&lt;td&gt;WWC&lt;/td&gt;&lt;td&gt;3&lt;/td&gt;&lt;td&gt;26&lt;/td&gt;&lt;td&gt;8.667&lt;/td&gt;&lt;td&gt;12&lt;/td&gt;&lt;td&gt;32&lt;/td&gt;&lt;td&gt;0.375&lt;/td&gt;&lt;td&gt;0&lt;/td&gt;&lt;td&gt;5&lt;/td&gt;&lt;td&gt;0.000&lt;/td&gt;&lt;td&gt;2&lt;/td&gt;&lt;td&gt;3&lt;/td&gt;&lt;td&gt;0.667&lt;/td&gt;&lt;td&gt;8&lt;/td&gt;&lt;td&gt;21&lt;/td&gt;&lt;td&gt;29&lt;/td&gt;&lt;td&gt;9.667&lt;/td&gt;&lt;td&gt;11&lt;/td&gt;&lt;td&gt;3.667&lt;/td&gt;&lt;td&gt;11&lt;/td&gt;&lt;td&gt;3.667&lt;/td&gt;&lt;td&gt;2&lt;/td&gt;&lt;td&gt;0.667&lt;/td&gt;&lt;/tr&gt;</v>
      </c>
    </row>
    <row r="21" spans="1:23" x14ac:dyDescent="0.25">
      <c r="A21" s="12">
        <v>13</v>
      </c>
      <c r="B21" s="12" t="s">
        <v>664</v>
      </c>
      <c r="C21" s="12">
        <v>3</v>
      </c>
      <c r="D21" s="12">
        <v>9</v>
      </c>
      <c r="E21" s="12">
        <v>36</v>
      </c>
      <c r="F21" s="12">
        <v>4</v>
      </c>
      <c r="G21" s="12">
        <v>21</v>
      </c>
      <c r="H21" s="12">
        <v>3</v>
      </c>
      <c r="I21" s="12">
        <v>8</v>
      </c>
      <c r="J21">
        <f t="shared" si="0"/>
        <v>25</v>
      </c>
      <c r="K21" s="12">
        <v>2</v>
      </c>
      <c r="L21" s="12">
        <v>14</v>
      </c>
      <c r="M21">
        <f t="shared" si="1"/>
        <v>16</v>
      </c>
      <c r="N21" s="12">
        <v>2</v>
      </c>
      <c r="O21" s="12">
        <v>3</v>
      </c>
      <c r="P21" s="12">
        <v>19</v>
      </c>
      <c r="Q21" s="12">
        <v>1</v>
      </c>
      <c r="R21" s="12">
        <v>4</v>
      </c>
      <c r="S21">
        <v>0</v>
      </c>
      <c r="T21" s="12">
        <v>118</v>
      </c>
      <c r="U21" s="12" t="s">
        <v>52</v>
      </c>
      <c r="W21" s="10" t="str">
        <f t="shared" si="2"/>
        <v>&lt;tr&gt;&lt;td&gt;Jeanelle Hauser&lt;/td&gt;&lt;td&gt;REC&lt;/td&gt;&lt;td&gt;3&lt;/td&gt;&lt;td&gt;25&lt;/td&gt;&lt;td&gt;8.333&lt;/td&gt;&lt;td&gt;9&lt;/td&gt;&lt;td&gt;36&lt;/td&gt;&lt;td&gt;0.250&lt;/td&gt;&lt;td&gt;4&lt;/td&gt;&lt;td&gt;21&lt;/td&gt;&lt;td&gt;0.190&lt;/td&gt;&lt;td&gt;3&lt;/td&gt;&lt;td&gt;8&lt;/td&gt;&lt;td&gt;0.375&lt;/td&gt;&lt;td&gt;2&lt;/td&gt;&lt;td&gt;14&lt;/td&gt;&lt;td&gt;16&lt;/td&gt;&lt;td&gt;5.333&lt;/td&gt;&lt;td&gt;3&lt;/td&gt;&lt;td&gt;1.000&lt;/td&gt;&lt;td&gt;4&lt;/td&gt;&lt;td&gt;1.333&lt;/td&gt;&lt;td&gt;1&lt;/td&gt;&lt;td&gt;0.333&lt;/td&gt;&lt;/tr&gt;</v>
      </c>
    </row>
    <row r="22" spans="1:23" x14ac:dyDescent="0.25">
      <c r="A22" s="12">
        <v>4</v>
      </c>
      <c r="B22" s="12" t="s">
        <v>653</v>
      </c>
      <c r="C22" s="12">
        <v>3</v>
      </c>
      <c r="D22" s="12">
        <v>9</v>
      </c>
      <c r="E22" s="12">
        <v>40</v>
      </c>
      <c r="F22" s="12">
        <v>1</v>
      </c>
      <c r="G22" s="12">
        <v>9</v>
      </c>
      <c r="H22" s="12">
        <v>6</v>
      </c>
      <c r="I22" s="12">
        <v>19</v>
      </c>
      <c r="J22">
        <f t="shared" si="0"/>
        <v>25</v>
      </c>
      <c r="K22" s="12">
        <v>12</v>
      </c>
      <c r="L22" s="12">
        <v>11</v>
      </c>
      <c r="M22">
        <f t="shared" si="1"/>
        <v>23</v>
      </c>
      <c r="N22" s="12">
        <v>9</v>
      </c>
      <c r="O22" s="12">
        <v>10</v>
      </c>
      <c r="P22" s="12">
        <v>9</v>
      </c>
      <c r="Q22" s="12">
        <v>1</v>
      </c>
      <c r="R22" s="12">
        <v>19</v>
      </c>
      <c r="S22">
        <v>0</v>
      </c>
      <c r="T22" s="12">
        <v>110</v>
      </c>
      <c r="U22" s="12" t="s">
        <v>70</v>
      </c>
      <c r="W22" s="10" t="str">
        <f t="shared" si="2"/>
        <v>&lt;tr&gt;&lt;td&gt;Jade Sharpe&lt;/td&gt;&lt;td&gt;JTC&lt;/td&gt;&lt;td&gt;3&lt;/td&gt;&lt;td&gt;25&lt;/td&gt;&lt;td&gt;8.333&lt;/td&gt;&lt;td&gt;9&lt;/td&gt;&lt;td&gt;40&lt;/td&gt;&lt;td&gt;0.225&lt;/td&gt;&lt;td&gt;1&lt;/td&gt;&lt;td&gt;9&lt;/td&gt;&lt;td&gt;0.111&lt;/td&gt;&lt;td&gt;6&lt;/td&gt;&lt;td&gt;19&lt;/td&gt;&lt;td&gt;0.316&lt;/td&gt;&lt;td&gt;12&lt;/td&gt;&lt;td&gt;11&lt;/td&gt;&lt;td&gt;23&lt;/td&gt;&lt;td&gt;7.667&lt;/td&gt;&lt;td&gt;10&lt;/td&gt;&lt;td&gt;3.333&lt;/td&gt;&lt;td&gt;19&lt;/td&gt;&lt;td&gt;6.333&lt;/td&gt;&lt;td&gt;1&lt;/td&gt;&lt;td&gt;0.333&lt;/td&gt;&lt;/tr&gt;</v>
      </c>
    </row>
    <row r="23" spans="1:23" x14ac:dyDescent="0.25">
      <c r="A23" s="12">
        <v>9</v>
      </c>
      <c r="B23" s="12" t="s">
        <v>638</v>
      </c>
      <c r="C23" s="12">
        <v>3</v>
      </c>
      <c r="D23" s="12">
        <v>11</v>
      </c>
      <c r="E23" s="12">
        <v>41</v>
      </c>
      <c r="F23" s="12">
        <v>3</v>
      </c>
      <c r="G23" s="12">
        <v>18</v>
      </c>
      <c r="H23" s="12">
        <v>0</v>
      </c>
      <c r="I23" s="12">
        <v>0</v>
      </c>
      <c r="J23">
        <f t="shared" si="0"/>
        <v>25</v>
      </c>
      <c r="K23" s="12">
        <v>5</v>
      </c>
      <c r="L23" s="12">
        <v>9</v>
      </c>
      <c r="M23">
        <f t="shared" si="1"/>
        <v>14</v>
      </c>
      <c r="N23" s="12">
        <v>1</v>
      </c>
      <c r="O23" s="12">
        <v>0</v>
      </c>
      <c r="P23" s="12">
        <v>7</v>
      </c>
      <c r="Q23" s="12">
        <v>1</v>
      </c>
      <c r="R23" s="12">
        <v>5</v>
      </c>
      <c r="S23">
        <v>0</v>
      </c>
      <c r="T23" s="12">
        <v>53</v>
      </c>
      <c r="U23" s="12" t="s">
        <v>100</v>
      </c>
      <c r="W23" s="10" t="str">
        <f t="shared" si="2"/>
        <v>&lt;tr&gt;&lt;td&gt;Faith Clearsky&lt;/td&gt;&lt;td&gt;CPRS&lt;/td&gt;&lt;td&gt;3&lt;/td&gt;&lt;td&gt;25&lt;/td&gt;&lt;td&gt;8.333&lt;/td&gt;&lt;td&gt;11&lt;/td&gt;&lt;td&gt;41&lt;/td&gt;&lt;td&gt;0.268&lt;/td&gt;&lt;td&gt;3&lt;/td&gt;&lt;td&gt;18&lt;/td&gt;&lt;td&gt;0.167&lt;/td&gt;&lt;td&gt;0&lt;/td&gt;&lt;td&gt;0&lt;/td&gt;&lt;td&gt;0.000&lt;/td&gt;&lt;td&gt;5&lt;/td&gt;&lt;td&gt;9&lt;/td&gt;&lt;td&gt;14&lt;/td&gt;&lt;td&gt;4.667&lt;/td&gt;&lt;td&gt;0&lt;/td&gt;&lt;td&gt;0.000&lt;/td&gt;&lt;td&gt;5&lt;/td&gt;&lt;td&gt;1.667&lt;/td&gt;&lt;td&gt;1&lt;/td&gt;&lt;td&gt;0.333&lt;/td&gt;&lt;/tr&gt;</v>
      </c>
    </row>
    <row r="24" spans="1:23" x14ac:dyDescent="0.25">
      <c r="A24" s="12">
        <v>7</v>
      </c>
      <c r="B24" s="12" t="s">
        <v>591</v>
      </c>
      <c r="C24" s="12">
        <v>3</v>
      </c>
      <c r="D24" s="12">
        <v>11</v>
      </c>
      <c r="E24" s="12">
        <v>24</v>
      </c>
      <c r="F24" s="12">
        <v>0</v>
      </c>
      <c r="G24" s="12">
        <v>0</v>
      </c>
      <c r="H24" s="12">
        <v>2</v>
      </c>
      <c r="I24" s="12">
        <v>4</v>
      </c>
      <c r="J24">
        <f t="shared" si="0"/>
        <v>24</v>
      </c>
      <c r="K24" s="12">
        <v>6</v>
      </c>
      <c r="L24" s="12">
        <v>16</v>
      </c>
      <c r="M24">
        <f t="shared" si="1"/>
        <v>22</v>
      </c>
      <c r="N24" s="12">
        <v>9</v>
      </c>
      <c r="O24" s="12">
        <v>4</v>
      </c>
      <c r="P24" s="12">
        <v>8</v>
      </c>
      <c r="Q24" s="12">
        <v>4</v>
      </c>
      <c r="R24" s="12">
        <v>8</v>
      </c>
      <c r="S24">
        <v>0</v>
      </c>
      <c r="T24" s="12">
        <v>71</v>
      </c>
      <c r="U24" s="12" t="s">
        <v>74</v>
      </c>
      <c r="W24" s="10" t="str">
        <f t="shared" si="2"/>
        <v>&lt;tr&gt;&lt;td&gt;Kirsten Balness&lt;/td&gt;&lt;td&gt;OPHS&lt;/td&gt;&lt;td&gt;3&lt;/td&gt;&lt;td&gt;24&lt;/td&gt;&lt;td&gt;8.000&lt;/td&gt;&lt;td&gt;11&lt;/td&gt;&lt;td&gt;24&lt;/td&gt;&lt;td&gt;0.458&lt;/td&gt;&lt;td&gt;0&lt;/td&gt;&lt;td&gt;0&lt;/td&gt;&lt;td&gt;0.000&lt;/td&gt;&lt;td&gt;2&lt;/td&gt;&lt;td&gt;4&lt;/td&gt;&lt;td&gt;0.500&lt;/td&gt;&lt;td&gt;6&lt;/td&gt;&lt;td&gt;16&lt;/td&gt;&lt;td&gt;22&lt;/td&gt;&lt;td&gt;7.333&lt;/td&gt;&lt;td&gt;4&lt;/td&gt;&lt;td&gt;1.333&lt;/td&gt;&lt;td&gt;8&lt;/td&gt;&lt;td&gt;2.667&lt;/td&gt;&lt;td&gt;4&lt;/td&gt;&lt;td&gt;1.333&lt;/td&gt;&lt;/tr&gt;</v>
      </c>
    </row>
    <row r="25" spans="1:23" x14ac:dyDescent="0.25">
      <c r="A25" s="12">
        <v>24</v>
      </c>
      <c r="B25" s="12" t="s">
        <v>666</v>
      </c>
      <c r="C25" s="12">
        <v>3</v>
      </c>
      <c r="D25" s="12">
        <v>10</v>
      </c>
      <c r="E25" s="12">
        <v>35</v>
      </c>
      <c r="F25" s="12">
        <v>2</v>
      </c>
      <c r="G25" s="12">
        <v>8</v>
      </c>
      <c r="H25" s="12">
        <v>1</v>
      </c>
      <c r="I25" s="12">
        <v>2</v>
      </c>
      <c r="J25">
        <f t="shared" si="0"/>
        <v>23</v>
      </c>
      <c r="K25" s="12">
        <v>2</v>
      </c>
      <c r="L25" s="12">
        <v>8</v>
      </c>
      <c r="M25">
        <f t="shared" si="1"/>
        <v>10</v>
      </c>
      <c r="N25" s="12">
        <v>5</v>
      </c>
      <c r="O25" s="12">
        <v>2</v>
      </c>
      <c r="P25" s="12">
        <v>12</v>
      </c>
      <c r="Q25" s="12">
        <v>2</v>
      </c>
      <c r="R25" s="12">
        <v>4</v>
      </c>
      <c r="S25">
        <v>0</v>
      </c>
      <c r="T25" s="12">
        <v>80</v>
      </c>
      <c r="U25" s="12" t="s">
        <v>52</v>
      </c>
      <c r="W25" s="10" t="str">
        <f t="shared" si="2"/>
        <v>&lt;tr&gt;&lt;td&gt;Nardos Omer&lt;/td&gt;&lt;td&gt;REC&lt;/td&gt;&lt;td&gt;3&lt;/td&gt;&lt;td&gt;23&lt;/td&gt;&lt;td&gt;7.667&lt;/td&gt;&lt;td&gt;10&lt;/td&gt;&lt;td&gt;35&lt;/td&gt;&lt;td&gt;0.286&lt;/td&gt;&lt;td&gt;2&lt;/td&gt;&lt;td&gt;8&lt;/td&gt;&lt;td&gt;0.250&lt;/td&gt;&lt;td&gt;1&lt;/td&gt;&lt;td&gt;2&lt;/td&gt;&lt;td&gt;0.500&lt;/td&gt;&lt;td&gt;2&lt;/td&gt;&lt;td&gt;8&lt;/td&gt;&lt;td&gt;10&lt;/td&gt;&lt;td&gt;3.333&lt;/td&gt;&lt;td&gt;2&lt;/td&gt;&lt;td&gt;0.667&lt;/td&gt;&lt;td&gt;4&lt;/td&gt;&lt;td&gt;1.333&lt;/td&gt;&lt;td&gt;2&lt;/td&gt;&lt;td&gt;0.667&lt;/td&gt;&lt;/tr&gt;</v>
      </c>
    </row>
    <row r="26" spans="1:23" x14ac:dyDescent="0.25">
      <c r="A26" s="12">
        <v>4</v>
      </c>
      <c r="B26" s="12" t="s">
        <v>595</v>
      </c>
      <c r="C26" s="12">
        <v>3</v>
      </c>
      <c r="D26" s="12">
        <v>8</v>
      </c>
      <c r="E26" s="12">
        <v>28</v>
      </c>
      <c r="F26" s="12">
        <v>0</v>
      </c>
      <c r="G26" s="12">
        <v>1</v>
      </c>
      <c r="H26" s="12">
        <v>7</v>
      </c>
      <c r="I26" s="12">
        <v>11</v>
      </c>
      <c r="J26">
        <f t="shared" si="0"/>
        <v>23</v>
      </c>
      <c r="K26" s="12">
        <v>8</v>
      </c>
      <c r="L26" s="12">
        <v>9</v>
      </c>
      <c r="M26">
        <f t="shared" si="1"/>
        <v>17</v>
      </c>
      <c r="N26" s="12">
        <v>5</v>
      </c>
      <c r="O26" s="12">
        <v>7</v>
      </c>
      <c r="P26" s="12">
        <v>10</v>
      </c>
      <c r="Q26" s="12">
        <v>1</v>
      </c>
      <c r="R26" s="12">
        <v>13</v>
      </c>
      <c r="S26">
        <v>0</v>
      </c>
      <c r="T26" s="12">
        <v>78</v>
      </c>
      <c r="U26" s="12" t="s">
        <v>98</v>
      </c>
      <c r="W26" s="10" t="str">
        <f t="shared" si="2"/>
        <v>&lt;tr&gt;&lt;td&gt;Bettina Shyllon&lt;/td&gt;&lt;td&gt;WWC&lt;/td&gt;&lt;td&gt;3&lt;/td&gt;&lt;td&gt;23&lt;/td&gt;&lt;td&gt;7.667&lt;/td&gt;&lt;td&gt;8&lt;/td&gt;&lt;td&gt;28&lt;/td&gt;&lt;td&gt;0.286&lt;/td&gt;&lt;td&gt;0&lt;/td&gt;&lt;td&gt;1&lt;/td&gt;&lt;td&gt;0.000&lt;/td&gt;&lt;td&gt;7&lt;/td&gt;&lt;td&gt;11&lt;/td&gt;&lt;td&gt;0.636&lt;/td&gt;&lt;td&gt;8&lt;/td&gt;&lt;td&gt;9&lt;/td&gt;&lt;td&gt;17&lt;/td&gt;&lt;td&gt;5.667&lt;/td&gt;&lt;td&gt;7&lt;/td&gt;&lt;td&gt;2.333&lt;/td&gt;&lt;td&gt;13&lt;/td&gt;&lt;td&gt;4.333&lt;/td&gt;&lt;td&gt;1&lt;/td&gt;&lt;td&gt;0.333&lt;/td&gt;&lt;/tr&gt;</v>
      </c>
    </row>
    <row r="27" spans="1:23" x14ac:dyDescent="0.25">
      <c r="A27" s="12">
        <v>3</v>
      </c>
      <c r="B27" s="12" t="s">
        <v>652</v>
      </c>
      <c r="C27" s="12">
        <v>3</v>
      </c>
      <c r="D27" s="12">
        <v>9</v>
      </c>
      <c r="E27" s="12">
        <v>45</v>
      </c>
      <c r="F27" s="12">
        <v>4</v>
      </c>
      <c r="G27" s="12">
        <v>26</v>
      </c>
      <c r="H27" s="12">
        <v>0</v>
      </c>
      <c r="I27" s="12">
        <v>2</v>
      </c>
      <c r="J27">
        <f t="shared" si="0"/>
        <v>22</v>
      </c>
      <c r="K27" s="12">
        <v>4</v>
      </c>
      <c r="L27" s="12">
        <v>14</v>
      </c>
      <c r="M27">
        <f t="shared" si="1"/>
        <v>18</v>
      </c>
      <c r="N27" s="12">
        <v>5</v>
      </c>
      <c r="O27" s="12">
        <v>4</v>
      </c>
      <c r="P27" s="12">
        <v>7</v>
      </c>
      <c r="Q27" s="12">
        <v>0</v>
      </c>
      <c r="R27" s="12">
        <v>6</v>
      </c>
      <c r="S27">
        <v>0</v>
      </c>
      <c r="T27" s="12">
        <v>97</v>
      </c>
      <c r="U27" s="12" t="s">
        <v>70</v>
      </c>
      <c r="W27" s="10" t="str">
        <f t="shared" si="2"/>
        <v>&lt;tr&gt;&lt;td&gt;Aseon Cho&lt;/td&gt;&lt;td&gt;JTC&lt;/td&gt;&lt;td&gt;3&lt;/td&gt;&lt;td&gt;22&lt;/td&gt;&lt;td&gt;7.333&lt;/td&gt;&lt;td&gt;9&lt;/td&gt;&lt;td&gt;45&lt;/td&gt;&lt;td&gt;0.200&lt;/td&gt;&lt;td&gt;4&lt;/td&gt;&lt;td&gt;26&lt;/td&gt;&lt;td&gt;0.154&lt;/td&gt;&lt;td&gt;0&lt;/td&gt;&lt;td&gt;2&lt;/td&gt;&lt;td&gt;0.000&lt;/td&gt;&lt;td&gt;4&lt;/td&gt;&lt;td&gt;14&lt;/td&gt;&lt;td&gt;18&lt;/td&gt;&lt;td&gt;6.000&lt;/td&gt;&lt;td&gt;4&lt;/td&gt;&lt;td&gt;1.333&lt;/td&gt;&lt;td&gt;6&lt;/td&gt;&lt;td&gt;2.000&lt;/td&gt;&lt;td&gt;0&lt;/td&gt;&lt;td&gt;0.000&lt;/td&gt;&lt;/tr&gt;</v>
      </c>
    </row>
    <row r="28" spans="1:23" x14ac:dyDescent="0.25">
      <c r="A28" s="12">
        <v>22</v>
      </c>
      <c r="B28" s="12" t="s">
        <v>628</v>
      </c>
      <c r="C28" s="12">
        <v>3</v>
      </c>
      <c r="D28" s="12">
        <v>9</v>
      </c>
      <c r="E28" s="12">
        <v>28</v>
      </c>
      <c r="F28" s="12">
        <v>0</v>
      </c>
      <c r="G28" s="12">
        <v>2</v>
      </c>
      <c r="H28" s="12">
        <v>3</v>
      </c>
      <c r="I28" s="12">
        <v>7</v>
      </c>
      <c r="J28">
        <f t="shared" si="0"/>
        <v>21</v>
      </c>
      <c r="K28" s="12">
        <v>4</v>
      </c>
      <c r="L28" s="12">
        <v>5</v>
      </c>
      <c r="M28">
        <f t="shared" si="1"/>
        <v>9</v>
      </c>
      <c r="N28" s="12">
        <v>8</v>
      </c>
      <c r="O28" s="12">
        <v>4</v>
      </c>
      <c r="P28" s="12">
        <v>17</v>
      </c>
      <c r="Q28" s="12">
        <v>1</v>
      </c>
      <c r="R28" s="12">
        <v>11</v>
      </c>
      <c r="S28">
        <v>0</v>
      </c>
      <c r="T28" s="12">
        <v>88</v>
      </c>
      <c r="U28" s="12" t="s">
        <v>60</v>
      </c>
      <c r="W28" s="10" t="str">
        <f t="shared" si="2"/>
        <v>&lt;tr&gt;&lt;td&gt;Averi Bollenbach&lt;/td&gt;&lt;td&gt;DCI&lt;/td&gt;&lt;td&gt;3&lt;/td&gt;&lt;td&gt;21&lt;/td&gt;&lt;td&gt;7.000&lt;/td&gt;&lt;td&gt;9&lt;/td&gt;&lt;td&gt;28&lt;/td&gt;&lt;td&gt;0.321&lt;/td&gt;&lt;td&gt;0&lt;/td&gt;&lt;td&gt;2&lt;/td&gt;&lt;td&gt;0.000&lt;/td&gt;&lt;td&gt;3&lt;/td&gt;&lt;td&gt;7&lt;/td&gt;&lt;td&gt;0.429&lt;/td&gt;&lt;td&gt;4&lt;/td&gt;&lt;td&gt;5&lt;/td&gt;&lt;td&gt;9&lt;/td&gt;&lt;td&gt;3.000&lt;/td&gt;&lt;td&gt;4&lt;/td&gt;&lt;td&gt;1.333&lt;/td&gt;&lt;td&gt;11&lt;/td&gt;&lt;td&gt;3.667&lt;/td&gt;&lt;td&gt;1&lt;/td&gt;&lt;td&gt;0.333&lt;/td&gt;&lt;/tr&gt;</v>
      </c>
    </row>
    <row r="29" spans="1:23" x14ac:dyDescent="0.25">
      <c r="A29" s="12">
        <v>7</v>
      </c>
      <c r="B29" s="12" t="s">
        <v>636</v>
      </c>
      <c r="C29" s="12">
        <v>3</v>
      </c>
      <c r="D29" s="12">
        <v>8</v>
      </c>
      <c r="E29" s="12">
        <v>19</v>
      </c>
      <c r="F29" s="12">
        <v>1</v>
      </c>
      <c r="G29" s="12">
        <v>1</v>
      </c>
      <c r="H29" s="12">
        <v>3</v>
      </c>
      <c r="I29" s="12">
        <v>7</v>
      </c>
      <c r="J29">
        <f t="shared" si="0"/>
        <v>20</v>
      </c>
      <c r="K29" s="12">
        <v>5</v>
      </c>
      <c r="L29" s="12">
        <v>10</v>
      </c>
      <c r="M29">
        <f t="shared" si="1"/>
        <v>15</v>
      </c>
      <c r="N29" s="12">
        <v>3</v>
      </c>
      <c r="O29" s="12">
        <v>5</v>
      </c>
      <c r="P29" s="12">
        <v>12</v>
      </c>
      <c r="Q29" s="12">
        <v>0</v>
      </c>
      <c r="R29" s="12">
        <v>5</v>
      </c>
      <c r="S29">
        <v>0</v>
      </c>
      <c r="T29" s="12">
        <v>72</v>
      </c>
      <c r="U29" s="12" t="s">
        <v>100</v>
      </c>
      <c r="W29" s="10" t="str">
        <f t="shared" si="2"/>
        <v>&lt;tr&gt;&lt;td&gt;Sydney Mclean&lt;/td&gt;&lt;td&gt;CPRS&lt;/td&gt;&lt;td&gt;3&lt;/td&gt;&lt;td&gt;20&lt;/td&gt;&lt;td&gt;6.667&lt;/td&gt;&lt;td&gt;8&lt;/td&gt;&lt;td&gt;19&lt;/td&gt;&lt;td&gt;0.421&lt;/td&gt;&lt;td&gt;1&lt;/td&gt;&lt;td&gt;1&lt;/td&gt;&lt;td&gt;1.000&lt;/td&gt;&lt;td&gt;3&lt;/td&gt;&lt;td&gt;7&lt;/td&gt;&lt;td&gt;0.429&lt;/td&gt;&lt;td&gt;5&lt;/td&gt;&lt;td&gt;10&lt;/td&gt;&lt;td&gt;15&lt;/td&gt;&lt;td&gt;5.000&lt;/td&gt;&lt;td&gt;5&lt;/td&gt;&lt;td&gt;1.667&lt;/td&gt;&lt;td&gt;5&lt;/td&gt;&lt;td&gt;1.667&lt;/td&gt;&lt;td&gt;0&lt;/td&gt;&lt;td&gt;0.000&lt;/td&gt;&lt;/tr&gt;</v>
      </c>
    </row>
    <row r="30" spans="1:23" x14ac:dyDescent="0.25">
      <c r="A30" s="12">
        <v>10</v>
      </c>
      <c r="B30" s="12" t="s">
        <v>601</v>
      </c>
      <c r="C30" s="12">
        <v>3</v>
      </c>
      <c r="D30" s="12">
        <v>9</v>
      </c>
      <c r="E30" s="12">
        <v>24</v>
      </c>
      <c r="F30" s="12">
        <v>1</v>
      </c>
      <c r="G30" s="12">
        <v>6</v>
      </c>
      <c r="H30" s="12">
        <v>0</v>
      </c>
      <c r="I30" s="12">
        <v>0</v>
      </c>
      <c r="J30">
        <f t="shared" si="0"/>
        <v>19</v>
      </c>
      <c r="K30" s="12">
        <v>2</v>
      </c>
      <c r="L30" s="12">
        <v>6</v>
      </c>
      <c r="M30">
        <f t="shared" si="1"/>
        <v>8</v>
      </c>
      <c r="N30" s="12">
        <v>3</v>
      </c>
      <c r="O30" s="12">
        <v>1</v>
      </c>
      <c r="P30" s="12">
        <v>5</v>
      </c>
      <c r="Q30" s="12">
        <v>0</v>
      </c>
      <c r="R30" s="12">
        <v>0</v>
      </c>
      <c r="S30">
        <v>0</v>
      </c>
      <c r="T30" s="12">
        <v>41</v>
      </c>
      <c r="U30" s="12" t="s">
        <v>98</v>
      </c>
      <c r="W30" s="10" t="str">
        <f t="shared" si="2"/>
        <v>&lt;tr&gt;&lt;td&gt;Meagan Cancilla&lt;/td&gt;&lt;td&gt;WWC&lt;/td&gt;&lt;td&gt;3&lt;/td&gt;&lt;td&gt;19&lt;/td&gt;&lt;td&gt;6.333&lt;/td&gt;&lt;td&gt;9&lt;/td&gt;&lt;td&gt;24&lt;/td&gt;&lt;td&gt;0.375&lt;/td&gt;&lt;td&gt;1&lt;/td&gt;&lt;td&gt;6&lt;/td&gt;&lt;td&gt;0.167&lt;/td&gt;&lt;td&gt;0&lt;/td&gt;&lt;td&gt;0&lt;/td&gt;&lt;td&gt;0.000&lt;/td&gt;&lt;td&gt;2&lt;/td&gt;&lt;td&gt;6&lt;/td&gt;&lt;td&gt;8&lt;/td&gt;&lt;td&gt;2.667&lt;/td&gt;&lt;td&gt;1&lt;/td&gt;&lt;td&gt;0.333&lt;/td&gt;&lt;td&gt;0&lt;/td&gt;&lt;td&gt;0.000&lt;/td&gt;&lt;td&gt;0&lt;/td&gt;&lt;td&gt;0.000&lt;/td&gt;&lt;/tr&gt;</v>
      </c>
    </row>
    <row r="31" spans="1:23" x14ac:dyDescent="0.25">
      <c r="A31" s="12">
        <v>10</v>
      </c>
      <c r="B31" s="12" t="s">
        <v>654</v>
      </c>
      <c r="C31" s="12">
        <v>3</v>
      </c>
      <c r="D31" s="12">
        <v>9</v>
      </c>
      <c r="E31" s="12">
        <v>38</v>
      </c>
      <c r="F31" s="12">
        <v>0</v>
      </c>
      <c r="G31" s="12">
        <v>10</v>
      </c>
      <c r="H31" s="12">
        <v>0</v>
      </c>
      <c r="I31" s="12">
        <v>0</v>
      </c>
      <c r="J31">
        <f t="shared" si="0"/>
        <v>18</v>
      </c>
      <c r="K31" s="12">
        <v>8</v>
      </c>
      <c r="L31" s="12">
        <v>10</v>
      </c>
      <c r="M31">
        <f t="shared" si="1"/>
        <v>18</v>
      </c>
      <c r="N31" s="12">
        <v>5</v>
      </c>
      <c r="O31" s="12">
        <v>6</v>
      </c>
      <c r="P31" s="12">
        <v>15</v>
      </c>
      <c r="Q31" s="12">
        <v>1</v>
      </c>
      <c r="R31" s="12">
        <v>10</v>
      </c>
      <c r="S31">
        <v>0</v>
      </c>
      <c r="T31" s="12">
        <v>86</v>
      </c>
      <c r="U31" s="12" t="s">
        <v>70</v>
      </c>
      <c r="W31" s="10" t="str">
        <f t="shared" si="2"/>
        <v>&lt;tr&gt;&lt;td&gt;Vanessa Hogue&lt;/td&gt;&lt;td&gt;JTC&lt;/td&gt;&lt;td&gt;3&lt;/td&gt;&lt;td&gt;18&lt;/td&gt;&lt;td&gt;6.000&lt;/td&gt;&lt;td&gt;9&lt;/td&gt;&lt;td&gt;38&lt;/td&gt;&lt;td&gt;0.237&lt;/td&gt;&lt;td&gt;0&lt;/td&gt;&lt;td&gt;10&lt;/td&gt;&lt;td&gt;0.000&lt;/td&gt;&lt;td&gt;0&lt;/td&gt;&lt;td&gt;0&lt;/td&gt;&lt;td&gt;0.000&lt;/td&gt;&lt;td&gt;8&lt;/td&gt;&lt;td&gt;10&lt;/td&gt;&lt;td&gt;18&lt;/td&gt;&lt;td&gt;6.000&lt;/td&gt;&lt;td&gt;6&lt;/td&gt;&lt;td&gt;2.000&lt;/td&gt;&lt;td&gt;10&lt;/td&gt;&lt;td&gt;3.333&lt;/td&gt;&lt;td&gt;1&lt;/td&gt;&lt;td&gt;0.333&lt;/td&gt;&lt;/tr&gt;</v>
      </c>
    </row>
    <row r="32" spans="1:23" x14ac:dyDescent="0.25">
      <c r="A32" s="12">
        <v>14</v>
      </c>
      <c r="B32" s="12" t="s">
        <v>648</v>
      </c>
      <c r="C32" s="12">
        <v>3</v>
      </c>
      <c r="D32" s="12">
        <v>6</v>
      </c>
      <c r="E32" s="12">
        <v>37</v>
      </c>
      <c r="F32" s="12">
        <v>0</v>
      </c>
      <c r="G32" s="12">
        <v>1</v>
      </c>
      <c r="H32" s="12">
        <v>6</v>
      </c>
      <c r="I32" s="12">
        <v>14</v>
      </c>
      <c r="J32">
        <f t="shared" si="0"/>
        <v>18</v>
      </c>
      <c r="K32" s="12">
        <v>14</v>
      </c>
      <c r="L32" s="12">
        <v>5</v>
      </c>
      <c r="M32">
        <f t="shared" si="1"/>
        <v>19</v>
      </c>
      <c r="N32" s="12">
        <v>9</v>
      </c>
      <c r="O32" s="12">
        <v>0</v>
      </c>
      <c r="P32" s="12">
        <v>7</v>
      </c>
      <c r="Q32" s="12">
        <v>1</v>
      </c>
      <c r="R32" s="12">
        <v>5</v>
      </c>
      <c r="S32">
        <v>0</v>
      </c>
      <c r="T32" s="12">
        <v>59</v>
      </c>
      <c r="U32" s="12" t="s">
        <v>54</v>
      </c>
      <c r="W32" s="10" t="str">
        <f t="shared" si="2"/>
        <v>&lt;tr&gt;&lt;td&gt;Carlee Barylski&lt;/td&gt;&lt;td&gt;LS&lt;/td&gt;&lt;td&gt;3&lt;/td&gt;&lt;td&gt;18&lt;/td&gt;&lt;td&gt;6.000&lt;/td&gt;&lt;td&gt;6&lt;/td&gt;&lt;td&gt;37&lt;/td&gt;&lt;td&gt;0.162&lt;/td&gt;&lt;td&gt;0&lt;/td&gt;&lt;td&gt;1&lt;/td&gt;&lt;td&gt;0.000&lt;/td&gt;&lt;td&gt;6&lt;/td&gt;&lt;td&gt;14&lt;/td&gt;&lt;td&gt;0.429&lt;/td&gt;&lt;td&gt;14&lt;/td&gt;&lt;td&gt;5&lt;/td&gt;&lt;td&gt;19&lt;/td&gt;&lt;td&gt;6.333&lt;/td&gt;&lt;td&gt;0&lt;/td&gt;&lt;td&gt;0.000&lt;/td&gt;&lt;td&gt;5&lt;/td&gt;&lt;td&gt;1.667&lt;/td&gt;&lt;td&gt;1&lt;/td&gt;&lt;td&gt;0.333&lt;/td&gt;&lt;/tr&gt;</v>
      </c>
    </row>
    <row r="33" spans="1:23" x14ac:dyDescent="0.25">
      <c r="A33" s="12">
        <v>33</v>
      </c>
      <c r="B33" s="12" t="s">
        <v>629</v>
      </c>
      <c r="C33" s="12">
        <v>3</v>
      </c>
      <c r="D33" s="12">
        <v>7</v>
      </c>
      <c r="E33" s="12">
        <v>19</v>
      </c>
      <c r="F33" s="12">
        <v>0</v>
      </c>
      <c r="G33" s="12">
        <v>0</v>
      </c>
      <c r="H33" s="12">
        <v>2</v>
      </c>
      <c r="I33" s="12">
        <v>5</v>
      </c>
      <c r="J33">
        <f t="shared" si="0"/>
        <v>16</v>
      </c>
      <c r="K33" s="12">
        <v>12</v>
      </c>
      <c r="L33" s="12">
        <v>21</v>
      </c>
      <c r="M33">
        <f t="shared" si="1"/>
        <v>33</v>
      </c>
      <c r="N33" s="12">
        <v>0</v>
      </c>
      <c r="O33" s="12">
        <v>1</v>
      </c>
      <c r="P33" s="12">
        <v>7</v>
      </c>
      <c r="Q33" s="12">
        <v>0</v>
      </c>
      <c r="R33" s="12">
        <v>0</v>
      </c>
      <c r="S33">
        <v>0</v>
      </c>
      <c r="T33" s="12">
        <v>74</v>
      </c>
      <c r="U33" s="12" t="s">
        <v>60</v>
      </c>
      <c r="W33" s="10" t="str">
        <f t="shared" si="2"/>
        <v>&lt;tr&gt;&lt;td&gt;Hanna Buhr&lt;/td&gt;&lt;td&gt;DCI&lt;/td&gt;&lt;td&gt;3&lt;/td&gt;&lt;td&gt;16&lt;/td&gt;&lt;td&gt;5.333&lt;/td&gt;&lt;td&gt;7&lt;/td&gt;&lt;td&gt;19&lt;/td&gt;&lt;td&gt;0.368&lt;/td&gt;&lt;td&gt;0&lt;/td&gt;&lt;td&gt;0&lt;/td&gt;&lt;td&gt;0.000&lt;/td&gt;&lt;td&gt;2&lt;/td&gt;&lt;td&gt;5&lt;/td&gt;&lt;td&gt;0.400&lt;/td&gt;&lt;td&gt;12&lt;/td&gt;&lt;td&gt;21&lt;/td&gt;&lt;td&gt;33&lt;/td&gt;&lt;td&gt;11.000&lt;/td&gt;&lt;td&gt;1&lt;/td&gt;&lt;td&gt;0.333&lt;/td&gt;&lt;td&gt;0&lt;/td&gt;&lt;td&gt;0.000&lt;/td&gt;&lt;td&gt;0&lt;/td&gt;&lt;td&gt;0.000&lt;/td&gt;&lt;/tr&gt;</v>
      </c>
    </row>
    <row r="34" spans="1:23" x14ac:dyDescent="0.25">
      <c r="A34" s="12">
        <v>9</v>
      </c>
      <c r="B34" s="12" t="s">
        <v>614</v>
      </c>
      <c r="C34" s="12">
        <v>3</v>
      </c>
      <c r="D34" s="12">
        <v>5</v>
      </c>
      <c r="E34" s="12">
        <v>14</v>
      </c>
      <c r="F34" s="12">
        <v>1</v>
      </c>
      <c r="G34" s="12">
        <v>2</v>
      </c>
      <c r="H34" s="12">
        <v>5</v>
      </c>
      <c r="I34" s="12">
        <v>6</v>
      </c>
      <c r="J34">
        <f t="shared" ref="J34:J65" si="5">D34*2+F34+H34</f>
        <v>16</v>
      </c>
      <c r="K34" s="12">
        <v>2</v>
      </c>
      <c r="L34" s="12">
        <v>5</v>
      </c>
      <c r="M34">
        <f t="shared" ref="M34:M65" si="6">K34+L34</f>
        <v>7</v>
      </c>
      <c r="N34" s="12">
        <v>3</v>
      </c>
      <c r="O34" s="12">
        <v>3</v>
      </c>
      <c r="P34" s="12">
        <v>3</v>
      </c>
      <c r="Q34" s="12">
        <v>0</v>
      </c>
      <c r="R34" s="12">
        <v>6</v>
      </c>
      <c r="S34">
        <v>0</v>
      </c>
      <c r="T34" s="12">
        <v>46</v>
      </c>
      <c r="U34" s="12" t="s">
        <v>82</v>
      </c>
      <c r="W34" s="10" t="str">
        <f t="shared" si="2"/>
        <v>&lt;tr&gt;&lt;td&gt;Bianca Lingal&lt;/td&gt;&lt;td&gt;DMCI&lt;/td&gt;&lt;td&gt;3&lt;/td&gt;&lt;td&gt;16&lt;/td&gt;&lt;td&gt;5.333&lt;/td&gt;&lt;td&gt;5&lt;/td&gt;&lt;td&gt;14&lt;/td&gt;&lt;td&gt;0.357&lt;/td&gt;&lt;td&gt;1&lt;/td&gt;&lt;td&gt;2&lt;/td&gt;&lt;td&gt;0.500&lt;/td&gt;&lt;td&gt;5&lt;/td&gt;&lt;td&gt;6&lt;/td&gt;&lt;td&gt;0.833&lt;/td&gt;&lt;td&gt;2&lt;/td&gt;&lt;td&gt;5&lt;/td&gt;&lt;td&gt;7&lt;/td&gt;&lt;td&gt;2.333&lt;/td&gt;&lt;td&gt;3&lt;/td&gt;&lt;td&gt;1.000&lt;/td&gt;&lt;td&gt;6&lt;/td&gt;&lt;td&gt;2.000&lt;/td&gt;&lt;td&gt;0&lt;/td&gt;&lt;td&gt;0.000&lt;/td&gt;&lt;/tr&gt;</v>
      </c>
    </row>
    <row r="35" spans="1:23" x14ac:dyDescent="0.25">
      <c r="A35" s="12">
        <v>10</v>
      </c>
      <c r="B35" s="12" t="s">
        <v>639</v>
      </c>
      <c r="C35" s="12">
        <v>3</v>
      </c>
      <c r="D35" s="12">
        <v>6</v>
      </c>
      <c r="E35" s="12">
        <v>14</v>
      </c>
      <c r="F35" s="12">
        <v>0</v>
      </c>
      <c r="G35" s="12">
        <v>0</v>
      </c>
      <c r="H35" s="12">
        <v>2</v>
      </c>
      <c r="I35" s="12">
        <v>6</v>
      </c>
      <c r="J35">
        <f t="shared" si="5"/>
        <v>14</v>
      </c>
      <c r="K35" s="12">
        <v>9</v>
      </c>
      <c r="L35" s="12">
        <v>15</v>
      </c>
      <c r="M35">
        <f t="shared" si="6"/>
        <v>24</v>
      </c>
      <c r="N35" s="12">
        <v>5</v>
      </c>
      <c r="O35" s="12">
        <v>2</v>
      </c>
      <c r="P35" s="12">
        <v>10</v>
      </c>
      <c r="Q35" s="12">
        <v>3</v>
      </c>
      <c r="R35" s="12">
        <v>4</v>
      </c>
      <c r="S35">
        <v>0</v>
      </c>
      <c r="T35" s="12">
        <v>80</v>
      </c>
      <c r="U35" s="12" t="s">
        <v>100</v>
      </c>
      <c r="W35" s="10" t="str">
        <f t="shared" si="2"/>
        <v>&lt;tr&gt;&lt;td&gt;Bryanna Sutlic&lt;/td&gt;&lt;td&gt;CPRS&lt;/td&gt;&lt;td&gt;3&lt;/td&gt;&lt;td&gt;14&lt;/td&gt;&lt;td&gt;4.667&lt;/td&gt;&lt;td&gt;6&lt;/td&gt;&lt;td&gt;14&lt;/td&gt;&lt;td&gt;0.429&lt;/td&gt;&lt;td&gt;0&lt;/td&gt;&lt;td&gt;0&lt;/td&gt;&lt;td&gt;0.000&lt;/td&gt;&lt;td&gt;2&lt;/td&gt;&lt;td&gt;6&lt;/td&gt;&lt;td&gt;0.333&lt;/td&gt;&lt;td&gt;9&lt;/td&gt;&lt;td&gt;15&lt;/td&gt;&lt;td&gt;24&lt;/td&gt;&lt;td&gt;8.000&lt;/td&gt;&lt;td&gt;2&lt;/td&gt;&lt;td&gt;0.667&lt;/td&gt;&lt;td&gt;4&lt;/td&gt;&lt;td&gt;1.333&lt;/td&gt;&lt;td&gt;3&lt;/td&gt;&lt;td&gt;1.000&lt;/td&gt;&lt;/tr&gt;</v>
      </c>
    </row>
    <row r="36" spans="1:23" x14ac:dyDescent="0.25">
      <c r="A36" s="12">
        <v>11</v>
      </c>
      <c r="B36" s="12" t="s">
        <v>645</v>
      </c>
      <c r="C36" s="12">
        <v>3</v>
      </c>
      <c r="D36" s="12">
        <v>7</v>
      </c>
      <c r="E36" s="12">
        <v>37</v>
      </c>
      <c r="F36" s="12">
        <v>0</v>
      </c>
      <c r="G36" s="12">
        <v>3</v>
      </c>
      <c r="H36" s="12">
        <v>0</v>
      </c>
      <c r="I36" s="12">
        <v>0</v>
      </c>
      <c r="J36">
        <f t="shared" si="5"/>
        <v>14</v>
      </c>
      <c r="K36" s="12">
        <v>8</v>
      </c>
      <c r="L36" s="12">
        <v>8</v>
      </c>
      <c r="M36">
        <f t="shared" si="6"/>
        <v>16</v>
      </c>
      <c r="N36" s="12">
        <v>3</v>
      </c>
      <c r="O36" s="12">
        <v>2</v>
      </c>
      <c r="P36" s="12">
        <v>10</v>
      </c>
      <c r="Q36" s="12">
        <v>0</v>
      </c>
      <c r="R36" s="12">
        <v>1</v>
      </c>
      <c r="S36">
        <v>0</v>
      </c>
      <c r="T36" s="12">
        <v>69</v>
      </c>
      <c r="U36" s="12" t="s">
        <v>54</v>
      </c>
      <c r="W36" s="10" t="str">
        <f t="shared" si="2"/>
        <v>&lt;tr&gt;&lt;td&gt;Morgan Raposo&lt;/td&gt;&lt;td&gt;LS&lt;/td&gt;&lt;td&gt;3&lt;/td&gt;&lt;td&gt;14&lt;/td&gt;&lt;td&gt;4.667&lt;/td&gt;&lt;td&gt;7&lt;/td&gt;&lt;td&gt;37&lt;/td&gt;&lt;td&gt;0.189&lt;/td&gt;&lt;td&gt;0&lt;/td&gt;&lt;td&gt;3&lt;/td&gt;&lt;td&gt;0.000&lt;/td&gt;&lt;td&gt;0&lt;/td&gt;&lt;td&gt;0&lt;/td&gt;&lt;td&gt;0.000&lt;/td&gt;&lt;td&gt;8&lt;/td&gt;&lt;td&gt;8&lt;/td&gt;&lt;td&gt;16&lt;/td&gt;&lt;td&gt;5.333&lt;/td&gt;&lt;td&gt;2&lt;/td&gt;&lt;td&gt;0.667&lt;/td&gt;&lt;td&gt;1&lt;/td&gt;&lt;td&gt;0.333&lt;/td&gt;&lt;td&gt;0&lt;/td&gt;&lt;td&gt;0.000&lt;/td&gt;&lt;/tr&gt;</v>
      </c>
    </row>
    <row r="37" spans="1:23" x14ac:dyDescent="0.25">
      <c r="A37" s="12">
        <v>16</v>
      </c>
      <c r="B37" s="12" t="s">
        <v>649</v>
      </c>
      <c r="C37" s="12">
        <v>3</v>
      </c>
      <c r="D37" s="12">
        <v>5</v>
      </c>
      <c r="E37" s="12">
        <v>30</v>
      </c>
      <c r="F37" s="12">
        <v>0</v>
      </c>
      <c r="G37" s="12">
        <v>1</v>
      </c>
      <c r="H37" s="12">
        <v>3</v>
      </c>
      <c r="I37" s="12">
        <v>10</v>
      </c>
      <c r="J37">
        <f t="shared" si="5"/>
        <v>13</v>
      </c>
      <c r="K37" s="12">
        <v>11</v>
      </c>
      <c r="L37" s="12">
        <v>15</v>
      </c>
      <c r="M37">
        <f t="shared" si="6"/>
        <v>26</v>
      </c>
      <c r="N37" s="12">
        <v>4</v>
      </c>
      <c r="O37" s="12">
        <v>4</v>
      </c>
      <c r="P37" s="12">
        <v>6</v>
      </c>
      <c r="Q37" s="12">
        <v>4</v>
      </c>
      <c r="R37" s="12">
        <v>2</v>
      </c>
      <c r="S37">
        <v>0</v>
      </c>
      <c r="T37" s="12">
        <v>55</v>
      </c>
      <c r="U37" s="12" t="s">
        <v>54</v>
      </c>
      <c r="W37" s="10" t="str">
        <f t="shared" si="2"/>
        <v>&lt;tr&gt;&lt;td&gt;Callista Howard&lt;/td&gt;&lt;td&gt;LS&lt;/td&gt;&lt;td&gt;3&lt;/td&gt;&lt;td&gt;13&lt;/td&gt;&lt;td&gt;4.333&lt;/td&gt;&lt;td&gt;5&lt;/td&gt;&lt;td&gt;30&lt;/td&gt;&lt;td&gt;0.167&lt;/td&gt;&lt;td&gt;0&lt;/td&gt;&lt;td&gt;1&lt;/td&gt;&lt;td&gt;0.000&lt;/td&gt;&lt;td&gt;3&lt;/td&gt;&lt;td&gt;10&lt;/td&gt;&lt;td&gt;0.300&lt;/td&gt;&lt;td&gt;11&lt;/td&gt;&lt;td&gt;15&lt;/td&gt;&lt;td&gt;26&lt;/td&gt;&lt;td&gt;8.667&lt;/td&gt;&lt;td&gt;4&lt;/td&gt;&lt;td&gt;1.333&lt;/td&gt;&lt;td&gt;2&lt;/td&gt;&lt;td&gt;0.667&lt;/td&gt;&lt;td&gt;4&lt;/td&gt;&lt;td&gt;1.333&lt;/td&gt;&lt;/tr&gt;</v>
      </c>
    </row>
    <row r="38" spans="1:23" x14ac:dyDescent="0.25">
      <c r="A38" s="12">
        <v>8</v>
      </c>
      <c r="B38" s="12" t="s">
        <v>643</v>
      </c>
      <c r="C38" s="12">
        <v>3</v>
      </c>
      <c r="D38" s="12">
        <v>6</v>
      </c>
      <c r="E38" s="12">
        <v>24</v>
      </c>
      <c r="F38" s="12">
        <v>0</v>
      </c>
      <c r="G38" s="12">
        <v>1</v>
      </c>
      <c r="H38" s="12">
        <v>0</v>
      </c>
      <c r="I38" s="12">
        <v>2</v>
      </c>
      <c r="J38">
        <f t="shared" si="5"/>
        <v>12</v>
      </c>
      <c r="K38" s="12">
        <v>5</v>
      </c>
      <c r="L38" s="12">
        <v>15</v>
      </c>
      <c r="M38">
        <f t="shared" si="6"/>
        <v>20</v>
      </c>
      <c r="N38" s="12">
        <v>1</v>
      </c>
      <c r="O38" s="12">
        <v>1</v>
      </c>
      <c r="P38" s="12">
        <v>8</v>
      </c>
      <c r="Q38" s="12">
        <v>1</v>
      </c>
      <c r="R38" s="12">
        <v>5</v>
      </c>
      <c r="S38">
        <v>0</v>
      </c>
      <c r="T38" s="12">
        <v>57</v>
      </c>
      <c r="U38" s="12" t="s">
        <v>54</v>
      </c>
      <c r="W38" s="10" t="str">
        <f t="shared" si="2"/>
        <v>&lt;tr&gt;&lt;td&gt;Jessica King&lt;/td&gt;&lt;td&gt;LS&lt;/td&gt;&lt;td&gt;3&lt;/td&gt;&lt;td&gt;12&lt;/td&gt;&lt;td&gt;4.000&lt;/td&gt;&lt;td&gt;6&lt;/td&gt;&lt;td&gt;24&lt;/td&gt;&lt;td&gt;0.250&lt;/td&gt;&lt;td&gt;0&lt;/td&gt;&lt;td&gt;1&lt;/td&gt;&lt;td&gt;0.000&lt;/td&gt;&lt;td&gt;0&lt;/td&gt;&lt;td&gt;2&lt;/td&gt;&lt;td&gt;0.000&lt;/td&gt;&lt;td&gt;5&lt;/td&gt;&lt;td&gt;15&lt;/td&gt;&lt;td&gt;20&lt;/td&gt;&lt;td&gt;6.667&lt;/td&gt;&lt;td&gt;1&lt;/td&gt;&lt;td&gt;0.333&lt;/td&gt;&lt;td&gt;5&lt;/td&gt;&lt;td&gt;1.667&lt;/td&gt;&lt;td&gt;1&lt;/td&gt;&lt;td&gt;0.333&lt;/td&gt;&lt;/tr&gt;</v>
      </c>
    </row>
    <row r="39" spans="1:23" x14ac:dyDescent="0.25">
      <c r="A39" s="12">
        <v>15</v>
      </c>
      <c r="B39" s="12" t="s">
        <v>619</v>
      </c>
      <c r="C39" s="12">
        <v>3</v>
      </c>
      <c r="D39" s="12">
        <v>5</v>
      </c>
      <c r="E39" s="12">
        <v>12</v>
      </c>
      <c r="F39" s="12">
        <v>0</v>
      </c>
      <c r="G39" s="12">
        <v>0</v>
      </c>
      <c r="H39" s="12">
        <v>2</v>
      </c>
      <c r="I39" s="12">
        <v>2</v>
      </c>
      <c r="J39">
        <f t="shared" si="5"/>
        <v>12</v>
      </c>
      <c r="K39" s="12">
        <v>4</v>
      </c>
      <c r="L39" s="12">
        <v>10</v>
      </c>
      <c r="M39">
        <f t="shared" si="6"/>
        <v>14</v>
      </c>
      <c r="N39" s="12">
        <v>3</v>
      </c>
      <c r="O39" s="12">
        <v>1</v>
      </c>
      <c r="P39" s="12">
        <v>6</v>
      </c>
      <c r="Q39" s="12">
        <v>2</v>
      </c>
      <c r="R39" s="12">
        <v>0</v>
      </c>
      <c r="S39">
        <v>0</v>
      </c>
      <c r="T39" s="12">
        <v>50</v>
      </c>
      <c r="U39" s="12" t="s">
        <v>82</v>
      </c>
      <c r="W39" s="10" t="str">
        <f t="shared" si="2"/>
        <v>&lt;tr&gt;&lt;td&gt;Abigail Ramos&lt;/td&gt;&lt;td&gt;DMCI&lt;/td&gt;&lt;td&gt;3&lt;/td&gt;&lt;td&gt;12&lt;/td&gt;&lt;td&gt;4.000&lt;/td&gt;&lt;td&gt;5&lt;/td&gt;&lt;td&gt;12&lt;/td&gt;&lt;td&gt;0.417&lt;/td&gt;&lt;td&gt;0&lt;/td&gt;&lt;td&gt;0&lt;/td&gt;&lt;td&gt;0.000&lt;/td&gt;&lt;td&gt;2&lt;/td&gt;&lt;td&gt;2&lt;/td&gt;&lt;td&gt;1.000&lt;/td&gt;&lt;td&gt;4&lt;/td&gt;&lt;td&gt;10&lt;/td&gt;&lt;td&gt;14&lt;/td&gt;&lt;td&gt;4.667&lt;/td&gt;&lt;td&gt;1&lt;/td&gt;&lt;td&gt;0.333&lt;/td&gt;&lt;td&gt;0&lt;/td&gt;&lt;td&gt;0.000&lt;/td&gt;&lt;td&gt;2&lt;/td&gt;&lt;td&gt;0.667&lt;/td&gt;&lt;/tr&gt;</v>
      </c>
    </row>
    <row r="40" spans="1:23" x14ac:dyDescent="0.25">
      <c r="A40" s="12">
        <v>1</v>
      </c>
      <c r="B40" s="12" t="s">
        <v>630</v>
      </c>
      <c r="C40" s="12">
        <v>3</v>
      </c>
      <c r="D40" s="12">
        <v>5</v>
      </c>
      <c r="E40" s="12">
        <v>24</v>
      </c>
      <c r="F40" s="12">
        <v>0</v>
      </c>
      <c r="G40" s="12">
        <v>5</v>
      </c>
      <c r="H40" s="12">
        <v>2</v>
      </c>
      <c r="I40" s="12">
        <v>4</v>
      </c>
      <c r="J40">
        <f t="shared" si="5"/>
        <v>12</v>
      </c>
      <c r="K40" s="12">
        <v>8</v>
      </c>
      <c r="L40" s="12">
        <v>4</v>
      </c>
      <c r="M40">
        <f t="shared" si="6"/>
        <v>12</v>
      </c>
      <c r="N40" s="12">
        <v>4</v>
      </c>
      <c r="O40" s="12">
        <v>2</v>
      </c>
      <c r="P40" s="12">
        <v>11</v>
      </c>
      <c r="Q40" s="12">
        <v>0</v>
      </c>
      <c r="R40" s="12">
        <v>12</v>
      </c>
      <c r="S40">
        <v>0</v>
      </c>
      <c r="T40" s="12">
        <v>37</v>
      </c>
      <c r="U40" s="12" t="s">
        <v>100</v>
      </c>
      <c r="W40" s="10" t="str">
        <f t="shared" si="2"/>
        <v>&lt;tr&gt;&lt;td&gt;Chelsea Munro&lt;/td&gt;&lt;td&gt;CPRS&lt;/td&gt;&lt;td&gt;3&lt;/td&gt;&lt;td&gt;12&lt;/td&gt;&lt;td&gt;4.000&lt;/td&gt;&lt;td&gt;5&lt;/td&gt;&lt;td&gt;24&lt;/td&gt;&lt;td&gt;0.208&lt;/td&gt;&lt;td&gt;0&lt;/td&gt;&lt;td&gt;5&lt;/td&gt;&lt;td&gt;0.000&lt;/td&gt;&lt;td&gt;2&lt;/td&gt;&lt;td&gt;4&lt;/td&gt;&lt;td&gt;0.500&lt;/td&gt;&lt;td&gt;8&lt;/td&gt;&lt;td&gt;4&lt;/td&gt;&lt;td&gt;12&lt;/td&gt;&lt;td&gt;4.000&lt;/td&gt;&lt;td&gt;2&lt;/td&gt;&lt;td&gt;0.667&lt;/td&gt;&lt;td&gt;12&lt;/td&gt;&lt;td&gt;4.000&lt;/td&gt;&lt;td&gt;0&lt;/td&gt;&lt;td&gt;0.000&lt;/td&gt;&lt;/tr&gt;</v>
      </c>
    </row>
    <row r="41" spans="1:23" x14ac:dyDescent="0.25">
      <c r="A41" s="12">
        <v>8</v>
      </c>
      <c r="B41" s="12" t="s">
        <v>623</v>
      </c>
      <c r="C41" s="12">
        <v>3</v>
      </c>
      <c r="D41" s="12">
        <v>4</v>
      </c>
      <c r="E41" s="12">
        <v>29</v>
      </c>
      <c r="F41" s="12">
        <v>0</v>
      </c>
      <c r="G41" s="12">
        <v>4</v>
      </c>
      <c r="H41" s="12">
        <v>3</v>
      </c>
      <c r="I41" s="12">
        <v>11</v>
      </c>
      <c r="J41">
        <f t="shared" si="5"/>
        <v>11</v>
      </c>
      <c r="K41" s="12">
        <v>3</v>
      </c>
      <c r="L41" s="12">
        <v>36</v>
      </c>
      <c r="M41">
        <f t="shared" si="6"/>
        <v>39</v>
      </c>
      <c r="N41" s="12">
        <v>5</v>
      </c>
      <c r="O41" s="12">
        <v>5</v>
      </c>
      <c r="P41" s="12">
        <v>27</v>
      </c>
      <c r="Q41" s="12">
        <v>2</v>
      </c>
      <c r="R41" s="12">
        <v>11</v>
      </c>
      <c r="S41">
        <v>0</v>
      </c>
      <c r="T41" s="12">
        <v>104</v>
      </c>
      <c r="U41" s="12" t="s">
        <v>60</v>
      </c>
      <c r="W41" s="10" t="str">
        <f t="shared" si="2"/>
        <v>&lt;tr&gt;&lt;td&gt;Danica Dekleva&lt;/td&gt;&lt;td&gt;DCI&lt;/td&gt;&lt;td&gt;3&lt;/td&gt;&lt;td&gt;11&lt;/td&gt;&lt;td&gt;3.667&lt;/td&gt;&lt;td&gt;4&lt;/td&gt;&lt;td&gt;29&lt;/td&gt;&lt;td&gt;0.138&lt;/td&gt;&lt;td&gt;0&lt;/td&gt;&lt;td&gt;4&lt;/td&gt;&lt;td&gt;0.000&lt;/td&gt;&lt;td&gt;3&lt;/td&gt;&lt;td&gt;11&lt;/td&gt;&lt;td&gt;0.273&lt;/td&gt;&lt;td&gt;3&lt;/td&gt;&lt;td&gt;36&lt;/td&gt;&lt;td&gt;39&lt;/td&gt;&lt;td&gt;13.000&lt;/td&gt;&lt;td&gt;5&lt;/td&gt;&lt;td&gt;1.667&lt;/td&gt;&lt;td&gt;11&lt;/td&gt;&lt;td&gt;3.667&lt;/td&gt;&lt;td&gt;2&lt;/td&gt;&lt;td&gt;0.667&lt;/td&gt;&lt;/tr&gt;</v>
      </c>
    </row>
    <row r="42" spans="1:23" x14ac:dyDescent="0.25">
      <c r="A42" s="12">
        <v>3</v>
      </c>
      <c r="B42" s="12" t="s">
        <v>608</v>
      </c>
      <c r="C42" s="12">
        <v>3</v>
      </c>
      <c r="D42" s="12">
        <v>5</v>
      </c>
      <c r="E42" s="12">
        <v>19</v>
      </c>
      <c r="F42" s="12">
        <v>1</v>
      </c>
      <c r="G42" s="12">
        <v>4</v>
      </c>
      <c r="H42" s="12">
        <v>0</v>
      </c>
      <c r="I42" s="12">
        <v>4</v>
      </c>
      <c r="J42">
        <f t="shared" si="5"/>
        <v>11</v>
      </c>
      <c r="K42" s="12">
        <v>1</v>
      </c>
      <c r="L42" s="12">
        <v>5</v>
      </c>
      <c r="M42">
        <f t="shared" si="6"/>
        <v>6</v>
      </c>
      <c r="N42" s="12">
        <v>5</v>
      </c>
      <c r="O42" s="12">
        <v>0</v>
      </c>
      <c r="P42" s="12">
        <v>7</v>
      </c>
      <c r="Q42" s="12">
        <v>0</v>
      </c>
      <c r="R42" s="12">
        <v>5</v>
      </c>
      <c r="S42">
        <v>0</v>
      </c>
      <c r="T42" s="12">
        <v>74</v>
      </c>
      <c r="U42" s="12" t="s">
        <v>82</v>
      </c>
      <c r="W42" s="10" t="str">
        <f t="shared" si="2"/>
        <v>&lt;tr&gt;&lt;td&gt;Charisse Ahmad&lt;/td&gt;&lt;td&gt;DMCI&lt;/td&gt;&lt;td&gt;3&lt;/td&gt;&lt;td&gt;11&lt;/td&gt;&lt;td&gt;3.667&lt;/td&gt;&lt;td&gt;5&lt;/td&gt;&lt;td&gt;19&lt;/td&gt;&lt;td&gt;0.263&lt;/td&gt;&lt;td&gt;1&lt;/td&gt;&lt;td&gt;4&lt;/td&gt;&lt;td&gt;0.250&lt;/td&gt;&lt;td&gt;0&lt;/td&gt;&lt;td&gt;4&lt;/td&gt;&lt;td&gt;0.000&lt;/td&gt;&lt;td&gt;1&lt;/td&gt;&lt;td&gt;5&lt;/td&gt;&lt;td&gt;6&lt;/td&gt;&lt;td&gt;2.000&lt;/td&gt;&lt;td&gt;0&lt;/td&gt;&lt;td&gt;0.000&lt;/td&gt;&lt;td&gt;5&lt;/td&gt;&lt;td&gt;1.667&lt;/td&gt;&lt;td&gt;0&lt;/td&gt;&lt;td&gt;0.000&lt;/td&gt;&lt;/tr&gt;</v>
      </c>
    </row>
    <row r="43" spans="1:23" x14ac:dyDescent="0.25">
      <c r="A43" s="12">
        <v>9</v>
      </c>
      <c r="B43" s="12" t="s">
        <v>663</v>
      </c>
      <c r="C43" s="12">
        <v>3</v>
      </c>
      <c r="D43" s="12">
        <v>4</v>
      </c>
      <c r="E43" s="12">
        <v>15</v>
      </c>
      <c r="F43" s="12">
        <v>0</v>
      </c>
      <c r="G43" s="12">
        <v>3</v>
      </c>
      <c r="H43" s="12">
        <v>3</v>
      </c>
      <c r="I43" s="12">
        <v>8</v>
      </c>
      <c r="J43">
        <f t="shared" si="5"/>
        <v>11</v>
      </c>
      <c r="K43" s="12">
        <v>4</v>
      </c>
      <c r="L43" s="12">
        <v>11</v>
      </c>
      <c r="M43">
        <f t="shared" si="6"/>
        <v>15</v>
      </c>
      <c r="N43" s="12">
        <v>3</v>
      </c>
      <c r="O43" s="12">
        <v>3</v>
      </c>
      <c r="P43" s="12">
        <v>9</v>
      </c>
      <c r="Q43" s="12">
        <v>0</v>
      </c>
      <c r="R43" s="12">
        <v>2</v>
      </c>
      <c r="S43">
        <v>0</v>
      </c>
      <c r="T43" s="12">
        <v>62</v>
      </c>
      <c r="U43" s="12" t="s">
        <v>52</v>
      </c>
      <c r="W43" s="10" t="str">
        <f t="shared" si="2"/>
        <v>&lt;tr&gt;&lt;td&gt;Quianna Kumar&lt;/td&gt;&lt;td&gt;REC&lt;/td&gt;&lt;td&gt;3&lt;/td&gt;&lt;td&gt;11&lt;/td&gt;&lt;td&gt;3.667&lt;/td&gt;&lt;td&gt;4&lt;/td&gt;&lt;td&gt;15&lt;/td&gt;&lt;td&gt;0.267&lt;/td&gt;&lt;td&gt;0&lt;/td&gt;&lt;td&gt;3&lt;/td&gt;&lt;td&gt;0.000&lt;/td&gt;&lt;td&gt;3&lt;/td&gt;&lt;td&gt;8&lt;/td&gt;&lt;td&gt;0.375&lt;/td&gt;&lt;td&gt;4&lt;/td&gt;&lt;td&gt;11&lt;/td&gt;&lt;td&gt;15&lt;/td&gt;&lt;td&gt;5.000&lt;/td&gt;&lt;td&gt;3&lt;/td&gt;&lt;td&gt;1.000&lt;/td&gt;&lt;td&gt;2&lt;/td&gt;&lt;td&gt;0.667&lt;/td&gt;&lt;td&gt;0&lt;/td&gt;&lt;td&gt;0.000&lt;/td&gt;&lt;/tr&gt;</v>
      </c>
    </row>
    <row r="44" spans="1:23" x14ac:dyDescent="0.25">
      <c r="A44" s="12">
        <v>4</v>
      </c>
      <c r="B44" s="12" t="s">
        <v>620</v>
      </c>
      <c r="C44" s="12">
        <v>3</v>
      </c>
      <c r="D44" s="12">
        <v>2</v>
      </c>
      <c r="E44" s="12">
        <v>22</v>
      </c>
      <c r="F44" s="12">
        <v>1</v>
      </c>
      <c r="G44" s="12">
        <v>5</v>
      </c>
      <c r="H44" s="12">
        <v>5</v>
      </c>
      <c r="I44" s="12">
        <v>6</v>
      </c>
      <c r="J44">
        <f t="shared" si="5"/>
        <v>10</v>
      </c>
      <c r="K44" s="12">
        <v>11</v>
      </c>
      <c r="L44" s="12">
        <v>19</v>
      </c>
      <c r="M44">
        <f t="shared" si="6"/>
        <v>30</v>
      </c>
      <c r="N44" s="12">
        <v>7</v>
      </c>
      <c r="O44" s="12">
        <v>8</v>
      </c>
      <c r="P44" s="12">
        <v>16</v>
      </c>
      <c r="Q44" s="12">
        <v>0</v>
      </c>
      <c r="R44" s="12">
        <v>7</v>
      </c>
      <c r="S44">
        <v>0</v>
      </c>
      <c r="T44" s="12">
        <v>88</v>
      </c>
      <c r="U44" s="12" t="s">
        <v>60</v>
      </c>
      <c r="W44" s="10" t="str">
        <f t="shared" si="2"/>
        <v>&lt;tr&gt;&lt;td&gt;Sage Starkell&lt;/td&gt;&lt;td&gt;DCI&lt;/td&gt;&lt;td&gt;3&lt;/td&gt;&lt;td&gt;10&lt;/td&gt;&lt;td&gt;3.333&lt;/td&gt;&lt;td&gt;2&lt;/td&gt;&lt;td&gt;22&lt;/td&gt;&lt;td&gt;0.091&lt;/td&gt;&lt;td&gt;1&lt;/td&gt;&lt;td&gt;5&lt;/td&gt;&lt;td&gt;0.200&lt;/td&gt;&lt;td&gt;5&lt;/td&gt;&lt;td&gt;6&lt;/td&gt;&lt;td&gt;0.833&lt;/td&gt;&lt;td&gt;11&lt;/td&gt;&lt;td&gt;19&lt;/td&gt;&lt;td&gt;30&lt;/td&gt;&lt;td&gt;10.000&lt;/td&gt;&lt;td&gt;8&lt;/td&gt;&lt;td&gt;2.667&lt;/td&gt;&lt;td&gt;7&lt;/td&gt;&lt;td&gt;2.333&lt;/td&gt;&lt;td&gt;0&lt;/td&gt;&lt;td&gt;0.000&lt;/td&gt;&lt;/tr&gt;</v>
      </c>
    </row>
    <row r="45" spans="1:23" x14ac:dyDescent="0.25">
      <c r="A45" s="12">
        <v>4</v>
      </c>
      <c r="B45" s="12" t="s">
        <v>633</v>
      </c>
      <c r="C45" s="12">
        <v>3</v>
      </c>
      <c r="D45" s="12">
        <v>5</v>
      </c>
      <c r="E45" s="12">
        <v>18</v>
      </c>
      <c r="F45" s="12">
        <v>0</v>
      </c>
      <c r="G45" s="12">
        <v>0</v>
      </c>
      <c r="H45" s="12">
        <v>0</v>
      </c>
      <c r="I45" s="12">
        <v>0</v>
      </c>
      <c r="J45">
        <f t="shared" si="5"/>
        <v>10</v>
      </c>
      <c r="K45" s="12">
        <v>10</v>
      </c>
      <c r="L45" s="12">
        <v>15</v>
      </c>
      <c r="M45">
        <f t="shared" si="6"/>
        <v>25</v>
      </c>
      <c r="N45" s="12">
        <v>6</v>
      </c>
      <c r="O45" s="12">
        <v>0</v>
      </c>
      <c r="P45" s="12">
        <v>20</v>
      </c>
      <c r="Q45" s="12">
        <v>0</v>
      </c>
      <c r="R45" s="12">
        <v>3</v>
      </c>
      <c r="S45">
        <v>0</v>
      </c>
      <c r="T45" s="12">
        <v>73</v>
      </c>
      <c r="U45" s="12" t="s">
        <v>100</v>
      </c>
      <c r="W45" s="10" t="str">
        <f t="shared" si="2"/>
        <v>&lt;tr&gt;&lt;td&gt;Erynn Buhr&lt;/td&gt;&lt;td&gt;CPRS&lt;/td&gt;&lt;td&gt;3&lt;/td&gt;&lt;td&gt;10&lt;/td&gt;&lt;td&gt;3.333&lt;/td&gt;&lt;td&gt;5&lt;/td&gt;&lt;td&gt;18&lt;/td&gt;&lt;td&gt;0.278&lt;/td&gt;&lt;td&gt;0&lt;/td&gt;&lt;td&gt;0&lt;/td&gt;&lt;td&gt;0.000&lt;/td&gt;&lt;td&gt;0&lt;/td&gt;&lt;td&gt;0&lt;/td&gt;&lt;td&gt;0.000&lt;/td&gt;&lt;td&gt;10&lt;/td&gt;&lt;td&gt;15&lt;/td&gt;&lt;td&gt;25&lt;/td&gt;&lt;td&gt;8.333&lt;/td&gt;&lt;td&gt;0&lt;/td&gt;&lt;td&gt;0.000&lt;/td&gt;&lt;td&gt;3&lt;/td&gt;&lt;td&gt;1.000&lt;/td&gt;&lt;td&gt;0&lt;/td&gt;&lt;td&gt;0.000&lt;/td&gt;&lt;/tr&gt;</v>
      </c>
    </row>
    <row r="46" spans="1:23" x14ac:dyDescent="0.25">
      <c r="A46" s="12">
        <v>8</v>
      </c>
      <c r="B46" s="12" t="s">
        <v>662</v>
      </c>
      <c r="C46" s="12">
        <v>3</v>
      </c>
      <c r="D46" s="12">
        <v>5</v>
      </c>
      <c r="E46" s="12">
        <v>23</v>
      </c>
      <c r="F46" s="12">
        <v>0</v>
      </c>
      <c r="G46" s="12">
        <v>3</v>
      </c>
      <c r="H46" s="12">
        <v>0</v>
      </c>
      <c r="I46" s="12">
        <v>0</v>
      </c>
      <c r="J46">
        <f t="shared" si="5"/>
        <v>10</v>
      </c>
      <c r="K46" s="12">
        <v>3</v>
      </c>
      <c r="L46" s="12">
        <v>11</v>
      </c>
      <c r="M46">
        <f t="shared" si="6"/>
        <v>14</v>
      </c>
      <c r="N46" s="12">
        <v>8</v>
      </c>
      <c r="O46" s="12">
        <v>2</v>
      </c>
      <c r="P46" s="12">
        <v>10</v>
      </c>
      <c r="Q46" s="12">
        <v>1</v>
      </c>
      <c r="R46" s="12">
        <v>4</v>
      </c>
      <c r="S46">
        <v>0</v>
      </c>
      <c r="T46" s="12">
        <v>58</v>
      </c>
      <c r="U46" s="12" t="s">
        <v>52</v>
      </c>
      <c r="W46" s="10" t="str">
        <f t="shared" si="2"/>
        <v>&lt;tr&gt;&lt;td&gt;Sara Fergus&lt;/td&gt;&lt;td&gt;REC&lt;/td&gt;&lt;td&gt;3&lt;/td&gt;&lt;td&gt;10&lt;/td&gt;&lt;td&gt;3.333&lt;/td&gt;&lt;td&gt;5&lt;/td&gt;&lt;td&gt;23&lt;/td&gt;&lt;td&gt;0.217&lt;/td&gt;&lt;td&gt;0&lt;/td&gt;&lt;td&gt;3&lt;/td&gt;&lt;td&gt;0.000&lt;/td&gt;&lt;td&gt;0&lt;/td&gt;&lt;td&gt;0&lt;/td&gt;&lt;td&gt;0.000&lt;/td&gt;&lt;td&gt;3&lt;/td&gt;&lt;td&gt;11&lt;/td&gt;&lt;td&gt;14&lt;/td&gt;&lt;td&gt;4.667&lt;/td&gt;&lt;td&gt;2&lt;/td&gt;&lt;td&gt;0.667&lt;/td&gt;&lt;td&gt;4&lt;/td&gt;&lt;td&gt;1.333&lt;/td&gt;&lt;td&gt;1&lt;/td&gt;&lt;td&gt;0.333&lt;/td&gt;&lt;/tr&gt;</v>
      </c>
    </row>
    <row r="47" spans="1:23" x14ac:dyDescent="0.25">
      <c r="A47" s="12">
        <v>6</v>
      </c>
      <c r="B47" s="12" t="s">
        <v>597</v>
      </c>
      <c r="C47" s="12">
        <v>3</v>
      </c>
      <c r="D47" s="12">
        <v>4</v>
      </c>
      <c r="E47" s="12">
        <v>17</v>
      </c>
      <c r="F47" s="12">
        <v>1</v>
      </c>
      <c r="G47" s="12">
        <v>8</v>
      </c>
      <c r="H47" s="12">
        <v>0</v>
      </c>
      <c r="I47" s="12">
        <v>0</v>
      </c>
      <c r="J47">
        <f t="shared" si="5"/>
        <v>9</v>
      </c>
      <c r="K47" s="12">
        <v>3</v>
      </c>
      <c r="L47" s="12">
        <v>11</v>
      </c>
      <c r="M47">
        <f t="shared" si="6"/>
        <v>14</v>
      </c>
      <c r="N47" s="12">
        <v>7</v>
      </c>
      <c r="O47" s="12">
        <v>5</v>
      </c>
      <c r="P47" s="12">
        <v>6</v>
      </c>
      <c r="Q47" s="12">
        <v>0</v>
      </c>
      <c r="R47" s="12">
        <v>2</v>
      </c>
      <c r="S47">
        <v>0</v>
      </c>
      <c r="T47" s="12">
        <v>83</v>
      </c>
      <c r="U47" s="12" t="s">
        <v>98</v>
      </c>
      <c r="W47" s="10" t="str">
        <f t="shared" si="2"/>
        <v>&lt;tr&gt;&lt;td&gt;Rachel Singleton&lt;/td&gt;&lt;td&gt;WWC&lt;/td&gt;&lt;td&gt;3&lt;/td&gt;&lt;td&gt;9&lt;/td&gt;&lt;td&gt;3.000&lt;/td&gt;&lt;td&gt;4&lt;/td&gt;&lt;td&gt;17&lt;/td&gt;&lt;td&gt;0.235&lt;/td&gt;&lt;td&gt;1&lt;/td&gt;&lt;td&gt;8&lt;/td&gt;&lt;td&gt;0.125&lt;/td&gt;&lt;td&gt;0&lt;/td&gt;&lt;td&gt;0&lt;/td&gt;&lt;td&gt;0.000&lt;/td&gt;&lt;td&gt;3&lt;/td&gt;&lt;td&gt;11&lt;/td&gt;&lt;td&gt;14&lt;/td&gt;&lt;td&gt;4.667&lt;/td&gt;&lt;td&gt;5&lt;/td&gt;&lt;td&gt;1.667&lt;/td&gt;&lt;td&gt;2&lt;/td&gt;&lt;td&gt;0.667&lt;/td&gt;&lt;td&gt;0&lt;/td&gt;&lt;td&gt;0.000&lt;/td&gt;&lt;/tr&gt;</v>
      </c>
    </row>
    <row r="48" spans="1:23" x14ac:dyDescent="0.25">
      <c r="A48" s="12">
        <v>15</v>
      </c>
      <c r="B48" s="12" t="s">
        <v>658</v>
      </c>
      <c r="C48" s="12">
        <v>3</v>
      </c>
      <c r="D48" s="12">
        <v>4</v>
      </c>
      <c r="E48" s="12">
        <v>11</v>
      </c>
      <c r="F48" s="12">
        <v>0</v>
      </c>
      <c r="G48" s="12">
        <v>0</v>
      </c>
      <c r="H48" s="12">
        <v>0</v>
      </c>
      <c r="I48" s="12">
        <v>0</v>
      </c>
      <c r="J48">
        <f t="shared" si="5"/>
        <v>8</v>
      </c>
      <c r="K48" s="12">
        <v>3</v>
      </c>
      <c r="L48" s="12">
        <v>8</v>
      </c>
      <c r="M48">
        <f t="shared" si="6"/>
        <v>11</v>
      </c>
      <c r="N48" s="12">
        <v>5</v>
      </c>
      <c r="O48" s="12">
        <v>3</v>
      </c>
      <c r="P48" s="12">
        <v>7</v>
      </c>
      <c r="Q48" s="12">
        <v>0</v>
      </c>
      <c r="R48" s="12">
        <v>6</v>
      </c>
      <c r="S48">
        <v>0</v>
      </c>
      <c r="T48" s="12">
        <v>77</v>
      </c>
      <c r="U48" s="12" t="s">
        <v>70</v>
      </c>
      <c r="W48" s="10" t="str">
        <f t="shared" si="2"/>
        <v>&lt;tr&gt;&lt;td&gt;Kiana Sharpe&lt;/td&gt;&lt;td&gt;JTC&lt;/td&gt;&lt;td&gt;3&lt;/td&gt;&lt;td&gt;8&lt;/td&gt;&lt;td&gt;2.667&lt;/td&gt;&lt;td&gt;4&lt;/td&gt;&lt;td&gt;11&lt;/td&gt;&lt;td&gt;0.364&lt;/td&gt;&lt;td&gt;0&lt;/td&gt;&lt;td&gt;0&lt;/td&gt;&lt;td&gt;0.000&lt;/td&gt;&lt;td&gt;0&lt;/td&gt;&lt;td&gt;0&lt;/td&gt;&lt;td&gt;0.000&lt;/td&gt;&lt;td&gt;3&lt;/td&gt;&lt;td&gt;8&lt;/td&gt;&lt;td&gt;11&lt;/td&gt;&lt;td&gt;3.667&lt;/td&gt;&lt;td&gt;3&lt;/td&gt;&lt;td&gt;1.000&lt;/td&gt;&lt;td&gt;6&lt;/td&gt;&lt;td&gt;2.000&lt;/td&gt;&lt;td&gt;0&lt;/td&gt;&lt;td&gt;0.000&lt;/td&gt;&lt;/tr&gt;</v>
      </c>
    </row>
    <row r="49" spans="1:23" x14ac:dyDescent="0.25">
      <c r="A49" s="12">
        <v>9</v>
      </c>
      <c r="B49" s="12" t="s">
        <v>644</v>
      </c>
      <c r="C49" s="12">
        <v>3</v>
      </c>
      <c r="D49" s="12">
        <v>4</v>
      </c>
      <c r="E49" s="12">
        <v>13</v>
      </c>
      <c r="F49" s="12">
        <v>0</v>
      </c>
      <c r="G49" s="12">
        <v>0</v>
      </c>
      <c r="H49" s="12">
        <v>0</v>
      </c>
      <c r="I49" s="12">
        <v>0</v>
      </c>
      <c r="J49">
        <f t="shared" si="5"/>
        <v>8</v>
      </c>
      <c r="K49" s="12">
        <v>2</v>
      </c>
      <c r="L49" s="12">
        <v>1</v>
      </c>
      <c r="M49">
        <f t="shared" si="6"/>
        <v>3</v>
      </c>
      <c r="N49" s="12">
        <v>2</v>
      </c>
      <c r="O49" s="12">
        <v>1</v>
      </c>
      <c r="P49" s="12">
        <v>5</v>
      </c>
      <c r="Q49" s="12">
        <v>0</v>
      </c>
      <c r="R49" s="12">
        <v>2</v>
      </c>
      <c r="S49">
        <v>0</v>
      </c>
      <c r="T49" s="12">
        <v>42</v>
      </c>
      <c r="U49" s="12" t="s">
        <v>54</v>
      </c>
      <c r="W49" s="10" t="str">
        <f t="shared" si="2"/>
        <v>&lt;tr&gt;&lt;td&gt;Stephenie Moore&lt;/td&gt;&lt;td&gt;LS&lt;/td&gt;&lt;td&gt;3&lt;/td&gt;&lt;td&gt;8&lt;/td&gt;&lt;td&gt;2.667&lt;/td&gt;&lt;td&gt;4&lt;/td&gt;&lt;td&gt;13&lt;/td&gt;&lt;td&gt;0.308&lt;/td&gt;&lt;td&gt;0&lt;/td&gt;&lt;td&gt;0&lt;/td&gt;&lt;td&gt;0.000&lt;/td&gt;&lt;td&gt;0&lt;/td&gt;&lt;td&gt;0&lt;/td&gt;&lt;td&gt;0.000&lt;/td&gt;&lt;td&gt;2&lt;/td&gt;&lt;td&gt;1&lt;/td&gt;&lt;td&gt;3&lt;/td&gt;&lt;td&gt;1.000&lt;/td&gt;&lt;td&gt;1&lt;/td&gt;&lt;td&gt;0.333&lt;/td&gt;&lt;td&gt;2&lt;/td&gt;&lt;td&gt;0.667&lt;/td&gt;&lt;td&gt;0&lt;/td&gt;&lt;td&gt;0.000&lt;/td&gt;&lt;/tr&gt;</v>
      </c>
    </row>
    <row r="50" spans="1:23" x14ac:dyDescent="0.25">
      <c r="A50" s="12">
        <v>12</v>
      </c>
      <c r="B50" s="12" t="s">
        <v>646</v>
      </c>
      <c r="C50" s="12">
        <v>3</v>
      </c>
      <c r="D50" s="12">
        <v>3</v>
      </c>
      <c r="E50" s="12">
        <v>7</v>
      </c>
      <c r="F50" s="12">
        <v>0</v>
      </c>
      <c r="G50" s="12">
        <v>0</v>
      </c>
      <c r="H50" s="12">
        <v>2</v>
      </c>
      <c r="I50" s="12">
        <v>3</v>
      </c>
      <c r="J50">
        <f t="shared" si="5"/>
        <v>8</v>
      </c>
      <c r="K50" s="12">
        <v>2</v>
      </c>
      <c r="L50" s="12">
        <v>0</v>
      </c>
      <c r="M50">
        <f t="shared" si="6"/>
        <v>2</v>
      </c>
      <c r="N50" s="12">
        <v>1</v>
      </c>
      <c r="O50" s="12">
        <v>1</v>
      </c>
      <c r="P50" s="12">
        <v>3</v>
      </c>
      <c r="Q50" s="12">
        <v>0</v>
      </c>
      <c r="R50" s="12">
        <v>2</v>
      </c>
      <c r="S50">
        <v>0</v>
      </c>
      <c r="T50" s="12">
        <v>34</v>
      </c>
      <c r="U50" s="12" t="s">
        <v>54</v>
      </c>
      <c r="W50" s="10" t="str">
        <f t="shared" si="2"/>
        <v>&lt;tr&gt;&lt;td&gt;Danika Thorvaldson&lt;/td&gt;&lt;td&gt;LS&lt;/td&gt;&lt;td&gt;3&lt;/td&gt;&lt;td&gt;8&lt;/td&gt;&lt;td&gt;2.667&lt;/td&gt;&lt;td&gt;3&lt;/td&gt;&lt;td&gt;7&lt;/td&gt;&lt;td&gt;0.429&lt;/td&gt;&lt;td&gt;0&lt;/td&gt;&lt;td&gt;0&lt;/td&gt;&lt;td&gt;0.000&lt;/td&gt;&lt;td&gt;2&lt;/td&gt;&lt;td&gt;3&lt;/td&gt;&lt;td&gt;0.667&lt;/td&gt;&lt;td&gt;2&lt;/td&gt;&lt;td&gt;0&lt;/td&gt;&lt;td&gt;2&lt;/td&gt;&lt;td&gt;0.667&lt;/td&gt;&lt;td&gt;1&lt;/td&gt;&lt;td&gt;0.333&lt;/td&gt;&lt;td&gt;2&lt;/td&gt;&lt;td&gt;0.667&lt;/td&gt;&lt;td&gt;0&lt;/td&gt;&lt;td&gt;0.000&lt;/td&gt;&lt;/tr&gt;</v>
      </c>
    </row>
    <row r="51" spans="1:23" x14ac:dyDescent="0.25">
      <c r="A51" s="12">
        <v>7</v>
      </c>
      <c r="B51" s="12" t="s">
        <v>622</v>
      </c>
      <c r="C51" s="12">
        <v>3</v>
      </c>
      <c r="D51" s="12">
        <v>3</v>
      </c>
      <c r="E51" s="12">
        <v>11</v>
      </c>
      <c r="F51" s="12">
        <v>1</v>
      </c>
      <c r="G51" s="12">
        <v>8</v>
      </c>
      <c r="H51" s="12">
        <v>0</v>
      </c>
      <c r="I51" s="12">
        <v>0</v>
      </c>
      <c r="J51">
        <f t="shared" si="5"/>
        <v>7</v>
      </c>
      <c r="K51" s="12">
        <v>1</v>
      </c>
      <c r="L51" s="12">
        <v>3</v>
      </c>
      <c r="M51">
        <f t="shared" si="6"/>
        <v>4</v>
      </c>
      <c r="N51" s="12">
        <v>0</v>
      </c>
      <c r="O51" s="12">
        <v>2</v>
      </c>
      <c r="P51" s="12">
        <v>8</v>
      </c>
      <c r="Q51" s="12">
        <v>1</v>
      </c>
      <c r="R51" s="12">
        <v>2</v>
      </c>
      <c r="S51">
        <v>0</v>
      </c>
      <c r="T51" s="12">
        <v>38</v>
      </c>
      <c r="U51" s="12" t="s">
        <v>60</v>
      </c>
      <c r="W51" s="10" t="str">
        <f t="shared" si="2"/>
        <v>&lt;tr&gt;&lt;td&gt;Ansa Chaudhary&lt;/td&gt;&lt;td&gt;DCI&lt;/td&gt;&lt;td&gt;3&lt;/td&gt;&lt;td&gt;7&lt;/td&gt;&lt;td&gt;2.333&lt;/td&gt;&lt;td&gt;3&lt;/td&gt;&lt;td&gt;11&lt;/td&gt;&lt;td&gt;0.273&lt;/td&gt;&lt;td&gt;1&lt;/td&gt;&lt;td&gt;8&lt;/td&gt;&lt;td&gt;0.125&lt;/td&gt;&lt;td&gt;0&lt;/td&gt;&lt;td&gt;0&lt;/td&gt;&lt;td&gt;0.000&lt;/td&gt;&lt;td&gt;1&lt;/td&gt;&lt;td&gt;3&lt;/td&gt;&lt;td&gt;4&lt;/td&gt;&lt;td&gt;1.333&lt;/td&gt;&lt;td&gt;2&lt;/td&gt;&lt;td&gt;0.667&lt;/td&gt;&lt;td&gt;2&lt;/td&gt;&lt;td&gt;0.667&lt;/td&gt;&lt;td&gt;1&lt;/td&gt;&lt;td&gt;0.333&lt;/td&gt;&lt;/tr&gt;</v>
      </c>
    </row>
    <row r="52" spans="1:23" x14ac:dyDescent="0.25">
      <c r="A52" s="12">
        <v>14</v>
      </c>
      <c r="B52" s="12" t="s">
        <v>594</v>
      </c>
      <c r="C52" s="12">
        <v>3</v>
      </c>
      <c r="D52" s="12">
        <v>3</v>
      </c>
      <c r="E52" s="12">
        <v>9</v>
      </c>
      <c r="F52" s="12">
        <v>0</v>
      </c>
      <c r="G52" s="12">
        <v>0</v>
      </c>
      <c r="H52" s="12">
        <v>0</v>
      </c>
      <c r="I52" s="12">
        <v>1</v>
      </c>
      <c r="J52">
        <f t="shared" si="5"/>
        <v>6</v>
      </c>
      <c r="K52" s="12">
        <v>4</v>
      </c>
      <c r="L52" s="12">
        <v>6</v>
      </c>
      <c r="M52">
        <f t="shared" si="6"/>
        <v>10</v>
      </c>
      <c r="N52" s="12">
        <v>1</v>
      </c>
      <c r="O52" s="12">
        <v>1</v>
      </c>
      <c r="P52" s="12">
        <v>4</v>
      </c>
      <c r="Q52" s="12">
        <v>0</v>
      </c>
      <c r="R52" s="12">
        <v>4</v>
      </c>
      <c r="S52">
        <v>0</v>
      </c>
      <c r="T52" s="12">
        <v>35</v>
      </c>
      <c r="U52" s="12" t="s">
        <v>74</v>
      </c>
      <c r="W52" s="10" t="str">
        <f t="shared" si="2"/>
        <v>&lt;tr&gt;&lt;td&gt;Breanna Slobak&lt;/td&gt;&lt;td&gt;OPHS&lt;/td&gt;&lt;td&gt;3&lt;/td&gt;&lt;td&gt;6&lt;/td&gt;&lt;td&gt;2.000&lt;/td&gt;&lt;td&gt;3&lt;/td&gt;&lt;td&gt;9&lt;/td&gt;&lt;td&gt;0.333&lt;/td&gt;&lt;td&gt;0&lt;/td&gt;&lt;td&gt;0&lt;/td&gt;&lt;td&gt;0.000&lt;/td&gt;&lt;td&gt;0&lt;/td&gt;&lt;td&gt;1&lt;/td&gt;&lt;td&gt;0.000&lt;/td&gt;&lt;td&gt;4&lt;/td&gt;&lt;td&gt;6&lt;/td&gt;&lt;td&gt;10&lt;/td&gt;&lt;td&gt;3.333&lt;/td&gt;&lt;td&gt;1&lt;/td&gt;&lt;td&gt;0.333&lt;/td&gt;&lt;td&gt;4&lt;/td&gt;&lt;td&gt;1.333&lt;/td&gt;&lt;td&gt;0&lt;/td&gt;&lt;td&gt;0.000&lt;/td&gt;&lt;/tr&gt;</v>
      </c>
    </row>
    <row r="53" spans="1:23" x14ac:dyDescent="0.25">
      <c r="A53" s="12">
        <v>15</v>
      </c>
      <c r="B53" s="12" t="s">
        <v>605</v>
      </c>
      <c r="C53" s="12">
        <v>2</v>
      </c>
      <c r="D53" s="12">
        <v>3</v>
      </c>
      <c r="E53" s="12">
        <v>16</v>
      </c>
      <c r="F53" s="12">
        <v>0</v>
      </c>
      <c r="G53" s="12">
        <v>0</v>
      </c>
      <c r="H53" s="12">
        <v>0</v>
      </c>
      <c r="I53" s="12">
        <v>0</v>
      </c>
      <c r="J53">
        <f t="shared" si="5"/>
        <v>6</v>
      </c>
      <c r="K53" s="12">
        <v>6</v>
      </c>
      <c r="L53" s="12">
        <v>6</v>
      </c>
      <c r="M53">
        <f t="shared" si="6"/>
        <v>12</v>
      </c>
      <c r="N53" s="12">
        <v>1</v>
      </c>
      <c r="O53" s="12">
        <v>2</v>
      </c>
      <c r="P53" s="12">
        <v>3</v>
      </c>
      <c r="Q53" s="12">
        <v>2</v>
      </c>
      <c r="R53" s="12">
        <v>0</v>
      </c>
      <c r="S53">
        <v>0</v>
      </c>
      <c r="T53" s="12">
        <v>28</v>
      </c>
      <c r="U53" s="12" t="s">
        <v>98</v>
      </c>
      <c r="W53" s="10" t="str">
        <f t="shared" si="2"/>
        <v>&lt;tr&gt;&lt;td&gt;Melissa McColl&lt;/td&gt;&lt;td&gt;WWC&lt;/td&gt;&lt;td&gt;2&lt;/td&gt;&lt;td&gt;6&lt;/td&gt;&lt;td&gt;3.000&lt;/td&gt;&lt;td&gt;3&lt;/td&gt;&lt;td&gt;16&lt;/td&gt;&lt;td&gt;0.188&lt;/td&gt;&lt;td&gt;0&lt;/td&gt;&lt;td&gt;0&lt;/td&gt;&lt;td&gt;0.000&lt;/td&gt;&lt;td&gt;0&lt;/td&gt;&lt;td&gt;0&lt;/td&gt;&lt;td&gt;0.000&lt;/td&gt;&lt;td&gt;6&lt;/td&gt;&lt;td&gt;6&lt;/td&gt;&lt;td&gt;12&lt;/td&gt;&lt;td&gt;6.000&lt;/td&gt;&lt;td&gt;2&lt;/td&gt;&lt;td&gt;1.000&lt;/td&gt;&lt;td&gt;0&lt;/td&gt;&lt;td&gt;0.000&lt;/td&gt;&lt;td&gt;2&lt;/td&gt;&lt;td&gt;1.000&lt;/td&gt;&lt;/tr&gt;</v>
      </c>
    </row>
    <row r="54" spans="1:23" x14ac:dyDescent="0.25">
      <c r="A54" s="12">
        <v>14</v>
      </c>
      <c r="B54" s="12" t="s">
        <v>657</v>
      </c>
      <c r="C54" s="12">
        <v>3</v>
      </c>
      <c r="D54" s="12">
        <v>2</v>
      </c>
      <c r="E54" s="12">
        <v>7</v>
      </c>
      <c r="F54" s="12">
        <v>1</v>
      </c>
      <c r="G54" s="12">
        <v>4</v>
      </c>
      <c r="H54" s="12">
        <v>1</v>
      </c>
      <c r="I54" s="12">
        <v>2</v>
      </c>
      <c r="J54">
        <f t="shared" si="5"/>
        <v>6</v>
      </c>
      <c r="K54" s="12">
        <v>2</v>
      </c>
      <c r="L54" s="12">
        <v>4</v>
      </c>
      <c r="M54">
        <f t="shared" si="6"/>
        <v>6</v>
      </c>
      <c r="N54" s="12">
        <v>0</v>
      </c>
      <c r="O54" s="12">
        <v>0</v>
      </c>
      <c r="P54" s="12">
        <v>3</v>
      </c>
      <c r="Q54" s="12">
        <v>0</v>
      </c>
      <c r="R54" s="12">
        <v>1</v>
      </c>
      <c r="S54">
        <v>0</v>
      </c>
      <c r="T54" s="12">
        <v>22</v>
      </c>
      <c r="U54" s="12" t="s">
        <v>70</v>
      </c>
      <c r="W54" s="10" t="str">
        <f t="shared" si="2"/>
        <v>&lt;tr&gt;&lt;td&gt;Katia Messnar&lt;/td&gt;&lt;td&gt;JTC&lt;/td&gt;&lt;td&gt;3&lt;/td&gt;&lt;td&gt;6&lt;/td&gt;&lt;td&gt;2.000&lt;/td&gt;&lt;td&gt;2&lt;/td&gt;&lt;td&gt;7&lt;/td&gt;&lt;td&gt;0.286&lt;/td&gt;&lt;td&gt;1&lt;/td&gt;&lt;td&gt;4&lt;/td&gt;&lt;td&gt;0.250&lt;/td&gt;&lt;td&gt;1&lt;/td&gt;&lt;td&gt;2&lt;/td&gt;&lt;td&gt;0.500&lt;/td&gt;&lt;td&gt;2&lt;/td&gt;&lt;td&gt;4&lt;/td&gt;&lt;td&gt;6&lt;/td&gt;&lt;td&gt;2.000&lt;/td&gt;&lt;td&gt;0&lt;/td&gt;&lt;td&gt;0.000&lt;/td&gt;&lt;td&gt;1&lt;/td&gt;&lt;td&gt;0.333&lt;/td&gt;&lt;td&gt;0&lt;/td&gt;&lt;td&gt;0.000&lt;/td&gt;&lt;/tr&gt;</v>
      </c>
    </row>
    <row r="55" spans="1:23" x14ac:dyDescent="0.25">
      <c r="A55" s="12">
        <v>4</v>
      </c>
      <c r="B55" s="12" t="s">
        <v>642</v>
      </c>
      <c r="C55" s="12">
        <v>3</v>
      </c>
      <c r="D55" s="12">
        <v>1</v>
      </c>
      <c r="E55" s="12">
        <v>11</v>
      </c>
      <c r="F55" s="12">
        <v>0</v>
      </c>
      <c r="G55" s="12">
        <v>3</v>
      </c>
      <c r="H55" s="12">
        <v>3</v>
      </c>
      <c r="I55" s="12">
        <v>6</v>
      </c>
      <c r="J55">
        <f t="shared" si="5"/>
        <v>5</v>
      </c>
      <c r="K55" s="12">
        <v>4</v>
      </c>
      <c r="L55" s="12">
        <v>11</v>
      </c>
      <c r="M55">
        <f t="shared" si="6"/>
        <v>15</v>
      </c>
      <c r="N55" s="12">
        <v>5</v>
      </c>
      <c r="O55" s="12">
        <v>1</v>
      </c>
      <c r="P55" s="12">
        <v>11</v>
      </c>
      <c r="Q55" s="12">
        <v>1</v>
      </c>
      <c r="R55" s="12">
        <v>4</v>
      </c>
      <c r="S55">
        <v>0</v>
      </c>
      <c r="T55" s="12">
        <v>74</v>
      </c>
      <c r="U55" s="12" t="s">
        <v>54</v>
      </c>
      <c r="W55" s="10" t="str">
        <f t="shared" si="2"/>
        <v>&lt;tr&gt;&lt;td&gt;Richelle Recksiedler&lt;/td&gt;&lt;td&gt;LS&lt;/td&gt;&lt;td&gt;3&lt;/td&gt;&lt;td&gt;5&lt;/td&gt;&lt;td&gt;1.667&lt;/td&gt;&lt;td&gt;1&lt;/td&gt;&lt;td&gt;11&lt;/td&gt;&lt;td&gt;0.091&lt;/td&gt;&lt;td&gt;0&lt;/td&gt;&lt;td&gt;3&lt;/td&gt;&lt;td&gt;0.000&lt;/td&gt;&lt;td&gt;3&lt;/td&gt;&lt;td&gt;6&lt;/td&gt;&lt;td&gt;0.500&lt;/td&gt;&lt;td&gt;4&lt;/td&gt;&lt;td&gt;11&lt;/td&gt;&lt;td&gt;15&lt;/td&gt;&lt;td&gt;5.000&lt;/td&gt;&lt;td&gt;1&lt;/td&gt;&lt;td&gt;0.333&lt;/td&gt;&lt;td&gt;4&lt;/td&gt;&lt;td&gt;1.333&lt;/td&gt;&lt;td&gt;1&lt;/td&gt;&lt;td&gt;0.333&lt;/td&gt;&lt;/tr&gt;</v>
      </c>
    </row>
    <row r="56" spans="1:23" x14ac:dyDescent="0.25">
      <c r="A56" s="12">
        <v>25</v>
      </c>
      <c r="B56" s="12" t="s">
        <v>667</v>
      </c>
      <c r="C56" s="12">
        <v>3</v>
      </c>
      <c r="D56" s="12">
        <v>2</v>
      </c>
      <c r="E56" s="12">
        <v>12</v>
      </c>
      <c r="F56" s="12">
        <v>0</v>
      </c>
      <c r="G56" s="12">
        <v>1</v>
      </c>
      <c r="H56" s="12">
        <v>0</v>
      </c>
      <c r="I56" s="12">
        <v>0</v>
      </c>
      <c r="J56">
        <f t="shared" si="5"/>
        <v>4</v>
      </c>
      <c r="K56" s="12">
        <v>3</v>
      </c>
      <c r="L56" s="12">
        <v>10</v>
      </c>
      <c r="M56">
        <f t="shared" si="6"/>
        <v>13</v>
      </c>
      <c r="N56" s="12">
        <v>3</v>
      </c>
      <c r="O56" s="12">
        <v>1</v>
      </c>
      <c r="P56" s="12">
        <v>15</v>
      </c>
      <c r="Q56" s="12">
        <v>0</v>
      </c>
      <c r="R56" s="12">
        <v>3</v>
      </c>
      <c r="S56">
        <v>0</v>
      </c>
      <c r="T56" s="12">
        <v>62</v>
      </c>
      <c r="U56" s="12" t="s">
        <v>52</v>
      </c>
      <c r="W56" s="10" t="str">
        <f t="shared" si="2"/>
        <v>&lt;tr&gt;&lt;td&gt;Emily Tham&lt;/td&gt;&lt;td&gt;REC&lt;/td&gt;&lt;td&gt;3&lt;/td&gt;&lt;td&gt;4&lt;/td&gt;&lt;td&gt;1.333&lt;/td&gt;&lt;td&gt;2&lt;/td&gt;&lt;td&gt;12&lt;/td&gt;&lt;td&gt;0.167&lt;/td&gt;&lt;td&gt;0&lt;/td&gt;&lt;td&gt;1&lt;/td&gt;&lt;td&gt;0.000&lt;/td&gt;&lt;td&gt;0&lt;/td&gt;&lt;td&gt;0&lt;/td&gt;&lt;td&gt;0.000&lt;/td&gt;&lt;td&gt;3&lt;/td&gt;&lt;td&gt;10&lt;/td&gt;&lt;td&gt;13&lt;/td&gt;&lt;td&gt;4.333&lt;/td&gt;&lt;td&gt;1&lt;/td&gt;&lt;td&gt;0.333&lt;/td&gt;&lt;td&gt;3&lt;/td&gt;&lt;td&gt;1.000&lt;/td&gt;&lt;td&gt;0&lt;/td&gt;&lt;td&gt;0.000&lt;/td&gt;&lt;/tr&gt;</v>
      </c>
    </row>
    <row r="57" spans="1:23" x14ac:dyDescent="0.25">
      <c r="A57" s="12">
        <v>21</v>
      </c>
      <c r="B57" s="12" t="s">
        <v>659</v>
      </c>
      <c r="C57" s="12">
        <v>3</v>
      </c>
      <c r="D57" s="12">
        <v>2</v>
      </c>
      <c r="E57" s="12">
        <v>12</v>
      </c>
      <c r="F57" s="12">
        <v>0</v>
      </c>
      <c r="G57" s="12">
        <v>0</v>
      </c>
      <c r="H57" s="12">
        <v>0</v>
      </c>
      <c r="I57" s="12">
        <v>2</v>
      </c>
      <c r="J57">
        <f t="shared" si="5"/>
        <v>4</v>
      </c>
      <c r="K57" s="12">
        <v>11</v>
      </c>
      <c r="L57" s="12">
        <v>9</v>
      </c>
      <c r="M57">
        <f t="shared" si="6"/>
        <v>20</v>
      </c>
      <c r="N57" s="12">
        <v>6</v>
      </c>
      <c r="O57" s="12">
        <v>2</v>
      </c>
      <c r="P57" s="12">
        <v>6</v>
      </c>
      <c r="Q57" s="12">
        <v>0</v>
      </c>
      <c r="R57" s="12">
        <v>1</v>
      </c>
      <c r="S57">
        <v>0</v>
      </c>
      <c r="T57" s="12">
        <v>58</v>
      </c>
      <c r="U57" s="12" t="s">
        <v>70</v>
      </c>
      <c r="W57" s="10" t="str">
        <f t="shared" si="2"/>
        <v>&lt;tr&gt;&lt;td&gt;Madelline Ward&lt;/td&gt;&lt;td&gt;JTC&lt;/td&gt;&lt;td&gt;3&lt;/td&gt;&lt;td&gt;4&lt;/td&gt;&lt;td&gt;1.333&lt;/td&gt;&lt;td&gt;2&lt;/td&gt;&lt;td&gt;12&lt;/td&gt;&lt;td&gt;0.167&lt;/td&gt;&lt;td&gt;0&lt;/td&gt;&lt;td&gt;0&lt;/td&gt;&lt;td&gt;0.000&lt;/td&gt;&lt;td&gt;0&lt;/td&gt;&lt;td&gt;2&lt;/td&gt;&lt;td&gt;0.000&lt;/td&gt;&lt;td&gt;11&lt;/td&gt;&lt;td&gt;9&lt;/td&gt;&lt;td&gt;20&lt;/td&gt;&lt;td&gt;6.667&lt;/td&gt;&lt;td&gt;2&lt;/td&gt;&lt;td&gt;0.667&lt;/td&gt;&lt;td&gt;1&lt;/td&gt;&lt;td&gt;0.333&lt;/td&gt;&lt;td&gt;0&lt;/td&gt;&lt;td&gt;0.000&lt;/td&gt;&lt;/tr&gt;</v>
      </c>
    </row>
    <row r="58" spans="1:23" x14ac:dyDescent="0.25">
      <c r="A58" s="12">
        <v>10</v>
      </c>
      <c r="B58" s="12" t="s">
        <v>624</v>
      </c>
      <c r="C58" s="12">
        <v>3</v>
      </c>
      <c r="D58" s="12">
        <v>2</v>
      </c>
      <c r="E58" s="12">
        <v>10</v>
      </c>
      <c r="F58" s="12">
        <v>0</v>
      </c>
      <c r="G58" s="12">
        <v>1</v>
      </c>
      <c r="H58" s="12">
        <v>0</v>
      </c>
      <c r="I58" s="12">
        <v>0</v>
      </c>
      <c r="J58">
        <f t="shared" si="5"/>
        <v>4</v>
      </c>
      <c r="K58" s="12">
        <v>4</v>
      </c>
      <c r="L58" s="12">
        <v>1</v>
      </c>
      <c r="M58">
        <f t="shared" si="6"/>
        <v>5</v>
      </c>
      <c r="N58" s="12">
        <v>2</v>
      </c>
      <c r="O58" s="12">
        <v>1</v>
      </c>
      <c r="P58" s="12">
        <v>9</v>
      </c>
      <c r="Q58" s="12">
        <v>0</v>
      </c>
      <c r="R58" s="12">
        <v>2</v>
      </c>
      <c r="S58">
        <v>0</v>
      </c>
      <c r="T58" s="12">
        <v>43</v>
      </c>
      <c r="U58" s="12" t="s">
        <v>60</v>
      </c>
      <c r="W58" s="10" t="str">
        <f t="shared" si="2"/>
        <v>&lt;tr&gt;&lt;td&gt;Raisa Reyes&lt;/td&gt;&lt;td&gt;DCI&lt;/td&gt;&lt;td&gt;3&lt;/td&gt;&lt;td&gt;4&lt;/td&gt;&lt;td&gt;1.333&lt;/td&gt;&lt;td&gt;2&lt;/td&gt;&lt;td&gt;10&lt;/td&gt;&lt;td&gt;0.200&lt;/td&gt;&lt;td&gt;0&lt;/td&gt;&lt;td&gt;1&lt;/td&gt;&lt;td&gt;0.000&lt;/td&gt;&lt;td&gt;0&lt;/td&gt;&lt;td&gt;0&lt;/td&gt;&lt;td&gt;0.000&lt;/td&gt;&lt;td&gt;4&lt;/td&gt;&lt;td&gt;1&lt;/td&gt;&lt;td&gt;5&lt;/td&gt;&lt;td&gt;1.667&lt;/td&gt;&lt;td&gt;1&lt;/td&gt;&lt;td&gt;0.333&lt;/td&gt;&lt;td&gt;2&lt;/td&gt;&lt;td&gt;0.667&lt;/td&gt;&lt;td&gt;0&lt;/td&gt;&lt;td&gt;0.000&lt;/td&gt;&lt;/tr&gt;</v>
      </c>
    </row>
    <row r="59" spans="1:23" x14ac:dyDescent="0.25">
      <c r="A59" s="12">
        <v>4</v>
      </c>
      <c r="B59" s="12" t="s">
        <v>661</v>
      </c>
      <c r="C59" s="12">
        <v>2</v>
      </c>
      <c r="D59" s="12">
        <v>2</v>
      </c>
      <c r="E59" s="12">
        <v>4</v>
      </c>
      <c r="F59" s="12">
        <v>0</v>
      </c>
      <c r="G59" s="12">
        <v>0</v>
      </c>
      <c r="H59" s="12">
        <v>0</v>
      </c>
      <c r="I59" s="12">
        <v>0</v>
      </c>
      <c r="J59">
        <f t="shared" si="5"/>
        <v>4</v>
      </c>
      <c r="K59" s="12">
        <v>7</v>
      </c>
      <c r="L59" s="12">
        <v>2</v>
      </c>
      <c r="M59">
        <f t="shared" si="6"/>
        <v>9</v>
      </c>
      <c r="N59" s="12">
        <v>4</v>
      </c>
      <c r="O59" s="12">
        <v>1</v>
      </c>
      <c r="P59" s="12">
        <v>3</v>
      </c>
      <c r="Q59" s="12">
        <v>0</v>
      </c>
      <c r="R59" s="12">
        <v>0</v>
      </c>
      <c r="S59">
        <v>0</v>
      </c>
      <c r="T59" s="12">
        <v>36</v>
      </c>
      <c r="U59" s="12" t="s">
        <v>52</v>
      </c>
      <c r="W59" s="10" t="str">
        <f t="shared" si="2"/>
        <v>&lt;tr&gt;&lt;td&gt;Pam Stoyko&lt;/td&gt;&lt;td&gt;REC&lt;/td&gt;&lt;td&gt;2&lt;/td&gt;&lt;td&gt;4&lt;/td&gt;&lt;td&gt;2.000&lt;/td&gt;&lt;td&gt;2&lt;/td&gt;&lt;td&gt;4&lt;/td&gt;&lt;td&gt;0.500&lt;/td&gt;&lt;td&gt;0&lt;/td&gt;&lt;td&gt;0&lt;/td&gt;&lt;td&gt;0.000&lt;/td&gt;&lt;td&gt;0&lt;/td&gt;&lt;td&gt;0&lt;/td&gt;&lt;td&gt;0.000&lt;/td&gt;&lt;td&gt;7&lt;/td&gt;&lt;td&gt;2&lt;/td&gt;&lt;td&gt;9&lt;/td&gt;&lt;td&gt;4.500&lt;/td&gt;&lt;td&gt;1&lt;/td&gt;&lt;td&gt;0.500&lt;/td&gt;&lt;td&gt;0&lt;/td&gt;&lt;td&gt;0.000&lt;/td&gt;&lt;td&gt;0&lt;/td&gt;&lt;td&gt;0.000&lt;/td&gt;&lt;/tr&gt;</v>
      </c>
    </row>
    <row r="60" spans="1:23" x14ac:dyDescent="0.25">
      <c r="A60" s="12">
        <v>2</v>
      </c>
      <c r="B60" s="12" t="s">
        <v>631</v>
      </c>
      <c r="C60" s="12">
        <v>3</v>
      </c>
      <c r="D60" s="12">
        <v>2</v>
      </c>
      <c r="E60" s="12">
        <v>11</v>
      </c>
      <c r="F60" s="12">
        <v>0</v>
      </c>
      <c r="G60" s="12">
        <v>2</v>
      </c>
      <c r="H60" s="12">
        <v>0</v>
      </c>
      <c r="I60" s="12">
        <v>0</v>
      </c>
      <c r="J60">
        <f t="shared" si="5"/>
        <v>4</v>
      </c>
      <c r="K60" s="12">
        <v>3</v>
      </c>
      <c r="L60" s="12">
        <v>1</v>
      </c>
      <c r="M60">
        <f t="shared" si="6"/>
        <v>4</v>
      </c>
      <c r="N60" s="12">
        <v>3</v>
      </c>
      <c r="O60" s="12">
        <v>0</v>
      </c>
      <c r="P60" s="12">
        <v>9</v>
      </c>
      <c r="Q60" s="12">
        <v>0</v>
      </c>
      <c r="R60" s="12">
        <v>4</v>
      </c>
      <c r="S60">
        <v>0</v>
      </c>
      <c r="T60" s="12">
        <v>28</v>
      </c>
      <c r="U60" s="12" t="s">
        <v>100</v>
      </c>
      <c r="W60" s="10" t="str">
        <f t="shared" si="2"/>
        <v>&lt;tr&gt;&lt;td&gt;Erin Clarke&lt;/td&gt;&lt;td&gt;CPRS&lt;/td&gt;&lt;td&gt;3&lt;/td&gt;&lt;td&gt;4&lt;/td&gt;&lt;td&gt;1.333&lt;/td&gt;&lt;td&gt;2&lt;/td&gt;&lt;td&gt;11&lt;/td&gt;&lt;td&gt;0.182&lt;/td&gt;&lt;td&gt;0&lt;/td&gt;&lt;td&gt;2&lt;/td&gt;&lt;td&gt;0.000&lt;/td&gt;&lt;td&gt;0&lt;/td&gt;&lt;td&gt;0&lt;/td&gt;&lt;td&gt;0.000&lt;/td&gt;&lt;td&gt;3&lt;/td&gt;&lt;td&gt;1&lt;/td&gt;&lt;td&gt;4&lt;/td&gt;&lt;td&gt;1.333&lt;/td&gt;&lt;td&gt;0&lt;/td&gt;&lt;td&gt;0.000&lt;/td&gt;&lt;td&gt;4&lt;/td&gt;&lt;td&gt;1.333&lt;/td&gt;&lt;td&gt;0&lt;/td&gt;&lt;td&gt;0.000&lt;/td&gt;&lt;/tr&gt;</v>
      </c>
    </row>
    <row r="61" spans="1:23" x14ac:dyDescent="0.25">
      <c r="A61" s="12">
        <v>7</v>
      </c>
      <c r="B61" s="12" t="s">
        <v>598</v>
      </c>
      <c r="C61" s="12">
        <v>2</v>
      </c>
      <c r="D61" s="12">
        <v>1</v>
      </c>
      <c r="E61" s="12">
        <v>9</v>
      </c>
      <c r="F61" s="12">
        <v>0</v>
      </c>
      <c r="G61" s="12">
        <v>0</v>
      </c>
      <c r="H61" s="12">
        <v>2</v>
      </c>
      <c r="I61" s="12">
        <v>2</v>
      </c>
      <c r="J61">
        <f t="shared" si="5"/>
        <v>4</v>
      </c>
      <c r="K61" s="12">
        <v>4</v>
      </c>
      <c r="L61" s="12">
        <v>0</v>
      </c>
      <c r="M61">
        <f t="shared" si="6"/>
        <v>4</v>
      </c>
      <c r="N61" s="12">
        <v>3</v>
      </c>
      <c r="O61" s="12">
        <v>0</v>
      </c>
      <c r="P61" s="12">
        <v>2</v>
      </c>
      <c r="Q61" s="12">
        <v>0</v>
      </c>
      <c r="R61" s="12">
        <v>4</v>
      </c>
      <c r="S61">
        <v>0</v>
      </c>
      <c r="T61" s="12">
        <v>28</v>
      </c>
      <c r="U61" s="12" t="s">
        <v>98</v>
      </c>
      <c r="W61" s="10" t="str">
        <f t="shared" si="2"/>
        <v>&lt;tr&gt;&lt;td&gt;Sarah Herms&lt;/td&gt;&lt;td&gt;WWC&lt;/td&gt;&lt;td&gt;2&lt;/td&gt;&lt;td&gt;4&lt;/td&gt;&lt;td&gt;2.000&lt;/td&gt;&lt;td&gt;1&lt;/td&gt;&lt;td&gt;9&lt;/td&gt;&lt;td&gt;0.111&lt;/td&gt;&lt;td&gt;0&lt;/td&gt;&lt;td&gt;0&lt;/td&gt;&lt;td&gt;0.000&lt;/td&gt;&lt;td&gt;2&lt;/td&gt;&lt;td&gt;2&lt;/td&gt;&lt;td&gt;1.000&lt;/td&gt;&lt;td&gt;4&lt;/td&gt;&lt;td&gt;0&lt;/td&gt;&lt;td&gt;4&lt;/td&gt;&lt;td&gt;2.000&lt;/td&gt;&lt;td&gt;0&lt;/td&gt;&lt;td&gt;0.000&lt;/td&gt;&lt;td&gt;4&lt;/td&gt;&lt;td&gt;2.000&lt;/td&gt;&lt;td&gt;0&lt;/td&gt;&lt;td&gt;0.000&lt;/td&gt;&lt;/tr&gt;</v>
      </c>
    </row>
    <row r="62" spans="1:23" x14ac:dyDescent="0.25">
      <c r="A62" s="12">
        <v>23</v>
      </c>
      <c r="B62" s="12" t="s">
        <v>660</v>
      </c>
      <c r="C62" s="12">
        <v>2</v>
      </c>
      <c r="D62" s="12">
        <v>2</v>
      </c>
      <c r="E62" s="12">
        <v>4</v>
      </c>
      <c r="F62" s="12">
        <v>0</v>
      </c>
      <c r="G62" s="12">
        <v>0</v>
      </c>
      <c r="H62" s="12">
        <v>0</v>
      </c>
      <c r="I62" s="12">
        <v>2</v>
      </c>
      <c r="J62">
        <f t="shared" si="5"/>
        <v>4</v>
      </c>
      <c r="K62" s="12">
        <v>6</v>
      </c>
      <c r="L62" s="12">
        <v>4</v>
      </c>
      <c r="M62">
        <f t="shared" si="6"/>
        <v>10</v>
      </c>
      <c r="N62" s="12">
        <v>0</v>
      </c>
      <c r="O62" s="12">
        <v>0</v>
      </c>
      <c r="P62" s="12">
        <v>1</v>
      </c>
      <c r="Q62" s="12">
        <v>2</v>
      </c>
      <c r="R62" s="12">
        <v>0</v>
      </c>
      <c r="S62">
        <v>0</v>
      </c>
      <c r="T62" s="12">
        <v>23</v>
      </c>
      <c r="U62" s="12" t="s">
        <v>70</v>
      </c>
      <c r="W62" s="10" t="str">
        <f t="shared" si="2"/>
        <v>&lt;tr&gt;&lt;td&gt;Madison McCall&lt;/td&gt;&lt;td&gt;JTC&lt;/td&gt;&lt;td&gt;2&lt;/td&gt;&lt;td&gt;4&lt;/td&gt;&lt;td&gt;2.000&lt;/td&gt;&lt;td&gt;2&lt;/td&gt;&lt;td&gt;4&lt;/td&gt;&lt;td&gt;0.500&lt;/td&gt;&lt;td&gt;0&lt;/td&gt;&lt;td&gt;0&lt;/td&gt;&lt;td&gt;0.000&lt;/td&gt;&lt;td&gt;0&lt;/td&gt;&lt;td&gt;2&lt;/td&gt;&lt;td&gt;0.000&lt;/td&gt;&lt;td&gt;6&lt;/td&gt;&lt;td&gt;4&lt;/td&gt;&lt;td&gt;10&lt;/td&gt;&lt;td&gt;5.000&lt;/td&gt;&lt;td&gt;0&lt;/td&gt;&lt;td&gt;0.000&lt;/td&gt;&lt;td&gt;0&lt;/td&gt;&lt;td&gt;0.000&lt;/td&gt;&lt;td&gt;2&lt;/td&gt;&lt;td&gt;1.000&lt;/td&gt;&lt;/tr&gt;</v>
      </c>
    </row>
    <row r="63" spans="1:23" x14ac:dyDescent="0.25">
      <c r="A63" s="12">
        <v>2</v>
      </c>
      <c r="B63" s="12" t="s">
        <v>607</v>
      </c>
      <c r="C63" s="12">
        <v>3</v>
      </c>
      <c r="D63" s="12">
        <v>1</v>
      </c>
      <c r="E63" s="12">
        <v>5</v>
      </c>
      <c r="F63" s="12">
        <v>0</v>
      </c>
      <c r="G63" s="12">
        <v>0</v>
      </c>
      <c r="H63" s="12">
        <v>2</v>
      </c>
      <c r="I63" s="12">
        <v>6</v>
      </c>
      <c r="J63">
        <f t="shared" si="5"/>
        <v>4</v>
      </c>
      <c r="K63" s="12">
        <v>4</v>
      </c>
      <c r="L63" s="12">
        <v>3</v>
      </c>
      <c r="M63">
        <f t="shared" si="6"/>
        <v>7</v>
      </c>
      <c r="N63" s="12">
        <v>3</v>
      </c>
      <c r="O63" s="12">
        <v>0</v>
      </c>
      <c r="P63" s="12">
        <v>4</v>
      </c>
      <c r="Q63" s="12">
        <v>0</v>
      </c>
      <c r="R63" s="12">
        <v>3</v>
      </c>
      <c r="S63">
        <v>0</v>
      </c>
      <c r="T63" s="12">
        <v>22</v>
      </c>
      <c r="U63" s="12" t="s">
        <v>82</v>
      </c>
      <c r="W63" s="10" t="str">
        <f t="shared" si="2"/>
        <v>&lt;tr&gt;&lt;td&gt;Jada Gibbs&lt;/td&gt;&lt;td&gt;DMCI&lt;/td&gt;&lt;td&gt;3&lt;/td&gt;&lt;td&gt;4&lt;/td&gt;&lt;td&gt;1.333&lt;/td&gt;&lt;td&gt;1&lt;/td&gt;&lt;td&gt;5&lt;/td&gt;&lt;td&gt;0.200&lt;/td&gt;&lt;td&gt;0&lt;/td&gt;&lt;td&gt;0&lt;/td&gt;&lt;td&gt;0.000&lt;/td&gt;&lt;td&gt;2&lt;/td&gt;&lt;td&gt;6&lt;/td&gt;&lt;td&gt;0.333&lt;/td&gt;&lt;td&gt;4&lt;/td&gt;&lt;td&gt;3&lt;/td&gt;&lt;td&gt;7&lt;/td&gt;&lt;td&gt;2.333&lt;/td&gt;&lt;td&gt;0&lt;/td&gt;&lt;td&gt;0.000&lt;/td&gt;&lt;td&gt;3&lt;/td&gt;&lt;td&gt;1.000&lt;/td&gt;&lt;td&gt;0&lt;/td&gt;&lt;td&gt;0.000&lt;/td&gt;&lt;/tr&gt;</v>
      </c>
    </row>
    <row r="64" spans="1:23" x14ac:dyDescent="0.25">
      <c r="A64" s="12">
        <v>6</v>
      </c>
      <c r="B64" s="12" t="s">
        <v>635</v>
      </c>
      <c r="C64" s="12">
        <v>2</v>
      </c>
      <c r="D64" s="12">
        <v>2</v>
      </c>
      <c r="E64" s="12">
        <v>4</v>
      </c>
      <c r="F64" s="12">
        <v>0</v>
      </c>
      <c r="G64" s="12">
        <v>0</v>
      </c>
      <c r="H64" s="12">
        <v>0</v>
      </c>
      <c r="I64" s="12">
        <v>0</v>
      </c>
      <c r="J64">
        <f t="shared" si="5"/>
        <v>4</v>
      </c>
      <c r="K64" s="12">
        <v>1</v>
      </c>
      <c r="L64" s="12">
        <v>2</v>
      </c>
      <c r="M64">
        <f t="shared" si="6"/>
        <v>3</v>
      </c>
      <c r="N64" s="12">
        <v>2</v>
      </c>
      <c r="O64" s="12">
        <v>0</v>
      </c>
      <c r="P64" s="12">
        <v>4</v>
      </c>
      <c r="Q64" s="12">
        <v>0</v>
      </c>
      <c r="R64" s="12">
        <v>3</v>
      </c>
      <c r="S64">
        <v>0</v>
      </c>
      <c r="T64" s="12">
        <v>17</v>
      </c>
      <c r="U64" s="12" t="s">
        <v>100</v>
      </c>
      <c r="W64" s="10" t="str">
        <f t="shared" si="2"/>
        <v>&lt;tr&gt;&lt;td&gt;Alyssa Norman&lt;/td&gt;&lt;td&gt;CPRS&lt;/td&gt;&lt;td&gt;2&lt;/td&gt;&lt;td&gt;4&lt;/td&gt;&lt;td&gt;2.000&lt;/td&gt;&lt;td&gt;2&lt;/td&gt;&lt;td&gt;4&lt;/td&gt;&lt;td&gt;0.500&lt;/td&gt;&lt;td&gt;0&lt;/td&gt;&lt;td&gt;0&lt;/td&gt;&lt;td&gt;0.000&lt;/td&gt;&lt;td&gt;0&lt;/td&gt;&lt;td&gt;0&lt;/td&gt;&lt;td&gt;0.000&lt;/td&gt;&lt;td&gt;1&lt;/td&gt;&lt;td&gt;2&lt;/td&gt;&lt;td&gt;3&lt;/td&gt;&lt;td&gt;1.500&lt;/td&gt;&lt;td&gt;0&lt;/td&gt;&lt;td&gt;0.000&lt;/td&gt;&lt;td&gt;3&lt;/td&gt;&lt;td&gt;1.500&lt;/td&gt;&lt;td&gt;0&lt;/td&gt;&lt;td&gt;0.000&lt;/td&gt;&lt;/tr&gt;</v>
      </c>
    </row>
    <row r="65" spans="1:23" x14ac:dyDescent="0.25">
      <c r="A65" s="12">
        <v>1</v>
      </c>
      <c r="B65" s="12" t="s">
        <v>606</v>
      </c>
      <c r="C65" s="12">
        <v>3</v>
      </c>
      <c r="D65" s="12">
        <v>1</v>
      </c>
      <c r="E65" s="12">
        <v>5</v>
      </c>
      <c r="F65" s="12">
        <v>0</v>
      </c>
      <c r="G65" s="12">
        <v>0</v>
      </c>
      <c r="H65" s="12">
        <v>1</v>
      </c>
      <c r="I65" s="12">
        <v>6</v>
      </c>
      <c r="J65">
        <f t="shared" si="5"/>
        <v>3</v>
      </c>
      <c r="K65" s="12">
        <v>3</v>
      </c>
      <c r="L65" s="12">
        <v>3</v>
      </c>
      <c r="M65">
        <f t="shared" si="6"/>
        <v>6</v>
      </c>
      <c r="N65" s="12">
        <v>0</v>
      </c>
      <c r="O65" s="12">
        <v>0</v>
      </c>
      <c r="P65" s="12">
        <v>3</v>
      </c>
      <c r="Q65" s="12">
        <v>0</v>
      </c>
      <c r="R65" s="12">
        <v>3</v>
      </c>
      <c r="S65">
        <v>0</v>
      </c>
      <c r="T65" s="12">
        <v>38</v>
      </c>
      <c r="U65" s="12" t="s">
        <v>82</v>
      </c>
      <c r="W65" s="10" t="str">
        <f t="shared" si="2"/>
        <v>&lt;tr&gt;&lt;td&gt;Denice Linag&lt;/td&gt;&lt;td&gt;DMCI&lt;/td&gt;&lt;td&gt;3&lt;/td&gt;&lt;td&gt;3&lt;/td&gt;&lt;td&gt;1.000&lt;/td&gt;&lt;td&gt;1&lt;/td&gt;&lt;td&gt;5&lt;/td&gt;&lt;td&gt;0.200&lt;/td&gt;&lt;td&gt;0&lt;/td&gt;&lt;td&gt;0&lt;/td&gt;&lt;td&gt;0.000&lt;/td&gt;&lt;td&gt;1&lt;/td&gt;&lt;td&gt;6&lt;/td&gt;&lt;td&gt;0.167&lt;/td&gt;&lt;td&gt;3&lt;/td&gt;&lt;td&gt;3&lt;/td&gt;&lt;td&gt;6&lt;/td&gt;&lt;td&gt;2.000&lt;/td&gt;&lt;td&gt;0&lt;/td&gt;&lt;td&gt;0.000&lt;/td&gt;&lt;td&gt;3&lt;/td&gt;&lt;td&gt;1.000&lt;/td&gt;&lt;td&gt;0&lt;/td&gt;&lt;td&gt;0.000&lt;/td&gt;&lt;/tr&gt;</v>
      </c>
    </row>
    <row r="66" spans="1:23" x14ac:dyDescent="0.25">
      <c r="A66" s="12">
        <v>8</v>
      </c>
      <c r="B66" s="12" t="s">
        <v>613</v>
      </c>
      <c r="C66" s="12">
        <v>2</v>
      </c>
      <c r="D66" s="12">
        <v>1</v>
      </c>
      <c r="E66" s="12">
        <v>1</v>
      </c>
      <c r="F66" s="12">
        <v>0</v>
      </c>
      <c r="G66" s="12">
        <v>0</v>
      </c>
      <c r="H66" s="12">
        <v>1</v>
      </c>
      <c r="I66" s="12">
        <v>2</v>
      </c>
      <c r="J66">
        <f t="shared" ref="J66:J85" si="7">D66*2+F66+H66</f>
        <v>3</v>
      </c>
      <c r="K66" s="12">
        <v>1</v>
      </c>
      <c r="L66" s="12">
        <v>1</v>
      </c>
      <c r="M66">
        <f t="shared" ref="M66:M85" si="8">K66+L66</f>
        <v>2</v>
      </c>
      <c r="N66" s="12">
        <v>2</v>
      </c>
      <c r="O66" s="12">
        <v>0</v>
      </c>
      <c r="P66" s="12">
        <v>0</v>
      </c>
      <c r="Q66" s="12">
        <v>0</v>
      </c>
      <c r="R66" s="12">
        <v>0</v>
      </c>
      <c r="S66">
        <v>0</v>
      </c>
      <c r="T66" s="12">
        <v>10</v>
      </c>
      <c r="U66" s="12" t="s">
        <v>82</v>
      </c>
      <c r="W66" s="10" t="str">
        <f t="shared" si="2"/>
        <v>&lt;tr&gt;&lt;td&gt;Angela Tabion&lt;/td&gt;&lt;td&gt;DMCI&lt;/td&gt;&lt;td&gt;2&lt;/td&gt;&lt;td&gt;3&lt;/td&gt;&lt;td&gt;1.500&lt;/td&gt;&lt;td&gt;1&lt;/td&gt;&lt;td&gt;1&lt;/td&gt;&lt;td&gt;1.000&lt;/td&gt;&lt;td&gt;0&lt;/td&gt;&lt;td&gt;0&lt;/td&gt;&lt;td&gt;0.000&lt;/td&gt;&lt;td&gt;1&lt;/td&gt;&lt;td&gt;2&lt;/td&gt;&lt;td&gt;0.500&lt;/td&gt;&lt;td&gt;1&lt;/td&gt;&lt;td&gt;1&lt;/td&gt;&lt;td&gt;2&lt;/td&gt;&lt;td&gt;1.000&lt;/td&gt;&lt;td&gt;0&lt;/td&gt;&lt;td&gt;0.000&lt;/td&gt;&lt;td&gt;0&lt;/td&gt;&lt;td&gt;0.000&lt;/td&gt;&lt;td&gt;0&lt;/td&gt;&lt;td&gt;0.000&lt;/td&gt;&lt;/tr&gt;</v>
      </c>
    </row>
    <row r="67" spans="1:23" x14ac:dyDescent="0.25">
      <c r="A67" s="12">
        <v>42</v>
      </c>
      <c r="B67" s="12" t="s">
        <v>668</v>
      </c>
      <c r="C67" s="12">
        <v>3</v>
      </c>
      <c r="D67" s="12">
        <v>1</v>
      </c>
      <c r="E67" s="12">
        <v>5</v>
      </c>
      <c r="F67" s="12">
        <v>0</v>
      </c>
      <c r="G67" s="12">
        <v>0</v>
      </c>
      <c r="H67" s="12">
        <v>0</v>
      </c>
      <c r="I67" s="12">
        <v>0</v>
      </c>
      <c r="J67">
        <f t="shared" si="7"/>
        <v>2</v>
      </c>
      <c r="K67" s="12">
        <v>2</v>
      </c>
      <c r="L67" s="12">
        <v>11</v>
      </c>
      <c r="M67">
        <f t="shared" si="8"/>
        <v>13</v>
      </c>
      <c r="N67" s="12">
        <v>2</v>
      </c>
      <c r="O67" s="12">
        <v>0</v>
      </c>
      <c r="P67" s="12">
        <v>4</v>
      </c>
      <c r="Q67" s="12">
        <v>0</v>
      </c>
      <c r="R67" s="12">
        <v>2</v>
      </c>
      <c r="S67">
        <v>0</v>
      </c>
      <c r="T67" s="12">
        <v>51</v>
      </c>
      <c r="U67" s="12" t="s">
        <v>52</v>
      </c>
      <c r="W67" s="10" t="str">
        <f t="shared" si="2"/>
        <v>&lt;tr&gt;&lt;td&gt;Leoni Byblow&lt;/td&gt;&lt;td&gt;REC&lt;/td&gt;&lt;td&gt;3&lt;/td&gt;&lt;td&gt;2&lt;/td&gt;&lt;td&gt;0.667&lt;/td&gt;&lt;td&gt;1&lt;/td&gt;&lt;td&gt;5&lt;/td&gt;&lt;td&gt;0.200&lt;/td&gt;&lt;td&gt;0&lt;/td&gt;&lt;td&gt;0&lt;/td&gt;&lt;td&gt;0.000&lt;/td&gt;&lt;td&gt;0&lt;/td&gt;&lt;td&gt;0&lt;/td&gt;&lt;td&gt;0.000&lt;/td&gt;&lt;td&gt;2&lt;/td&gt;&lt;td&gt;11&lt;/td&gt;&lt;td&gt;13&lt;/td&gt;&lt;td&gt;4.333&lt;/td&gt;&lt;td&gt;0&lt;/td&gt;&lt;td&gt;0.000&lt;/td&gt;&lt;td&gt;2&lt;/td&gt;&lt;td&gt;0.667&lt;/td&gt;&lt;td&gt;0&lt;/td&gt;&lt;td&gt;0.000&lt;/td&gt;&lt;/tr&gt;</v>
      </c>
    </row>
    <row r="68" spans="1:23" x14ac:dyDescent="0.25">
      <c r="A68" s="12">
        <v>8</v>
      </c>
      <c r="B68" s="12" t="s">
        <v>637</v>
      </c>
      <c r="C68" s="12">
        <v>3</v>
      </c>
      <c r="D68" s="12">
        <v>1</v>
      </c>
      <c r="E68" s="12">
        <v>10</v>
      </c>
      <c r="F68" s="12">
        <v>0</v>
      </c>
      <c r="G68" s="12">
        <v>0</v>
      </c>
      <c r="H68" s="12">
        <v>0</v>
      </c>
      <c r="I68" s="12">
        <v>4</v>
      </c>
      <c r="J68">
        <f t="shared" si="7"/>
        <v>2</v>
      </c>
      <c r="K68" s="12">
        <v>4</v>
      </c>
      <c r="L68" s="12">
        <v>1</v>
      </c>
      <c r="M68">
        <f t="shared" si="8"/>
        <v>5</v>
      </c>
      <c r="N68" s="12">
        <v>3</v>
      </c>
      <c r="O68" s="12">
        <v>2</v>
      </c>
      <c r="P68" s="12">
        <v>9</v>
      </c>
      <c r="Q68" s="12">
        <v>0</v>
      </c>
      <c r="R68" s="12">
        <v>7</v>
      </c>
      <c r="S68">
        <v>0</v>
      </c>
      <c r="T68" s="12">
        <v>42</v>
      </c>
      <c r="U68" s="12" t="s">
        <v>100</v>
      </c>
      <c r="W68" s="10" t="str">
        <f t="shared" si="2"/>
        <v>&lt;tr&gt;&lt;td&gt;Destiny Maluga&lt;/td&gt;&lt;td&gt;CPRS&lt;/td&gt;&lt;td&gt;3&lt;/td&gt;&lt;td&gt;2&lt;/td&gt;&lt;td&gt;0.667&lt;/td&gt;&lt;td&gt;1&lt;/td&gt;&lt;td&gt;10&lt;/td&gt;&lt;td&gt;0.100&lt;/td&gt;&lt;td&gt;0&lt;/td&gt;&lt;td&gt;0&lt;/td&gt;&lt;td&gt;0.000&lt;/td&gt;&lt;td&gt;0&lt;/td&gt;&lt;td&gt;4&lt;/td&gt;&lt;td&gt;0.000&lt;/td&gt;&lt;td&gt;4&lt;/td&gt;&lt;td&gt;1&lt;/td&gt;&lt;td&gt;5&lt;/td&gt;&lt;td&gt;1.667&lt;/td&gt;&lt;td&gt;2&lt;/td&gt;&lt;td&gt;0.667&lt;/td&gt;&lt;td&gt;7&lt;/td&gt;&lt;td&gt;2.333&lt;/td&gt;&lt;td&gt;0&lt;/td&gt;&lt;td&gt;0.000&lt;/td&gt;&lt;/tr&gt;</v>
      </c>
    </row>
    <row r="69" spans="1:23" x14ac:dyDescent="0.25">
      <c r="A69" s="12">
        <v>11</v>
      </c>
      <c r="B69" s="12" t="s">
        <v>593</v>
      </c>
      <c r="C69" s="12">
        <v>2</v>
      </c>
      <c r="D69" s="12">
        <v>1</v>
      </c>
      <c r="E69" s="12">
        <v>12</v>
      </c>
      <c r="F69" s="12">
        <v>0</v>
      </c>
      <c r="G69" s="12">
        <v>8</v>
      </c>
      <c r="H69" s="12">
        <v>0</v>
      </c>
      <c r="I69" s="12">
        <v>0</v>
      </c>
      <c r="J69">
        <f t="shared" si="7"/>
        <v>2</v>
      </c>
      <c r="K69" s="12">
        <v>1</v>
      </c>
      <c r="L69" s="12">
        <v>6</v>
      </c>
      <c r="M69">
        <f t="shared" si="8"/>
        <v>7</v>
      </c>
      <c r="N69" s="12">
        <v>3</v>
      </c>
      <c r="O69" s="12">
        <v>1</v>
      </c>
      <c r="P69" s="12">
        <v>6</v>
      </c>
      <c r="Q69" s="12">
        <v>0</v>
      </c>
      <c r="R69" s="12">
        <v>0</v>
      </c>
      <c r="S69">
        <v>0</v>
      </c>
      <c r="T69" s="12">
        <v>42</v>
      </c>
      <c r="U69" s="12" t="s">
        <v>74</v>
      </c>
      <c r="W69" s="10" t="str">
        <f t="shared" si="2"/>
        <v>&lt;tr&gt;&lt;td&gt;Abby Wilcoxson&lt;/td&gt;&lt;td&gt;OPHS&lt;/td&gt;&lt;td&gt;2&lt;/td&gt;&lt;td&gt;2&lt;/td&gt;&lt;td&gt;1.000&lt;/td&gt;&lt;td&gt;1&lt;/td&gt;&lt;td&gt;12&lt;/td&gt;&lt;td&gt;0.083&lt;/td&gt;&lt;td&gt;0&lt;/td&gt;&lt;td&gt;8&lt;/td&gt;&lt;td&gt;0.000&lt;/td&gt;&lt;td&gt;0&lt;/td&gt;&lt;td&gt;0&lt;/td&gt;&lt;td&gt;0.000&lt;/td&gt;&lt;td&gt;1&lt;/td&gt;&lt;td&gt;6&lt;/td&gt;&lt;td&gt;7&lt;/td&gt;&lt;td&gt;3.500&lt;/td&gt;&lt;td&gt;1&lt;/td&gt;&lt;td&gt;0.500&lt;/td&gt;&lt;td&gt;0&lt;/td&gt;&lt;td&gt;0.000&lt;/td&gt;&lt;td&gt;0&lt;/td&gt;&lt;td&gt;0.000&lt;/td&gt;&lt;/tr&gt;</v>
      </c>
    </row>
    <row r="70" spans="1:23" x14ac:dyDescent="0.25">
      <c r="A70" s="12">
        <v>6</v>
      </c>
      <c r="B70" s="12" t="s">
        <v>611</v>
      </c>
      <c r="C70" s="12">
        <v>2</v>
      </c>
      <c r="D70" s="12">
        <v>1</v>
      </c>
      <c r="E70" s="12">
        <v>10</v>
      </c>
      <c r="F70" s="12">
        <v>0</v>
      </c>
      <c r="G70" s="12">
        <v>3</v>
      </c>
      <c r="H70" s="12">
        <v>0</v>
      </c>
      <c r="I70" s="12">
        <v>0</v>
      </c>
      <c r="J70">
        <f t="shared" si="7"/>
        <v>2</v>
      </c>
      <c r="K70" s="12">
        <v>1</v>
      </c>
      <c r="L70" s="12">
        <v>2</v>
      </c>
      <c r="M70">
        <f t="shared" si="8"/>
        <v>3</v>
      </c>
      <c r="N70" s="12">
        <v>0</v>
      </c>
      <c r="O70" s="12">
        <v>1</v>
      </c>
      <c r="P70" s="12">
        <v>2</v>
      </c>
      <c r="Q70" s="12">
        <v>0</v>
      </c>
      <c r="R70" s="12">
        <v>0</v>
      </c>
      <c r="S70">
        <v>0</v>
      </c>
      <c r="T70" s="12">
        <v>27</v>
      </c>
      <c r="U70" s="12" t="s">
        <v>82</v>
      </c>
      <c r="W70" s="10" t="str">
        <f t="shared" si="2"/>
        <v>&lt;tr&gt;&lt;td&gt;Sompong Sana&lt;/td&gt;&lt;td&gt;DMCI&lt;/td&gt;&lt;td&gt;2&lt;/td&gt;&lt;td&gt;2&lt;/td&gt;&lt;td&gt;1.000&lt;/td&gt;&lt;td&gt;1&lt;/td&gt;&lt;td&gt;10&lt;/td&gt;&lt;td&gt;0.100&lt;/td&gt;&lt;td&gt;0&lt;/td&gt;&lt;td&gt;3&lt;/td&gt;&lt;td&gt;0.000&lt;/td&gt;&lt;td&gt;0&lt;/td&gt;&lt;td&gt;0&lt;/td&gt;&lt;td&gt;0.000&lt;/td&gt;&lt;td&gt;1&lt;/td&gt;&lt;td&gt;2&lt;/td&gt;&lt;td&gt;3&lt;/td&gt;&lt;td&gt;1.500&lt;/td&gt;&lt;td&gt;1&lt;/td&gt;&lt;td&gt;0.500&lt;/td&gt;&lt;td&gt;0&lt;/td&gt;&lt;td&gt;0.000&lt;/td&gt;&lt;td&gt;0&lt;/td&gt;&lt;td&gt;0.000&lt;/td&gt;&lt;/tr&gt;</v>
      </c>
    </row>
    <row r="71" spans="1:23" x14ac:dyDescent="0.25">
      <c r="A71" s="12">
        <v>14</v>
      </c>
      <c r="B71" s="12" t="s">
        <v>618</v>
      </c>
      <c r="C71" s="12">
        <v>3</v>
      </c>
      <c r="D71" s="12">
        <v>1</v>
      </c>
      <c r="E71" s="12">
        <v>10</v>
      </c>
      <c r="F71" s="12">
        <v>0</v>
      </c>
      <c r="G71" s="12">
        <v>7</v>
      </c>
      <c r="H71" s="12">
        <v>0</v>
      </c>
      <c r="I71" s="12">
        <v>0</v>
      </c>
      <c r="J71">
        <f t="shared" si="7"/>
        <v>2</v>
      </c>
      <c r="K71" s="12">
        <v>1</v>
      </c>
      <c r="L71" s="12">
        <v>2</v>
      </c>
      <c r="M71">
        <f t="shared" si="8"/>
        <v>3</v>
      </c>
      <c r="N71" s="12">
        <v>4</v>
      </c>
      <c r="O71" s="12">
        <v>0</v>
      </c>
      <c r="P71" s="12">
        <v>1</v>
      </c>
      <c r="Q71" s="12">
        <v>1</v>
      </c>
      <c r="R71" s="12">
        <v>2</v>
      </c>
      <c r="S71">
        <v>0</v>
      </c>
      <c r="T71" s="12">
        <v>23</v>
      </c>
      <c r="U71" s="12" t="s">
        <v>82</v>
      </c>
      <c r="W71" s="10" t="str">
        <f t="shared" si="2"/>
        <v>&lt;tr&gt;&lt;td&gt;Kim Miniano&lt;/td&gt;&lt;td&gt;DMCI&lt;/td&gt;&lt;td&gt;3&lt;/td&gt;&lt;td&gt;2&lt;/td&gt;&lt;td&gt;0.667&lt;/td&gt;&lt;td&gt;1&lt;/td&gt;&lt;td&gt;10&lt;/td&gt;&lt;td&gt;0.100&lt;/td&gt;&lt;td&gt;0&lt;/td&gt;&lt;td&gt;7&lt;/td&gt;&lt;td&gt;0.000&lt;/td&gt;&lt;td&gt;0&lt;/td&gt;&lt;td&gt;0&lt;/td&gt;&lt;td&gt;0.000&lt;/td&gt;&lt;td&gt;1&lt;/td&gt;&lt;td&gt;2&lt;/td&gt;&lt;td&gt;3&lt;/td&gt;&lt;td&gt;1.000&lt;/td&gt;&lt;td&gt;0&lt;/td&gt;&lt;td&gt;0.000&lt;/td&gt;&lt;td&gt;2&lt;/td&gt;&lt;td&gt;0.667&lt;/td&gt;&lt;td&gt;1&lt;/td&gt;&lt;td&gt;0.333&lt;/td&gt;&lt;/tr&gt;</v>
      </c>
    </row>
    <row r="72" spans="1:23" x14ac:dyDescent="0.25">
      <c r="A72" s="12">
        <v>12</v>
      </c>
      <c r="B72" s="12" t="s">
        <v>602</v>
      </c>
      <c r="C72" s="12">
        <v>2</v>
      </c>
      <c r="D72" s="12">
        <v>1</v>
      </c>
      <c r="E72" s="12">
        <v>3</v>
      </c>
      <c r="F72" s="12">
        <v>0</v>
      </c>
      <c r="G72" s="12">
        <v>0</v>
      </c>
      <c r="H72" s="12">
        <v>0</v>
      </c>
      <c r="I72" s="12">
        <v>0</v>
      </c>
      <c r="J72">
        <f t="shared" si="7"/>
        <v>2</v>
      </c>
      <c r="K72" s="12">
        <v>0</v>
      </c>
      <c r="L72" s="12">
        <v>0</v>
      </c>
      <c r="M72">
        <f t="shared" si="8"/>
        <v>0</v>
      </c>
      <c r="N72" s="12">
        <v>1</v>
      </c>
      <c r="O72" s="12">
        <v>0</v>
      </c>
      <c r="P72" s="12">
        <v>2</v>
      </c>
      <c r="Q72" s="12">
        <v>0</v>
      </c>
      <c r="R72" s="12">
        <v>0</v>
      </c>
      <c r="S72">
        <v>0</v>
      </c>
      <c r="T72" s="12">
        <v>22</v>
      </c>
      <c r="U72" s="12" t="s">
        <v>98</v>
      </c>
      <c r="W72" s="10" t="str">
        <f t="shared" si="2"/>
        <v>&lt;tr&gt;&lt;td&gt;Brynn Todd&lt;/td&gt;&lt;td&gt;WWC&lt;/td&gt;&lt;td&gt;2&lt;/td&gt;&lt;td&gt;2&lt;/td&gt;&lt;td&gt;1.000&lt;/td&gt;&lt;td&gt;1&lt;/td&gt;&lt;td&gt;3&lt;/td&gt;&lt;td&gt;0.333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73" spans="1:23" x14ac:dyDescent="0.25">
      <c r="A73" s="12">
        <v>6</v>
      </c>
      <c r="B73" s="12" t="s">
        <v>621</v>
      </c>
      <c r="C73" s="12">
        <v>1</v>
      </c>
      <c r="D73" s="12">
        <v>1</v>
      </c>
      <c r="E73" s="12">
        <v>5</v>
      </c>
      <c r="F73" s="12">
        <v>0</v>
      </c>
      <c r="G73" s="12">
        <v>1</v>
      </c>
      <c r="H73" s="12">
        <v>0</v>
      </c>
      <c r="I73" s="12">
        <v>0</v>
      </c>
      <c r="J73">
        <f t="shared" si="7"/>
        <v>2</v>
      </c>
      <c r="K73" s="12">
        <v>0</v>
      </c>
      <c r="L73" s="12">
        <v>1</v>
      </c>
      <c r="M73">
        <f t="shared" si="8"/>
        <v>1</v>
      </c>
      <c r="N73" s="12">
        <v>0</v>
      </c>
      <c r="O73" s="12">
        <v>0</v>
      </c>
      <c r="P73" s="12">
        <v>1</v>
      </c>
      <c r="Q73" s="12">
        <v>0</v>
      </c>
      <c r="R73" s="12">
        <v>0</v>
      </c>
      <c r="S73">
        <v>0</v>
      </c>
      <c r="T73" s="12">
        <v>12</v>
      </c>
      <c r="U73" s="12" t="s">
        <v>60</v>
      </c>
      <c r="W73" s="10" t="str">
        <f t="shared" si="2"/>
        <v>&lt;tr&gt;&lt;td&gt;Haley White&lt;/td&gt;&lt;td&gt;DCI&lt;/td&gt;&lt;td&gt;1&lt;/td&gt;&lt;td&gt;2&lt;/td&gt;&lt;td&gt;2.000&lt;/td&gt;&lt;td&gt;1&lt;/td&gt;&lt;td&gt;5&lt;/td&gt;&lt;td&gt;0.200&lt;/td&gt;&lt;td&gt;0&lt;/td&gt;&lt;td&gt;1&lt;/td&gt;&lt;td&gt;0.000&lt;/td&gt;&lt;td&gt;0&lt;/td&gt;&lt;td&gt;0&lt;/td&gt;&lt;td&gt;0.000&lt;/td&gt;&lt;td&gt;0&lt;/td&gt;&lt;td&gt;1&lt;/td&gt;&lt;td&gt;1&lt;/td&gt;&lt;td&gt;1.000&lt;/td&gt;&lt;td&gt;0&lt;/td&gt;&lt;td&gt;0.000&lt;/td&gt;&lt;td&gt;0&lt;/td&gt;&lt;td&gt;0.000&lt;/td&gt;&lt;td&gt;0&lt;/td&gt;&lt;td&gt;0.000&lt;/td&gt;&lt;/tr&gt;</v>
      </c>
    </row>
    <row r="74" spans="1:23" x14ac:dyDescent="0.25">
      <c r="A74" s="12">
        <v>5</v>
      </c>
      <c r="B74" s="12" t="s">
        <v>610</v>
      </c>
      <c r="C74" s="12">
        <v>1</v>
      </c>
      <c r="D74" s="12">
        <v>0</v>
      </c>
      <c r="E74" s="12">
        <v>3</v>
      </c>
      <c r="F74" s="12">
        <v>0</v>
      </c>
      <c r="G74" s="12">
        <v>2</v>
      </c>
      <c r="H74" s="12">
        <v>2</v>
      </c>
      <c r="I74" s="12">
        <v>2</v>
      </c>
      <c r="J74">
        <f t="shared" si="7"/>
        <v>2</v>
      </c>
      <c r="K74" s="12">
        <v>0</v>
      </c>
      <c r="L74" s="12">
        <v>1</v>
      </c>
      <c r="M74">
        <f t="shared" si="8"/>
        <v>1</v>
      </c>
      <c r="N74" s="12">
        <v>1</v>
      </c>
      <c r="O74" s="12">
        <v>0</v>
      </c>
      <c r="P74" s="12">
        <v>2</v>
      </c>
      <c r="Q74" s="12">
        <v>0</v>
      </c>
      <c r="R74" s="12">
        <v>1</v>
      </c>
      <c r="S74">
        <v>0</v>
      </c>
      <c r="T74" s="12">
        <v>12</v>
      </c>
      <c r="U74" s="12" t="s">
        <v>82</v>
      </c>
      <c r="W74" s="10" t="str">
        <f t="shared" si="2"/>
        <v>&lt;tr&gt;&lt;td&gt;Mae Concepcion&lt;/td&gt;&lt;td&gt;DMCI&lt;/td&gt;&lt;td&gt;1&lt;/td&gt;&lt;td&gt;2&lt;/td&gt;&lt;td&gt;2.000&lt;/td&gt;&lt;td&gt;0&lt;/td&gt;&lt;td&gt;3&lt;/td&gt;&lt;td&gt;0.000&lt;/td&gt;&lt;td&gt;0&lt;/td&gt;&lt;td&gt;2&lt;/td&gt;&lt;td&gt;0.000&lt;/td&gt;&lt;td&gt;2&lt;/td&gt;&lt;td&gt;2&lt;/td&gt;&lt;td&gt;1.000&lt;/td&gt;&lt;td&gt;0&lt;/td&gt;&lt;td&gt;1&lt;/td&gt;&lt;td&gt;1&lt;/td&gt;&lt;td&gt;1.000&lt;/td&gt;&lt;td&gt;0&lt;/td&gt;&lt;td&gt;0.000&lt;/td&gt;&lt;td&gt;1&lt;/td&gt;&lt;td&gt;1.000&lt;/td&gt;&lt;td&gt;0&lt;/td&gt;&lt;td&gt;0.000&lt;/td&gt;&lt;/tr&gt;</v>
      </c>
    </row>
    <row r="75" spans="1:23" x14ac:dyDescent="0.25">
      <c r="A75" s="12">
        <v>19</v>
      </c>
      <c r="B75" s="12" t="s">
        <v>650</v>
      </c>
      <c r="C75" s="12">
        <v>2</v>
      </c>
      <c r="D75" s="12">
        <v>0</v>
      </c>
      <c r="E75" s="12">
        <v>7</v>
      </c>
      <c r="F75" s="12">
        <v>0</v>
      </c>
      <c r="G75" s="12">
        <v>2</v>
      </c>
      <c r="H75" s="12">
        <v>1</v>
      </c>
      <c r="I75" s="12">
        <v>2</v>
      </c>
      <c r="J75">
        <f t="shared" si="7"/>
        <v>1</v>
      </c>
      <c r="K75" s="12">
        <v>1</v>
      </c>
      <c r="L75" s="12">
        <v>7</v>
      </c>
      <c r="M75">
        <f t="shared" si="8"/>
        <v>8</v>
      </c>
      <c r="N75" s="12">
        <v>4</v>
      </c>
      <c r="O75" s="12">
        <v>2</v>
      </c>
      <c r="P75" s="12">
        <v>12</v>
      </c>
      <c r="Q75" s="12">
        <v>0</v>
      </c>
      <c r="R75" s="12">
        <v>4</v>
      </c>
      <c r="S75">
        <v>0</v>
      </c>
      <c r="T75" s="12">
        <v>47</v>
      </c>
      <c r="U75" s="12" t="s">
        <v>54</v>
      </c>
      <c r="W75" s="10" t="str">
        <f t="shared" si="2"/>
        <v>&lt;tr&gt;&lt;td&gt;Tamara Fedorchuk&lt;/td&gt;&lt;td&gt;LS&lt;/td&gt;&lt;td&gt;2&lt;/td&gt;&lt;td&gt;1&lt;/td&gt;&lt;td&gt;0.500&lt;/td&gt;&lt;td&gt;0&lt;/td&gt;&lt;td&gt;7&lt;/td&gt;&lt;td&gt;0.000&lt;/td&gt;&lt;td&gt;0&lt;/td&gt;&lt;td&gt;2&lt;/td&gt;&lt;td&gt;0.000&lt;/td&gt;&lt;td&gt;1&lt;/td&gt;&lt;td&gt;2&lt;/td&gt;&lt;td&gt;0.500&lt;/td&gt;&lt;td&gt;1&lt;/td&gt;&lt;td&gt;7&lt;/td&gt;&lt;td&gt;8&lt;/td&gt;&lt;td&gt;4.000&lt;/td&gt;&lt;td&gt;2&lt;/td&gt;&lt;td&gt;1.000&lt;/td&gt;&lt;td&gt;4&lt;/td&gt;&lt;td&gt;2.000&lt;/td&gt;&lt;td&gt;0&lt;/td&gt;&lt;td&gt;0.000&lt;/td&gt;&lt;/tr&gt;</v>
      </c>
    </row>
    <row r="76" spans="1:23" x14ac:dyDescent="0.25">
      <c r="A76" s="12">
        <v>6</v>
      </c>
      <c r="B76" s="12" t="s">
        <v>590</v>
      </c>
      <c r="C76" s="12">
        <v>2</v>
      </c>
      <c r="D76" s="12">
        <v>0</v>
      </c>
      <c r="E76" s="12">
        <v>6</v>
      </c>
      <c r="F76" s="12">
        <v>0</v>
      </c>
      <c r="G76" s="12">
        <v>1</v>
      </c>
      <c r="H76" s="12">
        <v>0</v>
      </c>
      <c r="I76" s="12">
        <v>0</v>
      </c>
      <c r="J76">
        <f t="shared" si="7"/>
        <v>0</v>
      </c>
      <c r="K76" s="12">
        <v>1</v>
      </c>
      <c r="L76" s="12">
        <v>0</v>
      </c>
      <c r="M76">
        <f t="shared" si="8"/>
        <v>1</v>
      </c>
      <c r="N76" s="12">
        <v>1</v>
      </c>
      <c r="O76" s="12">
        <v>1</v>
      </c>
      <c r="P76" s="12">
        <v>2</v>
      </c>
      <c r="Q76" s="12">
        <v>0</v>
      </c>
      <c r="R76" s="12">
        <v>1</v>
      </c>
      <c r="S76">
        <v>0</v>
      </c>
      <c r="T76" s="12">
        <v>23</v>
      </c>
      <c r="U76" s="12" t="s">
        <v>74</v>
      </c>
      <c r="W76" s="10" t="str">
        <f t="shared" si="2"/>
        <v>&lt;tr&gt;&lt;td&gt;Tess Poulton&lt;/td&gt;&lt;td&gt;OPHS&lt;/td&gt;&lt;td&gt;2&lt;/td&gt;&lt;td&gt;0&lt;/td&gt;&lt;td&gt;0.000&lt;/td&gt;&lt;td&gt;0&lt;/td&gt;&lt;td&gt;6&lt;/td&gt;&lt;td&gt;0.000&lt;/td&gt;&lt;td&gt;0&lt;/td&gt;&lt;td&gt;1&lt;/td&gt;&lt;td&gt;0.000&lt;/td&gt;&lt;td&gt;0&lt;/td&gt;&lt;td&gt;0&lt;/td&gt;&lt;td&gt;0.000&lt;/td&gt;&lt;td&gt;1&lt;/td&gt;&lt;td&gt;0&lt;/td&gt;&lt;td&gt;1&lt;/td&gt;&lt;td&gt;0.500&lt;/td&gt;&lt;td&gt;1&lt;/td&gt;&lt;td&gt;0.500&lt;/td&gt;&lt;td&gt;1&lt;/td&gt;&lt;td&gt;0.500&lt;/td&gt;&lt;td&gt;0&lt;/td&gt;&lt;td&gt;0.000&lt;/td&gt;&lt;/tr&gt;</v>
      </c>
    </row>
    <row r="77" spans="1:23" x14ac:dyDescent="0.25">
      <c r="A77" s="12">
        <v>5</v>
      </c>
      <c r="B77" s="12" t="s">
        <v>596</v>
      </c>
      <c r="C77" s="12">
        <v>2</v>
      </c>
      <c r="D77" s="12">
        <v>0</v>
      </c>
      <c r="E77" s="12">
        <v>4</v>
      </c>
      <c r="F77" s="12">
        <v>0</v>
      </c>
      <c r="G77" s="12">
        <v>1</v>
      </c>
      <c r="H77" s="12">
        <v>0</v>
      </c>
      <c r="I77" s="12">
        <v>0</v>
      </c>
      <c r="J77">
        <f t="shared" si="7"/>
        <v>0</v>
      </c>
      <c r="K77" s="12">
        <v>1</v>
      </c>
      <c r="L77" s="12">
        <v>2</v>
      </c>
      <c r="M77">
        <f t="shared" si="8"/>
        <v>3</v>
      </c>
      <c r="N77" s="12">
        <v>1</v>
      </c>
      <c r="O77" s="12">
        <v>0</v>
      </c>
      <c r="P77" s="12">
        <v>11</v>
      </c>
      <c r="Q77" s="12">
        <v>0</v>
      </c>
      <c r="R77" s="12">
        <v>2</v>
      </c>
      <c r="S77">
        <v>0</v>
      </c>
      <c r="T77" s="12">
        <v>20</v>
      </c>
      <c r="U77" s="12" t="s">
        <v>98</v>
      </c>
      <c r="W77" s="10" t="str">
        <f t="shared" si="2"/>
        <v>&lt;tr&gt;&lt;td&gt;Alicia Prociuk&lt;/td&gt;&lt;td&gt;WWC&lt;/td&gt;&lt;td&gt;2&lt;/td&gt;&lt;td&gt;0&lt;/td&gt;&lt;td&gt;0.000&lt;/td&gt;&lt;td&gt;0&lt;/td&gt;&lt;td&gt;4&lt;/td&gt;&lt;td&gt;0.000&lt;/td&gt;&lt;td&gt;0&lt;/td&gt;&lt;td&gt;1&lt;/td&gt;&lt;td&gt;0.000&lt;/td&gt;&lt;td&gt;0&lt;/td&gt;&lt;td&gt;0&lt;/td&gt;&lt;td&gt;0.000&lt;/td&gt;&lt;td&gt;1&lt;/td&gt;&lt;td&gt;2&lt;/td&gt;&lt;td&gt;3&lt;/td&gt;&lt;td&gt;1.500&lt;/td&gt;&lt;td&gt;0&lt;/td&gt;&lt;td&gt;0.000&lt;/td&gt;&lt;td&gt;2&lt;/td&gt;&lt;td&gt;1.000&lt;/td&gt;&lt;td&gt;0&lt;/td&gt;&lt;td&gt;0.000&lt;/td&gt;&lt;/tr&gt;</v>
      </c>
    </row>
    <row r="78" spans="1:23" x14ac:dyDescent="0.25">
      <c r="A78" s="12">
        <v>13</v>
      </c>
      <c r="B78" s="12" t="s">
        <v>617</v>
      </c>
      <c r="C78" s="12">
        <v>3</v>
      </c>
      <c r="D78" s="12">
        <v>0</v>
      </c>
      <c r="E78" s="12">
        <v>2</v>
      </c>
      <c r="F78" s="12">
        <v>0</v>
      </c>
      <c r="G78" s="12">
        <v>0</v>
      </c>
      <c r="H78" s="12">
        <v>0</v>
      </c>
      <c r="I78" s="12">
        <v>0</v>
      </c>
      <c r="J78">
        <f t="shared" si="7"/>
        <v>0</v>
      </c>
      <c r="K78" s="12">
        <v>1</v>
      </c>
      <c r="L78" s="12">
        <v>6</v>
      </c>
      <c r="M78">
        <f t="shared" si="8"/>
        <v>7</v>
      </c>
      <c r="N78" s="12">
        <v>3</v>
      </c>
      <c r="O78" s="12">
        <v>0</v>
      </c>
      <c r="P78" s="12">
        <v>4</v>
      </c>
      <c r="Q78" s="12">
        <v>0</v>
      </c>
      <c r="R78" s="12">
        <v>0</v>
      </c>
      <c r="S78">
        <v>0</v>
      </c>
      <c r="T78" s="12">
        <v>14</v>
      </c>
      <c r="U78" s="12" t="s">
        <v>82</v>
      </c>
      <c r="W78" s="10" t="str">
        <f t="shared" si="2"/>
        <v>&lt;tr&gt;&lt;td&gt;Nimo Yussuf&lt;/td&gt;&lt;td&gt;DMCI&lt;/td&gt;&lt;td&gt;3&lt;/td&gt;&lt;td&gt;0&lt;/td&gt;&lt;td&gt;0.000&lt;/td&gt;&lt;td&gt;0&lt;/td&gt;&lt;td&gt;2&lt;/td&gt;&lt;td&gt;0.000&lt;/td&gt;&lt;td&gt;0&lt;/td&gt;&lt;td&gt;0&lt;/td&gt;&lt;td&gt;0.000&lt;/td&gt;&lt;td&gt;0&lt;/td&gt;&lt;td&gt;0&lt;/td&gt;&lt;td&gt;0.000&lt;/td&gt;&lt;td&gt;1&lt;/td&gt;&lt;td&gt;6&lt;/td&gt;&lt;td&gt;7&lt;/td&gt;&lt;td&gt;2.333&lt;/td&gt;&lt;td&gt;0&lt;/td&gt;&lt;td&gt;0.000&lt;/td&gt;&lt;td&gt;0&lt;/td&gt;&lt;td&gt;0.000&lt;/td&gt;&lt;td&gt;0&lt;/td&gt;&lt;td&gt;0.000&lt;/td&gt;&lt;/tr&gt;</v>
      </c>
    </row>
    <row r="79" spans="1:23" x14ac:dyDescent="0.25">
      <c r="A79" s="12">
        <v>12</v>
      </c>
      <c r="B79" s="12" t="s">
        <v>640</v>
      </c>
      <c r="C79" s="12">
        <v>3</v>
      </c>
      <c r="D79" s="12">
        <v>0</v>
      </c>
      <c r="E79" s="12">
        <v>2</v>
      </c>
      <c r="F79" s="12">
        <v>0</v>
      </c>
      <c r="G79" s="12">
        <v>0</v>
      </c>
      <c r="H79" s="12">
        <v>0</v>
      </c>
      <c r="I79" s="12">
        <v>0</v>
      </c>
      <c r="J79">
        <f t="shared" si="7"/>
        <v>0</v>
      </c>
      <c r="K79" s="12">
        <v>2</v>
      </c>
      <c r="L79" s="12">
        <v>2</v>
      </c>
      <c r="M79">
        <f t="shared" si="8"/>
        <v>4</v>
      </c>
      <c r="N79" s="12">
        <v>1</v>
      </c>
      <c r="O79" s="12">
        <v>0</v>
      </c>
      <c r="P79" s="12">
        <v>2</v>
      </c>
      <c r="Q79" s="12">
        <v>0</v>
      </c>
      <c r="R79" s="12">
        <v>0</v>
      </c>
      <c r="S79">
        <v>0</v>
      </c>
      <c r="T79" s="12">
        <v>13</v>
      </c>
      <c r="U79" s="12" t="s">
        <v>100</v>
      </c>
      <c r="W79" s="10" t="str">
        <f t="shared" si="2"/>
        <v>&lt;tr&gt;&lt;td&gt;Emily Speiss&lt;/td&gt;&lt;td&gt;CPRS&lt;/td&gt;&lt;td&gt;3&lt;/td&gt;&lt;td&gt;0&lt;/td&gt;&lt;td&gt;0.000&lt;/td&gt;&lt;td&gt;0&lt;/td&gt;&lt;td&gt;2&lt;/td&gt;&lt;td&gt;0.000&lt;/td&gt;&lt;td&gt;0&lt;/td&gt;&lt;td&gt;0&lt;/td&gt;&lt;td&gt;0.000&lt;/td&gt;&lt;td&gt;0&lt;/td&gt;&lt;td&gt;0&lt;/td&gt;&lt;td&gt;0.000&lt;/td&gt;&lt;td&gt;2&lt;/td&gt;&lt;td&gt;2&lt;/td&gt;&lt;td&gt;4&lt;/td&gt;&lt;td&gt;1.333&lt;/td&gt;&lt;td&gt;0&lt;/td&gt;&lt;td&gt;0.000&lt;/td&gt;&lt;td&gt;0&lt;/td&gt;&lt;td&gt;0.000&lt;/td&gt;&lt;td&gt;0&lt;/td&gt;&lt;td&gt;0.000&lt;/td&gt;&lt;/tr&gt;</v>
      </c>
    </row>
    <row r="80" spans="1:23" x14ac:dyDescent="0.25">
      <c r="A80" s="12">
        <v>18</v>
      </c>
      <c r="B80" s="12" t="s">
        <v>669</v>
      </c>
      <c r="C80" s="12">
        <v>1</v>
      </c>
      <c r="D80" s="12">
        <v>0</v>
      </c>
      <c r="E80" s="12">
        <v>3</v>
      </c>
      <c r="F80" s="12">
        <v>0</v>
      </c>
      <c r="G80" s="12">
        <v>0</v>
      </c>
      <c r="H80" s="12">
        <v>0</v>
      </c>
      <c r="I80" s="12">
        <v>0</v>
      </c>
      <c r="J80">
        <f t="shared" si="7"/>
        <v>0</v>
      </c>
      <c r="K80" s="12">
        <v>1</v>
      </c>
      <c r="L80" s="12">
        <v>1</v>
      </c>
      <c r="M80">
        <f t="shared" si="8"/>
        <v>2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>
        <v>0</v>
      </c>
      <c r="T80" s="12">
        <v>12</v>
      </c>
      <c r="U80" s="12" t="s">
        <v>52</v>
      </c>
      <c r="W80" s="10" t="str">
        <f t="shared" si="2"/>
        <v>&lt;tr&gt;&lt;td&gt;Darla Pokraut&lt;/td&gt;&lt;td&gt;REC&lt;/td&gt;&lt;td&gt;1&lt;/td&gt;&lt;td&gt;0&lt;/td&gt;&lt;td&gt;0.000&lt;/td&gt;&lt;td&gt;0&lt;/td&gt;&lt;td&gt;3&lt;/td&gt;&lt;td&gt;0.000&lt;/td&gt;&lt;td&gt;0&lt;/td&gt;&lt;td&gt;0&lt;/td&gt;&lt;td&gt;0.000&lt;/td&gt;&lt;td&gt;0&lt;/td&gt;&lt;td&gt;0&lt;/td&gt;&lt;td&gt;0.000&lt;/td&gt;&lt;td&gt;1&lt;/td&gt;&lt;td&gt;1&lt;/td&gt;&lt;td&gt;2&lt;/td&gt;&lt;td&gt;2.000&lt;/td&gt;&lt;td&gt;0&lt;/td&gt;&lt;td&gt;0.000&lt;/td&gt;&lt;td&gt;0&lt;/td&gt;&lt;td&gt;0.000&lt;/td&gt;&lt;td&gt;0&lt;/td&gt;&lt;td&gt;0.000&lt;/td&gt;&lt;/tr&gt;</v>
      </c>
    </row>
    <row r="81" spans="1:23" x14ac:dyDescent="0.25">
      <c r="A81" s="12">
        <v>13</v>
      </c>
      <c r="B81" s="12" t="s">
        <v>656</v>
      </c>
      <c r="C81" s="12">
        <v>2</v>
      </c>
      <c r="D81" s="12">
        <v>0</v>
      </c>
      <c r="E81" s="12">
        <v>1</v>
      </c>
      <c r="F81" s="12">
        <v>0</v>
      </c>
      <c r="G81" s="12">
        <v>0</v>
      </c>
      <c r="H81" s="12">
        <v>0</v>
      </c>
      <c r="I81" s="12">
        <v>0</v>
      </c>
      <c r="J81">
        <f t="shared" si="7"/>
        <v>0</v>
      </c>
      <c r="K81" s="12">
        <v>0</v>
      </c>
      <c r="L81" s="12">
        <v>1</v>
      </c>
      <c r="M81">
        <f t="shared" si="8"/>
        <v>1</v>
      </c>
      <c r="N81" s="12">
        <v>2</v>
      </c>
      <c r="O81" s="12">
        <v>1</v>
      </c>
      <c r="P81" s="12">
        <v>1</v>
      </c>
      <c r="Q81" s="12">
        <v>0</v>
      </c>
      <c r="R81" s="12">
        <v>0</v>
      </c>
      <c r="S81">
        <v>0</v>
      </c>
      <c r="T81" s="12">
        <v>11</v>
      </c>
      <c r="U81" s="12" t="s">
        <v>70</v>
      </c>
      <c r="W81" s="10" t="str">
        <f t="shared" si="2"/>
        <v>&lt;tr&gt;&lt;td&gt;Tayler Skervjan&lt;/td&gt;&lt;td&gt;JTC&lt;/td&gt;&lt;td&gt;2&lt;/td&gt;&lt;td&gt;0&lt;/td&gt;&lt;td&gt;0.000&lt;/td&gt;&lt;td&gt;0&lt;/td&gt;&lt;td&gt;1&lt;/td&gt;&lt;td&gt;0.000&lt;/td&gt;&lt;td&gt;0&lt;/td&gt;&lt;td&gt;0&lt;/td&gt;&lt;td&gt;0.000&lt;/td&gt;&lt;td&gt;0&lt;/td&gt;&lt;td&gt;0&lt;/td&gt;&lt;td&gt;0.000&lt;/td&gt;&lt;td&gt;0&lt;/td&gt;&lt;td&gt;1&lt;/td&gt;&lt;td&gt;1&lt;/td&gt;&lt;td&gt;0.500&lt;/td&gt;&lt;td&gt;1&lt;/td&gt;&lt;td&gt;0.500&lt;/td&gt;&lt;td&gt;0&lt;/td&gt;&lt;td&gt;0.000&lt;/td&gt;&lt;td&gt;0&lt;/td&gt;&lt;td&gt;0.000&lt;/td&gt;&lt;/tr&gt;</v>
      </c>
    </row>
    <row r="82" spans="1:23" x14ac:dyDescent="0.25">
      <c r="A82" s="12">
        <v>15</v>
      </c>
      <c r="B82" s="12" t="s">
        <v>641</v>
      </c>
      <c r="C82" s="12">
        <v>2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>
        <f t="shared" si="7"/>
        <v>0</v>
      </c>
      <c r="K82" s="12">
        <v>0</v>
      </c>
      <c r="L82" s="12">
        <v>3</v>
      </c>
      <c r="M82">
        <f t="shared" si="8"/>
        <v>3</v>
      </c>
      <c r="N82" s="12">
        <v>0</v>
      </c>
      <c r="O82" s="12">
        <v>0</v>
      </c>
      <c r="P82" s="12">
        <v>2</v>
      </c>
      <c r="Q82" s="12">
        <v>0</v>
      </c>
      <c r="R82" s="12">
        <v>0</v>
      </c>
      <c r="S82">
        <v>0</v>
      </c>
      <c r="T82" s="12">
        <v>10</v>
      </c>
      <c r="U82" s="12" t="s">
        <v>100</v>
      </c>
      <c r="W82" s="10" t="str">
        <f t="shared" si="2"/>
        <v>&lt;tr&gt;&lt;td&gt;Tyra Procure&lt;/td&gt;&lt;td&gt;CPRS&lt;/td&gt;&lt;td&gt;2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3&lt;/td&gt;&lt;td&gt;3&lt;/td&gt;&lt;td&gt;1.500&lt;/td&gt;&lt;td&gt;0&lt;/td&gt;&lt;td&gt;0.000&lt;/td&gt;&lt;td&gt;0&lt;/td&gt;&lt;td&gt;0.000&lt;/td&gt;&lt;td&gt;0&lt;/td&gt;&lt;td&gt;0.000&lt;/td&gt;&lt;/tr&gt;</v>
      </c>
    </row>
    <row r="83" spans="1:23" x14ac:dyDescent="0.25">
      <c r="A83" s="12">
        <v>14</v>
      </c>
      <c r="B83" s="12" t="s">
        <v>626</v>
      </c>
      <c r="C83" s="12">
        <v>1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>
        <f t="shared" si="7"/>
        <v>0</v>
      </c>
      <c r="K83" s="12">
        <v>0</v>
      </c>
      <c r="L83" s="12">
        <v>2</v>
      </c>
      <c r="M83">
        <f t="shared" si="8"/>
        <v>2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>
        <v>0</v>
      </c>
      <c r="T83" s="12">
        <v>5</v>
      </c>
      <c r="U83" s="12" t="s">
        <v>60</v>
      </c>
      <c r="W83" s="10" t="str">
        <f t="shared" si="2"/>
        <v>&lt;tr&gt;&lt;td&gt;Sarah Smith&lt;/td&gt;&lt;td&gt;DCI&lt;/td&gt;&lt;td&gt;1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2&lt;/td&gt;&lt;td&gt;2&lt;/td&gt;&lt;td&gt;2.000&lt;/td&gt;&lt;td&gt;0&lt;/td&gt;&lt;td&gt;0.000&lt;/td&gt;&lt;td&gt;0&lt;/td&gt;&lt;td&gt;0.000&lt;/td&gt;&lt;td&gt;0&lt;/td&gt;&lt;td&gt;0.000&lt;/td&gt;&lt;/tr&gt;</v>
      </c>
    </row>
    <row r="84" spans="1:23" x14ac:dyDescent="0.25">
      <c r="A84" s="12">
        <v>4</v>
      </c>
      <c r="B84" s="12" t="s">
        <v>609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>
        <f t="shared" si="7"/>
        <v>0</v>
      </c>
      <c r="K84" s="12">
        <v>0</v>
      </c>
      <c r="L84" s="12">
        <v>0</v>
      </c>
      <c r="M84">
        <f t="shared" si="8"/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>
        <v>0</v>
      </c>
      <c r="T84" s="12">
        <v>0</v>
      </c>
      <c r="U84" s="12" t="s">
        <v>82</v>
      </c>
      <c r="W84" s="10" t="str">
        <f t="shared" si="2"/>
        <v>&lt;tr&gt;&lt;td&gt;Gem Magnaye&lt;/td&gt;&lt;td&gt;DMCI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85" spans="1:23" x14ac:dyDescent="0.25">
      <c r="A85" s="12">
        <v>14</v>
      </c>
      <c r="B85" s="12" t="s">
        <v>604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>
        <f t="shared" si="7"/>
        <v>0</v>
      </c>
      <c r="K85" s="12">
        <v>0</v>
      </c>
      <c r="L85" s="12">
        <v>0</v>
      </c>
      <c r="M85">
        <f t="shared" si="8"/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>
        <v>0</v>
      </c>
      <c r="T85" s="12">
        <v>0</v>
      </c>
      <c r="U85" s="12" t="s">
        <v>98</v>
      </c>
      <c r="W85" s="10" t="str">
        <f t="shared" si="2"/>
        <v>&lt;tr&gt;&lt;td&gt;Chelsea Zapotochny&lt;/td&gt;&lt;td&gt;WWC&lt;/td&gt;&lt;td&gt;0&lt;/td&gt;&lt;td&gt;0&lt;/td&gt;&lt;td&gt;0.000&lt;/td&gt;&lt;td&gt;0&lt;/td&gt;&lt;td&gt;0&lt;/td&gt;&lt;td&gt;0.000&lt;/td&gt;&lt;td&gt;0&lt;/td&gt;&lt;td&gt;0&lt;/td&gt;&lt;td&gt;0.000&lt;/td&gt;&lt;td&gt;0&lt;/td&gt;&lt;td&gt;0&lt;/td&gt;&lt;td&gt;0.000&lt;/td&gt;&lt;td&gt;0&lt;/td&gt;&lt;td&gt;0&lt;/td&gt;&lt;td&gt;0&lt;/td&gt;&lt;td&gt;0.000&lt;/td&gt;&lt;td&gt;0&lt;/td&gt;&lt;td&gt;0.000&lt;/td&gt;&lt;td&gt;0&lt;/td&gt;&lt;td&gt;0.000&lt;/td&gt;&lt;td&gt;0&lt;/td&gt;&lt;td&gt;0.000&lt;/td&gt;&lt;/tr&gt;</v>
      </c>
    </row>
    <row r="86" spans="1:23" x14ac:dyDescent="0.25">
      <c r="J86">
        <f t="shared" ref="J86:J138" si="9">D86*2+F86+H86</f>
        <v>0</v>
      </c>
      <c r="M86">
        <f t="shared" ref="M86:M138" si="10">K86+L86</f>
        <v>0</v>
      </c>
      <c r="S86">
        <v>0</v>
      </c>
      <c r="W8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87" spans="1:23" x14ac:dyDescent="0.25">
      <c r="J87">
        <f t="shared" si="9"/>
        <v>0</v>
      </c>
      <c r="M87">
        <f t="shared" si="10"/>
        <v>0</v>
      </c>
      <c r="S87">
        <v>0</v>
      </c>
      <c r="W8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88" spans="1:23" x14ac:dyDescent="0.25">
      <c r="J88">
        <f t="shared" si="9"/>
        <v>0</v>
      </c>
      <c r="M88">
        <f t="shared" si="10"/>
        <v>0</v>
      </c>
      <c r="S88">
        <v>0</v>
      </c>
      <c r="W8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89" spans="1:23" x14ac:dyDescent="0.25">
      <c r="J89">
        <f t="shared" si="9"/>
        <v>0</v>
      </c>
      <c r="M89">
        <f t="shared" si="10"/>
        <v>0</v>
      </c>
      <c r="S89">
        <v>0</v>
      </c>
      <c r="W8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0" spans="1:23" x14ac:dyDescent="0.25">
      <c r="J90">
        <f t="shared" si="9"/>
        <v>0</v>
      </c>
      <c r="M90">
        <f t="shared" si="10"/>
        <v>0</v>
      </c>
      <c r="S90">
        <v>0</v>
      </c>
      <c r="W9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1" spans="1:23" x14ac:dyDescent="0.25">
      <c r="J91">
        <f t="shared" si="9"/>
        <v>0</v>
      </c>
      <c r="M91">
        <f t="shared" si="10"/>
        <v>0</v>
      </c>
      <c r="S91">
        <v>0</v>
      </c>
      <c r="W9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2" spans="1:23" x14ac:dyDescent="0.25">
      <c r="J92">
        <f t="shared" si="9"/>
        <v>0</v>
      </c>
      <c r="M92">
        <f t="shared" si="10"/>
        <v>0</v>
      </c>
      <c r="S92">
        <v>0</v>
      </c>
      <c r="W9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3" spans="1:23" x14ac:dyDescent="0.25">
      <c r="J93">
        <f t="shared" si="9"/>
        <v>0</v>
      </c>
      <c r="M93">
        <f t="shared" si="10"/>
        <v>0</v>
      </c>
      <c r="S93">
        <v>0</v>
      </c>
      <c r="W9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4" spans="1:23" x14ac:dyDescent="0.25">
      <c r="J94">
        <f t="shared" si="9"/>
        <v>0</v>
      </c>
      <c r="M94">
        <f t="shared" si="10"/>
        <v>0</v>
      </c>
      <c r="S94">
        <v>0</v>
      </c>
      <c r="W9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5" spans="1:23" x14ac:dyDescent="0.25">
      <c r="J95">
        <f t="shared" si="9"/>
        <v>0</v>
      </c>
      <c r="M95">
        <f t="shared" si="10"/>
        <v>0</v>
      </c>
      <c r="S95">
        <v>0</v>
      </c>
      <c r="W9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6" spans="1:23" x14ac:dyDescent="0.25">
      <c r="J96">
        <f t="shared" si="9"/>
        <v>0</v>
      </c>
      <c r="M96">
        <f t="shared" si="10"/>
        <v>0</v>
      </c>
      <c r="S96">
        <v>0</v>
      </c>
      <c r="W9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7" spans="10:23" x14ac:dyDescent="0.25">
      <c r="J97">
        <f t="shared" si="9"/>
        <v>0</v>
      </c>
      <c r="M97">
        <f t="shared" si="10"/>
        <v>0</v>
      </c>
      <c r="S97">
        <v>0</v>
      </c>
      <c r="W9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8" spans="10:23" x14ac:dyDescent="0.25">
      <c r="J98">
        <f t="shared" si="9"/>
        <v>0</v>
      </c>
      <c r="M98">
        <f t="shared" si="10"/>
        <v>0</v>
      </c>
      <c r="S98">
        <v>0</v>
      </c>
      <c r="W9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99" spans="10:23" x14ac:dyDescent="0.25">
      <c r="J99">
        <f t="shared" si="9"/>
        <v>0</v>
      </c>
      <c r="M99">
        <f t="shared" si="10"/>
        <v>0</v>
      </c>
      <c r="S99">
        <v>0</v>
      </c>
      <c r="W9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0" spans="10:23" x14ac:dyDescent="0.25">
      <c r="J100">
        <f t="shared" si="9"/>
        <v>0</v>
      </c>
      <c r="M100">
        <f t="shared" si="10"/>
        <v>0</v>
      </c>
      <c r="S100">
        <v>0</v>
      </c>
      <c r="W10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1" spans="10:23" x14ac:dyDescent="0.25">
      <c r="J101">
        <f t="shared" si="9"/>
        <v>0</v>
      </c>
      <c r="M101">
        <f t="shared" si="10"/>
        <v>0</v>
      </c>
      <c r="S101">
        <v>0</v>
      </c>
      <c r="W10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2" spans="10:23" x14ac:dyDescent="0.25">
      <c r="J102">
        <f t="shared" si="9"/>
        <v>0</v>
      </c>
      <c r="M102">
        <f t="shared" si="10"/>
        <v>0</v>
      </c>
      <c r="S102">
        <v>0</v>
      </c>
      <c r="W10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3" spans="10:23" x14ac:dyDescent="0.25">
      <c r="J103">
        <f t="shared" si="9"/>
        <v>0</v>
      </c>
      <c r="M103">
        <f t="shared" si="10"/>
        <v>0</v>
      </c>
      <c r="S103">
        <v>0</v>
      </c>
      <c r="W10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4" spans="10:23" x14ac:dyDescent="0.25">
      <c r="J104">
        <f t="shared" si="9"/>
        <v>0</v>
      </c>
      <c r="M104">
        <f t="shared" si="10"/>
        <v>0</v>
      </c>
      <c r="S104">
        <v>0</v>
      </c>
      <c r="W10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5" spans="10:23" x14ac:dyDescent="0.25">
      <c r="J105">
        <f t="shared" si="9"/>
        <v>0</v>
      </c>
      <c r="M105">
        <f t="shared" si="10"/>
        <v>0</v>
      </c>
      <c r="S105">
        <v>0</v>
      </c>
      <c r="W10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6" spans="10:23" x14ac:dyDescent="0.25">
      <c r="J106">
        <f t="shared" si="9"/>
        <v>0</v>
      </c>
      <c r="M106">
        <f t="shared" si="10"/>
        <v>0</v>
      </c>
      <c r="S106">
        <v>0</v>
      </c>
      <c r="W10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7" spans="10:23" x14ac:dyDescent="0.25">
      <c r="J107">
        <f t="shared" si="9"/>
        <v>0</v>
      </c>
      <c r="M107">
        <f t="shared" si="10"/>
        <v>0</v>
      </c>
      <c r="S107">
        <v>0</v>
      </c>
      <c r="W10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8" spans="10:23" x14ac:dyDescent="0.25">
      <c r="J108">
        <f t="shared" si="9"/>
        <v>0</v>
      </c>
      <c r="M108">
        <f t="shared" si="10"/>
        <v>0</v>
      </c>
      <c r="S108">
        <v>0</v>
      </c>
      <c r="W10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09" spans="10:23" x14ac:dyDescent="0.25">
      <c r="J109">
        <f t="shared" si="9"/>
        <v>0</v>
      </c>
      <c r="M109">
        <f t="shared" si="10"/>
        <v>0</v>
      </c>
      <c r="S109">
        <v>0</v>
      </c>
      <c r="W10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0" spans="10:23" x14ac:dyDescent="0.25">
      <c r="J110">
        <f t="shared" si="9"/>
        <v>0</v>
      </c>
      <c r="M110">
        <f t="shared" si="10"/>
        <v>0</v>
      </c>
      <c r="S110">
        <v>0</v>
      </c>
      <c r="W11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1" spans="10:23" x14ac:dyDescent="0.25">
      <c r="J111">
        <f t="shared" si="9"/>
        <v>0</v>
      </c>
      <c r="M111">
        <f t="shared" si="10"/>
        <v>0</v>
      </c>
      <c r="S111">
        <v>0</v>
      </c>
      <c r="W11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2" spans="10:23" x14ac:dyDescent="0.25">
      <c r="J112">
        <f t="shared" si="9"/>
        <v>0</v>
      </c>
      <c r="M112">
        <f t="shared" si="10"/>
        <v>0</v>
      </c>
      <c r="S112">
        <v>0</v>
      </c>
      <c r="W11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3" spans="10:23" x14ac:dyDescent="0.25">
      <c r="J113">
        <f t="shared" si="9"/>
        <v>0</v>
      </c>
      <c r="M113">
        <f t="shared" si="10"/>
        <v>0</v>
      </c>
      <c r="S113">
        <v>0</v>
      </c>
      <c r="W11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4" spans="10:23" x14ac:dyDescent="0.25">
      <c r="J114">
        <f t="shared" si="9"/>
        <v>0</v>
      </c>
      <c r="M114">
        <f t="shared" si="10"/>
        <v>0</v>
      </c>
      <c r="S114">
        <v>0</v>
      </c>
      <c r="W11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5" spans="10:23" x14ac:dyDescent="0.25">
      <c r="J115">
        <f t="shared" si="9"/>
        <v>0</v>
      </c>
      <c r="M115">
        <f t="shared" si="10"/>
        <v>0</v>
      </c>
      <c r="S115">
        <v>0</v>
      </c>
      <c r="W11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6" spans="10:23" x14ac:dyDescent="0.25">
      <c r="J116">
        <f t="shared" si="9"/>
        <v>0</v>
      </c>
      <c r="M116">
        <f t="shared" si="10"/>
        <v>0</v>
      </c>
      <c r="S116">
        <v>0</v>
      </c>
      <c r="W11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7" spans="10:23" x14ac:dyDescent="0.25">
      <c r="J117">
        <f t="shared" si="9"/>
        <v>0</v>
      </c>
      <c r="M117">
        <f t="shared" si="10"/>
        <v>0</v>
      </c>
      <c r="S117">
        <v>0</v>
      </c>
      <c r="W11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8" spans="10:23" x14ac:dyDescent="0.25">
      <c r="J118">
        <f t="shared" si="9"/>
        <v>0</v>
      </c>
      <c r="M118">
        <f t="shared" si="10"/>
        <v>0</v>
      </c>
      <c r="S118">
        <v>0</v>
      </c>
      <c r="W11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19" spans="10:23" x14ac:dyDescent="0.25">
      <c r="J119">
        <f t="shared" si="9"/>
        <v>0</v>
      </c>
      <c r="M119">
        <f t="shared" si="10"/>
        <v>0</v>
      </c>
      <c r="S119">
        <v>0</v>
      </c>
      <c r="W11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0" spans="10:23" x14ac:dyDescent="0.25">
      <c r="J120">
        <f t="shared" si="9"/>
        <v>0</v>
      </c>
      <c r="M120">
        <f t="shared" si="10"/>
        <v>0</v>
      </c>
      <c r="S120">
        <v>0</v>
      </c>
      <c r="W12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1" spans="10:23" x14ac:dyDescent="0.25">
      <c r="J121">
        <f t="shared" si="9"/>
        <v>0</v>
      </c>
      <c r="M121">
        <f t="shared" si="10"/>
        <v>0</v>
      </c>
      <c r="S121">
        <v>0</v>
      </c>
      <c r="W12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2" spans="10:23" x14ac:dyDescent="0.25">
      <c r="J122">
        <f t="shared" si="9"/>
        <v>0</v>
      </c>
      <c r="M122">
        <f t="shared" si="10"/>
        <v>0</v>
      </c>
      <c r="S122">
        <v>0</v>
      </c>
      <c r="W12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3" spans="10:23" x14ac:dyDescent="0.25">
      <c r="J123">
        <f t="shared" si="9"/>
        <v>0</v>
      </c>
      <c r="M123">
        <f t="shared" si="10"/>
        <v>0</v>
      </c>
      <c r="S123">
        <v>0</v>
      </c>
      <c r="W12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4" spans="10:23" x14ac:dyDescent="0.25">
      <c r="J124">
        <f t="shared" si="9"/>
        <v>0</v>
      </c>
      <c r="M124">
        <f t="shared" si="10"/>
        <v>0</v>
      </c>
      <c r="S124">
        <v>0</v>
      </c>
      <c r="W12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5" spans="10:23" x14ac:dyDescent="0.25">
      <c r="J125">
        <f t="shared" si="9"/>
        <v>0</v>
      </c>
      <c r="M125">
        <f t="shared" si="10"/>
        <v>0</v>
      </c>
      <c r="S125">
        <v>0</v>
      </c>
      <c r="W12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6" spans="10:23" x14ac:dyDescent="0.25">
      <c r="J126">
        <f t="shared" si="9"/>
        <v>0</v>
      </c>
      <c r="M126">
        <f t="shared" si="10"/>
        <v>0</v>
      </c>
      <c r="S126">
        <v>0</v>
      </c>
      <c r="W12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7" spans="10:23" x14ac:dyDescent="0.25">
      <c r="J127">
        <f t="shared" si="9"/>
        <v>0</v>
      </c>
      <c r="M127">
        <f t="shared" si="10"/>
        <v>0</v>
      </c>
      <c r="S127">
        <v>0</v>
      </c>
      <c r="W12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8" spans="10:23" x14ac:dyDescent="0.25">
      <c r="J128">
        <f t="shared" si="9"/>
        <v>0</v>
      </c>
      <c r="M128">
        <f t="shared" si="10"/>
        <v>0</v>
      </c>
      <c r="S128">
        <v>0</v>
      </c>
      <c r="W12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29" spans="10:23" x14ac:dyDescent="0.25">
      <c r="J129">
        <f t="shared" si="9"/>
        <v>0</v>
      </c>
      <c r="M129">
        <f t="shared" si="10"/>
        <v>0</v>
      </c>
      <c r="S129">
        <v>0</v>
      </c>
      <c r="W12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0" spans="10:23" x14ac:dyDescent="0.25">
      <c r="J130">
        <f t="shared" si="9"/>
        <v>0</v>
      </c>
      <c r="M130">
        <f t="shared" si="10"/>
        <v>0</v>
      </c>
      <c r="S130">
        <v>0</v>
      </c>
      <c r="W13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1" spans="10:23" x14ac:dyDescent="0.25">
      <c r="J131">
        <f t="shared" si="9"/>
        <v>0</v>
      </c>
      <c r="M131">
        <f t="shared" si="10"/>
        <v>0</v>
      </c>
      <c r="S131">
        <v>0</v>
      </c>
      <c r="W13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2" spans="10:23" x14ac:dyDescent="0.25">
      <c r="J132">
        <f t="shared" si="9"/>
        <v>0</v>
      </c>
      <c r="M132">
        <f t="shared" si="10"/>
        <v>0</v>
      </c>
      <c r="S132">
        <v>0</v>
      </c>
      <c r="W13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3" spans="10:23" x14ac:dyDescent="0.25">
      <c r="J133">
        <f t="shared" si="9"/>
        <v>0</v>
      </c>
      <c r="M133">
        <f t="shared" si="10"/>
        <v>0</v>
      </c>
      <c r="S133">
        <v>0</v>
      </c>
      <c r="W13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4" spans="10:23" x14ac:dyDescent="0.25">
      <c r="J134">
        <f t="shared" si="9"/>
        <v>0</v>
      </c>
      <c r="M134">
        <f t="shared" si="10"/>
        <v>0</v>
      </c>
      <c r="S134">
        <v>0</v>
      </c>
      <c r="W13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5" spans="10:23" x14ac:dyDescent="0.25">
      <c r="J135">
        <f t="shared" si="9"/>
        <v>0</v>
      </c>
      <c r="M135">
        <f t="shared" si="10"/>
        <v>0</v>
      </c>
      <c r="S135">
        <v>0</v>
      </c>
      <c r="W13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6" spans="10:23" x14ac:dyDescent="0.25">
      <c r="J136">
        <f t="shared" si="9"/>
        <v>0</v>
      </c>
      <c r="M136">
        <f t="shared" si="10"/>
        <v>0</v>
      </c>
      <c r="S136">
        <v>0</v>
      </c>
      <c r="W13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7" spans="10:23" x14ac:dyDescent="0.25">
      <c r="J137">
        <f t="shared" si="9"/>
        <v>0</v>
      </c>
      <c r="M137">
        <f t="shared" si="10"/>
        <v>0</v>
      </c>
      <c r="S137">
        <v>0</v>
      </c>
      <c r="W13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8" spans="10:23" x14ac:dyDescent="0.25">
      <c r="J138">
        <f t="shared" si="9"/>
        <v>0</v>
      </c>
      <c r="M138">
        <f t="shared" si="10"/>
        <v>0</v>
      </c>
      <c r="S138">
        <v>0</v>
      </c>
      <c r="W13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39" spans="10:23" x14ac:dyDescent="0.25">
      <c r="J139">
        <f t="shared" ref="J139:J202" si="11">D139*2+F139+H139</f>
        <v>0</v>
      </c>
      <c r="M139">
        <f t="shared" ref="M139:M202" si="12">K139+L139</f>
        <v>0</v>
      </c>
      <c r="S139">
        <v>0</v>
      </c>
      <c r="W13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0" spans="10:23" x14ac:dyDescent="0.25">
      <c r="J140">
        <f t="shared" si="11"/>
        <v>0</v>
      </c>
      <c r="M140">
        <f t="shared" si="12"/>
        <v>0</v>
      </c>
      <c r="S140">
        <v>0</v>
      </c>
      <c r="W14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1" spans="10:23" x14ac:dyDescent="0.25">
      <c r="J141">
        <f t="shared" si="11"/>
        <v>0</v>
      </c>
      <c r="M141">
        <f t="shared" si="12"/>
        <v>0</v>
      </c>
      <c r="S141">
        <v>0</v>
      </c>
      <c r="W14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2" spans="10:23" x14ac:dyDescent="0.25">
      <c r="J142">
        <f t="shared" si="11"/>
        <v>0</v>
      </c>
      <c r="M142">
        <f t="shared" si="12"/>
        <v>0</v>
      </c>
      <c r="S142">
        <v>0</v>
      </c>
      <c r="W14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3" spans="10:23" x14ac:dyDescent="0.25">
      <c r="J143">
        <f t="shared" si="11"/>
        <v>0</v>
      </c>
      <c r="M143">
        <f t="shared" si="12"/>
        <v>0</v>
      </c>
      <c r="S143">
        <v>0</v>
      </c>
      <c r="W14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4" spans="10:23" x14ac:dyDescent="0.25">
      <c r="J144">
        <f t="shared" si="11"/>
        <v>0</v>
      </c>
      <c r="M144">
        <f t="shared" si="12"/>
        <v>0</v>
      </c>
      <c r="S144">
        <v>0</v>
      </c>
      <c r="W14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5" spans="10:23" x14ac:dyDescent="0.25">
      <c r="J145">
        <f t="shared" si="11"/>
        <v>0</v>
      </c>
      <c r="M145">
        <f t="shared" si="12"/>
        <v>0</v>
      </c>
      <c r="S145">
        <v>0</v>
      </c>
      <c r="W14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6" spans="10:23" x14ac:dyDescent="0.25">
      <c r="J146">
        <f t="shared" si="11"/>
        <v>0</v>
      </c>
      <c r="M146">
        <f t="shared" si="12"/>
        <v>0</v>
      </c>
      <c r="S146">
        <v>0</v>
      </c>
      <c r="W14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7" spans="10:23" x14ac:dyDescent="0.25">
      <c r="J147">
        <f t="shared" si="11"/>
        <v>0</v>
      </c>
      <c r="M147">
        <f t="shared" si="12"/>
        <v>0</v>
      </c>
      <c r="S147">
        <v>0</v>
      </c>
      <c r="W14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8" spans="10:23" x14ac:dyDescent="0.25">
      <c r="J148">
        <f t="shared" si="11"/>
        <v>0</v>
      </c>
      <c r="M148">
        <f t="shared" si="12"/>
        <v>0</v>
      </c>
      <c r="S148">
        <v>0</v>
      </c>
      <c r="W14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49" spans="10:23" x14ac:dyDescent="0.25">
      <c r="J149">
        <f t="shared" si="11"/>
        <v>0</v>
      </c>
      <c r="M149">
        <f t="shared" si="12"/>
        <v>0</v>
      </c>
      <c r="S149">
        <v>0</v>
      </c>
      <c r="W14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0" spans="10:23" x14ac:dyDescent="0.25">
      <c r="J150">
        <f t="shared" si="11"/>
        <v>0</v>
      </c>
      <c r="M150">
        <f t="shared" si="12"/>
        <v>0</v>
      </c>
      <c r="S150">
        <v>0</v>
      </c>
      <c r="W15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1" spans="10:23" x14ac:dyDescent="0.25">
      <c r="J151">
        <f t="shared" si="11"/>
        <v>0</v>
      </c>
      <c r="M151">
        <f t="shared" si="12"/>
        <v>0</v>
      </c>
      <c r="S151">
        <v>0</v>
      </c>
      <c r="W15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2" spans="10:23" x14ac:dyDescent="0.25">
      <c r="J152">
        <f t="shared" si="11"/>
        <v>0</v>
      </c>
      <c r="M152">
        <f t="shared" si="12"/>
        <v>0</v>
      </c>
      <c r="S152">
        <v>0</v>
      </c>
      <c r="W15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3" spans="10:23" x14ac:dyDescent="0.25">
      <c r="J153">
        <f t="shared" si="11"/>
        <v>0</v>
      </c>
      <c r="M153">
        <f t="shared" si="12"/>
        <v>0</v>
      </c>
      <c r="S153">
        <v>0</v>
      </c>
      <c r="W15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4" spans="10:23" x14ac:dyDescent="0.25">
      <c r="J154">
        <f t="shared" si="11"/>
        <v>0</v>
      </c>
      <c r="M154">
        <f t="shared" si="12"/>
        <v>0</v>
      </c>
      <c r="S154">
        <v>0</v>
      </c>
      <c r="W15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5" spans="10:23" x14ac:dyDescent="0.25">
      <c r="J155">
        <f t="shared" si="11"/>
        <v>0</v>
      </c>
      <c r="M155">
        <f t="shared" si="12"/>
        <v>0</v>
      </c>
      <c r="S155">
        <v>0</v>
      </c>
      <c r="W15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6" spans="10:23" x14ac:dyDescent="0.25">
      <c r="J156">
        <f t="shared" si="11"/>
        <v>0</v>
      </c>
      <c r="M156">
        <f t="shared" si="12"/>
        <v>0</v>
      </c>
      <c r="S156">
        <v>0</v>
      </c>
      <c r="W15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7" spans="10:23" x14ac:dyDescent="0.25">
      <c r="J157">
        <f t="shared" si="11"/>
        <v>0</v>
      </c>
      <c r="M157">
        <f t="shared" si="12"/>
        <v>0</v>
      </c>
      <c r="S157">
        <v>0</v>
      </c>
      <c r="W15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8" spans="10:23" x14ac:dyDescent="0.25">
      <c r="J158">
        <f t="shared" si="11"/>
        <v>0</v>
      </c>
      <c r="M158">
        <f t="shared" si="12"/>
        <v>0</v>
      </c>
      <c r="S158">
        <v>0</v>
      </c>
      <c r="W15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59" spans="10:23" x14ac:dyDescent="0.25">
      <c r="J159">
        <f t="shared" si="11"/>
        <v>0</v>
      </c>
      <c r="M159">
        <f t="shared" si="12"/>
        <v>0</v>
      </c>
      <c r="S159">
        <v>0</v>
      </c>
      <c r="W15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0" spans="10:23" x14ac:dyDescent="0.25">
      <c r="J160">
        <f t="shared" si="11"/>
        <v>0</v>
      </c>
      <c r="M160">
        <f t="shared" si="12"/>
        <v>0</v>
      </c>
      <c r="S160">
        <v>0</v>
      </c>
      <c r="W16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1" spans="10:23" x14ac:dyDescent="0.25">
      <c r="J161">
        <f t="shared" si="11"/>
        <v>0</v>
      </c>
      <c r="M161">
        <f t="shared" si="12"/>
        <v>0</v>
      </c>
      <c r="S161">
        <v>0</v>
      </c>
      <c r="W16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2" spans="10:23" x14ac:dyDescent="0.25">
      <c r="J162">
        <f t="shared" si="11"/>
        <v>0</v>
      </c>
      <c r="M162">
        <f t="shared" si="12"/>
        <v>0</v>
      </c>
      <c r="S162">
        <v>0</v>
      </c>
      <c r="W16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3" spans="10:23" x14ac:dyDescent="0.25">
      <c r="J163">
        <f t="shared" si="11"/>
        <v>0</v>
      </c>
      <c r="M163">
        <f t="shared" si="12"/>
        <v>0</v>
      </c>
      <c r="S163">
        <v>0</v>
      </c>
      <c r="W16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4" spans="10:23" x14ac:dyDescent="0.25">
      <c r="J164">
        <f t="shared" si="11"/>
        <v>0</v>
      </c>
      <c r="M164">
        <f t="shared" si="12"/>
        <v>0</v>
      </c>
      <c r="S164">
        <v>0</v>
      </c>
      <c r="W16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5" spans="10:23" x14ac:dyDescent="0.25">
      <c r="J165">
        <f t="shared" si="11"/>
        <v>0</v>
      </c>
      <c r="M165">
        <f t="shared" si="12"/>
        <v>0</v>
      </c>
      <c r="S165">
        <v>0</v>
      </c>
      <c r="W16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6" spans="10:23" x14ac:dyDescent="0.25">
      <c r="J166">
        <f t="shared" si="11"/>
        <v>0</v>
      </c>
      <c r="M166">
        <f t="shared" si="12"/>
        <v>0</v>
      </c>
      <c r="S166">
        <v>0</v>
      </c>
      <c r="W16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7" spans="10:23" x14ac:dyDescent="0.25">
      <c r="J167">
        <f t="shared" si="11"/>
        <v>0</v>
      </c>
      <c r="M167">
        <f t="shared" si="12"/>
        <v>0</v>
      </c>
      <c r="S167">
        <v>0</v>
      </c>
      <c r="W16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8" spans="10:23" x14ac:dyDescent="0.25">
      <c r="J168">
        <f t="shared" si="11"/>
        <v>0</v>
      </c>
      <c r="M168">
        <f t="shared" si="12"/>
        <v>0</v>
      </c>
      <c r="S168">
        <v>0</v>
      </c>
      <c r="W16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69" spans="10:23" x14ac:dyDescent="0.25">
      <c r="J169">
        <f t="shared" si="11"/>
        <v>0</v>
      </c>
      <c r="M169">
        <f t="shared" si="12"/>
        <v>0</v>
      </c>
      <c r="S169">
        <v>0</v>
      </c>
      <c r="W16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0" spans="10:23" x14ac:dyDescent="0.25">
      <c r="J170">
        <f t="shared" si="11"/>
        <v>0</v>
      </c>
      <c r="M170">
        <f t="shared" si="12"/>
        <v>0</v>
      </c>
      <c r="S170">
        <v>0</v>
      </c>
      <c r="W17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1" spans="10:23" x14ac:dyDescent="0.25">
      <c r="J171">
        <f t="shared" si="11"/>
        <v>0</v>
      </c>
      <c r="M171">
        <f t="shared" si="12"/>
        <v>0</v>
      </c>
      <c r="S171">
        <v>0</v>
      </c>
      <c r="W17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2" spans="10:23" x14ac:dyDescent="0.25">
      <c r="J172">
        <f t="shared" si="11"/>
        <v>0</v>
      </c>
      <c r="M172">
        <f t="shared" si="12"/>
        <v>0</v>
      </c>
      <c r="S172">
        <v>0</v>
      </c>
      <c r="W17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3" spans="10:23" x14ac:dyDescent="0.25">
      <c r="J173">
        <f t="shared" si="11"/>
        <v>0</v>
      </c>
      <c r="M173">
        <f t="shared" si="12"/>
        <v>0</v>
      </c>
      <c r="S173">
        <v>0</v>
      </c>
      <c r="W17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4" spans="10:23" x14ac:dyDescent="0.25">
      <c r="J174">
        <f t="shared" si="11"/>
        <v>0</v>
      </c>
      <c r="M174">
        <f t="shared" si="12"/>
        <v>0</v>
      </c>
      <c r="S174">
        <v>0</v>
      </c>
      <c r="W17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5" spans="10:23" x14ac:dyDescent="0.25">
      <c r="J175">
        <f t="shared" si="11"/>
        <v>0</v>
      </c>
      <c r="M175">
        <f t="shared" si="12"/>
        <v>0</v>
      </c>
      <c r="S175">
        <v>0</v>
      </c>
      <c r="W17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6" spans="10:23" x14ac:dyDescent="0.25">
      <c r="J176">
        <f t="shared" si="11"/>
        <v>0</v>
      </c>
      <c r="M176">
        <f t="shared" si="12"/>
        <v>0</v>
      </c>
      <c r="S176">
        <v>0</v>
      </c>
      <c r="W17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7" spans="10:23" x14ac:dyDescent="0.25">
      <c r="J177">
        <f t="shared" si="11"/>
        <v>0</v>
      </c>
      <c r="M177">
        <f t="shared" si="12"/>
        <v>0</v>
      </c>
      <c r="S177">
        <v>0</v>
      </c>
      <c r="W17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8" spans="10:23" x14ac:dyDescent="0.25">
      <c r="J178">
        <f t="shared" si="11"/>
        <v>0</v>
      </c>
      <c r="M178">
        <f t="shared" si="12"/>
        <v>0</v>
      </c>
      <c r="S178">
        <v>0</v>
      </c>
      <c r="W17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79" spans="10:23" x14ac:dyDescent="0.25">
      <c r="J179">
        <f t="shared" si="11"/>
        <v>0</v>
      </c>
      <c r="M179">
        <f t="shared" si="12"/>
        <v>0</v>
      </c>
      <c r="S179">
        <v>0</v>
      </c>
      <c r="W17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0" spans="10:23" x14ac:dyDescent="0.25">
      <c r="J180">
        <f t="shared" si="11"/>
        <v>0</v>
      </c>
      <c r="M180">
        <f t="shared" si="12"/>
        <v>0</v>
      </c>
      <c r="S180">
        <v>0</v>
      </c>
      <c r="W18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1" spans="10:23" x14ac:dyDescent="0.25">
      <c r="J181">
        <f t="shared" si="11"/>
        <v>0</v>
      </c>
      <c r="M181">
        <f t="shared" si="12"/>
        <v>0</v>
      </c>
      <c r="S181">
        <v>0</v>
      </c>
      <c r="W18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2" spans="10:23" x14ac:dyDescent="0.25">
      <c r="J182">
        <f t="shared" si="11"/>
        <v>0</v>
      </c>
      <c r="M182">
        <f t="shared" si="12"/>
        <v>0</v>
      </c>
      <c r="S182">
        <v>0</v>
      </c>
      <c r="W18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3" spans="10:23" x14ac:dyDescent="0.25">
      <c r="J183">
        <f t="shared" si="11"/>
        <v>0</v>
      </c>
      <c r="M183">
        <f t="shared" si="12"/>
        <v>0</v>
      </c>
      <c r="S183">
        <v>0</v>
      </c>
      <c r="W18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4" spans="10:23" x14ac:dyDescent="0.25">
      <c r="J184">
        <f t="shared" si="11"/>
        <v>0</v>
      </c>
      <c r="M184">
        <f t="shared" si="12"/>
        <v>0</v>
      </c>
      <c r="S184">
        <v>0</v>
      </c>
      <c r="W18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5" spans="10:23" x14ac:dyDescent="0.25">
      <c r="J185">
        <f t="shared" si="11"/>
        <v>0</v>
      </c>
      <c r="M185">
        <f t="shared" si="12"/>
        <v>0</v>
      </c>
      <c r="S185">
        <v>0</v>
      </c>
      <c r="W18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6" spans="10:23" x14ac:dyDescent="0.25">
      <c r="J186">
        <f t="shared" si="11"/>
        <v>0</v>
      </c>
      <c r="M186">
        <f t="shared" si="12"/>
        <v>0</v>
      </c>
      <c r="S186">
        <v>0</v>
      </c>
      <c r="W18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7" spans="10:23" x14ac:dyDescent="0.25">
      <c r="J187">
        <f t="shared" si="11"/>
        <v>0</v>
      </c>
      <c r="M187">
        <f t="shared" si="12"/>
        <v>0</v>
      </c>
      <c r="S187">
        <v>0</v>
      </c>
      <c r="W18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8" spans="10:23" x14ac:dyDescent="0.25">
      <c r="J188">
        <f t="shared" si="11"/>
        <v>0</v>
      </c>
      <c r="M188">
        <f t="shared" si="12"/>
        <v>0</v>
      </c>
      <c r="S188">
        <v>0</v>
      </c>
      <c r="W18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89" spans="10:23" x14ac:dyDescent="0.25">
      <c r="J189">
        <f t="shared" si="11"/>
        <v>0</v>
      </c>
      <c r="M189">
        <f t="shared" si="12"/>
        <v>0</v>
      </c>
      <c r="S189">
        <v>0</v>
      </c>
      <c r="W18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0" spans="10:23" x14ac:dyDescent="0.25">
      <c r="J190">
        <f t="shared" si="11"/>
        <v>0</v>
      </c>
      <c r="M190">
        <f t="shared" si="12"/>
        <v>0</v>
      </c>
      <c r="S190">
        <v>0</v>
      </c>
      <c r="W19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1" spans="10:23" x14ac:dyDescent="0.25">
      <c r="J191">
        <f t="shared" si="11"/>
        <v>0</v>
      </c>
      <c r="M191">
        <f t="shared" si="12"/>
        <v>0</v>
      </c>
      <c r="S191">
        <v>0</v>
      </c>
      <c r="W19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2" spans="10:23" x14ac:dyDescent="0.25">
      <c r="J192">
        <f t="shared" si="11"/>
        <v>0</v>
      </c>
      <c r="M192">
        <f t="shared" si="12"/>
        <v>0</v>
      </c>
      <c r="S192">
        <v>0</v>
      </c>
      <c r="W19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3" spans="10:23" x14ac:dyDescent="0.25">
      <c r="J193">
        <f t="shared" si="11"/>
        <v>0</v>
      </c>
      <c r="M193">
        <f t="shared" si="12"/>
        <v>0</v>
      </c>
      <c r="S193">
        <v>0</v>
      </c>
      <c r="W19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4" spans="10:23" x14ac:dyDescent="0.25">
      <c r="J194">
        <f t="shared" si="11"/>
        <v>0</v>
      </c>
      <c r="M194">
        <f t="shared" si="12"/>
        <v>0</v>
      </c>
      <c r="S194">
        <v>0</v>
      </c>
      <c r="W19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5" spans="10:23" x14ac:dyDescent="0.25">
      <c r="J195">
        <f t="shared" si="11"/>
        <v>0</v>
      </c>
      <c r="M195">
        <f t="shared" si="12"/>
        <v>0</v>
      </c>
      <c r="S195">
        <v>0</v>
      </c>
      <c r="W19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6" spans="10:23" x14ac:dyDescent="0.25">
      <c r="J196">
        <f t="shared" si="11"/>
        <v>0</v>
      </c>
      <c r="M196">
        <f t="shared" si="12"/>
        <v>0</v>
      </c>
      <c r="S196">
        <v>0</v>
      </c>
      <c r="W19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7" spans="10:23" x14ac:dyDescent="0.25">
      <c r="J197">
        <f t="shared" si="11"/>
        <v>0</v>
      </c>
      <c r="M197">
        <f t="shared" si="12"/>
        <v>0</v>
      </c>
      <c r="S197">
        <v>0</v>
      </c>
      <c r="W19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8" spans="10:23" x14ac:dyDescent="0.25">
      <c r="J198">
        <f t="shared" si="11"/>
        <v>0</v>
      </c>
      <c r="M198">
        <f t="shared" si="12"/>
        <v>0</v>
      </c>
      <c r="S198">
        <v>0</v>
      </c>
      <c r="W19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199" spans="10:23" x14ac:dyDescent="0.25">
      <c r="J199">
        <f t="shared" si="11"/>
        <v>0</v>
      </c>
      <c r="M199">
        <f t="shared" si="12"/>
        <v>0</v>
      </c>
      <c r="S199">
        <v>0</v>
      </c>
      <c r="W19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0" spans="10:23" x14ac:dyDescent="0.25">
      <c r="J200">
        <f t="shared" si="11"/>
        <v>0</v>
      </c>
      <c r="M200">
        <f t="shared" si="12"/>
        <v>0</v>
      </c>
      <c r="S200">
        <v>0</v>
      </c>
      <c r="W20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1" spans="10:23" x14ac:dyDescent="0.25">
      <c r="J201">
        <f t="shared" si="11"/>
        <v>0</v>
      </c>
      <c r="M201">
        <f t="shared" si="12"/>
        <v>0</v>
      </c>
      <c r="S201">
        <v>0</v>
      </c>
      <c r="W20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2" spans="10:23" x14ac:dyDescent="0.25">
      <c r="J202">
        <f t="shared" si="11"/>
        <v>0</v>
      </c>
      <c r="M202">
        <f t="shared" si="12"/>
        <v>0</v>
      </c>
      <c r="S202">
        <v>0</v>
      </c>
      <c r="W20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3" spans="10:23" x14ac:dyDescent="0.25">
      <c r="J203">
        <f t="shared" ref="J203:J221" si="13">D203*2+F203+H203</f>
        <v>0</v>
      </c>
      <c r="M203">
        <f t="shared" ref="M203:M221" si="14">K203+L203</f>
        <v>0</v>
      </c>
      <c r="S203">
        <v>0</v>
      </c>
      <c r="W20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4" spans="10:23" x14ac:dyDescent="0.25">
      <c r="J204">
        <f t="shared" si="13"/>
        <v>0</v>
      </c>
      <c r="M204">
        <f t="shared" si="14"/>
        <v>0</v>
      </c>
      <c r="S204">
        <v>0</v>
      </c>
      <c r="W20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5" spans="10:23" x14ac:dyDescent="0.25">
      <c r="J205">
        <f t="shared" si="13"/>
        <v>0</v>
      </c>
      <c r="M205">
        <f t="shared" si="14"/>
        <v>0</v>
      </c>
      <c r="S205">
        <v>0</v>
      </c>
      <c r="W20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6" spans="10:23" x14ac:dyDescent="0.25">
      <c r="J206">
        <f t="shared" si="13"/>
        <v>0</v>
      </c>
      <c r="M206">
        <f t="shared" si="14"/>
        <v>0</v>
      </c>
      <c r="S206">
        <v>0</v>
      </c>
      <c r="W20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7" spans="10:23" x14ac:dyDescent="0.25">
      <c r="J207">
        <f t="shared" si="13"/>
        <v>0</v>
      </c>
      <c r="M207">
        <f t="shared" si="14"/>
        <v>0</v>
      </c>
      <c r="S207">
        <v>0</v>
      </c>
      <c r="W20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8" spans="10:23" x14ac:dyDescent="0.25">
      <c r="J208">
        <f t="shared" si="13"/>
        <v>0</v>
      </c>
      <c r="M208">
        <f t="shared" si="14"/>
        <v>0</v>
      </c>
      <c r="S208">
        <v>0</v>
      </c>
      <c r="W20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09" spans="10:23" x14ac:dyDescent="0.25">
      <c r="J209">
        <f t="shared" si="13"/>
        <v>0</v>
      </c>
      <c r="M209">
        <f t="shared" si="14"/>
        <v>0</v>
      </c>
      <c r="S209">
        <v>0</v>
      </c>
      <c r="W20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0" spans="10:23" x14ac:dyDescent="0.25">
      <c r="J210">
        <f t="shared" si="13"/>
        <v>0</v>
      </c>
      <c r="M210">
        <f t="shared" si="14"/>
        <v>0</v>
      </c>
      <c r="S210">
        <v>0</v>
      </c>
      <c r="W21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1" spans="10:23" x14ac:dyDescent="0.25">
      <c r="J211">
        <f t="shared" si="13"/>
        <v>0</v>
      </c>
      <c r="M211">
        <f t="shared" si="14"/>
        <v>0</v>
      </c>
      <c r="S211">
        <v>0</v>
      </c>
      <c r="W21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2" spans="10:23" x14ac:dyDescent="0.25">
      <c r="J212">
        <f t="shared" si="13"/>
        <v>0</v>
      </c>
      <c r="M212">
        <f t="shared" si="14"/>
        <v>0</v>
      </c>
      <c r="S212">
        <v>0</v>
      </c>
      <c r="W212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3" spans="10:23" x14ac:dyDescent="0.25">
      <c r="J213">
        <f t="shared" si="13"/>
        <v>0</v>
      </c>
      <c r="M213">
        <f t="shared" si="14"/>
        <v>0</v>
      </c>
      <c r="S213">
        <v>0</v>
      </c>
      <c r="W213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4" spans="10:23" x14ac:dyDescent="0.25">
      <c r="J214">
        <f t="shared" si="13"/>
        <v>0</v>
      </c>
      <c r="M214">
        <f t="shared" si="14"/>
        <v>0</v>
      </c>
      <c r="S214">
        <v>0</v>
      </c>
      <c r="W214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5" spans="10:23" x14ac:dyDescent="0.25">
      <c r="J215">
        <f t="shared" si="13"/>
        <v>0</v>
      </c>
      <c r="M215">
        <f t="shared" si="14"/>
        <v>0</v>
      </c>
      <c r="S215">
        <v>0</v>
      </c>
      <c r="W215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6" spans="10:23" x14ac:dyDescent="0.25">
      <c r="J216">
        <f t="shared" si="13"/>
        <v>0</v>
      </c>
      <c r="M216">
        <f t="shared" si="14"/>
        <v>0</v>
      </c>
      <c r="S216">
        <v>0</v>
      </c>
      <c r="W216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7" spans="10:23" x14ac:dyDescent="0.25">
      <c r="J217">
        <f t="shared" si="13"/>
        <v>0</v>
      </c>
      <c r="M217">
        <f t="shared" si="14"/>
        <v>0</v>
      </c>
      <c r="S217">
        <v>0</v>
      </c>
      <c r="W217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8" spans="10:23" x14ac:dyDescent="0.25">
      <c r="J218">
        <f t="shared" si="13"/>
        <v>0</v>
      </c>
      <c r="M218">
        <f t="shared" si="14"/>
        <v>0</v>
      </c>
      <c r="S218">
        <v>0</v>
      </c>
      <c r="W218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19" spans="10:23" x14ac:dyDescent="0.25">
      <c r="J219">
        <f t="shared" si="13"/>
        <v>0</v>
      </c>
      <c r="M219">
        <f t="shared" si="14"/>
        <v>0</v>
      </c>
      <c r="S219">
        <v>0</v>
      </c>
      <c r="W219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20" spans="10:23" x14ac:dyDescent="0.25">
      <c r="J220">
        <f t="shared" si="13"/>
        <v>0</v>
      </c>
      <c r="M220">
        <f t="shared" si="14"/>
        <v>0</v>
      </c>
      <c r="S220">
        <v>0</v>
      </c>
      <c r="W220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  <row r="221" spans="10:23" x14ac:dyDescent="0.25">
      <c r="J221">
        <f t="shared" si="13"/>
        <v>0</v>
      </c>
      <c r="M221">
        <f t="shared" si="14"/>
        <v>0</v>
      </c>
      <c r="S221">
        <v>0</v>
      </c>
      <c r="W221" s="10" t="str">
        <f t="shared" si="2"/>
        <v>&lt;tr&gt;&lt;td&gt;&lt;/td&gt;&lt;td&gt;&lt;/td&gt;&lt;td&gt;&lt;/td&gt;&lt;td&gt;0&lt;/td&gt;&lt;td&gt;0.000&lt;/td&gt;&lt;td&gt;&lt;/td&gt;&lt;td&gt;&lt;/td&gt;&lt;td&gt;0.000&lt;/td&gt;&lt;td&gt;&lt;/td&gt;&lt;td&gt;&lt;/td&gt;&lt;td&gt;0.000&lt;/td&gt;&lt;td&gt;&lt;/td&gt;&lt;td&gt;&lt;/td&gt;&lt;td&gt;0.000&lt;/td&gt;&lt;td&gt;&lt;/td&gt;&lt;td&gt;&lt;/td&gt;&lt;td&gt;0&lt;/td&gt;&lt;td&gt;0.000&lt;/td&gt;&lt;td&gt;&lt;/td&gt;&lt;td&gt;0.000&lt;/td&gt;&lt;td&gt;&lt;/td&gt;&lt;td&gt;0.000&lt;/td&gt;&lt;td&gt;&lt;/td&gt;&lt;td&gt;0.000&lt;/td&gt;&lt;/tr&gt;</v>
      </c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/>
  <sortState ref="A2:U85">
    <sortCondition descending="1" ref="J2:J85"/>
    <sortCondition descending="1" ref="T2:T85"/>
    <sortCondition ref="U2:U85"/>
    <sortCondition ref="A2:A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Boys</vt:lpstr>
      <vt:lpstr>Girls</vt:lpstr>
      <vt:lpstr>T10</vt:lpstr>
      <vt:lpstr>Boys Standings</vt:lpstr>
      <vt:lpstr>Girls Standings</vt:lpstr>
      <vt:lpstr>Boys Schedule</vt:lpstr>
      <vt:lpstr>Girls Schedule</vt:lpstr>
      <vt:lpstr>BStat</vt:lpstr>
      <vt:lpstr>GStat</vt:lpstr>
      <vt:lpstr>KVB</vt:lpstr>
      <vt:lpstr>KVG1</vt:lpstr>
      <vt:lpstr>KVG2</vt:lpstr>
      <vt:lpstr>SVB1</vt:lpstr>
      <vt:lpstr>SVG</vt:lpstr>
      <vt:lpstr>WVB1</vt:lpstr>
      <vt:lpstr>WVB2</vt:lpstr>
      <vt:lpstr>WVG1</vt:lpstr>
      <vt:lpstr>WVG2</vt:lpstr>
      <vt:lpstr>15VB</vt:lpstr>
      <vt:lpstr>15VG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 Penner</cp:lastModifiedBy>
  <dcterms:created xsi:type="dcterms:W3CDTF">2014-12-10T18:53:43Z</dcterms:created>
  <dcterms:modified xsi:type="dcterms:W3CDTF">2016-03-14T08:26:33Z</dcterms:modified>
</cp:coreProperties>
</file>